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drawings/drawing4.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drawings/drawing5.xml" ContentType="application/vnd.openxmlformats-officedocument.drawing+xml"/>
  <Override PartName="/xl/worksheets/sheet9.xml" ContentType="application/vnd.openxmlformats-officedocument.spreadsheetml.worksheet+xml"/>
  <Override PartName="/xl/worksheets/sheet10.xml" ContentType="application/vnd.openxmlformats-officedocument.spreadsheetml.worksheet+xml"/>
  <Override PartName="/xl/drawings/drawing6.xml" ContentType="application/vnd.openxmlformats-officedocument.drawing+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drawings/drawing7.xml" ContentType="application/vnd.openxmlformats-officedocument.drawing+xml"/>
  <Override PartName="/xl/worksheets/sheet14.xml" ContentType="application/vnd.openxmlformats-officedocument.spreadsheetml.worksheet+xml"/>
  <Override PartName="/xl/worksheets/sheet15.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Slab" sheetId="2" state="visible" r:id="rId2"/>
    <sheet xmlns:r="http://schemas.openxmlformats.org/officeDocument/2006/relationships" name="Geo Slab" sheetId="3" state="hidden" r:id="rId3"/>
    <sheet xmlns:r="http://schemas.openxmlformats.org/officeDocument/2006/relationships" name="Rect beam" sheetId="4" state="visible" r:id="rId4"/>
    <sheet xmlns:r="http://schemas.openxmlformats.org/officeDocument/2006/relationships" name="Geo Rect beam" sheetId="5" state="hidden" r:id="rId5"/>
    <sheet xmlns:r="http://schemas.openxmlformats.org/officeDocument/2006/relationships" name="Tee beam" sheetId="6" state="visible" r:id="rId6"/>
    <sheet xmlns:r="http://schemas.openxmlformats.org/officeDocument/2006/relationships" name="Geo Tee beam" sheetId="7" state="hidden" r:id="rId7"/>
    <sheet xmlns:r="http://schemas.openxmlformats.org/officeDocument/2006/relationships" name="Shear" sheetId="8" state="visible" r:id="rId8"/>
    <sheet xmlns:r="http://schemas.openxmlformats.org/officeDocument/2006/relationships" name="Geo Shear" sheetId="9" state="hidden" r:id="rId9"/>
    <sheet xmlns:r="http://schemas.openxmlformats.org/officeDocument/2006/relationships" name="Column" sheetId="10" state="visible" r:id="rId10"/>
    <sheet xmlns:r="http://schemas.openxmlformats.org/officeDocument/2006/relationships" name="Geo Column" sheetId="11" state="hidden" r:id="rId11"/>
    <sheet xmlns:r="http://schemas.openxmlformats.org/officeDocument/2006/relationships" name="Iter Column" sheetId="12" state="hidden" r:id="rId12"/>
    <sheet xmlns:r="http://schemas.openxmlformats.org/officeDocument/2006/relationships" name="Indirect" sheetId="13" state="visible" r:id="rId13"/>
    <sheet xmlns:r="http://schemas.openxmlformats.org/officeDocument/2006/relationships" name="Geo Indirect" sheetId="14" state="hidden" r:id="rId14"/>
    <sheet xmlns:r="http://schemas.openxmlformats.org/officeDocument/2006/relationships" name="NDP" sheetId="15" state="visible" r:id="rId15"/>
  </sheets>
  <definedNames>
    <definedName name="_xlnm.Print_Area" localSheetId="0">'About'!$A$1:$D$39</definedName>
    <definedName name="NA_sel" localSheetId="1">'Slab'!$E$11</definedName>
    <definedName name="conc_class" localSheetId="1">'Slab'!$E$12</definedName>
    <definedName name="f_yk" localSheetId="1">'Slab'!$E$13</definedName>
    <definedName name="duct" localSheetId="1">'Slab'!$E$14</definedName>
    <definedName name="d_g" localSheetId="1">'Slab'!$E$15</definedName>
    <definedName name="loc" localSheetId="1">'Slab'!$E$16</definedName>
    <definedName name="h_sec" localSheetId="1">'Slab'!$E$17</definedName>
    <definedName name="c_nom" localSheetId="1">'Slab'!$E$18</definedName>
    <definedName name="phi" localSheetId="1">'Slab'!$E$19</definedName>
    <definedName name="s_bar" localSheetId="1">'Slab'!$E$20</definedName>
    <definedName name="M_Ed" localSheetId="1">'Slab'!$E$23</definedName>
    <definedName name="delta_r" localSheetId="1">'Slab'!$E$24</definedName>
    <definedName name="L_span" localSheetId="1">'Slab'!$E$25</definedName>
    <definedName name="g_k" localSheetId="1">'Slab'!$E$26</definedName>
    <definedName name="q_k" localSheetId="1">'Slab'!$E$27</definedName>
    <definedName name="gamma_G" localSheetId="1">'Slab'!$E$28</definedName>
    <definedName name="gamma_Q" localSheetId="1">'Slab'!$E$29</definedName>
    <definedName name="usage" localSheetId="1">'Slab'!$E$30</definedName>
    <definedName name="psi2_in" localSheetId="1">'Slab'!$E$31</definedName>
    <definedName name="partitions" localSheetId="1">'Slab'!$E$32</definedName>
    <definedName name="wk_cr" localSheetId="1">'Slab'!$E$33</definedName>
    <definedName name="inputs_ok" localSheetId="1">IFERROR(AND(OR('Slab'!NA_sel="UK NA (BS EN)",'Slab'!NA_sel="PL NA (PN-EN)"),OR('Slab'!conc_class="C20/25",'Slab'!conc_class="C25/30",'Slab'!conc_class="C28/35",'Slab'!conc_class="C30/37",'Slab'!conc_class="C32/40",'Slab'!conc_class="C35/45",'Slab'!conc_class="C40/50",'Slab'!conc_class="C45/55",'Slab'!conc_class="C50/60"),ISNUMBER('Slab'!f_yk),'Slab'!f_yk&gt;0,OR('Slab'!duct="A",'Slab'!duct="B",'Slab'!duct="C"),ISNUMBER('Slab'!d_g),'Slab'!d_g&gt;0,OR('Slab'!loc="Simply supported span",'Slab'!loc="End span",'Slab'!loc="Interior span",'Slab'!loc="Flat slab span",'Slab'!loc="Cantilever",'Slab'!loc="Support"),ISNUMBER('Slab'!h_sec),'Slab'!h_sec&gt;0,ISNUMBER('Slab'!c_nom),'Slab'!c_nom&gt;0,OR(AND(ISNUMBER('Slab'!phi),'Slab'!phi=8),AND(ISNUMBER('Slab'!phi),'Slab'!phi=10),AND(ISNUMBER('Slab'!phi),'Slab'!phi=12),AND(ISNUMBER('Slab'!phi),'Slab'!phi=16),AND(ISNUMBER('Slab'!phi),'Slab'!phi=20),AND(ISNUMBER('Slab'!phi),'Slab'!phi=25),AND(ISNUMBER('Slab'!phi),'Slab'!phi=32),AND(ISNUMBER('Slab'!phi),'Slab'!phi=40)),ISNUMBER('Slab'!s_bar),'Slab'!s_bar&gt;0,ISNUMBER('Slab'!M_Ed),'Slab'!M_Ed&gt;=0,ISNUMBER('Slab'!delta_r),'Slab'!delta_r&gt;0,IF('Slab'!loc&lt;&gt;"Support",IF(ISNUMBER('Slab'!L_span),'Slab'!L_span&gt;0,FALSE),TRUE),ISNUMBER('Slab'!g_k),'Slab'!g_k&gt;=0,ISNUMBER('Slab'!q_k),'Slab'!q_k&gt;=0,ISNUMBER('Slab'!gamma_G),'Slab'!gamma_G&gt;0,ISNUMBER('Slab'!gamma_Q),'Slab'!gamma_Q&gt;0,OR('Slab'!usage="A  domestic or residential",'Slab'!usage="B  office",'Slab'!usage="C  congregation  (crowds)",'Slab'!usage="D  shopping",'Slab'!usage="E  storage",'Slab'!usage="F  traffic  (vehicles ≤ 30 kN)",'Slab'!usage="G  traffic  (30 – 160 kN)",'Slab'!usage="H  roof",'Slab'!usage="Other  (enter ψ2)"),IF('Slab'!usage="Other  (enter ψ2)",IF(ISNUMBER('Slab'!psi2_in),'Slab'!psi2_in&gt;=0,FALSE),TRUE),OR('Slab'!partitions="No",'Slab'!partitions="Yes"),OR(AND(ISNUMBER('Slab'!wk_cr),'Slab'!wk_cr=0.4),AND(ISNUMBER('Slab'!wk_cr),'Slab'!wk_cr=0.3),AND(ISNUMBER('Slab'!wk_cr),'Slab'!wk_cr=0.2)),AND('Slab'!f_yk&gt;=400,'Slab'!f_yk&lt;=500,'Slab'!delta_r&lt;=1,'Slab'!delta_r&gt;=IF('Slab'!duct="A",0.8,0.7),'Slab'!g_k+'Slab'!q_k&gt;0,IF('Slab'!usage="Other  (enter ψ2)",'Slab'!psi2_in&lt;=1,TRUE),'Slab'!h_sec&gt;'Slab'!c_nom+'Slab'!phi,'Slab'!s_bar&gt;'Slab'!phi)),FALSE)</definedName>
    <definedName name="input_status" localSheetId="1">'Slab'!$G$34</definedName>
    <definedName name="loc_i" localSheetId="1">MATCH('Slab'!loc,{"Simply supported span","End span","Interior span","Flat slab span","Cantilever","Support"},0)</definedName>
    <definedName name="hog" localSheetId="1">OR('Slab'!loc="Cantilever",'Slab'!loc="Support")</definedName>
    <definedName name="span" localSheetId="1">'Slab'!loc&lt;&gt;"Support"</definedName>
    <definedName name="usage_i" localSheetId="1">MATCH('Slab'!usage,{"A  domestic or residential","B  office","C  congregation  (crowds)","D  shopping","E  storage","F  traffic  (vehicles ≤ 30 kN)","G  traffic  (30 – 160 kN)","H  roof","Other  (enter ψ2)"},0)</definedName>
    <definedName name="wk_i" localSheetId="1">MATCH('Slab'!wk_cr,{0.4,0.3,0.2},0)</definedName>
    <definedName name="cr_s" localSheetId="1">{160,200,240,280,320,360,400,450}</definedName>
    <definedName name="cr_phi" localSheetId="1">CHOOSE('Slab'!wk_i,{40,32,20,16,12,10,8,6},{32,25,16,12,10,8,6,5},{25,16,12,8,6,5,4,0})</definedName>
    <definedName name="cr_sp" localSheetId="1">CHOOSE('Slab'!wk_i,{300,300,250,200,150,100,0,0},{300,250,200,150,100,50,0,0},{200,150,100,50,0,0,0,0})</definedName>
    <definedName name="bend_ok" localSheetId="1">IFERROR(AND(NOT('Slab'!dbl),'Slab'!A_s1prov&gt;=MAX('Slab'!A_s1req,'Slab'!A_smin),'Slab'!A_s1prov&lt;='Slab'!A_smax,OR('Slab'!delta_r=1,'Slab'!T_prov&lt;='Slab'!C_cap)),FALSE)</definedName>
    <definedName name="det_ok" localSheetId="1">IFERROR(AND('Slab'!s_bar&lt;='Slab'!s_maxsl,'Slab'!s_bar-'Slab'!phi&gt;='Slab'!gap_min),FALSE)</definedName>
    <definedName name="s_cr" localSheetId="1">'Slab'!s_bar</definedName>
    <definedName name="defl_ok" localSheetId="1">IFERROR(IF('Slab'!span,'Slab'!ld_act&lt;='Slab'!ld_lim,TRUE),FALSE)</definedName>
    <definedName name="size_ok" localSheetId="1">IFERROR(AND('Slab'!phis_cr&gt;0,'Slab'!phi&lt;='Slab'!phis_cr),FALSE)</definedName>
    <definedName name="spac_ok" localSheetId="1">IFERROR(AND('Slab'!smax_cr&gt;0,'Slab'!s_cr&lt;='Slab'!smax_cr),FALSE)</definedName>
    <definedName name="cr_exempt" localSheetId="1">AND('Slab'!h_sec&lt;=200,'Slab'!det_ok)</definedName>
    <definedName name="bend_status" localSheetId="1">'Slab'!$G$37</definedName>
    <definedName name="defl_status" localSheetId="1">'Slab'!$G$38</definedName>
    <definedName name="crack_status" localSheetId="1">'Slab'!$G$39</definedName>
    <definedName name="det_status" localSheetId="1">'Slab'!$G$40</definedName>
    <definedName name="gamma_c" localSheetId="1">'Slab'!$E$61</definedName>
    <definedName name="gamma_s" localSheetId="1">'Slab'!$E$62</definedName>
    <definedName name="alpha_cc" localSheetId="1">'Slab'!$E$63</definedName>
    <definedName name="k1_red" localSheetId="1">'Slab'!$E$64</definedName>
    <definedName name="k2_red" localSheetId="1">'Slab'!$E$65</definedName>
    <definedName name="ld_mod_max" localSheetId="1">'Slab'!$E$66</definedName>
    <definedName name="ld_cap_40K" localSheetId="1">'Slab'!$E$67</definedName>
    <definedName name="f_ck" localSheetId="1">'Slab'!$E$68</definedName>
    <definedName name="f_ctm" localSheetId="1">'Slab'!$E$69</definedName>
    <definedName name="f_cd" localSheetId="1">'Slab'!$E$70</definedName>
    <definedName name="f_yd" localSheetId="1">'Slab'!$E$71</definedName>
    <definedName name="d_eff" localSheetId="1">'Slab'!$E$72</definedName>
    <definedName name="b_web" localSheetId="1">'Slab'!$E$73</definedName>
    <definedName name="b_top" localSheetId="1">'Slab'!b_web</definedName>
    <definedName name="hf_c" localSheetId="1">'Slab'!h_sec</definedName>
    <definedName name="xi_y" localSheetId="1">'Slab'!$E$76</definedName>
    <definedName name="xi_lim" localSheetId="1">'Slab'!$E$77</definedName>
    <definedName name="K_lim" localSheetId="1">'Slab'!$E$78</definedName>
    <definedName name="x_lim" localSheetId="1">'Slab'!$E$79</definedName>
    <definedName name="in_flange" localSheetId="1">TRUE</definedName>
    <definedName name="F_out" localSheetId="1">0</definedName>
    <definedName name="C_lim" localSheetId="1">'Slab'!$E$80</definedName>
    <definedName name="M_lim" localSheetId="1">'Slab'!$E$81</definedName>
    <definedName name="dbl" localSheetId="1">'Slab'!M_Ed&gt;'Slab'!M_lim</definedName>
    <definedName name="K_m" localSheetId="1">'Slab'!$E$82</definedName>
    <definedName name="xi" localSheetId="1">'Slab'!$E$83</definedName>
    <definedName name="x_na" localSheetId="1">'Slab'!$E$84</definedName>
    <definedName name="z_b" localSheetId="1">'Slab'!$E$85</definedName>
    <definedName name="A_s1req" localSheetId="1">'Slab'!$E$86</definedName>
    <definedName name="A_c" localSheetId="1">'Slab'!$E$87</definedName>
    <definedName name="b_t" localSheetId="1">'Slab'!b_web</definedName>
    <definedName name="A_smin" localSheetId="1">'Slab'!$E$88</definedName>
    <definedName name="A_smax" localSheetId="1">'Slab'!$E$89</definedName>
    <definedName name="A_s1prov" localSheetId="1">'Slab'!$E$90</definedName>
    <definedName name="T_prov" localSheetId="1">'Slab'!$E$91</definedName>
    <definedName name="C_cap" localSheetId="1">'Slab'!$E$92</definedName>
    <definedName name="chk_bend" localSheetId="1">'Slab'!$G$93</definedName>
    <definedName name="s_maxsl" localSheetId="1">'Slab'!$E$96</definedName>
    <definedName name="gap_min" localSheetId="1">'Slab'!$E$97</definedName>
    <definedName name="chk_det" localSheetId="1">'Slab'!$G$98</definedName>
    <definedName name="psi_2c" localSheetId="1">'Slab'!$E$101</definedName>
    <definedName name="qp" localSheetId="1">'Slab'!$E$102</definedName>
    <definedName name="As_d" localSheetId="1">'Slab'!$E$103</definedName>
    <definedName name="sig_cr" localSheetId="1">'Slab'!$E$104</definedName>
    <definedName name="K_d" localSheetId="1">'Slab'!$E$105</definedName>
    <definedName name="rho_0" localSheetId="1">'Slab'!$E$106</definedName>
    <definedName name="A_rho" localSheetId="1">'Slab'!b_web*'Slab'!d_eff</definedName>
    <definedName name="rho_t" localSheetId="1">'Slab'!$E$107</definedName>
    <definedName name="rho_c" localSheetId="1">'Slab'!$E$108</definedName>
    <definedName name="ld_basic" localSheetId="1">'Slab'!$E$109</definedName>
    <definedName name="F_1" localSheetId="1">1</definedName>
    <definedName name="F_2" localSheetId="1">'Slab'!$E$110</definedName>
    <definedName name="F_3" localSheetId="1">'Slab'!$E$111</definedName>
    <definedName name="ld_lim" localSheetId="1">'Slab'!$E$112</definedName>
    <definedName name="ld_act" localSheetId="1">'Slab'!$E$113</definedName>
    <definedName name="chk_defl" localSheetId="1">'Slab'!$G$114</definedName>
    <definedName name="fct_eff" localSheetId="1">'Slab'!$E$117</definedName>
    <definedName name="h_cr" localSheetId="1">'Slab'!$E$118</definedName>
    <definedName name="cr_adj" localSheetId="1">'Slab'!$E$119</definedName>
    <definedName name="phit_cr" localSheetId="1">'Slab'!$E$120</definedName>
    <definedName name="phis_cr" localSheetId="1">'Slab'!$E$121</definedName>
    <definedName name="smax_cr" localSheetId="1">'Slab'!$E$122</definedName>
    <definedName name="chk_size" localSheetId="1">'Slab'!$G$124</definedName>
    <definedName name="chk_spac" localSheetId="1">'Slab'!$G$125</definedName>
    <definedName name="ndp_gamma_c" localSheetId="1">INDEX('NDP'!$D$6:$E$6,'Slab'!na_idx)</definedName>
    <definedName name="ndp_gamma_s" localSheetId="1">INDEX('NDP'!$D$7:$E$7,'Slab'!na_idx)</definedName>
    <definedName name="ndp_alpha_cc" localSheetId="1">INDEX('NDP'!$D$8:$E$8,'Slab'!na_idx)</definedName>
    <definedName name="ndp_alpha_cc_pl" localSheetId="1">INDEX('NDP'!$D$9:$E$9,'Slab'!na_idx)</definedName>
    <definedName name="ndp_alpha_cc_shear" localSheetId="1">INDEX('NDP'!$D$10:$E$10,'Slab'!na_idx)</definedName>
    <definedName name="ndp_alpha_ct" localSheetId="1">INDEX('NDP'!$D$11:$E$11,'Slab'!na_idx)</definedName>
    <definedName name="ndp_C_Rdc" localSheetId="1">INDEX('NDP'!$D$12:$E$12,'Slab'!na_idx)</definedName>
    <definedName name="ndp_k1_p" localSheetId="1">INDEX('NDP'!$D$13:$E$13,'Slab'!na_idx)</definedName>
    <definedName name="ndp_vmax" localSheetId="1">INDEX('NDP'!$D$14:$E$14,'Slab'!na_idx)</definedName>
    <definedName name="ndp_kmax" localSheetId="1">INDEX('NDP'!$D$15:$E$15,'Slab'!na_idx)</definedName>
    <definedName name="ndp_phi_large" localSheetId="1">INDEX('NDP'!$D$16:$E$16,'Slab'!na_idx)</definedName>
    <definedName name="ndp_cot_max" localSheetId="1">INDEX('NDP'!$D$17:$E$17,'Slab'!na_idx)</definedName>
    <definedName name="ndp_k1_red" localSheetId="1">INDEX('NDP'!$D$18:$E$18,'Slab'!na_idx)</definedName>
    <definedName name="ndp_k2_red" localSheetId="1">INDEX('NDP'!$D$19:$E$19,'Slab'!na_idx)</definedName>
    <definedName name="ndp_ld_mod_max" localSheetId="1">INDEX('NDP'!$D$20:$E$20,'Slab'!na_idx)</definedName>
    <definedName name="ndp_ld_cap_40K" localSheetId="1">INDEX('NDP'!$D$21:$E$21,'Slab'!na_idx)</definedName>
    <definedName name="ndp_phi_min_col" localSheetId="1">INDEX('NDP'!$D$22:$E$22,'Slab'!na_idx)</definedName>
    <definedName name="ndp_k3" localSheetId="1">INDEX('NDP'!$D$23:$E$23,'Slab'!na_idx)</definedName>
    <definedName name="ndp_k4" localSheetId="1">INDEX('NDP'!$D$24:$E$24,'Slab'!na_idx)</definedName>
    <definedName name="ndp_k1_sl" localSheetId="1">INDEX('NDP'!$D$25:$E$25,'Slab'!na_idx)</definedName>
    <definedName name="ndp_k2_sl" localSheetId="1">INDEX('NDP'!$D$26:$E$26,'Slab'!na_idx)</definedName>
    <definedName name="ndp_k3_sl" localSheetId="1">INDEX('NDP'!$D$27:$E$27,'Slab'!na_idx)</definedName>
    <definedName name="ndp_k4_sl" localSheetId="1">INDEX('NDP'!$D$28:$E$28,'Slab'!na_idx)</definedName>
    <definedName name="na_idx" localSheetId="1">IF('Slab'!NA_sel="PL NA (PN-EN)",2,IF('Slab'!NA_sel="UK NA (BS EN)",1,NA()))</definedName>
    <definedName name="_xlnm.Print_Area" localSheetId="1">'Slab'!$A$1:$H$129</definedName>
    <definedName name="NA_sel" localSheetId="2">'Slab'!$E$11</definedName>
    <definedName name="conc_class" localSheetId="2">'Slab'!$E$12</definedName>
    <definedName name="f_yk" localSheetId="2">'Slab'!$E$13</definedName>
    <definedName name="duct" localSheetId="2">'Slab'!$E$14</definedName>
    <definedName name="d_g" localSheetId="2">'Slab'!$E$15</definedName>
    <definedName name="loc" localSheetId="2">'Slab'!$E$16</definedName>
    <definedName name="h_sec" localSheetId="2">'Slab'!$E$17</definedName>
    <definedName name="c_nom" localSheetId="2">'Slab'!$E$18</definedName>
    <definedName name="phi" localSheetId="2">'Slab'!$E$19</definedName>
    <definedName name="s_bar" localSheetId="2">'Slab'!$E$20</definedName>
    <definedName name="M_Ed" localSheetId="2">'Slab'!$E$23</definedName>
    <definedName name="delta_r" localSheetId="2">'Slab'!$E$24</definedName>
    <definedName name="L_span" localSheetId="2">'Slab'!$E$25</definedName>
    <definedName name="g_k" localSheetId="2">'Slab'!$E$26</definedName>
    <definedName name="q_k" localSheetId="2">'Slab'!$E$27</definedName>
    <definedName name="gamma_G" localSheetId="2">'Slab'!$E$28</definedName>
    <definedName name="gamma_Q" localSheetId="2">'Slab'!$E$29</definedName>
    <definedName name="usage" localSheetId="2">'Slab'!$E$30</definedName>
    <definedName name="psi2_in" localSheetId="2">'Slab'!$E$31</definedName>
    <definedName name="partitions" localSheetId="2">'Slab'!$E$32</definedName>
    <definedName name="wk_cr" localSheetId="2">'Slab'!$E$33</definedName>
    <definedName name="inputs_ok" localSheetId="2">IFERROR(AND(OR('Geo Slab'!NA_sel="UK NA (BS EN)",'Geo Slab'!NA_sel="PL NA (PN-EN)"),OR('Geo Slab'!conc_class="C20/25",'Geo Slab'!conc_class="C25/30",'Geo Slab'!conc_class="C28/35",'Geo Slab'!conc_class="C30/37",'Geo Slab'!conc_class="C32/40",'Geo Slab'!conc_class="C35/45",'Geo Slab'!conc_class="C40/50",'Geo Slab'!conc_class="C45/55",'Geo Slab'!conc_class="C50/60"),ISNUMBER('Geo Slab'!f_yk),'Geo Slab'!f_yk&gt;0,OR('Geo Slab'!duct="A",'Geo Slab'!duct="B",'Geo Slab'!duct="C"),ISNUMBER('Geo Slab'!d_g),'Geo Slab'!d_g&gt;0,OR('Geo Slab'!loc="Simply supported span",'Geo Slab'!loc="End span",'Geo Slab'!loc="Interior span",'Geo Slab'!loc="Flat slab span",'Geo Slab'!loc="Cantilever",'Geo Slab'!loc="Support"),ISNUMBER('Geo Slab'!h_sec),'Geo Slab'!h_sec&gt;0,ISNUMBER('Geo Slab'!c_nom),'Geo Slab'!c_nom&gt;0,OR(AND(ISNUMBER('Geo Slab'!phi),'Geo Slab'!phi=8),AND(ISNUMBER('Geo Slab'!phi),'Geo Slab'!phi=10),AND(ISNUMBER('Geo Slab'!phi),'Geo Slab'!phi=12),AND(ISNUMBER('Geo Slab'!phi),'Geo Slab'!phi=16),AND(ISNUMBER('Geo Slab'!phi),'Geo Slab'!phi=20),AND(ISNUMBER('Geo Slab'!phi),'Geo Slab'!phi=25),AND(ISNUMBER('Geo Slab'!phi),'Geo Slab'!phi=32),AND(ISNUMBER('Geo Slab'!phi),'Geo Slab'!phi=40)),ISNUMBER('Geo Slab'!s_bar),'Geo Slab'!s_bar&gt;0,ISNUMBER('Geo Slab'!M_Ed),'Geo Slab'!M_Ed&gt;=0,ISNUMBER('Geo Slab'!delta_r),'Geo Slab'!delta_r&gt;0,IF('Geo Slab'!loc&lt;&gt;"Support",IF(ISNUMBER('Geo Slab'!L_span),'Geo Slab'!L_span&gt;0,FALSE),TRUE),ISNUMBER('Geo Slab'!g_k),'Geo Slab'!g_k&gt;=0,ISNUMBER('Geo Slab'!q_k),'Geo Slab'!q_k&gt;=0,ISNUMBER('Geo Slab'!gamma_G),'Geo Slab'!gamma_G&gt;0,ISNUMBER('Geo Slab'!gamma_Q),'Geo Slab'!gamma_Q&gt;0,OR('Geo Slab'!usage="A  domestic or residential",'Geo Slab'!usage="B  office",'Geo Slab'!usage="C  congregation  (crowds)",'Geo Slab'!usage="D  shopping",'Geo Slab'!usage="E  storage",'Geo Slab'!usage="F  traffic  (vehicles ≤ 30 kN)",'Geo Slab'!usage="G  traffic  (30 – 160 kN)",'Geo Slab'!usage="H  roof",'Geo Slab'!usage="Other  (enter ψ2)"),IF('Geo Slab'!usage="Other  (enter ψ2)",IF(ISNUMBER('Geo Slab'!psi2_in),'Geo Slab'!psi2_in&gt;=0,FALSE),TRUE),OR('Geo Slab'!partitions="No",'Geo Slab'!partitions="Yes"),OR(AND(ISNUMBER('Geo Slab'!wk_cr),'Geo Slab'!wk_cr=0.4),AND(ISNUMBER('Geo Slab'!wk_cr),'Geo Slab'!wk_cr=0.3),AND(ISNUMBER('Geo Slab'!wk_cr),'Geo Slab'!wk_cr=0.2)),AND('Geo Slab'!f_yk&gt;=400,'Geo Slab'!f_yk&lt;=500,'Geo Slab'!delta_r&lt;=1,'Geo Slab'!delta_r&gt;=IF('Geo Slab'!duct="A",0.8,0.7),'Geo Slab'!g_k+'Geo Slab'!q_k&gt;0,IF('Geo Slab'!usage="Other  (enter ψ2)",'Geo Slab'!psi2_in&lt;=1,TRUE),'Geo Slab'!h_sec&gt;'Geo Slab'!c_nom+'Geo Slab'!phi,'Geo Slab'!s_bar&gt;'Geo Slab'!phi)),FALSE)</definedName>
    <definedName name="input_status" localSheetId="2">'Slab'!$G$34</definedName>
    <definedName name="loc_i" localSheetId="2">MATCH('Geo Slab'!loc,{"Simply supported span","End span","Interior span","Flat slab span","Cantilever","Support"},0)</definedName>
    <definedName name="hog" localSheetId="2">OR('Geo Slab'!loc="Cantilever",'Geo Slab'!loc="Support")</definedName>
    <definedName name="span" localSheetId="2">'Geo Slab'!loc&lt;&gt;"Support"</definedName>
    <definedName name="usage_i" localSheetId="2">MATCH('Geo Slab'!usage,{"A  domestic or residential","B  office","C  congregation  (crowds)","D  shopping","E  storage","F  traffic  (vehicles ≤ 30 kN)","G  traffic  (30 – 160 kN)","H  roof","Other  (enter ψ2)"},0)</definedName>
    <definedName name="wk_i" localSheetId="2">MATCH('Geo Slab'!wk_cr,{0.4,0.3,0.2},0)</definedName>
    <definedName name="cr_s" localSheetId="2">{160,200,240,280,320,360,400,450}</definedName>
    <definedName name="cr_phi" localSheetId="2">CHOOSE('Geo Slab'!wk_i,{40,32,20,16,12,10,8,6},{32,25,16,12,10,8,6,5},{25,16,12,8,6,5,4,0})</definedName>
    <definedName name="cr_sp" localSheetId="2">CHOOSE('Geo Slab'!wk_i,{300,300,250,200,150,100,0,0},{300,250,200,150,100,50,0,0},{200,150,100,50,0,0,0,0})</definedName>
    <definedName name="bend_ok" localSheetId="2">IFERROR(AND(NOT('Geo Slab'!dbl),'Geo Slab'!A_s1prov&gt;=MAX('Geo Slab'!A_s1req,'Geo Slab'!A_smin),'Geo Slab'!A_s1prov&lt;='Geo Slab'!A_smax,OR('Geo Slab'!delta_r=1,'Geo Slab'!T_prov&lt;='Geo Slab'!C_cap)),FALSE)</definedName>
    <definedName name="det_ok" localSheetId="2">IFERROR(AND('Geo Slab'!s_bar&lt;='Geo Slab'!s_maxsl,'Geo Slab'!s_bar-'Geo Slab'!phi&gt;='Geo Slab'!gap_min),FALSE)</definedName>
    <definedName name="s_cr" localSheetId="2">'Geo Slab'!s_bar</definedName>
    <definedName name="defl_ok" localSheetId="2">IFERROR(IF('Geo Slab'!span,'Geo Slab'!ld_act&lt;='Geo Slab'!ld_lim,TRUE),FALSE)</definedName>
    <definedName name="size_ok" localSheetId="2">IFERROR(AND('Geo Slab'!phis_cr&gt;0,'Geo Slab'!phi&lt;='Geo Slab'!phis_cr),FALSE)</definedName>
    <definedName name="spac_ok" localSheetId="2">IFERROR(AND('Geo Slab'!smax_cr&gt;0,'Geo Slab'!s_cr&lt;='Geo Slab'!smax_cr),FALSE)</definedName>
    <definedName name="cr_exempt" localSheetId="2">AND('Geo Slab'!h_sec&lt;=200,'Geo Slab'!det_ok)</definedName>
    <definedName name="bend_status" localSheetId="2">'Slab'!$G$37</definedName>
    <definedName name="defl_status" localSheetId="2">'Slab'!$G$38</definedName>
    <definedName name="crack_status" localSheetId="2">'Slab'!$G$39</definedName>
    <definedName name="det_status" localSheetId="2">'Slab'!$G$40</definedName>
    <definedName name="gamma_c" localSheetId="2">'Slab'!$E$61</definedName>
    <definedName name="gamma_s" localSheetId="2">'Slab'!$E$62</definedName>
    <definedName name="alpha_cc" localSheetId="2">'Slab'!$E$63</definedName>
    <definedName name="k1_red" localSheetId="2">'Slab'!$E$64</definedName>
    <definedName name="k2_red" localSheetId="2">'Slab'!$E$65</definedName>
    <definedName name="ld_mod_max" localSheetId="2">'Slab'!$E$66</definedName>
    <definedName name="ld_cap_40K" localSheetId="2">'Slab'!$E$67</definedName>
    <definedName name="f_ck" localSheetId="2">'Slab'!$E$68</definedName>
    <definedName name="f_ctm" localSheetId="2">'Slab'!$E$69</definedName>
    <definedName name="f_cd" localSheetId="2">'Slab'!$E$70</definedName>
    <definedName name="f_yd" localSheetId="2">'Slab'!$E$71</definedName>
    <definedName name="d_eff" localSheetId="2">'Slab'!$E$72</definedName>
    <definedName name="b_web" localSheetId="2">'Slab'!$E$73</definedName>
    <definedName name="b_top" localSheetId="2">'Geo Slab'!b_web</definedName>
    <definedName name="hf_c" localSheetId="2">'Geo Slab'!h_sec</definedName>
    <definedName name="xi_y" localSheetId="2">'Slab'!$E$76</definedName>
    <definedName name="xi_lim" localSheetId="2">'Slab'!$E$77</definedName>
    <definedName name="K_lim" localSheetId="2">'Slab'!$E$78</definedName>
    <definedName name="x_lim" localSheetId="2">'Slab'!$E$79</definedName>
    <definedName name="in_flange" localSheetId="2">TRUE</definedName>
    <definedName name="F_out" localSheetId="2">0</definedName>
    <definedName name="C_lim" localSheetId="2">'Slab'!$E$80</definedName>
    <definedName name="M_lim" localSheetId="2">'Slab'!$E$81</definedName>
    <definedName name="dbl" localSheetId="2">'Geo Slab'!M_Ed&gt;'Geo Slab'!M_lim</definedName>
    <definedName name="K_m" localSheetId="2">'Slab'!$E$82</definedName>
    <definedName name="xi" localSheetId="2">'Slab'!$E$83</definedName>
    <definedName name="x_na" localSheetId="2">'Slab'!$E$84</definedName>
    <definedName name="z_b" localSheetId="2">'Slab'!$E$85</definedName>
    <definedName name="A_s1req" localSheetId="2">'Slab'!$E$86</definedName>
    <definedName name="A_c" localSheetId="2">'Slab'!$E$87</definedName>
    <definedName name="b_t" localSheetId="2">'Geo Slab'!b_web</definedName>
    <definedName name="A_smin" localSheetId="2">'Slab'!$E$88</definedName>
    <definedName name="A_smax" localSheetId="2">'Slab'!$E$89</definedName>
    <definedName name="A_s1prov" localSheetId="2">'Slab'!$E$90</definedName>
    <definedName name="T_prov" localSheetId="2">'Slab'!$E$91</definedName>
    <definedName name="C_cap" localSheetId="2">'Slab'!$E$92</definedName>
    <definedName name="chk_bend" localSheetId="2">'Slab'!$G$93</definedName>
    <definedName name="s_maxsl" localSheetId="2">'Slab'!$E$96</definedName>
    <definedName name="gap_min" localSheetId="2">'Slab'!$E$97</definedName>
    <definedName name="chk_det" localSheetId="2">'Slab'!$G$98</definedName>
    <definedName name="psi_2c" localSheetId="2">'Slab'!$E$101</definedName>
    <definedName name="qp" localSheetId="2">'Slab'!$E$102</definedName>
    <definedName name="As_d" localSheetId="2">'Slab'!$E$103</definedName>
    <definedName name="sig_cr" localSheetId="2">'Slab'!$E$104</definedName>
    <definedName name="K_d" localSheetId="2">'Slab'!$E$105</definedName>
    <definedName name="rho_0" localSheetId="2">'Slab'!$E$106</definedName>
    <definedName name="A_rho" localSheetId="2">'Geo Slab'!b_web*'Geo Slab'!d_eff</definedName>
    <definedName name="rho_t" localSheetId="2">'Slab'!$E$107</definedName>
    <definedName name="rho_c" localSheetId="2">'Slab'!$E$108</definedName>
    <definedName name="ld_basic" localSheetId="2">'Slab'!$E$109</definedName>
    <definedName name="F_1" localSheetId="2">1</definedName>
    <definedName name="F_2" localSheetId="2">'Slab'!$E$110</definedName>
    <definedName name="F_3" localSheetId="2">'Slab'!$E$111</definedName>
    <definedName name="ld_lim" localSheetId="2">'Slab'!$E$112</definedName>
    <definedName name="ld_act" localSheetId="2">'Slab'!$E$113</definedName>
    <definedName name="chk_defl" localSheetId="2">'Slab'!$G$114</definedName>
    <definedName name="fct_eff" localSheetId="2">'Slab'!$E$117</definedName>
    <definedName name="h_cr" localSheetId="2">'Slab'!$E$118</definedName>
    <definedName name="cr_adj" localSheetId="2">'Slab'!$E$119</definedName>
    <definedName name="phit_cr" localSheetId="2">'Slab'!$E$120</definedName>
    <definedName name="phis_cr" localSheetId="2">'Slab'!$E$121</definedName>
    <definedName name="smax_cr" localSheetId="2">'Slab'!$E$122</definedName>
    <definedName name="chk_size" localSheetId="2">'Slab'!$G$124</definedName>
    <definedName name="chk_spac" localSheetId="2">'Slab'!$G$125</definedName>
    <definedName name="ndp_gamma_c" localSheetId="2">INDEX('NDP'!$D$6:$E$6,'Geo Slab'!na_idx)</definedName>
    <definedName name="ndp_gamma_s" localSheetId="2">INDEX('NDP'!$D$7:$E$7,'Geo Slab'!na_idx)</definedName>
    <definedName name="ndp_alpha_cc" localSheetId="2">INDEX('NDP'!$D$8:$E$8,'Geo Slab'!na_idx)</definedName>
    <definedName name="ndp_alpha_cc_pl" localSheetId="2">INDEX('NDP'!$D$9:$E$9,'Geo Slab'!na_idx)</definedName>
    <definedName name="ndp_alpha_cc_shear" localSheetId="2">INDEX('NDP'!$D$10:$E$10,'Geo Slab'!na_idx)</definedName>
    <definedName name="ndp_alpha_ct" localSheetId="2">INDEX('NDP'!$D$11:$E$11,'Geo Slab'!na_idx)</definedName>
    <definedName name="ndp_C_Rdc" localSheetId="2">INDEX('NDP'!$D$12:$E$12,'Geo Slab'!na_idx)</definedName>
    <definedName name="ndp_k1_p" localSheetId="2">INDEX('NDP'!$D$13:$E$13,'Geo Slab'!na_idx)</definedName>
    <definedName name="ndp_vmax" localSheetId="2">INDEX('NDP'!$D$14:$E$14,'Geo Slab'!na_idx)</definedName>
    <definedName name="ndp_kmax" localSheetId="2">INDEX('NDP'!$D$15:$E$15,'Geo Slab'!na_idx)</definedName>
    <definedName name="ndp_phi_large" localSheetId="2">INDEX('NDP'!$D$16:$E$16,'Geo Slab'!na_idx)</definedName>
    <definedName name="ndp_cot_max" localSheetId="2">INDEX('NDP'!$D$17:$E$17,'Geo Slab'!na_idx)</definedName>
    <definedName name="ndp_k1_red" localSheetId="2">INDEX('NDP'!$D$18:$E$18,'Geo Slab'!na_idx)</definedName>
    <definedName name="ndp_k2_red" localSheetId="2">INDEX('NDP'!$D$19:$E$19,'Geo Slab'!na_idx)</definedName>
    <definedName name="ndp_ld_mod_max" localSheetId="2">INDEX('NDP'!$D$20:$E$20,'Geo Slab'!na_idx)</definedName>
    <definedName name="ndp_ld_cap_40K" localSheetId="2">INDEX('NDP'!$D$21:$E$21,'Geo Slab'!na_idx)</definedName>
    <definedName name="ndp_phi_min_col" localSheetId="2">INDEX('NDP'!$D$22:$E$22,'Geo Slab'!na_idx)</definedName>
    <definedName name="ndp_k3" localSheetId="2">INDEX('NDP'!$D$23:$E$23,'Geo Slab'!na_idx)</definedName>
    <definedName name="ndp_k4" localSheetId="2">INDEX('NDP'!$D$24:$E$24,'Geo Slab'!na_idx)</definedName>
    <definedName name="ndp_k1_sl" localSheetId="2">INDEX('NDP'!$D$25:$E$25,'Geo Slab'!na_idx)</definedName>
    <definedName name="ndp_k2_sl" localSheetId="2">INDEX('NDP'!$D$26:$E$26,'Geo Slab'!na_idx)</definedName>
    <definedName name="ndp_k3_sl" localSheetId="2">INDEX('NDP'!$D$27:$E$27,'Geo Slab'!na_idx)</definedName>
    <definedName name="ndp_k4_sl" localSheetId="2">INDEX('NDP'!$D$28:$E$28,'Geo Slab'!na_idx)</definedName>
    <definedName name="na_idx" localSheetId="2">IF('Geo Slab'!NA_sel="PL NA (PN-EN)",2,IF('Geo Slab'!NA_sel="UK NA (BS EN)",1,NA()))</definedName>
    <definedName name="NA_sel" localSheetId="3">'Rect beam'!$E$11</definedName>
    <definedName name="conc_class" localSheetId="3">'Rect beam'!$E$12</definedName>
    <definedName name="f_yk" localSheetId="3">'Rect beam'!$E$13</definedName>
    <definedName name="duct" localSheetId="3">'Rect beam'!$E$14</definedName>
    <definedName name="d_g" localSheetId="3">'Rect beam'!$E$15</definedName>
    <definedName name="loc" localSheetId="3">'Rect beam'!$E$16</definedName>
    <definedName name="b_w" localSheetId="3">'Rect beam'!$E$17</definedName>
    <definedName name="h_sec" localSheetId="3">'Rect beam'!$E$18</definedName>
    <definedName name="c_nom" localSheetId="3">'Rect beam'!$E$19</definedName>
    <definedName name="phi_w" localSheetId="3">'Rect beam'!$E$20</definedName>
    <definedName name="n_bars" localSheetId="3">'Rect beam'!$E$21</definedName>
    <definedName name="phi" localSheetId="3">'Rect beam'!$E$22</definedName>
    <definedName name="n_2" localSheetId="3">'Rect beam'!$E$23</definedName>
    <definedName name="phi_2" localSheetId="3">'Rect beam'!$E$24</definedName>
    <definedName name="M_Ed" localSheetId="3">'Rect beam'!$E$27</definedName>
    <definedName name="delta_r" localSheetId="3">'Rect beam'!$E$28</definedName>
    <definedName name="L_span" localSheetId="3">'Rect beam'!$E$29</definedName>
    <definedName name="g_k" localSheetId="3">'Rect beam'!$E$30</definedName>
    <definedName name="q_k" localSheetId="3">'Rect beam'!$E$31</definedName>
    <definedName name="gamma_G" localSheetId="3">'Rect beam'!$E$32</definedName>
    <definedName name="gamma_Q" localSheetId="3">'Rect beam'!$E$33</definedName>
    <definedName name="usage" localSheetId="3">'Rect beam'!$E$34</definedName>
    <definedName name="psi2_in" localSheetId="3">'Rect beam'!$E$35</definedName>
    <definedName name="partitions" localSheetId="3">'Rect beam'!$E$36</definedName>
    <definedName name="wk_cr" localSheetId="3">'Rect beam'!$E$37</definedName>
    <definedName name="inputs_ok" localSheetId="3">IFERROR(AND(OR('Rect beam'!NA_sel="UK NA (BS EN)",'Rect beam'!NA_sel="PL NA (PN-EN)"),OR('Rect beam'!conc_class="C20/25",'Rect beam'!conc_class="C25/30",'Rect beam'!conc_class="C28/35",'Rect beam'!conc_class="C30/37",'Rect beam'!conc_class="C32/40",'Rect beam'!conc_class="C35/45",'Rect beam'!conc_class="C40/50",'Rect beam'!conc_class="C45/55",'Rect beam'!conc_class="C50/60"),ISNUMBER('Rect beam'!f_yk),'Rect beam'!f_yk&gt;0,OR('Rect beam'!duct="A",'Rect beam'!duct="B",'Rect beam'!duct="C"),ISNUMBER('Rect beam'!d_g),'Rect beam'!d_g&gt;0,OR('Rect beam'!loc="Simply supported span",'Rect beam'!loc="End span",'Rect beam'!loc="Interior span",'Rect beam'!loc="Cantilever",'Rect beam'!loc="Support"),ISNUMBER('Rect beam'!b_w),'Rect beam'!b_w&gt;0,ISNUMBER('Rect beam'!h_sec),'Rect beam'!h_sec&gt;0,ISNUMBER('Rect beam'!c_nom),'Rect beam'!c_nom&gt;0,OR(AND(ISNUMBER('Rect beam'!phi_w),'Rect beam'!phi_w=6),AND(ISNUMBER('Rect beam'!phi_w),'Rect beam'!phi_w=8),AND(ISNUMBER('Rect beam'!phi_w),'Rect beam'!phi_w=10),AND(ISNUMBER('Rect beam'!phi_w),'Rect beam'!phi_w=12),AND(ISNUMBER('Rect beam'!phi_w),'Rect beam'!phi_w=16)),ISNUMBER('Rect beam'!n_bars),'Rect beam'!n_bars&gt;0,OR(AND(ISNUMBER('Rect beam'!phi),'Rect beam'!phi=8),AND(ISNUMBER('Rect beam'!phi),'Rect beam'!phi=10),AND(ISNUMBER('Rect beam'!phi),'Rect beam'!phi=12),AND(ISNUMBER('Rect beam'!phi),'Rect beam'!phi=16),AND(ISNUMBER('Rect beam'!phi),'Rect beam'!phi=20),AND(ISNUMBER('Rect beam'!phi),'Rect beam'!phi=25),AND(ISNUMBER('Rect beam'!phi),'Rect beam'!phi=32),AND(ISNUMBER('Rect beam'!phi),'Rect beam'!phi=40)),ISNUMBER('Rect beam'!n_2),'Rect beam'!n_2&gt;=0,OR(AND(ISNUMBER('Rect beam'!phi_2),'Rect beam'!phi_2=8),AND(ISNUMBER('Rect beam'!phi_2),'Rect beam'!phi_2=10),AND(ISNUMBER('Rect beam'!phi_2),'Rect beam'!phi_2=12),AND(ISNUMBER('Rect beam'!phi_2),'Rect beam'!phi_2=16),AND(ISNUMBER('Rect beam'!phi_2),'Rect beam'!phi_2=20),AND(ISNUMBER('Rect beam'!phi_2),'Rect beam'!phi_2=25),AND(ISNUMBER('Rect beam'!phi_2),'Rect beam'!phi_2=32),AND(ISNUMBER('Rect beam'!phi_2),'Rect beam'!phi_2=40)),ISNUMBER('Rect beam'!M_Ed),'Rect beam'!M_Ed&gt;=0,ISNUMBER('Rect beam'!delta_r),'Rect beam'!delta_r&gt;0,IF('Rect beam'!loc&lt;&gt;"Support",IF(ISNUMBER('Rect beam'!L_span),'Rect beam'!L_span&gt;0,FALSE),TRUE),ISNUMBER('Rect beam'!g_k),'Rect beam'!g_k&gt;=0,ISNUMBER('Rect beam'!q_k),'Rect beam'!q_k&gt;=0,ISNUMBER('Rect beam'!gamma_G),'Rect beam'!gamma_G&gt;0,ISNUMBER('Rect beam'!gamma_Q),'Rect beam'!gamma_Q&gt;0,OR('Rect beam'!usage="A  domestic or residential",'Rect beam'!usage="B  office",'Rect beam'!usage="C  congregation  (crowds)",'Rect beam'!usage="D  shopping",'Rect beam'!usage="E  storage",'Rect beam'!usage="F  traffic  (vehicles ≤ 30 kN)",'Rect beam'!usage="G  traffic  (30 – 160 kN)",'Rect beam'!usage="H  roof",'Rect beam'!usage="Other  (enter ψ2)"),IF('Rect beam'!usage="Other  (enter ψ2)",IF(ISNUMBER('Rect beam'!psi2_in),'Rect beam'!psi2_in&gt;=0,FALSE),TRUE),OR('Rect beam'!partitions="No",'Rect beam'!partitions="Yes"),OR(AND(ISNUMBER('Rect beam'!wk_cr),'Rect beam'!wk_cr=0.4),AND(ISNUMBER('Rect beam'!wk_cr),'Rect beam'!wk_cr=0.3),AND(ISNUMBER('Rect beam'!wk_cr),'Rect beam'!wk_cr=0.2)),AND('Rect beam'!f_yk&gt;=400,'Rect beam'!f_yk&lt;=500,'Rect beam'!delta_r&lt;=1,'Rect beam'!delta_r&gt;=IF('Rect beam'!duct="A",0.8,0.7),'Rect beam'!g_k+'Rect beam'!q_k&gt;0,IF('Rect beam'!usage="Other  (enter ψ2)",'Rect beam'!psi2_in&lt;=1,TRUE),'Rect beam'!n_bars&gt;=2,'Rect beam'!n_bars&lt;=12,INT('Rect beam'!n_bars)='Rect beam'!n_bars,INT('Rect beam'!n_2)='Rect beam'!n_2,'Rect beam'!n_2&lt;=12,'Rect beam'!h_sec&gt;2*'Rect beam'!c_nom+2*'Rect beam'!phi_w+'Rect beam'!phi+'Rect beam'!phi_2,'Rect beam'!b_w&gt;2*'Rect beam'!c_nom+2*'Rect beam'!phi_w+MAX('Rect beam'!phi,'Rect beam'!phi_2))),FALSE)</definedName>
    <definedName name="input_status" localSheetId="3">'Rect beam'!$G$38</definedName>
    <definedName name="loc_i" localSheetId="3">MATCH('Rect beam'!loc,{"Simply supported span","End span","Interior span","Cantilever","Support"},0)</definedName>
    <definedName name="hog" localSheetId="3">OR('Rect beam'!loc="Cantilever",'Rect beam'!loc="Support")</definedName>
    <definedName name="span" localSheetId="3">'Rect beam'!loc&lt;&gt;"Support"</definedName>
    <definedName name="usage_i" localSheetId="3">MATCH('Rect beam'!usage,{"A  domestic or residential","B  office","C  congregation  (crowds)","D  shopping","E  storage","F  traffic  (vehicles ≤ 30 kN)","G  traffic  (30 – 160 kN)","H  roof","Other  (enter ψ2)"},0)</definedName>
    <definedName name="wk_i" localSheetId="3">MATCH('Rect beam'!wk_cr,{0.4,0.3,0.2},0)</definedName>
    <definedName name="cr_s" localSheetId="3">{160,200,240,280,320,360,400,450}</definedName>
    <definedName name="cr_phi" localSheetId="3">CHOOSE('Rect beam'!wk_i,{40,32,20,16,12,10,8,6},{32,25,16,12,10,8,6,5},{25,16,12,8,6,5,4,0})</definedName>
    <definedName name="cr_sp" localSheetId="3">CHOOSE('Rect beam'!wk_i,{300,300,250,200,150,100,0,0},{300,250,200,150,100,50,0,0},{200,150,100,50,0,0,0,0})</definedName>
    <definedName name="bend_ok" localSheetId="3">IFERROR(IF('Rect beam'!comp_bad,FALSE,AND('Rect beam'!A_s1prov&gt;=MAX('Rect beam'!A_s1req,'Rect beam'!A_smin),'Rect beam'!A_s2prov&gt;='Rect beam'!A_s2req,'Rect beam'!A_s1prov&lt;='Rect beam'!A_smax,'Rect beam'!A_s2prov&lt;='Rect beam'!A_smax,OR('Rect beam'!delta_r=1,'Rect beam'!T_prov&lt;='Rect beam'!C_cap))),FALSE)</definedName>
    <definedName name="det_ok" localSheetId="3">IFERROR(AND('Rect beam'!gap_1&gt;='Rect beam'!gap_min,OR('Rect beam'!n_2&lt;2,'Rect beam'!gap_2&gt;='Rect beam'!gap_min2),OR('Rect beam'!n_2=0,'Rect beam'!gap_v&gt;='Rect beam'!gap_minv)),FALSE)</definedName>
    <definedName name="s_cr" localSheetId="3">('Rect beam'!b_w-2*'Rect beam'!c_nom-2*'Rect beam'!phi_w-'Rect beam'!phi)/('Rect beam'!n_bars-1)</definedName>
    <definedName name="defl_ok" localSheetId="3">IFERROR(IF('Rect beam'!span,'Rect beam'!ld_act&lt;='Rect beam'!ld_lim,TRUE),FALSE)</definedName>
    <definedName name="size_ok" localSheetId="3">IFERROR(AND('Rect beam'!phis_cr&gt;0,'Rect beam'!phi&lt;='Rect beam'!phis_cr),FALSE)</definedName>
    <definedName name="spac_ok" localSheetId="3">IFERROR(AND('Rect beam'!smax_cr&gt;0,'Rect beam'!s_cr&lt;='Rect beam'!smax_cr),FALSE)</definedName>
    <definedName name="cr_exempt" localSheetId="3">FALSE</definedName>
    <definedName name="bend_status" localSheetId="3">'Rect beam'!$G$41</definedName>
    <definedName name="comp_status" localSheetId="3">'Rect beam'!$G$42</definedName>
    <definedName name="defl_status" localSheetId="3">'Rect beam'!$G$43</definedName>
    <definedName name="crack_status" localSheetId="3">'Rect beam'!$G$44</definedName>
    <definedName name="det_status" localSheetId="3">'Rect beam'!$G$45</definedName>
    <definedName name="gamma_c" localSheetId="3">'Rect beam'!$E$70</definedName>
    <definedName name="gamma_s" localSheetId="3">'Rect beam'!$E$71</definedName>
    <definedName name="alpha_cc" localSheetId="3">'Rect beam'!$E$72</definedName>
    <definedName name="k1_red" localSheetId="3">'Rect beam'!$E$73</definedName>
    <definedName name="k2_red" localSheetId="3">'Rect beam'!$E$74</definedName>
    <definedName name="ld_mod_max" localSheetId="3">'Rect beam'!$E$75</definedName>
    <definedName name="ld_cap_40K" localSheetId="3">'Rect beam'!$E$76</definedName>
    <definedName name="f_ck" localSheetId="3">'Rect beam'!$E$77</definedName>
    <definedName name="f_ctm" localSheetId="3">'Rect beam'!$E$78</definedName>
    <definedName name="f_cd" localSheetId="3">'Rect beam'!$E$79</definedName>
    <definedName name="f_yd" localSheetId="3">'Rect beam'!$E$80</definedName>
    <definedName name="d_eff" localSheetId="3">'Rect beam'!$E$81</definedName>
    <definedName name="d_2" localSheetId="3">'Rect beam'!$E$82</definedName>
    <definedName name="b_web" localSheetId="3">'Rect beam'!b_w</definedName>
    <definedName name="b_top" localSheetId="3">'Rect beam'!b_w</definedName>
    <definedName name="hf_c" localSheetId="3">'Rect beam'!h_sec</definedName>
    <definedName name="xi_y" localSheetId="3">'Rect beam'!$E$85</definedName>
    <definedName name="xi_lim" localSheetId="3">'Rect beam'!$E$86</definedName>
    <definedName name="K_lim" localSheetId="3">'Rect beam'!$E$87</definedName>
    <definedName name="x_lim" localSheetId="3">'Rect beam'!$E$88</definedName>
    <definedName name="in_flange" localSheetId="3">TRUE</definedName>
    <definedName name="F_out" localSheetId="3">0</definedName>
    <definedName name="C_lim" localSheetId="3">'Rect beam'!$E$89</definedName>
    <definedName name="M_lim" localSheetId="3">'Rect beam'!$E$90</definedName>
    <definedName name="dbl" localSheetId="3">'Rect beam'!M_Ed&gt;'Rect beam'!M_lim</definedName>
    <definedName name="K_m" localSheetId="3">'Rect beam'!$E$91</definedName>
    <definedName name="xi" localSheetId="3">'Rect beam'!$E$92</definedName>
    <definedName name="x_na" localSheetId="3">'Rect beam'!$E$93</definedName>
    <definedName name="z_b" localSheetId="3">'Rect beam'!$E$94</definedName>
    <definedName name="f_sc" localSheetId="3">'Rect beam'!$E$95</definedName>
    <definedName name="fsc_net" localSheetId="3">'Rect beam'!$E$96</definedName>
    <definedName name="comp_bad" localSheetId="3">AND('Rect beam'!dbl,'Rect beam'!fsc_net&lt;=0)</definedName>
    <definedName name="A_s2req" localSheetId="3">'Rect beam'!$E$97</definedName>
    <definedName name="A_s1req" localSheetId="3">'Rect beam'!$E$98</definedName>
    <definedName name="A_c" localSheetId="3">'Rect beam'!$E$99</definedName>
    <definedName name="b_t" localSheetId="3">'Rect beam'!b_web</definedName>
    <definedName name="A_smin" localSheetId="3">'Rect beam'!$E$100</definedName>
    <definedName name="A_smax" localSheetId="3">'Rect beam'!$E$101</definedName>
    <definedName name="A_s1prov" localSheetId="3">'Rect beam'!$E$102</definedName>
    <definedName name="A_s2prov" localSheetId="3">'Rect beam'!$E$103</definedName>
    <definedName name="T_prov" localSheetId="3">'Rect beam'!$E$104</definedName>
    <definedName name="C_cap" localSheetId="3">'Rect beam'!$E$105</definedName>
    <definedName name="chk_bend" localSheetId="3">'Rect beam'!$G$106</definedName>
    <definedName name="gap_min" localSheetId="3">'Rect beam'!$E$109</definedName>
    <definedName name="gap_min2" localSheetId="3">'Rect beam'!$E$110</definedName>
    <definedName name="gap_1" localSheetId="3">'Rect beam'!$E$111</definedName>
    <definedName name="gap_2" localSheetId="3">'Rect beam'!$E$112</definedName>
    <definedName name="gap_v" localSheetId="3">'Rect beam'!$E$113</definedName>
    <definedName name="gap_minv" localSheetId="3">'Rect beam'!$E$114</definedName>
    <definedName name="chk_det" localSheetId="3">'Rect beam'!$G$115</definedName>
    <definedName name="psi_2c" localSheetId="3">'Rect beam'!$E$118</definedName>
    <definedName name="qp" localSheetId="3">'Rect beam'!$E$119</definedName>
    <definedName name="As_d" localSheetId="3">'Rect beam'!$E$120</definedName>
    <definedName name="sig_cr" localSheetId="3">'Rect beam'!$E$121</definedName>
    <definedName name="K_d" localSheetId="3">'Rect beam'!$E$122</definedName>
    <definedName name="rho_0" localSheetId="3">'Rect beam'!$E$123</definedName>
    <definedName name="A_rho" localSheetId="3">'Rect beam'!b_web*'Rect beam'!d_eff</definedName>
    <definedName name="rho_t" localSheetId="3">'Rect beam'!$E$124</definedName>
    <definedName name="rho_c" localSheetId="3">'Rect beam'!$E$125</definedName>
    <definedName name="ld_basic" localSheetId="3">'Rect beam'!$E$126</definedName>
    <definedName name="F_1" localSheetId="3">1</definedName>
    <definedName name="F_2" localSheetId="3">'Rect beam'!$E$127</definedName>
    <definedName name="F_3" localSheetId="3">'Rect beam'!$E$128</definedName>
    <definedName name="ld_lim" localSheetId="3">'Rect beam'!$E$129</definedName>
    <definedName name="ld_act" localSheetId="3">'Rect beam'!$E$130</definedName>
    <definedName name="chk_defl" localSheetId="3">'Rect beam'!$G$131</definedName>
    <definedName name="fct_eff" localSheetId="3">'Rect beam'!$E$134</definedName>
    <definedName name="h_cr" localSheetId="3">'Rect beam'!$E$135</definedName>
    <definedName name="cr_adj" localSheetId="3">'Rect beam'!$E$136</definedName>
    <definedName name="phit_cr" localSheetId="3">'Rect beam'!$E$137</definedName>
    <definedName name="phis_cr" localSheetId="3">'Rect beam'!$E$138</definedName>
    <definedName name="smax_cr" localSheetId="3">'Rect beam'!$E$139</definedName>
    <definedName name="chk_size" localSheetId="3">'Rect beam'!$G$141</definedName>
    <definedName name="chk_spac" localSheetId="3">'Rect beam'!$G$142</definedName>
    <definedName name="skin_status" localSheetId="3">'Rect beam'!$G$143</definedName>
    <definedName name="ndp_gamma_c" localSheetId="3">INDEX('NDP'!$D$6:$E$6,'Rect beam'!na_idx)</definedName>
    <definedName name="ndp_gamma_s" localSheetId="3">INDEX('NDP'!$D$7:$E$7,'Rect beam'!na_idx)</definedName>
    <definedName name="ndp_alpha_cc" localSheetId="3">INDEX('NDP'!$D$8:$E$8,'Rect beam'!na_idx)</definedName>
    <definedName name="ndp_alpha_cc_pl" localSheetId="3">INDEX('NDP'!$D$9:$E$9,'Rect beam'!na_idx)</definedName>
    <definedName name="ndp_alpha_cc_shear" localSheetId="3">INDEX('NDP'!$D$10:$E$10,'Rect beam'!na_idx)</definedName>
    <definedName name="ndp_alpha_ct" localSheetId="3">INDEX('NDP'!$D$11:$E$11,'Rect beam'!na_idx)</definedName>
    <definedName name="ndp_C_Rdc" localSheetId="3">INDEX('NDP'!$D$12:$E$12,'Rect beam'!na_idx)</definedName>
    <definedName name="ndp_k1_p" localSheetId="3">INDEX('NDP'!$D$13:$E$13,'Rect beam'!na_idx)</definedName>
    <definedName name="ndp_vmax" localSheetId="3">INDEX('NDP'!$D$14:$E$14,'Rect beam'!na_idx)</definedName>
    <definedName name="ndp_kmax" localSheetId="3">INDEX('NDP'!$D$15:$E$15,'Rect beam'!na_idx)</definedName>
    <definedName name="ndp_phi_large" localSheetId="3">INDEX('NDP'!$D$16:$E$16,'Rect beam'!na_idx)</definedName>
    <definedName name="ndp_cot_max" localSheetId="3">INDEX('NDP'!$D$17:$E$17,'Rect beam'!na_idx)</definedName>
    <definedName name="ndp_k1_red" localSheetId="3">INDEX('NDP'!$D$18:$E$18,'Rect beam'!na_idx)</definedName>
    <definedName name="ndp_k2_red" localSheetId="3">INDEX('NDP'!$D$19:$E$19,'Rect beam'!na_idx)</definedName>
    <definedName name="ndp_ld_mod_max" localSheetId="3">INDEX('NDP'!$D$20:$E$20,'Rect beam'!na_idx)</definedName>
    <definedName name="ndp_ld_cap_40K" localSheetId="3">INDEX('NDP'!$D$21:$E$21,'Rect beam'!na_idx)</definedName>
    <definedName name="ndp_phi_min_col" localSheetId="3">INDEX('NDP'!$D$22:$E$22,'Rect beam'!na_idx)</definedName>
    <definedName name="ndp_k3" localSheetId="3">INDEX('NDP'!$D$23:$E$23,'Rect beam'!na_idx)</definedName>
    <definedName name="ndp_k4" localSheetId="3">INDEX('NDP'!$D$24:$E$24,'Rect beam'!na_idx)</definedName>
    <definedName name="ndp_k1_sl" localSheetId="3">INDEX('NDP'!$D$25:$E$25,'Rect beam'!na_idx)</definedName>
    <definedName name="ndp_k2_sl" localSheetId="3">INDEX('NDP'!$D$26:$E$26,'Rect beam'!na_idx)</definedName>
    <definedName name="ndp_k3_sl" localSheetId="3">INDEX('NDP'!$D$27:$E$27,'Rect beam'!na_idx)</definedName>
    <definedName name="ndp_k4_sl" localSheetId="3">INDEX('NDP'!$D$28:$E$28,'Rect beam'!na_idx)</definedName>
    <definedName name="na_idx" localSheetId="3">IF('Rect beam'!NA_sel="PL NA (PN-EN)",2,IF('Rect beam'!NA_sel="UK NA (BS EN)",1,NA()))</definedName>
    <definedName name="_xlnm.Print_Area" localSheetId="3">'Rect beam'!$A$1:$H$147</definedName>
    <definedName name="NA_sel" localSheetId="4">'Rect beam'!$E$11</definedName>
    <definedName name="conc_class" localSheetId="4">'Rect beam'!$E$12</definedName>
    <definedName name="f_yk" localSheetId="4">'Rect beam'!$E$13</definedName>
    <definedName name="duct" localSheetId="4">'Rect beam'!$E$14</definedName>
    <definedName name="d_g" localSheetId="4">'Rect beam'!$E$15</definedName>
    <definedName name="loc" localSheetId="4">'Rect beam'!$E$16</definedName>
    <definedName name="b_w" localSheetId="4">'Rect beam'!$E$17</definedName>
    <definedName name="h_sec" localSheetId="4">'Rect beam'!$E$18</definedName>
    <definedName name="c_nom" localSheetId="4">'Rect beam'!$E$19</definedName>
    <definedName name="phi_w" localSheetId="4">'Rect beam'!$E$20</definedName>
    <definedName name="n_bars" localSheetId="4">'Rect beam'!$E$21</definedName>
    <definedName name="phi" localSheetId="4">'Rect beam'!$E$22</definedName>
    <definedName name="n_2" localSheetId="4">'Rect beam'!$E$23</definedName>
    <definedName name="phi_2" localSheetId="4">'Rect beam'!$E$24</definedName>
    <definedName name="M_Ed" localSheetId="4">'Rect beam'!$E$27</definedName>
    <definedName name="delta_r" localSheetId="4">'Rect beam'!$E$28</definedName>
    <definedName name="L_span" localSheetId="4">'Rect beam'!$E$29</definedName>
    <definedName name="g_k" localSheetId="4">'Rect beam'!$E$30</definedName>
    <definedName name="q_k" localSheetId="4">'Rect beam'!$E$31</definedName>
    <definedName name="gamma_G" localSheetId="4">'Rect beam'!$E$32</definedName>
    <definedName name="gamma_Q" localSheetId="4">'Rect beam'!$E$33</definedName>
    <definedName name="usage" localSheetId="4">'Rect beam'!$E$34</definedName>
    <definedName name="psi2_in" localSheetId="4">'Rect beam'!$E$35</definedName>
    <definedName name="partitions" localSheetId="4">'Rect beam'!$E$36</definedName>
    <definedName name="wk_cr" localSheetId="4">'Rect beam'!$E$37</definedName>
    <definedName name="inputs_ok" localSheetId="4">IFERROR(AND(OR('Geo Rect beam'!NA_sel="UK NA (BS EN)",'Geo Rect beam'!NA_sel="PL NA (PN-EN)"),OR('Geo Rect beam'!conc_class="C20/25",'Geo Rect beam'!conc_class="C25/30",'Geo Rect beam'!conc_class="C28/35",'Geo Rect beam'!conc_class="C30/37",'Geo Rect beam'!conc_class="C32/40",'Geo Rect beam'!conc_class="C35/45",'Geo Rect beam'!conc_class="C40/50",'Geo Rect beam'!conc_class="C45/55",'Geo Rect beam'!conc_class="C50/60"),ISNUMBER('Geo Rect beam'!f_yk),'Geo Rect beam'!f_yk&gt;0,OR('Geo Rect beam'!duct="A",'Geo Rect beam'!duct="B",'Geo Rect beam'!duct="C"),ISNUMBER('Geo Rect beam'!d_g),'Geo Rect beam'!d_g&gt;0,OR('Geo Rect beam'!loc="Simply supported span",'Geo Rect beam'!loc="End span",'Geo Rect beam'!loc="Interior span",'Geo Rect beam'!loc="Cantilever",'Geo Rect beam'!loc="Support"),ISNUMBER('Geo Rect beam'!b_w),'Geo Rect beam'!b_w&gt;0,ISNUMBER('Geo Rect beam'!h_sec),'Geo Rect beam'!h_sec&gt;0,ISNUMBER('Geo Rect beam'!c_nom),'Geo Rect beam'!c_nom&gt;0,OR(AND(ISNUMBER('Geo Rect beam'!phi_w),'Geo Rect beam'!phi_w=6),AND(ISNUMBER('Geo Rect beam'!phi_w),'Geo Rect beam'!phi_w=8),AND(ISNUMBER('Geo Rect beam'!phi_w),'Geo Rect beam'!phi_w=10),AND(ISNUMBER('Geo Rect beam'!phi_w),'Geo Rect beam'!phi_w=12),AND(ISNUMBER('Geo Rect beam'!phi_w),'Geo Rect beam'!phi_w=16)),ISNUMBER('Geo Rect beam'!n_bars),'Geo Rect beam'!n_bars&gt;0,OR(AND(ISNUMBER('Geo Rect beam'!phi),'Geo Rect beam'!phi=8),AND(ISNUMBER('Geo Rect beam'!phi),'Geo Rect beam'!phi=10),AND(ISNUMBER('Geo Rect beam'!phi),'Geo Rect beam'!phi=12),AND(ISNUMBER('Geo Rect beam'!phi),'Geo Rect beam'!phi=16),AND(ISNUMBER('Geo Rect beam'!phi),'Geo Rect beam'!phi=20),AND(ISNUMBER('Geo Rect beam'!phi),'Geo Rect beam'!phi=25),AND(ISNUMBER('Geo Rect beam'!phi),'Geo Rect beam'!phi=32),AND(ISNUMBER('Geo Rect beam'!phi),'Geo Rect beam'!phi=40)),ISNUMBER('Geo Rect beam'!n_2),'Geo Rect beam'!n_2&gt;=0,OR(AND(ISNUMBER('Geo Rect beam'!phi_2),'Geo Rect beam'!phi_2=8),AND(ISNUMBER('Geo Rect beam'!phi_2),'Geo Rect beam'!phi_2=10),AND(ISNUMBER('Geo Rect beam'!phi_2),'Geo Rect beam'!phi_2=12),AND(ISNUMBER('Geo Rect beam'!phi_2),'Geo Rect beam'!phi_2=16),AND(ISNUMBER('Geo Rect beam'!phi_2),'Geo Rect beam'!phi_2=20),AND(ISNUMBER('Geo Rect beam'!phi_2),'Geo Rect beam'!phi_2=25),AND(ISNUMBER('Geo Rect beam'!phi_2),'Geo Rect beam'!phi_2=32),AND(ISNUMBER('Geo Rect beam'!phi_2),'Geo Rect beam'!phi_2=40)),ISNUMBER('Geo Rect beam'!M_Ed),'Geo Rect beam'!M_Ed&gt;=0,ISNUMBER('Geo Rect beam'!delta_r),'Geo Rect beam'!delta_r&gt;0,IF('Geo Rect beam'!loc&lt;&gt;"Support",IF(ISNUMBER('Geo Rect beam'!L_span),'Geo Rect beam'!L_span&gt;0,FALSE),TRUE),ISNUMBER('Geo Rect beam'!g_k),'Geo Rect beam'!g_k&gt;=0,ISNUMBER('Geo Rect beam'!q_k),'Geo Rect beam'!q_k&gt;=0,ISNUMBER('Geo Rect beam'!gamma_G),'Geo Rect beam'!gamma_G&gt;0,ISNUMBER('Geo Rect beam'!gamma_Q),'Geo Rect beam'!gamma_Q&gt;0,OR('Geo Rect beam'!usage="A  domestic or residential",'Geo Rect beam'!usage="B  office",'Geo Rect beam'!usage="C  congregation  (crowds)",'Geo Rect beam'!usage="D  shopping",'Geo Rect beam'!usage="E  storage",'Geo Rect beam'!usage="F  traffic  (vehicles ≤ 30 kN)",'Geo Rect beam'!usage="G  traffic  (30 – 160 kN)",'Geo Rect beam'!usage="H  roof",'Geo Rect beam'!usage="Other  (enter ψ2)"),IF('Geo Rect beam'!usage="Other  (enter ψ2)",IF(ISNUMBER('Geo Rect beam'!psi2_in),'Geo Rect beam'!psi2_in&gt;=0,FALSE),TRUE),OR('Geo Rect beam'!partitions="No",'Geo Rect beam'!partitions="Yes"),OR(AND(ISNUMBER('Geo Rect beam'!wk_cr),'Geo Rect beam'!wk_cr=0.4),AND(ISNUMBER('Geo Rect beam'!wk_cr),'Geo Rect beam'!wk_cr=0.3),AND(ISNUMBER('Geo Rect beam'!wk_cr),'Geo Rect beam'!wk_cr=0.2)),AND('Geo Rect beam'!f_yk&gt;=400,'Geo Rect beam'!f_yk&lt;=500,'Geo Rect beam'!delta_r&lt;=1,'Geo Rect beam'!delta_r&gt;=IF('Geo Rect beam'!duct="A",0.8,0.7),'Geo Rect beam'!g_k+'Geo Rect beam'!q_k&gt;0,IF('Geo Rect beam'!usage="Other  (enter ψ2)",'Geo Rect beam'!psi2_in&lt;=1,TRUE),'Geo Rect beam'!n_bars&gt;=2,'Geo Rect beam'!n_bars&lt;=12,INT('Geo Rect beam'!n_bars)='Geo Rect beam'!n_bars,INT('Geo Rect beam'!n_2)='Geo Rect beam'!n_2,'Geo Rect beam'!n_2&lt;=12,'Geo Rect beam'!h_sec&gt;2*'Geo Rect beam'!c_nom+2*'Geo Rect beam'!phi_w+'Geo Rect beam'!phi+'Geo Rect beam'!phi_2,'Geo Rect beam'!b_w&gt;2*'Geo Rect beam'!c_nom+2*'Geo Rect beam'!phi_w+MAX('Geo Rect beam'!phi,'Geo Rect beam'!phi_2))),FALSE)</definedName>
    <definedName name="input_status" localSheetId="4">'Rect beam'!$G$38</definedName>
    <definedName name="loc_i" localSheetId="4">MATCH('Geo Rect beam'!loc,{"Simply supported span","End span","Interior span","Cantilever","Support"},0)</definedName>
    <definedName name="hog" localSheetId="4">OR('Geo Rect beam'!loc="Cantilever",'Geo Rect beam'!loc="Support")</definedName>
    <definedName name="span" localSheetId="4">'Geo Rect beam'!loc&lt;&gt;"Support"</definedName>
    <definedName name="usage_i" localSheetId="4">MATCH('Geo Rect beam'!usage,{"A  domestic or residential","B  office","C  congregation  (crowds)","D  shopping","E  storage","F  traffic  (vehicles ≤ 30 kN)","G  traffic  (30 – 160 kN)","H  roof","Other  (enter ψ2)"},0)</definedName>
    <definedName name="wk_i" localSheetId="4">MATCH('Geo Rect beam'!wk_cr,{0.4,0.3,0.2},0)</definedName>
    <definedName name="cr_s" localSheetId="4">{160,200,240,280,320,360,400,450}</definedName>
    <definedName name="cr_phi" localSheetId="4">CHOOSE('Geo Rect beam'!wk_i,{40,32,20,16,12,10,8,6},{32,25,16,12,10,8,6,5},{25,16,12,8,6,5,4,0})</definedName>
    <definedName name="cr_sp" localSheetId="4">CHOOSE('Geo Rect beam'!wk_i,{300,300,250,200,150,100,0,0},{300,250,200,150,100,50,0,0},{200,150,100,50,0,0,0,0})</definedName>
    <definedName name="bend_ok" localSheetId="4">IFERROR(IF('Geo Rect beam'!comp_bad,FALSE,AND('Geo Rect beam'!A_s1prov&gt;=MAX('Geo Rect beam'!A_s1req,'Geo Rect beam'!A_smin),'Geo Rect beam'!A_s2prov&gt;='Geo Rect beam'!A_s2req,'Geo Rect beam'!A_s1prov&lt;='Geo Rect beam'!A_smax,'Geo Rect beam'!A_s2prov&lt;='Geo Rect beam'!A_smax,OR('Geo Rect beam'!delta_r=1,'Geo Rect beam'!T_prov&lt;='Geo Rect beam'!C_cap))),FALSE)</definedName>
    <definedName name="det_ok" localSheetId="4">IFERROR(AND('Geo Rect beam'!gap_1&gt;='Geo Rect beam'!gap_min,OR('Geo Rect beam'!n_2&lt;2,'Geo Rect beam'!gap_2&gt;='Geo Rect beam'!gap_min2),OR('Geo Rect beam'!n_2=0,'Geo Rect beam'!gap_v&gt;='Geo Rect beam'!gap_minv)),FALSE)</definedName>
    <definedName name="s_cr" localSheetId="4">('Geo Rect beam'!b_w-2*'Geo Rect beam'!c_nom-2*'Geo Rect beam'!phi_w-'Geo Rect beam'!phi)/('Geo Rect beam'!n_bars-1)</definedName>
    <definedName name="defl_ok" localSheetId="4">IFERROR(IF('Geo Rect beam'!span,'Geo Rect beam'!ld_act&lt;='Geo Rect beam'!ld_lim,TRUE),FALSE)</definedName>
    <definedName name="size_ok" localSheetId="4">IFERROR(AND('Geo Rect beam'!phis_cr&gt;0,'Geo Rect beam'!phi&lt;='Geo Rect beam'!phis_cr),FALSE)</definedName>
    <definedName name="spac_ok" localSheetId="4">IFERROR(AND('Geo Rect beam'!smax_cr&gt;0,'Geo Rect beam'!s_cr&lt;='Geo Rect beam'!smax_cr),FALSE)</definedName>
    <definedName name="cr_exempt" localSheetId="4">FALSE</definedName>
    <definedName name="bend_status" localSheetId="4">'Rect beam'!$G$41</definedName>
    <definedName name="comp_status" localSheetId="4">'Rect beam'!$G$42</definedName>
    <definedName name="defl_status" localSheetId="4">'Rect beam'!$G$43</definedName>
    <definedName name="crack_status" localSheetId="4">'Rect beam'!$G$44</definedName>
    <definedName name="det_status" localSheetId="4">'Rect beam'!$G$45</definedName>
    <definedName name="gamma_c" localSheetId="4">'Rect beam'!$E$70</definedName>
    <definedName name="gamma_s" localSheetId="4">'Rect beam'!$E$71</definedName>
    <definedName name="alpha_cc" localSheetId="4">'Rect beam'!$E$72</definedName>
    <definedName name="k1_red" localSheetId="4">'Rect beam'!$E$73</definedName>
    <definedName name="k2_red" localSheetId="4">'Rect beam'!$E$74</definedName>
    <definedName name="ld_mod_max" localSheetId="4">'Rect beam'!$E$75</definedName>
    <definedName name="ld_cap_40K" localSheetId="4">'Rect beam'!$E$76</definedName>
    <definedName name="f_ck" localSheetId="4">'Rect beam'!$E$77</definedName>
    <definedName name="f_ctm" localSheetId="4">'Rect beam'!$E$78</definedName>
    <definedName name="f_cd" localSheetId="4">'Rect beam'!$E$79</definedName>
    <definedName name="f_yd" localSheetId="4">'Rect beam'!$E$80</definedName>
    <definedName name="d_eff" localSheetId="4">'Rect beam'!$E$81</definedName>
    <definedName name="d_2" localSheetId="4">'Rect beam'!$E$82</definedName>
    <definedName name="b_web" localSheetId="4">'Geo Rect beam'!b_w</definedName>
    <definedName name="b_top" localSheetId="4">'Geo Rect beam'!b_w</definedName>
    <definedName name="hf_c" localSheetId="4">'Geo Rect beam'!h_sec</definedName>
    <definedName name="xi_y" localSheetId="4">'Rect beam'!$E$85</definedName>
    <definedName name="xi_lim" localSheetId="4">'Rect beam'!$E$86</definedName>
    <definedName name="K_lim" localSheetId="4">'Rect beam'!$E$87</definedName>
    <definedName name="x_lim" localSheetId="4">'Rect beam'!$E$88</definedName>
    <definedName name="in_flange" localSheetId="4">TRUE</definedName>
    <definedName name="F_out" localSheetId="4">0</definedName>
    <definedName name="C_lim" localSheetId="4">'Rect beam'!$E$89</definedName>
    <definedName name="M_lim" localSheetId="4">'Rect beam'!$E$90</definedName>
    <definedName name="dbl" localSheetId="4">'Geo Rect beam'!M_Ed&gt;'Geo Rect beam'!M_lim</definedName>
    <definedName name="K_m" localSheetId="4">'Rect beam'!$E$91</definedName>
    <definedName name="xi" localSheetId="4">'Rect beam'!$E$92</definedName>
    <definedName name="x_na" localSheetId="4">'Rect beam'!$E$93</definedName>
    <definedName name="z_b" localSheetId="4">'Rect beam'!$E$94</definedName>
    <definedName name="f_sc" localSheetId="4">'Rect beam'!$E$95</definedName>
    <definedName name="fsc_net" localSheetId="4">'Rect beam'!$E$96</definedName>
    <definedName name="comp_bad" localSheetId="4">AND('Geo Rect beam'!dbl,'Geo Rect beam'!fsc_net&lt;=0)</definedName>
    <definedName name="A_s2req" localSheetId="4">'Rect beam'!$E$97</definedName>
    <definedName name="A_s1req" localSheetId="4">'Rect beam'!$E$98</definedName>
    <definedName name="A_c" localSheetId="4">'Rect beam'!$E$99</definedName>
    <definedName name="b_t" localSheetId="4">'Geo Rect beam'!b_web</definedName>
    <definedName name="A_smin" localSheetId="4">'Rect beam'!$E$100</definedName>
    <definedName name="A_smax" localSheetId="4">'Rect beam'!$E$101</definedName>
    <definedName name="A_s1prov" localSheetId="4">'Rect beam'!$E$102</definedName>
    <definedName name="A_s2prov" localSheetId="4">'Rect beam'!$E$103</definedName>
    <definedName name="T_prov" localSheetId="4">'Rect beam'!$E$104</definedName>
    <definedName name="C_cap" localSheetId="4">'Rect beam'!$E$105</definedName>
    <definedName name="chk_bend" localSheetId="4">'Rect beam'!$G$106</definedName>
    <definedName name="gap_min" localSheetId="4">'Rect beam'!$E$109</definedName>
    <definedName name="gap_min2" localSheetId="4">'Rect beam'!$E$110</definedName>
    <definedName name="gap_1" localSheetId="4">'Rect beam'!$E$111</definedName>
    <definedName name="gap_2" localSheetId="4">'Rect beam'!$E$112</definedName>
    <definedName name="gap_v" localSheetId="4">'Rect beam'!$E$113</definedName>
    <definedName name="gap_minv" localSheetId="4">'Rect beam'!$E$114</definedName>
    <definedName name="chk_det" localSheetId="4">'Rect beam'!$G$115</definedName>
    <definedName name="psi_2c" localSheetId="4">'Rect beam'!$E$118</definedName>
    <definedName name="qp" localSheetId="4">'Rect beam'!$E$119</definedName>
    <definedName name="As_d" localSheetId="4">'Rect beam'!$E$120</definedName>
    <definedName name="sig_cr" localSheetId="4">'Rect beam'!$E$121</definedName>
    <definedName name="K_d" localSheetId="4">'Rect beam'!$E$122</definedName>
    <definedName name="rho_0" localSheetId="4">'Rect beam'!$E$123</definedName>
    <definedName name="A_rho" localSheetId="4">'Geo Rect beam'!b_web*'Geo Rect beam'!d_eff</definedName>
    <definedName name="rho_t" localSheetId="4">'Rect beam'!$E$124</definedName>
    <definedName name="rho_c" localSheetId="4">'Rect beam'!$E$125</definedName>
    <definedName name="ld_basic" localSheetId="4">'Rect beam'!$E$126</definedName>
    <definedName name="F_1" localSheetId="4">1</definedName>
    <definedName name="F_2" localSheetId="4">'Rect beam'!$E$127</definedName>
    <definedName name="F_3" localSheetId="4">'Rect beam'!$E$128</definedName>
    <definedName name="ld_lim" localSheetId="4">'Rect beam'!$E$129</definedName>
    <definedName name="ld_act" localSheetId="4">'Rect beam'!$E$130</definedName>
    <definedName name="chk_defl" localSheetId="4">'Rect beam'!$G$131</definedName>
    <definedName name="fct_eff" localSheetId="4">'Rect beam'!$E$134</definedName>
    <definedName name="h_cr" localSheetId="4">'Rect beam'!$E$135</definedName>
    <definedName name="cr_adj" localSheetId="4">'Rect beam'!$E$136</definedName>
    <definedName name="phit_cr" localSheetId="4">'Rect beam'!$E$137</definedName>
    <definedName name="phis_cr" localSheetId="4">'Rect beam'!$E$138</definedName>
    <definedName name="smax_cr" localSheetId="4">'Rect beam'!$E$139</definedName>
    <definedName name="chk_size" localSheetId="4">'Rect beam'!$G$141</definedName>
    <definedName name="chk_spac" localSheetId="4">'Rect beam'!$G$142</definedName>
    <definedName name="skin_status" localSheetId="4">'Rect beam'!$G$143</definedName>
    <definedName name="ndp_gamma_c" localSheetId="4">INDEX('NDP'!$D$6:$E$6,'Geo Rect beam'!na_idx)</definedName>
    <definedName name="ndp_gamma_s" localSheetId="4">INDEX('NDP'!$D$7:$E$7,'Geo Rect beam'!na_idx)</definedName>
    <definedName name="ndp_alpha_cc" localSheetId="4">INDEX('NDP'!$D$8:$E$8,'Geo Rect beam'!na_idx)</definedName>
    <definedName name="ndp_alpha_cc_pl" localSheetId="4">INDEX('NDP'!$D$9:$E$9,'Geo Rect beam'!na_idx)</definedName>
    <definedName name="ndp_alpha_cc_shear" localSheetId="4">INDEX('NDP'!$D$10:$E$10,'Geo Rect beam'!na_idx)</definedName>
    <definedName name="ndp_alpha_ct" localSheetId="4">INDEX('NDP'!$D$11:$E$11,'Geo Rect beam'!na_idx)</definedName>
    <definedName name="ndp_C_Rdc" localSheetId="4">INDEX('NDP'!$D$12:$E$12,'Geo Rect beam'!na_idx)</definedName>
    <definedName name="ndp_k1_p" localSheetId="4">INDEX('NDP'!$D$13:$E$13,'Geo Rect beam'!na_idx)</definedName>
    <definedName name="ndp_vmax" localSheetId="4">INDEX('NDP'!$D$14:$E$14,'Geo Rect beam'!na_idx)</definedName>
    <definedName name="ndp_kmax" localSheetId="4">INDEX('NDP'!$D$15:$E$15,'Geo Rect beam'!na_idx)</definedName>
    <definedName name="ndp_phi_large" localSheetId="4">INDEX('NDP'!$D$16:$E$16,'Geo Rect beam'!na_idx)</definedName>
    <definedName name="ndp_cot_max" localSheetId="4">INDEX('NDP'!$D$17:$E$17,'Geo Rect beam'!na_idx)</definedName>
    <definedName name="ndp_k1_red" localSheetId="4">INDEX('NDP'!$D$18:$E$18,'Geo Rect beam'!na_idx)</definedName>
    <definedName name="ndp_k2_red" localSheetId="4">INDEX('NDP'!$D$19:$E$19,'Geo Rect beam'!na_idx)</definedName>
    <definedName name="ndp_ld_mod_max" localSheetId="4">INDEX('NDP'!$D$20:$E$20,'Geo Rect beam'!na_idx)</definedName>
    <definedName name="ndp_ld_cap_40K" localSheetId="4">INDEX('NDP'!$D$21:$E$21,'Geo Rect beam'!na_idx)</definedName>
    <definedName name="ndp_phi_min_col" localSheetId="4">INDEX('NDP'!$D$22:$E$22,'Geo Rect beam'!na_idx)</definedName>
    <definedName name="ndp_k3" localSheetId="4">INDEX('NDP'!$D$23:$E$23,'Geo Rect beam'!na_idx)</definedName>
    <definedName name="ndp_k4" localSheetId="4">INDEX('NDP'!$D$24:$E$24,'Geo Rect beam'!na_idx)</definedName>
    <definedName name="ndp_k1_sl" localSheetId="4">INDEX('NDP'!$D$25:$E$25,'Geo Rect beam'!na_idx)</definedName>
    <definedName name="ndp_k2_sl" localSheetId="4">INDEX('NDP'!$D$26:$E$26,'Geo Rect beam'!na_idx)</definedName>
    <definedName name="ndp_k3_sl" localSheetId="4">INDEX('NDP'!$D$27:$E$27,'Geo Rect beam'!na_idx)</definedName>
    <definedName name="ndp_k4_sl" localSheetId="4">INDEX('NDP'!$D$28:$E$28,'Geo Rect beam'!na_idx)</definedName>
    <definedName name="na_idx" localSheetId="4">IF('Geo Rect beam'!NA_sel="PL NA (PN-EN)",2,IF('Geo Rect beam'!NA_sel="UK NA (BS EN)",1,NA()))</definedName>
    <definedName name="NA_sel" localSheetId="5">'Tee beam'!$E$11</definedName>
    <definedName name="conc_class" localSheetId="5">'Tee beam'!$E$12</definedName>
    <definedName name="f_yk" localSheetId="5">'Tee beam'!$E$13</definedName>
    <definedName name="duct" localSheetId="5">'Tee beam'!$E$14</definedName>
    <definedName name="d_g" localSheetId="5">'Tee beam'!$E$15</definedName>
    <definedName name="loc" localSheetId="5">'Tee beam'!$E$16</definedName>
    <definedName name="t_type" localSheetId="5">'Tee beam'!$E$17</definedName>
    <definedName name="b_w" localSheetId="5">'Tee beam'!$E$18</definedName>
    <definedName name="h_sec" localSheetId="5">'Tee beam'!$E$19</definedName>
    <definedName name="h_f" localSheetId="5">'Tee beam'!$E$20</definedName>
    <definedName name="b_1" localSheetId="5">'Tee beam'!$E$21</definedName>
    <definedName name="b_2" localSheetId="5">'Tee beam'!$E$22</definedName>
    <definedName name="l_0" localSheetId="5">'Tee beam'!$E$23</definedName>
    <definedName name="c_nom" localSheetId="5">'Tee beam'!$E$24</definedName>
    <definedName name="phi_w" localSheetId="5">'Tee beam'!$E$25</definedName>
    <definedName name="n_bars" localSheetId="5">'Tee beam'!$E$26</definedName>
    <definedName name="phi" localSheetId="5">'Tee beam'!$E$27</definedName>
    <definedName name="n_2" localSheetId="5">'Tee beam'!$E$28</definedName>
    <definedName name="phi_2" localSheetId="5">'Tee beam'!$E$29</definedName>
    <definedName name="M_Ed" localSheetId="5">'Tee beam'!$E$32</definedName>
    <definedName name="delta_r" localSheetId="5">'Tee beam'!$E$33</definedName>
    <definedName name="L_span" localSheetId="5">'Tee beam'!$E$34</definedName>
    <definedName name="g_k" localSheetId="5">'Tee beam'!$E$35</definedName>
    <definedName name="q_k" localSheetId="5">'Tee beam'!$E$36</definedName>
    <definedName name="gamma_G" localSheetId="5">'Tee beam'!$E$37</definedName>
    <definedName name="gamma_Q" localSheetId="5">'Tee beam'!$E$38</definedName>
    <definedName name="usage" localSheetId="5">'Tee beam'!$E$39</definedName>
    <definedName name="psi2_in" localSheetId="5">'Tee beam'!$E$40</definedName>
    <definedName name="partitions" localSheetId="5">'Tee beam'!$E$41</definedName>
    <definedName name="wk_cr" localSheetId="5">'Tee beam'!$E$42</definedName>
    <definedName name="inputs_ok" localSheetId="5">IFERROR(AND(OR('Tee beam'!NA_sel="UK NA (BS EN)",'Tee beam'!NA_sel="PL NA (PN-EN)"),OR('Tee beam'!conc_class="C20/25",'Tee beam'!conc_class="C25/30",'Tee beam'!conc_class="C28/35",'Tee beam'!conc_class="C30/37",'Tee beam'!conc_class="C32/40",'Tee beam'!conc_class="C35/45",'Tee beam'!conc_class="C40/50",'Tee beam'!conc_class="C45/55",'Tee beam'!conc_class="C50/60"),ISNUMBER('Tee beam'!f_yk),'Tee beam'!f_yk&gt;0,OR('Tee beam'!duct="A",'Tee beam'!duct="B",'Tee beam'!duct="C"),ISNUMBER('Tee beam'!d_g),'Tee beam'!d_g&gt;0,OR('Tee beam'!loc="Simply supported span",'Tee beam'!loc="End span",'Tee beam'!loc="Interior span",'Tee beam'!loc="Cantilever",'Tee beam'!loc="Support"),OR('Tee beam'!t_type="T-beam  (flange both sides)",'Tee beam'!t_type="L-beam  (flange one side)"),ISNUMBER('Tee beam'!b_w),'Tee beam'!b_w&gt;0,ISNUMBER('Tee beam'!h_sec),'Tee beam'!h_sec&gt;0,ISNUMBER('Tee beam'!h_f),'Tee beam'!h_f&gt;0,ISNUMBER('Tee beam'!b_1),'Tee beam'!b_1&gt;=0,IF('Tee beam'!t_type="T-beam  (flange both sides)",IF(ISNUMBER('Tee beam'!b_2),'Tee beam'!b_2&gt;=0,FALSE),TRUE),ISNUMBER('Tee beam'!l_0),'Tee beam'!l_0&gt;0,ISNUMBER('Tee beam'!c_nom),'Tee beam'!c_nom&gt;0,OR(AND(ISNUMBER('Tee beam'!phi_w),'Tee beam'!phi_w=6),AND(ISNUMBER('Tee beam'!phi_w),'Tee beam'!phi_w=8),AND(ISNUMBER('Tee beam'!phi_w),'Tee beam'!phi_w=10),AND(ISNUMBER('Tee beam'!phi_w),'Tee beam'!phi_w=12),AND(ISNUMBER('Tee beam'!phi_w),'Tee beam'!phi_w=16)),ISNUMBER('Tee beam'!n_bars),'Tee beam'!n_bars&gt;0,OR(AND(ISNUMBER('Tee beam'!phi),'Tee beam'!phi=8),AND(ISNUMBER('Tee beam'!phi),'Tee beam'!phi=10),AND(ISNUMBER('Tee beam'!phi),'Tee beam'!phi=12),AND(ISNUMBER('Tee beam'!phi),'Tee beam'!phi=16),AND(ISNUMBER('Tee beam'!phi),'Tee beam'!phi=20),AND(ISNUMBER('Tee beam'!phi),'Tee beam'!phi=25),AND(ISNUMBER('Tee beam'!phi),'Tee beam'!phi=32),AND(ISNUMBER('Tee beam'!phi),'Tee beam'!phi=40)),ISNUMBER('Tee beam'!n_2),'Tee beam'!n_2&gt;=0,OR(AND(ISNUMBER('Tee beam'!phi_2),'Tee beam'!phi_2=8),AND(ISNUMBER('Tee beam'!phi_2),'Tee beam'!phi_2=10),AND(ISNUMBER('Tee beam'!phi_2),'Tee beam'!phi_2=12),AND(ISNUMBER('Tee beam'!phi_2),'Tee beam'!phi_2=16),AND(ISNUMBER('Tee beam'!phi_2),'Tee beam'!phi_2=20),AND(ISNUMBER('Tee beam'!phi_2),'Tee beam'!phi_2=25),AND(ISNUMBER('Tee beam'!phi_2),'Tee beam'!phi_2=32),AND(ISNUMBER('Tee beam'!phi_2),'Tee beam'!phi_2=40)),ISNUMBER('Tee beam'!M_Ed),'Tee beam'!M_Ed&gt;=0,ISNUMBER('Tee beam'!delta_r),'Tee beam'!delta_r&gt;0,IF('Tee beam'!loc&lt;&gt;"Support",IF(ISNUMBER('Tee beam'!L_span),'Tee beam'!L_span&gt;0,FALSE),TRUE),ISNUMBER('Tee beam'!g_k),'Tee beam'!g_k&gt;=0,ISNUMBER('Tee beam'!q_k),'Tee beam'!q_k&gt;=0,ISNUMBER('Tee beam'!gamma_G),'Tee beam'!gamma_G&gt;0,ISNUMBER('Tee beam'!gamma_Q),'Tee beam'!gamma_Q&gt;0,OR('Tee beam'!usage="A  domestic or residential",'Tee beam'!usage="B  office",'Tee beam'!usage="C  congregation  (crowds)",'Tee beam'!usage="D  shopping",'Tee beam'!usage="E  storage",'Tee beam'!usage="F  traffic  (vehicles ≤ 30 kN)",'Tee beam'!usage="G  traffic  (30 – 160 kN)",'Tee beam'!usage="H  roof",'Tee beam'!usage="Other  (enter ψ2)"),IF('Tee beam'!usage="Other  (enter ψ2)",IF(ISNUMBER('Tee beam'!psi2_in),'Tee beam'!psi2_in&gt;=0,FALSE),TRUE),OR('Tee beam'!partitions="No",'Tee beam'!partitions="Yes"),OR(AND(ISNUMBER('Tee beam'!wk_cr),'Tee beam'!wk_cr=0.4),AND(ISNUMBER('Tee beam'!wk_cr),'Tee beam'!wk_cr=0.3),AND(ISNUMBER('Tee beam'!wk_cr),'Tee beam'!wk_cr=0.2)),AND('Tee beam'!f_yk&gt;=400,'Tee beam'!f_yk&lt;=500,'Tee beam'!delta_r&lt;=1,'Tee beam'!delta_r&gt;=IF('Tee beam'!duct="A",0.8,0.7),'Tee beam'!g_k+'Tee beam'!q_k&gt;0,IF('Tee beam'!usage="Other  (enter ψ2)",'Tee beam'!psi2_in&lt;=1,TRUE),'Tee beam'!n_bars&gt;=2,'Tee beam'!n_bars&lt;=12,INT('Tee beam'!n_bars)='Tee beam'!n_bars,INT('Tee beam'!n_2)='Tee beam'!n_2,'Tee beam'!n_2&lt;=12,'Tee beam'!h_sec&gt;2*'Tee beam'!c_nom+2*'Tee beam'!phi_w+'Tee beam'!phi+'Tee beam'!phi_2,'Tee beam'!b_w&gt;2*'Tee beam'!c_nom+2*'Tee beam'!phi_w+MAX('Tee beam'!phi,'Tee beam'!phi_2),'Tee beam'!h_f&lt;'Tee beam'!h_sec-'Tee beam'!c_nom-'Tee beam'!phi_w-'Tee beam'!phi,'Tee beam'!h_f&lt;'Tee beam'!h_sec-'Tee beam'!c_nom-'Tee beam'!phi_w-'Tee beam'!phi_2)),FALSE)</definedName>
    <definedName name="input_status" localSheetId="5">'Tee beam'!$G$43</definedName>
    <definedName name="loc_i" localSheetId="5">MATCH('Tee beam'!loc,{"Simply supported span","End span","Interior span","Cantilever","Support"},0)</definedName>
    <definedName name="hog" localSheetId="5">OR('Tee beam'!loc="Cantilever",'Tee beam'!loc="Support")</definedName>
    <definedName name="span" localSheetId="5">'Tee beam'!loc&lt;&gt;"Support"</definedName>
    <definedName name="usage_i" localSheetId="5">MATCH('Tee beam'!usage,{"A  domestic or residential","B  office","C  congregation  (crowds)","D  shopping","E  storage","F  traffic  (vehicles ≤ 30 kN)","G  traffic  (30 – 160 kN)","H  roof","Other  (enter ψ2)"},0)</definedName>
    <definedName name="wk_i" localSheetId="5">MATCH('Tee beam'!wk_cr,{0.4,0.3,0.2},0)</definedName>
    <definedName name="cr_s" localSheetId="5">{160,200,240,280,320,360,400,450}</definedName>
    <definedName name="cr_phi" localSheetId="5">CHOOSE('Tee beam'!wk_i,{40,32,20,16,12,10,8,6},{32,25,16,12,10,8,6,5},{25,16,12,8,6,5,4,0})</definedName>
    <definedName name="cr_sp" localSheetId="5">CHOOSE('Tee beam'!wk_i,{300,300,250,200,150,100,0,0},{300,250,200,150,100,50,0,0},{200,150,100,50,0,0,0,0})</definedName>
    <definedName name="t_T" localSheetId="5">'Tee beam'!t_type="T-beam  (flange both sides)"</definedName>
    <definedName name="tl_L" localSheetId="5">IF('Tee beam'!t_T,'Tee beam'!beff1_ed,0)</definedName>
    <definedName name="tl_R" localSheetId="5">IF('Tee beam'!t_T,'Tee beam'!beff2_ed,'Tee beam'!beff1_ed)</definedName>
    <definedName name="bend_ok" localSheetId="5">IFERROR(IF('Tee beam'!comp_bad,FALSE,AND('Tee beam'!A_s1prov&gt;=MAX('Tee beam'!A_s1req,'Tee beam'!A_smin),'Tee beam'!A_s2prov&gt;='Tee beam'!A_s2req,'Tee beam'!A_s1prov&lt;='Tee beam'!A_smax,'Tee beam'!A_s2prov&lt;='Tee beam'!A_smax,OR('Tee beam'!delta_r=1,'Tee beam'!T_prov&lt;='Tee beam'!C_cap))),FALSE)</definedName>
    <definedName name="det_ok" localSheetId="5">IFERROR(AND('Tee beam'!gap_1&gt;='Tee beam'!gap_min,OR('Tee beam'!n_2&lt;2,'Tee beam'!gap_2&gt;='Tee beam'!gap_min2),OR('Tee beam'!n_2=0,'Tee beam'!gap_v&gt;='Tee beam'!gap_minv)),FALSE)</definedName>
    <definedName name="s_cr" localSheetId="5">('Tee beam'!b_w-2*'Tee beam'!c_nom-2*'Tee beam'!phi_w-'Tee beam'!phi)/('Tee beam'!n_bars-1)</definedName>
    <definedName name="defl_ok" localSheetId="5">IFERROR(IF('Tee beam'!span,'Tee beam'!ld_act&lt;='Tee beam'!ld_lim,TRUE),FALSE)</definedName>
    <definedName name="size_ok" localSheetId="5">IFERROR(AND('Tee beam'!phis_cr&gt;0,'Tee beam'!phi&lt;='Tee beam'!phis_cr),FALSE)</definedName>
    <definedName name="spac_ok" localSheetId="5">IFERROR(AND('Tee beam'!smax_cr&gt;0,'Tee beam'!s_cr&lt;='Tee beam'!smax_cr),FALSE)</definedName>
    <definedName name="cr_exempt" localSheetId="5">FALSE</definedName>
    <definedName name="bend_status" localSheetId="5">'Tee beam'!$G$46</definedName>
    <definedName name="comp_status" localSheetId="5">'Tee beam'!$G$47</definedName>
    <definedName name="na_status" localSheetId="5">'Tee beam'!$G$49</definedName>
    <definedName name="defl_status" localSheetId="5">'Tee beam'!$G$50</definedName>
    <definedName name="crack_status" localSheetId="5">'Tee beam'!$G$51</definedName>
    <definedName name="det_status" localSheetId="5">'Tee beam'!$G$52</definedName>
    <definedName name="gamma_c" localSheetId="5">'Tee beam'!$E$77</definedName>
    <definedName name="gamma_s" localSheetId="5">'Tee beam'!$E$78</definedName>
    <definedName name="alpha_cc" localSheetId="5">'Tee beam'!$E$79</definedName>
    <definedName name="k1_red" localSheetId="5">'Tee beam'!$E$80</definedName>
    <definedName name="k2_red" localSheetId="5">'Tee beam'!$E$81</definedName>
    <definedName name="ld_mod_max" localSheetId="5">'Tee beam'!$E$82</definedName>
    <definedName name="ld_cap_40K" localSheetId="5">'Tee beam'!$E$83</definedName>
    <definedName name="f_ck" localSheetId="5">'Tee beam'!$E$84</definedName>
    <definedName name="f_ctm" localSheetId="5">'Tee beam'!$E$85</definedName>
    <definedName name="f_cd" localSheetId="5">'Tee beam'!$E$86</definedName>
    <definedName name="f_yd" localSheetId="5">'Tee beam'!$E$87</definedName>
    <definedName name="d_eff" localSheetId="5">'Tee beam'!$E$88</definedName>
    <definedName name="d_2" localSheetId="5">'Tee beam'!$E$89</definedName>
    <definedName name="b_web" localSheetId="5">'Tee beam'!b_w</definedName>
    <definedName name="beff1_ed" localSheetId="5">'Tee beam'!$E$90</definedName>
    <definedName name="beff2_ed" localSheetId="5">'Tee beam'!$E$91</definedName>
    <definedName name="b_eff" localSheetId="5">'Tee beam'!$E$92</definedName>
    <definedName name="b_top" localSheetId="5">'Tee beam'!$E$93</definedName>
    <definedName name="hf_c" localSheetId="5">'Tee beam'!$E$94</definedName>
    <definedName name="xi_y" localSheetId="5">'Tee beam'!$E$97</definedName>
    <definedName name="xi_lim" localSheetId="5">'Tee beam'!$E$98</definedName>
    <definedName name="K_lim" localSheetId="5">'Tee beam'!$E$99</definedName>
    <definedName name="x_lim" localSheetId="5">'Tee beam'!$E$100</definedName>
    <definedName name="M_f" localSheetId="5">'Tee beam'!$E$101</definedName>
    <definedName name="in_flange" localSheetId="5">OR('Tee beam'!hog,'Tee beam'!M_Ed&lt;='Tee beam'!M_f)</definedName>
    <definedName name="F_out" localSheetId="5">'Tee beam'!$E$102</definedName>
    <definedName name="C_lim" localSheetId="5">'Tee beam'!$E$103</definedName>
    <definedName name="M_lim" localSheetId="5">'Tee beam'!$E$104</definedName>
    <definedName name="dbl" localSheetId="5">'Tee beam'!M_Ed&gt;'Tee beam'!M_lim</definedName>
    <definedName name="M_r" localSheetId="5">'Tee beam'!$E$105</definedName>
    <definedName name="b_r" localSheetId="5">'Tee beam'!$E$106</definedName>
    <definedName name="K_m" localSheetId="5">'Tee beam'!$E$107</definedName>
    <definedName name="xi" localSheetId="5">'Tee beam'!$E$108</definedName>
    <definedName name="x_na" localSheetId="5">'Tee beam'!$E$109</definedName>
    <definedName name="z_b" localSheetId="5">'Tee beam'!$E$110</definedName>
    <definedName name="f_sc" localSheetId="5">'Tee beam'!$E$111</definedName>
    <definedName name="fsc_net" localSheetId="5">'Tee beam'!$E$112</definedName>
    <definedName name="comp_bad" localSheetId="5">AND('Tee beam'!dbl,'Tee beam'!fsc_net&lt;=0)</definedName>
    <definedName name="A_s2req" localSheetId="5">'Tee beam'!$E$113</definedName>
    <definedName name="A_s1req" localSheetId="5">'Tee beam'!$E$114</definedName>
    <definedName name="A_c" localSheetId="5">'Tee beam'!$E$115</definedName>
    <definedName name="y_g" localSheetId="5">'Tee beam'!$E$116</definedName>
    <definedName name="b_t" localSheetId="5">'Tee beam'!$E$117</definedName>
    <definedName name="A_smin" localSheetId="5">'Tee beam'!$E$118</definedName>
    <definedName name="A_smax" localSheetId="5">'Tee beam'!$E$119</definedName>
    <definedName name="A_s1prov" localSheetId="5">'Tee beam'!$E$120</definedName>
    <definedName name="A_s2prov" localSheetId="5">'Tee beam'!$E$121</definedName>
    <definedName name="T_prov" localSheetId="5">'Tee beam'!$E$122</definedName>
    <definedName name="C_cap" localSheetId="5">'Tee beam'!$E$123</definedName>
    <definedName name="chk_bend" localSheetId="5">'Tee beam'!$G$124</definedName>
    <definedName name="gap_min" localSheetId="5">'Tee beam'!$E$127</definedName>
    <definedName name="gap_min2" localSheetId="5">'Tee beam'!$E$128</definedName>
    <definedName name="gap_1" localSheetId="5">'Tee beam'!$E$129</definedName>
    <definedName name="gap_2" localSheetId="5">'Tee beam'!$E$130</definedName>
    <definedName name="gap_v" localSheetId="5">'Tee beam'!$E$131</definedName>
    <definedName name="gap_minv" localSheetId="5">'Tee beam'!$E$132</definedName>
    <definedName name="chk_det" localSheetId="5">'Tee beam'!$G$133</definedName>
    <definedName name="psi_2c" localSheetId="5">'Tee beam'!$E$136</definedName>
    <definedName name="qp" localSheetId="5">'Tee beam'!$E$137</definedName>
    <definedName name="As_d" localSheetId="5">'Tee beam'!$E$138</definedName>
    <definedName name="sig_cr" localSheetId="5">'Tee beam'!$E$139</definedName>
    <definedName name="K_d" localSheetId="5">'Tee beam'!$E$140</definedName>
    <definedName name="rho_0" localSheetId="5">'Tee beam'!$E$141</definedName>
    <definedName name="A_rho" localSheetId="5">'Tee beam'!$E$142</definedName>
    <definedName name="rho_t" localSheetId="5">'Tee beam'!$E$143</definedName>
    <definedName name="rho_c" localSheetId="5">'Tee beam'!$E$144</definedName>
    <definedName name="ld_basic" localSheetId="5">'Tee beam'!$E$145</definedName>
    <definedName name="F_1" localSheetId="5">'Tee beam'!$E$146</definedName>
    <definedName name="F_2" localSheetId="5">'Tee beam'!$E$147</definedName>
    <definedName name="F_3" localSheetId="5">'Tee beam'!$E$148</definedName>
    <definedName name="ld_lim" localSheetId="5">'Tee beam'!$E$149</definedName>
    <definedName name="ld_act" localSheetId="5">'Tee beam'!$E$150</definedName>
    <definedName name="chk_defl" localSheetId="5">'Tee beam'!$G$151</definedName>
    <definedName name="fct_eff" localSheetId="5">'Tee beam'!$E$154</definedName>
    <definedName name="h_cr" localSheetId="5">'Tee beam'!$E$155</definedName>
    <definedName name="cr_adj" localSheetId="5">'Tee beam'!$E$156</definedName>
    <definedName name="phit_cr" localSheetId="5">'Tee beam'!$E$157</definedName>
    <definedName name="phis_cr" localSheetId="5">'Tee beam'!$E$158</definedName>
    <definedName name="smax_cr" localSheetId="5">'Tee beam'!$E$159</definedName>
    <definedName name="chk_size" localSheetId="5">'Tee beam'!$G$161</definedName>
    <definedName name="chk_spac" localSheetId="5">'Tee beam'!$G$162</definedName>
    <definedName name="skin_status" localSheetId="5">'Tee beam'!$G$163</definedName>
    <definedName name="ndp_gamma_c" localSheetId="5">INDEX('NDP'!$D$6:$E$6,'Tee beam'!na_idx)</definedName>
    <definedName name="ndp_gamma_s" localSheetId="5">INDEX('NDP'!$D$7:$E$7,'Tee beam'!na_idx)</definedName>
    <definedName name="ndp_alpha_cc" localSheetId="5">INDEX('NDP'!$D$8:$E$8,'Tee beam'!na_idx)</definedName>
    <definedName name="ndp_alpha_cc_pl" localSheetId="5">INDEX('NDP'!$D$9:$E$9,'Tee beam'!na_idx)</definedName>
    <definedName name="ndp_alpha_cc_shear" localSheetId="5">INDEX('NDP'!$D$10:$E$10,'Tee beam'!na_idx)</definedName>
    <definedName name="ndp_alpha_ct" localSheetId="5">INDEX('NDP'!$D$11:$E$11,'Tee beam'!na_idx)</definedName>
    <definedName name="ndp_C_Rdc" localSheetId="5">INDEX('NDP'!$D$12:$E$12,'Tee beam'!na_idx)</definedName>
    <definedName name="ndp_k1_p" localSheetId="5">INDEX('NDP'!$D$13:$E$13,'Tee beam'!na_idx)</definedName>
    <definedName name="ndp_vmax" localSheetId="5">INDEX('NDP'!$D$14:$E$14,'Tee beam'!na_idx)</definedName>
    <definedName name="ndp_kmax" localSheetId="5">INDEX('NDP'!$D$15:$E$15,'Tee beam'!na_idx)</definedName>
    <definedName name="ndp_phi_large" localSheetId="5">INDEX('NDP'!$D$16:$E$16,'Tee beam'!na_idx)</definedName>
    <definedName name="ndp_cot_max" localSheetId="5">INDEX('NDP'!$D$17:$E$17,'Tee beam'!na_idx)</definedName>
    <definedName name="ndp_k1_red" localSheetId="5">INDEX('NDP'!$D$18:$E$18,'Tee beam'!na_idx)</definedName>
    <definedName name="ndp_k2_red" localSheetId="5">INDEX('NDP'!$D$19:$E$19,'Tee beam'!na_idx)</definedName>
    <definedName name="ndp_ld_mod_max" localSheetId="5">INDEX('NDP'!$D$20:$E$20,'Tee beam'!na_idx)</definedName>
    <definedName name="ndp_ld_cap_40K" localSheetId="5">INDEX('NDP'!$D$21:$E$21,'Tee beam'!na_idx)</definedName>
    <definedName name="ndp_phi_min_col" localSheetId="5">INDEX('NDP'!$D$22:$E$22,'Tee beam'!na_idx)</definedName>
    <definedName name="ndp_k3" localSheetId="5">INDEX('NDP'!$D$23:$E$23,'Tee beam'!na_idx)</definedName>
    <definedName name="ndp_k4" localSheetId="5">INDEX('NDP'!$D$24:$E$24,'Tee beam'!na_idx)</definedName>
    <definedName name="ndp_k1_sl" localSheetId="5">INDEX('NDP'!$D$25:$E$25,'Tee beam'!na_idx)</definedName>
    <definedName name="ndp_k2_sl" localSheetId="5">INDEX('NDP'!$D$26:$E$26,'Tee beam'!na_idx)</definedName>
    <definedName name="ndp_k3_sl" localSheetId="5">INDEX('NDP'!$D$27:$E$27,'Tee beam'!na_idx)</definedName>
    <definedName name="ndp_k4_sl" localSheetId="5">INDEX('NDP'!$D$28:$E$28,'Tee beam'!na_idx)</definedName>
    <definedName name="na_idx" localSheetId="5">IF('Tee beam'!NA_sel="PL NA (PN-EN)",2,IF('Tee beam'!NA_sel="UK NA (BS EN)",1,NA()))</definedName>
    <definedName name="_xlnm.Print_Area" localSheetId="5">'Tee beam'!$A$1:$H$167</definedName>
    <definedName name="NA_sel" localSheetId="6">'Tee beam'!$E$11</definedName>
    <definedName name="conc_class" localSheetId="6">'Tee beam'!$E$12</definedName>
    <definedName name="f_yk" localSheetId="6">'Tee beam'!$E$13</definedName>
    <definedName name="duct" localSheetId="6">'Tee beam'!$E$14</definedName>
    <definedName name="d_g" localSheetId="6">'Tee beam'!$E$15</definedName>
    <definedName name="loc" localSheetId="6">'Tee beam'!$E$16</definedName>
    <definedName name="t_type" localSheetId="6">'Tee beam'!$E$17</definedName>
    <definedName name="b_w" localSheetId="6">'Tee beam'!$E$18</definedName>
    <definedName name="h_sec" localSheetId="6">'Tee beam'!$E$19</definedName>
    <definedName name="h_f" localSheetId="6">'Tee beam'!$E$20</definedName>
    <definedName name="b_1" localSheetId="6">'Tee beam'!$E$21</definedName>
    <definedName name="b_2" localSheetId="6">'Tee beam'!$E$22</definedName>
    <definedName name="l_0" localSheetId="6">'Tee beam'!$E$23</definedName>
    <definedName name="c_nom" localSheetId="6">'Tee beam'!$E$24</definedName>
    <definedName name="phi_w" localSheetId="6">'Tee beam'!$E$25</definedName>
    <definedName name="n_bars" localSheetId="6">'Tee beam'!$E$26</definedName>
    <definedName name="phi" localSheetId="6">'Tee beam'!$E$27</definedName>
    <definedName name="n_2" localSheetId="6">'Tee beam'!$E$28</definedName>
    <definedName name="phi_2" localSheetId="6">'Tee beam'!$E$29</definedName>
    <definedName name="M_Ed" localSheetId="6">'Tee beam'!$E$32</definedName>
    <definedName name="delta_r" localSheetId="6">'Tee beam'!$E$33</definedName>
    <definedName name="L_span" localSheetId="6">'Tee beam'!$E$34</definedName>
    <definedName name="g_k" localSheetId="6">'Tee beam'!$E$35</definedName>
    <definedName name="q_k" localSheetId="6">'Tee beam'!$E$36</definedName>
    <definedName name="gamma_G" localSheetId="6">'Tee beam'!$E$37</definedName>
    <definedName name="gamma_Q" localSheetId="6">'Tee beam'!$E$38</definedName>
    <definedName name="usage" localSheetId="6">'Tee beam'!$E$39</definedName>
    <definedName name="psi2_in" localSheetId="6">'Tee beam'!$E$40</definedName>
    <definedName name="partitions" localSheetId="6">'Tee beam'!$E$41</definedName>
    <definedName name="wk_cr" localSheetId="6">'Tee beam'!$E$42</definedName>
    <definedName name="inputs_ok" localSheetId="6">IFERROR(AND(OR('Geo Tee beam'!NA_sel="UK NA (BS EN)",'Geo Tee beam'!NA_sel="PL NA (PN-EN)"),OR('Geo Tee beam'!conc_class="C20/25",'Geo Tee beam'!conc_class="C25/30",'Geo Tee beam'!conc_class="C28/35",'Geo Tee beam'!conc_class="C30/37",'Geo Tee beam'!conc_class="C32/40",'Geo Tee beam'!conc_class="C35/45",'Geo Tee beam'!conc_class="C40/50",'Geo Tee beam'!conc_class="C45/55",'Geo Tee beam'!conc_class="C50/60"),ISNUMBER('Geo Tee beam'!f_yk),'Geo Tee beam'!f_yk&gt;0,OR('Geo Tee beam'!duct="A",'Geo Tee beam'!duct="B",'Geo Tee beam'!duct="C"),ISNUMBER('Geo Tee beam'!d_g),'Geo Tee beam'!d_g&gt;0,OR('Geo Tee beam'!loc="Simply supported span",'Geo Tee beam'!loc="End span",'Geo Tee beam'!loc="Interior span",'Geo Tee beam'!loc="Cantilever",'Geo Tee beam'!loc="Support"),OR('Geo Tee beam'!t_type="T-beam  (flange both sides)",'Geo Tee beam'!t_type="L-beam  (flange one side)"),ISNUMBER('Geo Tee beam'!b_w),'Geo Tee beam'!b_w&gt;0,ISNUMBER('Geo Tee beam'!h_sec),'Geo Tee beam'!h_sec&gt;0,ISNUMBER('Geo Tee beam'!h_f),'Geo Tee beam'!h_f&gt;0,ISNUMBER('Geo Tee beam'!b_1),'Geo Tee beam'!b_1&gt;=0,IF('Geo Tee beam'!t_type="T-beam  (flange both sides)",IF(ISNUMBER('Geo Tee beam'!b_2),'Geo Tee beam'!b_2&gt;=0,FALSE),TRUE),ISNUMBER('Geo Tee beam'!l_0),'Geo Tee beam'!l_0&gt;0,ISNUMBER('Geo Tee beam'!c_nom),'Geo Tee beam'!c_nom&gt;0,OR(AND(ISNUMBER('Geo Tee beam'!phi_w),'Geo Tee beam'!phi_w=6),AND(ISNUMBER('Geo Tee beam'!phi_w),'Geo Tee beam'!phi_w=8),AND(ISNUMBER('Geo Tee beam'!phi_w),'Geo Tee beam'!phi_w=10),AND(ISNUMBER('Geo Tee beam'!phi_w),'Geo Tee beam'!phi_w=12),AND(ISNUMBER('Geo Tee beam'!phi_w),'Geo Tee beam'!phi_w=16)),ISNUMBER('Geo Tee beam'!n_bars),'Geo Tee beam'!n_bars&gt;0,OR(AND(ISNUMBER('Geo Tee beam'!phi),'Geo Tee beam'!phi=8),AND(ISNUMBER('Geo Tee beam'!phi),'Geo Tee beam'!phi=10),AND(ISNUMBER('Geo Tee beam'!phi),'Geo Tee beam'!phi=12),AND(ISNUMBER('Geo Tee beam'!phi),'Geo Tee beam'!phi=16),AND(ISNUMBER('Geo Tee beam'!phi),'Geo Tee beam'!phi=20),AND(ISNUMBER('Geo Tee beam'!phi),'Geo Tee beam'!phi=25),AND(ISNUMBER('Geo Tee beam'!phi),'Geo Tee beam'!phi=32),AND(ISNUMBER('Geo Tee beam'!phi),'Geo Tee beam'!phi=40)),ISNUMBER('Geo Tee beam'!n_2),'Geo Tee beam'!n_2&gt;=0,OR(AND(ISNUMBER('Geo Tee beam'!phi_2),'Geo Tee beam'!phi_2=8),AND(ISNUMBER('Geo Tee beam'!phi_2),'Geo Tee beam'!phi_2=10),AND(ISNUMBER('Geo Tee beam'!phi_2),'Geo Tee beam'!phi_2=12),AND(ISNUMBER('Geo Tee beam'!phi_2),'Geo Tee beam'!phi_2=16),AND(ISNUMBER('Geo Tee beam'!phi_2),'Geo Tee beam'!phi_2=20),AND(ISNUMBER('Geo Tee beam'!phi_2),'Geo Tee beam'!phi_2=25),AND(ISNUMBER('Geo Tee beam'!phi_2),'Geo Tee beam'!phi_2=32),AND(ISNUMBER('Geo Tee beam'!phi_2),'Geo Tee beam'!phi_2=40)),ISNUMBER('Geo Tee beam'!M_Ed),'Geo Tee beam'!M_Ed&gt;=0,ISNUMBER('Geo Tee beam'!delta_r),'Geo Tee beam'!delta_r&gt;0,IF('Geo Tee beam'!loc&lt;&gt;"Support",IF(ISNUMBER('Geo Tee beam'!L_span),'Geo Tee beam'!L_span&gt;0,FALSE),TRUE),ISNUMBER('Geo Tee beam'!g_k),'Geo Tee beam'!g_k&gt;=0,ISNUMBER('Geo Tee beam'!q_k),'Geo Tee beam'!q_k&gt;=0,ISNUMBER('Geo Tee beam'!gamma_G),'Geo Tee beam'!gamma_G&gt;0,ISNUMBER('Geo Tee beam'!gamma_Q),'Geo Tee beam'!gamma_Q&gt;0,OR('Geo Tee beam'!usage="A  domestic or residential",'Geo Tee beam'!usage="B  office",'Geo Tee beam'!usage="C  congregation  (crowds)",'Geo Tee beam'!usage="D  shopping",'Geo Tee beam'!usage="E  storage",'Geo Tee beam'!usage="F  traffic  (vehicles ≤ 30 kN)",'Geo Tee beam'!usage="G  traffic  (30 – 160 kN)",'Geo Tee beam'!usage="H  roof",'Geo Tee beam'!usage="Other  (enter ψ2)"),IF('Geo Tee beam'!usage="Other  (enter ψ2)",IF(ISNUMBER('Geo Tee beam'!psi2_in),'Geo Tee beam'!psi2_in&gt;=0,FALSE),TRUE),OR('Geo Tee beam'!partitions="No",'Geo Tee beam'!partitions="Yes"),OR(AND(ISNUMBER('Geo Tee beam'!wk_cr),'Geo Tee beam'!wk_cr=0.4),AND(ISNUMBER('Geo Tee beam'!wk_cr),'Geo Tee beam'!wk_cr=0.3),AND(ISNUMBER('Geo Tee beam'!wk_cr),'Geo Tee beam'!wk_cr=0.2)),AND('Geo Tee beam'!f_yk&gt;=400,'Geo Tee beam'!f_yk&lt;=500,'Geo Tee beam'!delta_r&lt;=1,'Geo Tee beam'!delta_r&gt;=IF('Geo Tee beam'!duct="A",0.8,0.7),'Geo Tee beam'!g_k+'Geo Tee beam'!q_k&gt;0,IF('Geo Tee beam'!usage="Other  (enter ψ2)",'Geo Tee beam'!psi2_in&lt;=1,TRUE),'Geo Tee beam'!n_bars&gt;=2,'Geo Tee beam'!n_bars&lt;=12,INT('Geo Tee beam'!n_bars)='Geo Tee beam'!n_bars,INT('Geo Tee beam'!n_2)='Geo Tee beam'!n_2,'Geo Tee beam'!n_2&lt;=12,'Geo Tee beam'!h_sec&gt;2*'Geo Tee beam'!c_nom+2*'Geo Tee beam'!phi_w+'Geo Tee beam'!phi+'Geo Tee beam'!phi_2,'Geo Tee beam'!b_w&gt;2*'Geo Tee beam'!c_nom+2*'Geo Tee beam'!phi_w+MAX('Geo Tee beam'!phi,'Geo Tee beam'!phi_2),'Geo Tee beam'!h_f&lt;'Geo Tee beam'!h_sec-'Geo Tee beam'!c_nom-'Geo Tee beam'!phi_w-'Geo Tee beam'!phi,'Geo Tee beam'!h_f&lt;'Geo Tee beam'!h_sec-'Geo Tee beam'!c_nom-'Geo Tee beam'!phi_w-'Geo Tee beam'!phi_2)),FALSE)</definedName>
    <definedName name="input_status" localSheetId="6">'Tee beam'!$G$43</definedName>
    <definedName name="loc_i" localSheetId="6">MATCH('Geo Tee beam'!loc,{"Simply supported span","End span","Interior span","Cantilever","Support"},0)</definedName>
    <definedName name="hog" localSheetId="6">OR('Geo Tee beam'!loc="Cantilever",'Geo Tee beam'!loc="Support")</definedName>
    <definedName name="span" localSheetId="6">'Geo Tee beam'!loc&lt;&gt;"Support"</definedName>
    <definedName name="usage_i" localSheetId="6">MATCH('Geo Tee beam'!usage,{"A  domestic or residential","B  office","C  congregation  (crowds)","D  shopping","E  storage","F  traffic  (vehicles ≤ 30 kN)","G  traffic  (30 – 160 kN)","H  roof","Other  (enter ψ2)"},0)</definedName>
    <definedName name="wk_i" localSheetId="6">MATCH('Geo Tee beam'!wk_cr,{0.4,0.3,0.2},0)</definedName>
    <definedName name="cr_s" localSheetId="6">{160,200,240,280,320,360,400,450}</definedName>
    <definedName name="cr_phi" localSheetId="6">CHOOSE('Geo Tee beam'!wk_i,{40,32,20,16,12,10,8,6},{32,25,16,12,10,8,6,5},{25,16,12,8,6,5,4,0})</definedName>
    <definedName name="cr_sp" localSheetId="6">CHOOSE('Geo Tee beam'!wk_i,{300,300,250,200,150,100,0,0},{300,250,200,150,100,50,0,0},{200,150,100,50,0,0,0,0})</definedName>
    <definedName name="t_T" localSheetId="6">'Geo Tee beam'!t_type="T-beam  (flange both sides)"</definedName>
    <definedName name="tl_L" localSheetId="6">IF('Geo Tee beam'!t_T,'Geo Tee beam'!beff1_ed,0)</definedName>
    <definedName name="tl_R" localSheetId="6">IF('Geo Tee beam'!t_T,'Geo Tee beam'!beff2_ed,'Geo Tee beam'!beff1_ed)</definedName>
    <definedName name="bend_ok" localSheetId="6">IFERROR(IF('Geo Tee beam'!comp_bad,FALSE,AND('Geo Tee beam'!A_s1prov&gt;=MAX('Geo Tee beam'!A_s1req,'Geo Tee beam'!A_smin),'Geo Tee beam'!A_s2prov&gt;='Geo Tee beam'!A_s2req,'Geo Tee beam'!A_s1prov&lt;='Geo Tee beam'!A_smax,'Geo Tee beam'!A_s2prov&lt;='Geo Tee beam'!A_smax,OR('Geo Tee beam'!delta_r=1,'Geo Tee beam'!T_prov&lt;='Geo Tee beam'!C_cap))),FALSE)</definedName>
    <definedName name="det_ok" localSheetId="6">IFERROR(AND('Geo Tee beam'!gap_1&gt;='Geo Tee beam'!gap_min,OR('Geo Tee beam'!n_2&lt;2,'Geo Tee beam'!gap_2&gt;='Geo Tee beam'!gap_min2),OR('Geo Tee beam'!n_2=0,'Geo Tee beam'!gap_v&gt;='Geo Tee beam'!gap_minv)),FALSE)</definedName>
    <definedName name="s_cr" localSheetId="6">('Geo Tee beam'!b_w-2*'Geo Tee beam'!c_nom-2*'Geo Tee beam'!phi_w-'Geo Tee beam'!phi)/('Geo Tee beam'!n_bars-1)</definedName>
    <definedName name="defl_ok" localSheetId="6">IFERROR(IF('Geo Tee beam'!span,'Geo Tee beam'!ld_act&lt;='Geo Tee beam'!ld_lim,TRUE),FALSE)</definedName>
    <definedName name="size_ok" localSheetId="6">IFERROR(AND('Geo Tee beam'!phis_cr&gt;0,'Geo Tee beam'!phi&lt;='Geo Tee beam'!phis_cr),FALSE)</definedName>
    <definedName name="spac_ok" localSheetId="6">IFERROR(AND('Geo Tee beam'!smax_cr&gt;0,'Geo Tee beam'!s_cr&lt;='Geo Tee beam'!smax_cr),FALSE)</definedName>
    <definedName name="cr_exempt" localSheetId="6">FALSE</definedName>
    <definedName name="bend_status" localSheetId="6">'Tee beam'!$G$46</definedName>
    <definedName name="comp_status" localSheetId="6">'Tee beam'!$G$47</definedName>
    <definedName name="na_status" localSheetId="6">'Tee beam'!$G$49</definedName>
    <definedName name="defl_status" localSheetId="6">'Tee beam'!$G$50</definedName>
    <definedName name="crack_status" localSheetId="6">'Tee beam'!$G$51</definedName>
    <definedName name="det_status" localSheetId="6">'Tee beam'!$G$52</definedName>
    <definedName name="gamma_c" localSheetId="6">'Tee beam'!$E$77</definedName>
    <definedName name="gamma_s" localSheetId="6">'Tee beam'!$E$78</definedName>
    <definedName name="alpha_cc" localSheetId="6">'Tee beam'!$E$79</definedName>
    <definedName name="k1_red" localSheetId="6">'Tee beam'!$E$80</definedName>
    <definedName name="k2_red" localSheetId="6">'Tee beam'!$E$81</definedName>
    <definedName name="ld_mod_max" localSheetId="6">'Tee beam'!$E$82</definedName>
    <definedName name="ld_cap_40K" localSheetId="6">'Tee beam'!$E$83</definedName>
    <definedName name="f_ck" localSheetId="6">'Tee beam'!$E$84</definedName>
    <definedName name="f_ctm" localSheetId="6">'Tee beam'!$E$85</definedName>
    <definedName name="f_cd" localSheetId="6">'Tee beam'!$E$86</definedName>
    <definedName name="f_yd" localSheetId="6">'Tee beam'!$E$87</definedName>
    <definedName name="d_eff" localSheetId="6">'Tee beam'!$E$88</definedName>
    <definedName name="d_2" localSheetId="6">'Tee beam'!$E$89</definedName>
    <definedName name="b_web" localSheetId="6">'Geo Tee beam'!b_w</definedName>
    <definedName name="beff1_ed" localSheetId="6">'Tee beam'!$E$90</definedName>
    <definedName name="beff2_ed" localSheetId="6">'Tee beam'!$E$91</definedName>
    <definedName name="b_eff" localSheetId="6">'Tee beam'!$E$92</definedName>
    <definedName name="b_top" localSheetId="6">'Tee beam'!$E$93</definedName>
    <definedName name="hf_c" localSheetId="6">'Tee beam'!$E$94</definedName>
    <definedName name="xi_y" localSheetId="6">'Tee beam'!$E$97</definedName>
    <definedName name="xi_lim" localSheetId="6">'Tee beam'!$E$98</definedName>
    <definedName name="K_lim" localSheetId="6">'Tee beam'!$E$99</definedName>
    <definedName name="x_lim" localSheetId="6">'Tee beam'!$E$100</definedName>
    <definedName name="M_f" localSheetId="6">'Tee beam'!$E$101</definedName>
    <definedName name="in_flange" localSheetId="6">OR('Geo Tee beam'!hog,'Geo Tee beam'!M_Ed&lt;='Geo Tee beam'!M_f)</definedName>
    <definedName name="F_out" localSheetId="6">'Tee beam'!$E$102</definedName>
    <definedName name="C_lim" localSheetId="6">'Tee beam'!$E$103</definedName>
    <definedName name="M_lim" localSheetId="6">'Tee beam'!$E$104</definedName>
    <definedName name="dbl" localSheetId="6">'Geo Tee beam'!M_Ed&gt;'Geo Tee beam'!M_lim</definedName>
    <definedName name="M_r" localSheetId="6">'Tee beam'!$E$105</definedName>
    <definedName name="b_r" localSheetId="6">'Tee beam'!$E$106</definedName>
    <definedName name="K_m" localSheetId="6">'Tee beam'!$E$107</definedName>
    <definedName name="xi" localSheetId="6">'Tee beam'!$E$108</definedName>
    <definedName name="x_na" localSheetId="6">'Tee beam'!$E$109</definedName>
    <definedName name="z_b" localSheetId="6">'Tee beam'!$E$110</definedName>
    <definedName name="f_sc" localSheetId="6">'Tee beam'!$E$111</definedName>
    <definedName name="fsc_net" localSheetId="6">'Tee beam'!$E$112</definedName>
    <definedName name="comp_bad" localSheetId="6">AND('Geo Tee beam'!dbl,'Geo Tee beam'!fsc_net&lt;=0)</definedName>
    <definedName name="A_s2req" localSheetId="6">'Tee beam'!$E$113</definedName>
    <definedName name="A_s1req" localSheetId="6">'Tee beam'!$E$114</definedName>
    <definedName name="A_c" localSheetId="6">'Tee beam'!$E$115</definedName>
    <definedName name="y_g" localSheetId="6">'Tee beam'!$E$116</definedName>
    <definedName name="b_t" localSheetId="6">'Tee beam'!$E$117</definedName>
    <definedName name="A_smin" localSheetId="6">'Tee beam'!$E$118</definedName>
    <definedName name="A_smax" localSheetId="6">'Tee beam'!$E$119</definedName>
    <definedName name="A_s1prov" localSheetId="6">'Tee beam'!$E$120</definedName>
    <definedName name="A_s2prov" localSheetId="6">'Tee beam'!$E$121</definedName>
    <definedName name="T_prov" localSheetId="6">'Tee beam'!$E$122</definedName>
    <definedName name="C_cap" localSheetId="6">'Tee beam'!$E$123</definedName>
    <definedName name="chk_bend" localSheetId="6">'Tee beam'!$G$124</definedName>
    <definedName name="gap_min" localSheetId="6">'Tee beam'!$E$127</definedName>
    <definedName name="gap_min2" localSheetId="6">'Tee beam'!$E$128</definedName>
    <definedName name="gap_1" localSheetId="6">'Tee beam'!$E$129</definedName>
    <definedName name="gap_2" localSheetId="6">'Tee beam'!$E$130</definedName>
    <definedName name="gap_v" localSheetId="6">'Tee beam'!$E$131</definedName>
    <definedName name="gap_minv" localSheetId="6">'Tee beam'!$E$132</definedName>
    <definedName name="chk_det" localSheetId="6">'Tee beam'!$G$133</definedName>
    <definedName name="psi_2c" localSheetId="6">'Tee beam'!$E$136</definedName>
    <definedName name="qp" localSheetId="6">'Tee beam'!$E$137</definedName>
    <definedName name="As_d" localSheetId="6">'Tee beam'!$E$138</definedName>
    <definedName name="sig_cr" localSheetId="6">'Tee beam'!$E$139</definedName>
    <definedName name="K_d" localSheetId="6">'Tee beam'!$E$140</definedName>
    <definedName name="rho_0" localSheetId="6">'Tee beam'!$E$141</definedName>
    <definedName name="A_rho" localSheetId="6">'Tee beam'!$E$142</definedName>
    <definedName name="rho_t" localSheetId="6">'Tee beam'!$E$143</definedName>
    <definedName name="rho_c" localSheetId="6">'Tee beam'!$E$144</definedName>
    <definedName name="ld_basic" localSheetId="6">'Tee beam'!$E$145</definedName>
    <definedName name="F_1" localSheetId="6">'Tee beam'!$E$146</definedName>
    <definedName name="F_2" localSheetId="6">'Tee beam'!$E$147</definedName>
    <definedName name="F_3" localSheetId="6">'Tee beam'!$E$148</definedName>
    <definedName name="ld_lim" localSheetId="6">'Tee beam'!$E$149</definedName>
    <definedName name="ld_act" localSheetId="6">'Tee beam'!$E$150</definedName>
    <definedName name="chk_defl" localSheetId="6">'Tee beam'!$G$151</definedName>
    <definedName name="fct_eff" localSheetId="6">'Tee beam'!$E$154</definedName>
    <definedName name="h_cr" localSheetId="6">'Tee beam'!$E$155</definedName>
    <definedName name="cr_adj" localSheetId="6">'Tee beam'!$E$156</definedName>
    <definedName name="phit_cr" localSheetId="6">'Tee beam'!$E$157</definedName>
    <definedName name="phis_cr" localSheetId="6">'Tee beam'!$E$158</definedName>
    <definedName name="smax_cr" localSheetId="6">'Tee beam'!$E$159</definedName>
    <definedName name="chk_size" localSheetId="6">'Tee beam'!$G$161</definedName>
    <definedName name="chk_spac" localSheetId="6">'Tee beam'!$G$162</definedName>
    <definedName name="skin_status" localSheetId="6">'Tee beam'!$G$163</definedName>
    <definedName name="ndp_gamma_c" localSheetId="6">INDEX('NDP'!$D$6:$E$6,'Geo Tee beam'!na_idx)</definedName>
    <definedName name="ndp_gamma_s" localSheetId="6">INDEX('NDP'!$D$7:$E$7,'Geo Tee beam'!na_idx)</definedName>
    <definedName name="ndp_alpha_cc" localSheetId="6">INDEX('NDP'!$D$8:$E$8,'Geo Tee beam'!na_idx)</definedName>
    <definedName name="ndp_alpha_cc_pl" localSheetId="6">INDEX('NDP'!$D$9:$E$9,'Geo Tee beam'!na_idx)</definedName>
    <definedName name="ndp_alpha_cc_shear" localSheetId="6">INDEX('NDP'!$D$10:$E$10,'Geo Tee beam'!na_idx)</definedName>
    <definedName name="ndp_alpha_ct" localSheetId="6">INDEX('NDP'!$D$11:$E$11,'Geo Tee beam'!na_idx)</definedName>
    <definedName name="ndp_C_Rdc" localSheetId="6">INDEX('NDP'!$D$12:$E$12,'Geo Tee beam'!na_idx)</definedName>
    <definedName name="ndp_k1_p" localSheetId="6">INDEX('NDP'!$D$13:$E$13,'Geo Tee beam'!na_idx)</definedName>
    <definedName name="ndp_vmax" localSheetId="6">INDEX('NDP'!$D$14:$E$14,'Geo Tee beam'!na_idx)</definedName>
    <definedName name="ndp_kmax" localSheetId="6">INDEX('NDP'!$D$15:$E$15,'Geo Tee beam'!na_idx)</definedName>
    <definedName name="ndp_phi_large" localSheetId="6">INDEX('NDP'!$D$16:$E$16,'Geo Tee beam'!na_idx)</definedName>
    <definedName name="ndp_cot_max" localSheetId="6">INDEX('NDP'!$D$17:$E$17,'Geo Tee beam'!na_idx)</definedName>
    <definedName name="ndp_k1_red" localSheetId="6">INDEX('NDP'!$D$18:$E$18,'Geo Tee beam'!na_idx)</definedName>
    <definedName name="ndp_k2_red" localSheetId="6">INDEX('NDP'!$D$19:$E$19,'Geo Tee beam'!na_idx)</definedName>
    <definedName name="ndp_ld_mod_max" localSheetId="6">INDEX('NDP'!$D$20:$E$20,'Geo Tee beam'!na_idx)</definedName>
    <definedName name="ndp_ld_cap_40K" localSheetId="6">INDEX('NDP'!$D$21:$E$21,'Geo Tee beam'!na_idx)</definedName>
    <definedName name="ndp_phi_min_col" localSheetId="6">INDEX('NDP'!$D$22:$E$22,'Geo Tee beam'!na_idx)</definedName>
    <definedName name="ndp_k3" localSheetId="6">INDEX('NDP'!$D$23:$E$23,'Geo Tee beam'!na_idx)</definedName>
    <definedName name="ndp_k4" localSheetId="6">INDEX('NDP'!$D$24:$E$24,'Geo Tee beam'!na_idx)</definedName>
    <definedName name="ndp_k1_sl" localSheetId="6">INDEX('NDP'!$D$25:$E$25,'Geo Tee beam'!na_idx)</definedName>
    <definedName name="ndp_k2_sl" localSheetId="6">INDEX('NDP'!$D$26:$E$26,'Geo Tee beam'!na_idx)</definedName>
    <definedName name="ndp_k3_sl" localSheetId="6">INDEX('NDP'!$D$27:$E$27,'Geo Tee beam'!na_idx)</definedName>
    <definedName name="ndp_k4_sl" localSheetId="6">INDEX('NDP'!$D$28:$E$28,'Geo Tee beam'!na_idx)</definedName>
    <definedName name="na_idx" localSheetId="6">IF('Geo Tee beam'!NA_sel="PL NA (PN-EN)",2,IF('Geo Tee beam'!NA_sel="UK NA (BS EN)",1,NA()))</definedName>
    <definedName name="NA_sel" localSheetId="7">'Shear'!$E$11</definedName>
    <definedName name="conc_class" localSheetId="7">'Shear'!$E$12</definedName>
    <definedName name="sh_mem" localSheetId="7">'Shear'!$E$13</definedName>
    <definedName name="b_w" localSheetId="7">'Shear'!$E$14</definedName>
    <definedName name="h_sec" localSheetId="7">'Shear'!$E$15</definedName>
    <definedName name="d_eff" localSheetId="7">'Shear'!$E$16</definedName>
    <definedName name="A_sl" localSheetId="7">'Shear'!$E$17</definedName>
    <definedName name="V_Ed" localSheetId="7">'Shear'!$E$20</definedName>
    <definedName name="sh_load" localSheetId="7">'Shear'!$E$21</definedName>
    <definedName name="w_Ed" localSheetId="7">'Shear'!$E$22</definedName>
    <definedName name="f_ywk" localSheetId="7">'Shear'!$E$23</definedName>
    <definedName name="phi_w" localSheetId="7">'Shear'!$E$24</definedName>
    <definedName name="n_legs" localSheetId="7">'Shear'!$E$25</definedName>
    <definedName name="s_link" localSheetId="7">'Shear'!$E$26</definedName>
    <definedName name="c_nom" localSheetId="7">'Shear'!$E$27</definedName>
    <definedName name="inputs_ok" localSheetId="7">IFERROR(AND(OR('Shear'!NA_sel="UK NA (BS EN)",'Shear'!NA_sel="PL NA (PN-EN)"),OR('Shear'!conc_class="C20/25",'Shear'!conc_class="C25/30",'Shear'!conc_class="C28/35",'Shear'!conc_class="C30/37",'Shear'!conc_class="C32/40",'Shear'!conc_class="C35/45",'Shear'!conc_class="C40/50",'Shear'!conc_class="C45/55",'Shear'!conc_class="C50/60"),OR('Shear'!sh_mem="Beam  (with links)",'Shear'!sh_mem="Slab  (no links)"),ISNUMBER('Shear'!b_w),'Shear'!b_w&gt;0,ISNUMBER('Shear'!h_sec),'Shear'!h_sec&gt;0,ISNUMBER('Shear'!d_eff),'Shear'!d_eff&gt;0,ISNUMBER('Shear'!A_sl),'Shear'!A_sl&gt;0,ISNUMBER('Shear'!V_Ed),'Shear'!V_Ed&gt;=0,OR('Shear'!sh_load="Uniformly distributed",'Shear'!sh_load="Point loads or other"),IF('Shear'!sh_load="Uniformly distributed",IF(ISNUMBER('Shear'!w_Ed),'Shear'!w_Ed&gt;=0,FALSE),TRUE),IF('Shear'!sh_mem="Beam  (with links)",IF(ISNUMBER('Shear'!f_ywk),'Shear'!f_ywk&gt;0,FALSE),TRUE),OR(AND(ISNUMBER('Shear'!phi_w),'Shear'!phi_w=6),AND(ISNUMBER('Shear'!phi_w),'Shear'!phi_w=8),AND(ISNUMBER('Shear'!phi_w),'Shear'!phi_w=10),AND(ISNUMBER('Shear'!phi_w),'Shear'!phi_w=12),AND(ISNUMBER('Shear'!phi_w),'Shear'!phi_w=16)),IF('Shear'!sh_mem="Beam  (with links)",IF(ISNUMBER('Shear'!n_legs),'Shear'!n_legs&gt;0,FALSE),TRUE),IF('Shear'!sh_mem="Beam  (with links)",IF(ISNUMBER('Shear'!s_link),'Shear'!s_link&gt;0,FALSE),TRUE),IF('Shear'!sh_mem="Beam  (with links)",IF(ISNUMBER('Shear'!c_nom),'Shear'!c_nom&gt;0,FALSE),TRUE),AND('Shear'!d_eff&lt;'Shear'!h_sec,IF('Shear'!sh_mem="Beam  (with links)",AND('Shear'!f_ywk&gt;=250,'Shear'!f_ywk&lt;=500,'Shear'!n_legs&gt;=2,INT('Shear'!n_legs)='Shear'!n_legs,'Shear'!b_w&gt;2*'Shear'!c_nom+2*'Shear'!phi_w,'Shear'!h_sec&gt;2*'Shear'!c_nom+2*'Shear'!phi_w,'Shear'!h_sec-'Shear'!d_eff&gt;'Shear'!c_nom+'Shear'!phi_w),TRUE))),FALSE)</definedName>
    <definedName name="input_status" localSheetId="7">'Shear'!$G$28</definedName>
    <definedName name="is_beam" localSheetId="7">'Shear'!sh_mem="Beam  (with links)"</definedName>
    <definedName name="udl" localSheetId="7">'Shear'!sh_load="Uniformly distributed"</definedName>
    <definedName name="crush_ok" localSheetId="7">IFERROR('Shear'!V_Ed&lt;='Shear'!V_Rdmax,FALSE)</definedName>
    <definedName name="shear_ok" localSheetId="7">IFERROR(IF('Shear'!is_beam,'Shear'!Asw_prov&gt;='Shear'!Asw_need,'Shear'!V_Edd&lt;='Shear'!V_Rdc),FALSE)</definedName>
    <definedName name="sp_ok" localSheetId="7">IFERROR(IF('Shear'!is_beam,AND('Shear'!s_link&lt;='Shear'!s_lmax,'Shear'!s_t&lt;='Shear'!s_tmax,'Shear'!s_link-'Shear'!phi_w&gt;='Shear'!a_lk,'Shear'!s_t-'Shear'!phi_w&gt;='Shear'!a_lk),TRUE),FALSE)</definedName>
    <definedName name="crush_status" localSheetId="7">'Shear'!$G$31</definedName>
    <definedName name="shear_status" localSheetId="7">'Shear'!$G$32</definedName>
    <definedName name="sp_status" localSheetId="7">'Shear'!$G$33</definedName>
    <definedName name="gamma_c" localSheetId="7">'Shear'!$E$56</definedName>
    <definedName name="gamma_s" localSheetId="7">'Shear'!$E$57</definedName>
    <definedName name="alpha_cc_shear" localSheetId="7">'Shear'!$E$58</definedName>
    <definedName name="C_Rdc" localSheetId="7">'Shear'!$E$59</definedName>
    <definedName name="cot_max" localSheetId="7">'Shear'!$E$60</definedName>
    <definedName name="f_ck" localSheetId="7">'Shear'!$E$61</definedName>
    <definedName name="f_ctm" localSheetId="7">'Shear'!$E$62</definedName>
    <definedName name="V_Edd" localSheetId="7">'Shear'!$E$63</definedName>
    <definedName name="k_size" localSheetId="7">'Shear'!$E$64</definedName>
    <definedName name="rho_l" localSheetId="7">'Shear'!$E$65</definedName>
    <definedName name="v_min" localSheetId="7">'Shear'!$E$66</definedName>
    <definedName name="V_Rdc" localSheetId="7">'Shear'!$E$67</definedName>
    <definedName name="nu_1" localSheetId="7">'Shear'!$E$68</definedName>
    <definedName name="f_cdv" localSheetId="7">'Shear'!$E$69</definedName>
    <definedName name="z_v" localSheetId="7">'Shear'!$E$70</definedName>
    <definedName name="ratio_v" localSheetId="7">'Shear'!$E$71</definedName>
    <definedName name="cot_theta" localSheetId="7">'Shear'!$E$72</definedName>
    <definedName name="V_Rdmax" localSheetId="7">'Shear'!$E$73</definedName>
    <definedName name="chk_crush" localSheetId="7">'Shear'!$G$74</definedName>
    <definedName name="f_ywd" localSheetId="7">'Shear'!$E$77</definedName>
    <definedName name="Asw_req" localSheetId="7">'Shear'!$E$78</definedName>
    <definedName name="Asw_min" localSheetId="7">'Shear'!$E$79</definedName>
    <definedName name="Asw_need" localSheetId="7">'Shear'!$E$80</definedName>
    <definedName name="Asw_prov" localSheetId="7">'Shear'!$E$81</definedName>
    <definedName name="V_Rds" localSheetId="7">'Shear'!$E$82</definedName>
    <definedName name="chk_shear" localSheetId="7">'Shear'!$G$83</definedName>
    <definedName name="s_lmax" localSheetId="7">'Shear'!$E$84</definedName>
    <definedName name="s_tmax" localSheetId="7">'Shear'!$E$85</definedName>
    <definedName name="s_t" localSheetId="7">'Shear'!$E$86</definedName>
    <definedName name="a_lk" localSheetId="7">'Shear'!$E$87</definedName>
    <definedName name="chk_sp" localSheetId="7">'Shear'!$G$88</definedName>
    <definedName name="dFtd" localSheetId="7">'Shear'!$E$89</definedName>
    <definedName name="ndp_gamma_c" localSheetId="7">INDEX('NDP'!$D$6:$E$6,'Shear'!na_idx)</definedName>
    <definedName name="ndp_gamma_s" localSheetId="7">INDEX('NDP'!$D$7:$E$7,'Shear'!na_idx)</definedName>
    <definedName name="ndp_alpha_cc" localSheetId="7">INDEX('NDP'!$D$8:$E$8,'Shear'!na_idx)</definedName>
    <definedName name="ndp_alpha_cc_pl" localSheetId="7">INDEX('NDP'!$D$9:$E$9,'Shear'!na_idx)</definedName>
    <definedName name="ndp_alpha_cc_shear" localSheetId="7">INDEX('NDP'!$D$10:$E$10,'Shear'!na_idx)</definedName>
    <definedName name="ndp_alpha_ct" localSheetId="7">INDEX('NDP'!$D$11:$E$11,'Shear'!na_idx)</definedName>
    <definedName name="ndp_C_Rdc" localSheetId="7">INDEX('NDP'!$D$12:$E$12,'Shear'!na_idx)</definedName>
    <definedName name="ndp_k1_p" localSheetId="7">INDEX('NDP'!$D$13:$E$13,'Shear'!na_idx)</definedName>
    <definedName name="ndp_vmax" localSheetId="7">INDEX('NDP'!$D$14:$E$14,'Shear'!na_idx)</definedName>
    <definedName name="ndp_kmax" localSheetId="7">INDEX('NDP'!$D$15:$E$15,'Shear'!na_idx)</definedName>
    <definedName name="ndp_phi_large" localSheetId="7">INDEX('NDP'!$D$16:$E$16,'Shear'!na_idx)</definedName>
    <definedName name="ndp_cot_max" localSheetId="7">INDEX('NDP'!$D$17:$E$17,'Shear'!na_idx)</definedName>
    <definedName name="ndp_k1_red" localSheetId="7">INDEX('NDP'!$D$18:$E$18,'Shear'!na_idx)</definedName>
    <definedName name="ndp_k2_red" localSheetId="7">INDEX('NDP'!$D$19:$E$19,'Shear'!na_idx)</definedName>
    <definedName name="ndp_ld_mod_max" localSheetId="7">INDEX('NDP'!$D$20:$E$20,'Shear'!na_idx)</definedName>
    <definedName name="ndp_ld_cap_40K" localSheetId="7">INDEX('NDP'!$D$21:$E$21,'Shear'!na_idx)</definedName>
    <definedName name="ndp_phi_min_col" localSheetId="7">INDEX('NDP'!$D$22:$E$22,'Shear'!na_idx)</definedName>
    <definedName name="ndp_k3" localSheetId="7">INDEX('NDP'!$D$23:$E$23,'Shear'!na_idx)</definedName>
    <definedName name="ndp_k4" localSheetId="7">INDEX('NDP'!$D$24:$E$24,'Shear'!na_idx)</definedName>
    <definedName name="ndp_k1_sl" localSheetId="7">INDEX('NDP'!$D$25:$E$25,'Shear'!na_idx)</definedName>
    <definedName name="ndp_k2_sl" localSheetId="7">INDEX('NDP'!$D$26:$E$26,'Shear'!na_idx)</definedName>
    <definedName name="ndp_k3_sl" localSheetId="7">INDEX('NDP'!$D$27:$E$27,'Shear'!na_idx)</definedName>
    <definedName name="ndp_k4_sl" localSheetId="7">INDEX('NDP'!$D$28:$E$28,'Shear'!na_idx)</definedName>
    <definedName name="na_idx" localSheetId="7">IF('Shear'!NA_sel="PL NA (PN-EN)",2,IF('Shear'!NA_sel="UK NA (BS EN)",1,NA()))</definedName>
    <definedName name="_xlnm.Print_Area" localSheetId="7">'Shear'!$A$1:$H$93</definedName>
    <definedName name="NA_sel" localSheetId="8">'Shear'!$E$11</definedName>
    <definedName name="conc_class" localSheetId="8">'Shear'!$E$12</definedName>
    <definedName name="sh_mem" localSheetId="8">'Shear'!$E$13</definedName>
    <definedName name="b_w" localSheetId="8">'Shear'!$E$14</definedName>
    <definedName name="h_sec" localSheetId="8">'Shear'!$E$15</definedName>
    <definedName name="d_eff" localSheetId="8">'Shear'!$E$16</definedName>
    <definedName name="A_sl" localSheetId="8">'Shear'!$E$17</definedName>
    <definedName name="V_Ed" localSheetId="8">'Shear'!$E$20</definedName>
    <definedName name="sh_load" localSheetId="8">'Shear'!$E$21</definedName>
    <definedName name="w_Ed" localSheetId="8">'Shear'!$E$22</definedName>
    <definedName name="f_ywk" localSheetId="8">'Shear'!$E$23</definedName>
    <definedName name="phi_w" localSheetId="8">'Shear'!$E$24</definedName>
    <definedName name="n_legs" localSheetId="8">'Shear'!$E$25</definedName>
    <definedName name="s_link" localSheetId="8">'Shear'!$E$26</definedName>
    <definedName name="c_nom" localSheetId="8">'Shear'!$E$27</definedName>
    <definedName name="inputs_ok" localSheetId="8">IFERROR(AND(OR('Geo Shear'!NA_sel="UK NA (BS EN)",'Geo Shear'!NA_sel="PL NA (PN-EN)"),OR('Geo Shear'!conc_class="C20/25",'Geo Shear'!conc_class="C25/30",'Geo Shear'!conc_class="C28/35",'Geo Shear'!conc_class="C30/37",'Geo Shear'!conc_class="C32/40",'Geo Shear'!conc_class="C35/45",'Geo Shear'!conc_class="C40/50",'Geo Shear'!conc_class="C45/55",'Geo Shear'!conc_class="C50/60"),OR('Geo Shear'!sh_mem="Beam  (with links)",'Geo Shear'!sh_mem="Slab  (no links)"),ISNUMBER('Geo Shear'!b_w),'Geo Shear'!b_w&gt;0,ISNUMBER('Geo Shear'!h_sec),'Geo Shear'!h_sec&gt;0,ISNUMBER('Geo Shear'!d_eff),'Geo Shear'!d_eff&gt;0,ISNUMBER('Geo Shear'!A_sl),'Geo Shear'!A_sl&gt;0,ISNUMBER('Geo Shear'!V_Ed),'Geo Shear'!V_Ed&gt;=0,OR('Geo Shear'!sh_load="Uniformly distributed",'Geo Shear'!sh_load="Point loads or other"),IF('Geo Shear'!sh_load="Uniformly distributed",IF(ISNUMBER('Geo Shear'!w_Ed),'Geo Shear'!w_Ed&gt;=0,FALSE),TRUE),IF('Geo Shear'!sh_mem="Beam  (with links)",IF(ISNUMBER('Geo Shear'!f_ywk),'Geo Shear'!f_ywk&gt;0,FALSE),TRUE),OR(AND(ISNUMBER('Geo Shear'!phi_w),'Geo Shear'!phi_w=6),AND(ISNUMBER('Geo Shear'!phi_w),'Geo Shear'!phi_w=8),AND(ISNUMBER('Geo Shear'!phi_w),'Geo Shear'!phi_w=10),AND(ISNUMBER('Geo Shear'!phi_w),'Geo Shear'!phi_w=12),AND(ISNUMBER('Geo Shear'!phi_w),'Geo Shear'!phi_w=16)),IF('Geo Shear'!sh_mem="Beam  (with links)",IF(ISNUMBER('Geo Shear'!n_legs),'Geo Shear'!n_legs&gt;0,FALSE),TRUE),IF('Geo Shear'!sh_mem="Beam  (with links)",IF(ISNUMBER('Geo Shear'!s_link),'Geo Shear'!s_link&gt;0,FALSE),TRUE),IF('Geo Shear'!sh_mem="Beam  (with links)",IF(ISNUMBER('Geo Shear'!c_nom),'Geo Shear'!c_nom&gt;0,FALSE),TRUE),AND('Geo Shear'!d_eff&lt;'Geo Shear'!h_sec,IF('Geo Shear'!sh_mem="Beam  (with links)",AND('Geo Shear'!f_ywk&gt;=250,'Geo Shear'!f_ywk&lt;=500,'Geo Shear'!n_legs&gt;=2,INT('Geo Shear'!n_legs)='Geo Shear'!n_legs,'Geo Shear'!b_w&gt;2*'Geo Shear'!c_nom+2*'Geo Shear'!phi_w,'Geo Shear'!h_sec&gt;2*'Geo Shear'!c_nom+2*'Geo Shear'!phi_w,'Geo Shear'!h_sec-'Geo Shear'!d_eff&gt;'Geo Shear'!c_nom+'Geo Shear'!phi_w),TRUE))),FALSE)</definedName>
    <definedName name="input_status" localSheetId="8">'Shear'!$G$28</definedName>
    <definedName name="is_beam" localSheetId="8">'Geo Shear'!sh_mem="Beam  (with links)"</definedName>
    <definedName name="udl" localSheetId="8">'Geo Shear'!sh_load="Uniformly distributed"</definedName>
    <definedName name="crush_ok" localSheetId="8">IFERROR('Geo Shear'!V_Ed&lt;='Geo Shear'!V_Rdmax,FALSE)</definedName>
    <definedName name="shear_ok" localSheetId="8">IFERROR(IF('Geo Shear'!is_beam,'Geo Shear'!Asw_prov&gt;='Geo Shear'!Asw_need,'Geo Shear'!V_Edd&lt;='Geo Shear'!V_Rdc),FALSE)</definedName>
    <definedName name="sp_ok" localSheetId="8">IFERROR(IF('Geo Shear'!is_beam,AND('Geo Shear'!s_link&lt;='Geo Shear'!s_lmax,'Geo Shear'!s_t&lt;='Geo Shear'!s_tmax,'Geo Shear'!s_link-'Geo Shear'!phi_w&gt;='Geo Shear'!a_lk,'Geo Shear'!s_t-'Geo Shear'!phi_w&gt;='Geo Shear'!a_lk),TRUE),FALSE)</definedName>
    <definedName name="crush_status" localSheetId="8">'Shear'!$G$31</definedName>
    <definedName name="shear_status" localSheetId="8">'Shear'!$G$32</definedName>
    <definedName name="sp_status" localSheetId="8">'Shear'!$G$33</definedName>
    <definedName name="gamma_c" localSheetId="8">'Shear'!$E$56</definedName>
    <definedName name="gamma_s" localSheetId="8">'Shear'!$E$57</definedName>
    <definedName name="alpha_cc_shear" localSheetId="8">'Shear'!$E$58</definedName>
    <definedName name="C_Rdc" localSheetId="8">'Shear'!$E$59</definedName>
    <definedName name="cot_max" localSheetId="8">'Shear'!$E$60</definedName>
    <definedName name="f_ck" localSheetId="8">'Shear'!$E$61</definedName>
    <definedName name="f_ctm" localSheetId="8">'Shear'!$E$62</definedName>
    <definedName name="V_Edd" localSheetId="8">'Shear'!$E$63</definedName>
    <definedName name="k_size" localSheetId="8">'Shear'!$E$64</definedName>
    <definedName name="rho_l" localSheetId="8">'Shear'!$E$65</definedName>
    <definedName name="v_min" localSheetId="8">'Shear'!$E$66</definedName>
    <definedName name="V_Rdc" localSheetId="8">'Shear'!$E$67</definedName>
    <definedName name="nu_1" localSheetId="8">'Shear'!$E$68</definedName>
    <definedName name="f_cdv" localSheetId="8">'Shear'!$E$69</definedName>
    <definedName name="z_v" localSheetId="8">'Shear'!$E$70</definedName>
    <definedName name="ratio_v" localSheetId="8">'Shear'!$E$71</definedName>
    <definedName name="cot_theta" localSheetId="8">'Shear'!$E$72</definedName>
    <definedName name="V_Rdmax" localSheetId="8">'Shear'!$E$73</definedName>
    <definedName name="chk_crush" localSheetId="8">'Shear'!$G$74</definedName>
    <definedName name="f_ywd" localSheetId="8">'Shear'!$E$77</definedName>
    <definedName name="Asw_req" localSheetId="8">'Shear'!$E$78</definedName>
    <definedName name="Asw_min" localSheetId="8">'Shear'!$E$79</definedName>
    <definedName name="Asw_need" localSheetId="8">'Shear'!$E$80</definedName>
    <definedName name="Asw_prov" localSheetId="8">'Shear'!$E$81</definedName>
    <definedName name="V_Rds" localSheetId="8">'Shear'!$E$82</definedName>
    <definedName name="chk_shear" localSheetId="8">'Shear'!$G$83</definedName>
    <definedName name="s_lmax" localSheetId="8">'Shear'!$E$84</definedName>
    <definedName name="s_tmax" localSheetId="8">'Shear'!$E$85</definedName>
    <definedName name="s_t" localSheetId="8">'Shear'!$E$86</definedName>
    <definedName name="a_lk" localSheetId="8">'Shear'!$E$87</definedName>
    <definedName name="chk_sp" localSheetId="8">'Shear'!$G$88</definedName>
    <definedName name="dFtd" localSheetId="8">'Shear'!$E$89</definedName>
    <definedName name="ndp_gamma_c" localSheetId="8">INDEX('NDP'!$D$6:$E$6,'Geo Shear'!na_idx)</definedName>
    <definedName name="ndp_gamma_s" localSheetId="8">INDEX('NDP'!$D$7:$E$7,'Geo Shear'!na_idx)</definedName>
    <definedName name="ndp_alpha_cc" localSheetId="8">INDEX('NDP'!$D$8:$E$8,'Geo Shear'!na_idx)</definedName>
    <definedName name="ndp_alpha_cc_pl" localSheetId="8">INDEX('NDP'!$D$9:$E$9,'Geo Shear'!na_idx)</definedName>
    <definedName name="ndp_alpha_cc_shear" localSheetId="8">INDEX('NDP'!$D$10:$E$10,'Geo Shear'!na_idx)</definedName>
    <definedName name="ndp_alpha_ct" localSheetId="8">INDEX('NDP'!$D$11:$E$11,'Geo Shear'!na_idx)</definedName>
    <definedName name="ndp_C_Rdc" localSheetId="8">INDEX('NDP'!$D$12:$E$12,'Geo Shear'!na_idx)</definedName>
    <definedName name="ndp_k1_p" localSheetId="8">INDEX('NDP'!$D$13:$E$13,'Geo Shear'!na_idx)</definedName>
    <definedName name="ndp_vmax" localSheetId="8">INDEX('NDP'!$D$14:$E$14,'Geo Shear'!na_idx)</definedName>
    <definedName name="ndp_kmax" localSheetId="8">INDEX('NDP'!$D$15:$E$15,'Geo Shear'!na_idx)</definedName>
    <definedName name="ndp_phi_large" localSheetId="8">INDEX('NDP'!$D$16:$E$16,'Geo Shear'!na_idx)</definedName>
    <definedName name="ndp_cot_max" localSheetId="8">INDEX('NDP'!$D$17:$E$17,'Geo Shear'!na_idx)</definedName>
    <definedName name="ndp_k1_red" localSheetId="8">INDEX('NDP'!$D$18:$E$18,'Geo Shear'!na_idx)</definedName>
    <definedName name="ndp_k2_red" localSheetId="8">INDEX('NDP'!$D$19:$E$19,'Geo Shear'!na_idx)</definedName>
    <definedName name="ndp_ld_mod_max" localSheetId="8">INDEX('NDP'!$D$20:$E$20,'Geo Shear'!na_idx)</definedName>
    <definedName name="ndp_ld_cap_40K" localSheetId="8">INDEX('NDP'!$D$21:$E$21,'Geo Shear'!na_idx)</definedName>
    <definedName name="ndp_phi_min_col" localSheetId="8">INDEX('NDP'!$D$22:$E$22,'Geo Shear'!na_idx)</definedName>
    <definedName name="ndp_k3" localSheetId="8">INDEX('NDP'!$D$23:$E$23,'Geo Shear'!na_idx)</definedName>
    <definedName name="ndp_k4" localSheetId="8">INDEX('NDP'!$D$24:$E$24,'Geo Shear'!na_idx)</definedName>
    <definedName name="ndp_k1_sl" localSheetId="8">INDEX('NDP'!$D$25:$E$25,'Geo Shear'!na_idx)</definedName>
    <definedName name="ndp_k2_sl" localSheetId="8">INDEX('NDP'!$D$26:$E$26,'Geo Shear'!na_idx)</definedName>
    <definedName name="ndp_k3_sl" localSheetId="8">INDEX('NDP'!$D$27:$E$27,'Geo Shear'!na_idx)</definedName>
    <definedName name="ndp_k4_sl" localSheetId="8">INDEX('NDP'!$D$28:$E$28,'Geo Shear'!na_idx)</definedName>
    <definedName name="na_idx" localSheetId="8">IF('Geo Shear'!NA_sel="PL NA (PN-EN)",2,IF('Geo Shear'!NA_sel="UK NA (BS EN)",1,NA()))</definedName>
    <definedName name="NA_sel" localSheetId="9">'Column'!$E$11</definedName>
    <definedName name="conc_class" localSheetId="9">'Column'!$E$12</definedName>
    <definedName name="f_yk" localSheetId="9">'Column'!$E$13</definedName>
    <definedName name="d_g" localSheetId="9">'Column'!$E$14</definedName>
    <definedName name="b_col" localSheetId="9">'Column'!$E$15</definedName>
    <definedName name="h_col" localSheetId="9">'Column'!$E$16</definedName>
    <definedName name="c_nom" localSheetId="9">'Column'!$E$17</definedName>
    <definedName name="phi_w" localSheetId="9">'Column'!$E$18</definedName>
    <definedName name="s_w" localSheetId="9">'Column'!$E$19</definedName>
    <definedName name="phi_c" localSheetId="9">'Column'!$E$20</definedName>
    <definedName name="n_f" localSheetId="9">'Column'!$E$21</definedName>
    <definedName name="N_Ed" localSheetId="9">'Column'!$E$24</definedName>
    <definedName name="M_Ed" localSheetId="9">'Column'!$E$25</definedName>
    <definedName name="inputs_ok" localSheetId="9">IFERROR(AND(OR('Column'!NA_sel="UK NA (BS EN)",'Column'!NA_sel="PL NA (PN-EN)"),OR('Column'!conc_class="C20/25",'Column'!conc_class="C25/30",'Column'!conc_class="C28/35",'Column'!conc_class="C30/37",'Column'!conc_class="C32/40",'Column'!conc_class="C35/45",'Column'!conc_class="C40/50",'Column'!conc_class="C45/55",'Column'!conc_class="C50/60"),ISNUMBER('Column'!f_yk),'Column'!f_yk&gt;0,ISNUMBER('Column'!d_g),'Column'!d_g&gt;0,ISNUMBER('Column'!b_col),'Column'!b_col&gt;0,ISNUMBER('Column'!h_col),'Column'!h_col&gt;0,ISNUMBER('Column'!c_nom),'Column'!c_nom&gt;0,OR(AND(ISNUMBER('Column'!phi_w),'Column'!phi_w=6),AND(ISNUMBER('Column'!phi_w),'Column'!phi_w=8),AND(ISNUMBER('Column'!phi_w),'Column'!phi_w=10),AND(ISNUMBER('Column'!phi_w),'Column'!phi_w=12)),ISNUMBER('Column'!s_w),'Column'!s_w&gt;0,OR(AND(ISNUMBER('Column'!phi_c),'Column'!phi_c=6),AND(ISNUMBER('Column'!phi_c),'Column'!phi_c=8),AND(ISNUMBER('Column'!phi_c),'Column'!phi_c=10),AND(ISNUMBER('Column'!phi_c),'Column'!phi_c=12),AND(ISNUMBER('Column'!phi_c),'Column'!phi_c=16),AND(ISNUMBER('Column'!phi_c),'Column'!phi_c=20),AND(ISNUMBER('Column'!phi_c),'Column'!phi_c=25),AND(ISNUMBER('Column'!phi_c),'Column'!phi_c=32),AND(ISNUMBER('Column'!phi_c),'Column'!phi_c=40)),OR(AND(ISNUMBER('Column'!n_f),'Column'!n_f=2),AND(ISNUMBER('Column'!n_f),'Column'!n_f=3),AND(ISNUMBER('Column'!n_f),'Column'!n_f=4),AND(ISNUMBER('Column'!n_f),'Column'!n_f=5),AND(ISNUMBER('Column'!n_f),'Column'!n_f=6),AND(ISNUMBER('Column'!n_f),'Column'!n_f=7),AND(ISNUMBER('Column'!n_f),'Column'!n_f=8),AND(ISNUMBER('Column'!n_f),'Column'!n_f=9),AND(ISNUMBER('Column'!n_f),'Column'!n_f=10)),ISNUMBER('Column'!N_Ed),'Column'!N_Ed&gt;=0,ISNUMBER('Column'!M_Ed),'Column'!M_Ed&gt;=0,AND('Column'!f_yk&gt;=400,'Column'!f_yk&lt;=500,MAX('Column'!b_col,'Column'!h_col)&lt;=4*MIN('Column'!b_col,'Column'!h_col),'Column'!b_col&gt;2*('Column'!c_nom+'Column'!phi_w)+'Column'!n_f*'Column'!phi_c,'Column'!h_col&gt;2*('Column'!c_nom+'Column'!phi_w+'Column'!phi_c))),FALSE)</definedName>
    <definedName name="input_status" localSheetId="9">'Column'!$G$26</definedName>
    <definedName name="d_2" localSheetId="9">'Column'!c_nom+'Column'!phi_w+'Column'!phi_c/2</definedName>
    <definedName name="bend_ok" localSheetId="9">IFERROR(AND(ISNUMBER('Column'!As_req),'Column'!A_sprov&gt;='Column'!As_req,'Column'!MRd_prov&gt;='Column'!M_d),FALSE)</definedName>
    <definedName name="axial_ok" localSheetId="9">IFERROR('Column'!N_Ed&lt;='Column'!N_Rdmax,FALSE)</definedName>
    <definedName name="det_ok" localSheetId="9">IFERROR(AND('Column'!A_sprov&gt;='Column'!A_smin,'Column'!A_sprov&lt;='Column'!A_smax,'Column'!phi_c&gt;='Column'!phi_min_col,'Column'!gap_b&gt;='Column'!gap_min,'Column'!gap_h&gt;='Column'!gap_min,'Column'!phi_w&gt;='Column'!phi_wmin,'Column'!s_w&lt;='Column'!s_wmax),FALSE)</definedName>
    <definedName name="bend_status" localSheetId="9">'Column'!$G$29</definedName>
    <definedName name="mrd_status" localSheetId="9">'Column'!$G$30</definedName>
    <definedName name="axial_status" localSheetId="9">'Column'!$G$31</definedName>
    <definedName name="det_status" localSheetId="9">'Column'!$G$32</definedName>
    <definedName name="gamma_c" localSheetId="9">'Column'!$E$55</definedName>
    <definedName name="gamma_s" localSheetId="9">'Column'!$E$56</definedName>
    <definedName name="alpha_cc" localSheetId="9">'Column'!$E$57</definedName>
    <definedName name="phi_min_col" localSheetId="9">'Column'!$E$58</definedName>
    <definedName name="f_ck" localSheetId="9">'Column'!$E$59</definedName>
    <definedName name="f_ctm" localSheetId="9">'Column'!$E$60</definedName>
    <definedName name="f_cd" localSheetId="9">'Column'!$E$61</definedName>
    <definedName name="f_yd" localSheetId="9">'Column'!$E$62</definedName>
    <definedName name="A_c" localSheetId="9">'Column'!$E$63</definedName>
    <definedName name="e_0" localSheetId="9">'Column'!$E$65</definedName>
    <definedName name="M_d" localSheetId="9">'Column'!$E$66</definedName>
    <definedName name="As_top" localSheetId="9">'Column'!$E$69</definedName>
    <definedName name="As_req" localSheetId="9">'Column'!$E$71</definedName>
    <definedName name="A_sprov" localSheetId="9">'Column'!$E$72</definedName>
    <definedName name="N_Rdmax" localSheetId="9">'Column'!$E$74</definedName>
    <definedName name="chk_bend" localSheetId="9">'Column'!$G$75</definedName>
    <definedName name="chk_axial" localSheetId="9">'Column'!$G$76</definedName>
    <definedName name="A_smin" localSheetId="9">'Column'!$E$79</definedName>
    <definedName name="A_smax" localSheetId="9">'Column'!$E$80</definedName>
    <definedName name="gap_min" localSheetId="9">'Column'!$E$81</definedName>
    <definedName name="gap_b" localSheetId="9">'Column'!$E$82</definedName>
    <definedName name="gap_h" localSheetId="9">'Column'!$E$83</definedName>
    <definedName name="phi_wmin" localSheetId="9">'Column'!$E$84</definedName>
    <definedName name="s_wmax" localSheetId="9">'Column'!$E$85</definedName>
    <definedName name="chk_det" localSheetId="9">'Column'!$G$86</definedName>
    <definedName name="MRd_top" localSheetId="9">'Iter Column'!$HA$3</definedName>
    <definedName name="MRd_prov" localSheetId="9">'Iter Column'!$HA$4</definedName>
    <definedName name="x_prov" localSheetId="9">'Iter Column'!$GW$4</definedName>
    <definedName name="ok_prov" localSheetId="9">'Iter Column'!$GZ$4</definedName>
    <definedName name="As_hi" localSheetId="9">'Iter Column'!$C$45</definedName>
    <definedName name="MRd_hi" localSheetId="9">'Iter Column'!$HA$45</definedName>
    <definedName name="ndp_gamma_c" localSheetId="9">INDEX('NDP'!$D$6:$E$6,'Column'!na_idx)</definedName>
    <definedName name="ndp_gamma_s" localSheetId="9">INDEX('NDP'!$D$7:$E$7,'Column'!na_idx)</definedName>
    <definedName name="ndp_alpha_cc" localSheetId="9">INDEX('NDP'!$D$8:$E$8,'Column'!na_idx)</definedName>
    <definedName name="ndp_alpha_cc_pl" localSheetId="9">INDEX('NDP'!$D$9:$E$9,'Column'!na_idx)</definedName>
    <definedName name="ndp_alpha_cc_shear" localSheetId="9">INDEX('NDP'!$D$10:$E$10,'Column'!na_idx)</definedName>
    <definedName name="ndp_alpha_ct" localSheetId="9">INDEX('NDP'!$D$11:$E$11,'Column'!na_idx)</definedName>
    <definedName name="ndp_C_Rdc" localSheetId="9">INDEX('NDP'!$D$12:$E$12,'Column'!na_idx)</definedName>
    <definedName name="ndp_k1_p" localSheetId="9">INDEX('NDP'!$D$13:$E$13,'Column'!na_idx)</definedName>
    <definedName name="ndp_vmax" localSheetId="9">INDEX('NDP'!$D$14:$E$14,'Column'!na_idx)</definedName>
    <definedName name="ndp_kmax" localSheetId="9">INDEX('NDP'!$D$15:$E$15,'Column'!na_idx)</definedName>
    <definedName name="ndp_phi_large" localSheetId="9">INDEX('NDP'!$D$16:$E$16,'Column'!na_idx)</definedName>
    <definedName name="ndp_cot_max" localSheetId="9">INDEX('NDP'!$D$17:$E$17,'Column'!na_idx)</definedName>
    <definedName name="ndp_k1_red" localSheetId="9">INDEX('NDP'!$D$18:$E$18,'Column'!na_idx)</definedName>
    <definedName name="ndp_k2_red" localSheetId="9">INDEX('NDP'!$D$19:$E$19,'Column'!na_idx)</definedName>
    <definedName name="ndp_ld_mod_max" localSheetId="9">INDEX('NDP'!$D$20:$E$20,'Column'!na_idx)</definedName>
    <definedName name="ndp_ld_cap_40K" localSheetId="9">INDEX('NDP'!$D$21:$E$21,'Column'!na_idx)</definedName>
    <definedName name="ndp_phi_min_col" localSheetId="9">INDEX('NDP'!$D$22:$E$22,'Column'!na_idx)</definedName>
    <definedName name="ndp_k3" localSheetId="9">INDEX('NDP'!$D$23:$E$23,'Column'!na_idx)</definedName>
    <definedName name="ndp_k4" localSheetId="9">INDEX('NDP'!$D$24:$E$24,'Column'!na_idx)</definedName>
    <definedName name="ndp_k1_sl" localSheetId="9">INDEX('NDP'!$D$25:$E$25,'Column'!na_idx)</definedName>
    <definedName name="ndp_k2_sl" localSheetId="9">INDEX('NDP'!$D$26:$E$26,'Column'!na_idx)</definedName>
    <definedName name="ndp_k3_sl" localSheetId="9">INDEX('NDP'!$D$27:$E$27,'Column'!na_idx)</definedName>
    <definedName name="ndp_k4_sl" localSheetId="9">INDEX('NDP'!$D$28:$E$28,'Column'!na_idx)</definedName>
    <definedName name="na_idx" localSheetId="9">IF('Column'!NA_sel="PL NA (PN-EN)",2,IF('Column'!NA_sel="UK NA (BS EN)",1,NA()))</definedName>
    <definedName name="_xlnm.Print_Area" localSheetId="9">'Column'!$A$1:$H$90</definedName>
    <definedName name="NA_sel" localSheetId="10">'Column'!$E$11</definedName>
    <definedName name="conc_class" localSheetId="10">'Column'!$E$12</definedName>
    <definedName name="f_yk" localSheetId="10">'Column'!$E$13</definedName>
    <definedName name="d_g" localSheetId="10">'Column'!$E$14</definedName>
    <definedName name="b_col" localSheetId="10">'Column'!$E$15</definedName>
    <definedName name="h_col" localSheetId="10">'Column'!$E$16</definedName>
    <definedName name="c_nom" localSheetId="10">'Column'!$E$17</definedName>
    <definedName name="phi_w" localSheetId="10">'Column'!$E$18</definedName>
    <definedName name="s_w" localSheetId="10">'Column'!$E$19</definedName>
    <definedName name="phi_c" localSheetId="10">'Column'!$E$20</definedName>
    <definedName name="n_f" localSheetId="10">'Column'!$E$21</definedName>
    <definedName name="N_Ed" localSheetId="10">'Column'!$E$24</definedName>
    <definedName name="M_Ed" localSheetId="10">'Column'!$E$25</definedName>
    <definedName name="inputs_ok" localSheetId="10">IFERROR(AND(OR('Geo Column'!NA_sel="UK NA (BS EN)",'Geo Column'!NA_sel="PL NA (PN-EN)"),OR('Geo Column'!conc_class="C20/25",'Geo Column'!conc_class="C25/30",'Geo Column'!conc_class="C28/35",'Geo Column'!conc_class="C30/37",'Geo Column'!conc_class="C32/40",'Geo Column'!conc_class="C35/45",'Geo Column'!conc_class="C40/50",'Geo Column'!conc_class="C45/55",'Geo Column'!conc_class="C50/60"),ISNUMBER('Geo Column'!f_yk),'Geo Column'!f_yk&gt;0,ISNUMBER('Geo Column'!d_g),'Geo Column'!d_g&gt;0,ISNUMBER('Geo Column'!b_col),'Geo Column'!b_col&gt;0,ISNUMBER('Geo Column'!h_col),'Geo Column'!h_col&gt;0,ISNUMBER('Geo Column'!c_nom),'Geo Column'!c_nom&gt;0,OR(AND(ISNUMBER('Geo Column'!phi_w),'Geo Column'!phi_w=6),AND(ISNUMBER('Geo Column'!phi_w),'Geo Column'!phi_w=8),AND(ISNUMBER('Geo Column'!phi_w),'Geo Column'!phi_w=10),AND(ISNUMBER('Geo Column'!phi_w),'Geo Column'!phi_w=12)),ISNUMBER('Geo Column'!s_w),'Geo Column'!s_w&gt;0,OR(AND(ISNUMBER('Geo Column'!phi_c),'Geo Column'!phi_c=6),AND(ISNUMBER('Geo Column'!phi_c),'Geo Column'!phi_c=8),AND(ISNUMBER('Geo Column'!phi_c),'Geo Column'!phi_c=10),AND(ISNUMBER('Geo Column'!phi_c),'Geo Column'!phi_c=12),AND(ISNUMBER('Geo Column'!phi_c),'Geo Column'!phi_c=16),AND(ISNUMBER('Geo Column'!phi_c),'Geo Column'!phi_c=20),AND(ISNUMBER('Geo Column'!phi_c),'Geo Column'!phi_c=25),AND(ISNUMBER('Geo Column'!phi_c),'Geo Column'!phi_c=32),AND(ISNUMBER('Geo Column'!phi_c),'Geo Column'!phi_c=40)),OR(AND(ISNUMBER('Geo Column'!n_f),'Geo Column'!n_f=2),AND(ISNUMBER('Geo Column'!n_f),'Geo Column'!n_f=3),AND(ISNUMBER('Geo Column'!n_f),'Geo Column'!n_f=4),AND(ISNUMBER('Geo Column'!n_f),'Geo Column'!n_f=5),AND(ISNUMBER('Geo Column'!n_f),'Geo Column'!n_f=6),AND(ISNUMBER('Geo Column'!n_f),'Geo Column'!n_f=7),AND(ISNUMBER('Geo Column'!n_f),'Geo Column'!n_f=8),AND(ISNUMBER('Geo Column'!n_f),'Geo Column'!n_f=9),AND(ISNUMBER('Geo Column'!n_f),'Geo Column'!n_f=10)),ISNUMBER('Geo Column'!N_Ed),'Geo Column'!N_Ed&gt;=0,ISNUMBER('Geo Column'!M_Ed),'Geo Column'!M_Ed&gt;=0,AND('Geo Column'!f_yk&gt;=400,'Geo Column'!f_yk&lt;=500,MAX('Geo Column'!b_col,'Geo Column'!h_col)&lt;=4*MIN('Geo Column'!b_col,'Geo Column'!h_col),'Geo Column'!b_col&gt;2*('Geo Column'!c_nom+'Geo Column'!phi_w)+'Geo Column'!n_f*'Geo Column'!phi_c,'Geo Column'!h_col&gt;2*('Geo Column'!c_nom+'Geo Column'!phi_w+'Geo Column'!phi_c))),FALSE)</definedName>
    <definedName name="input_status" localSheetId="10">'Column'!$G$26</definedName>
    <definedName name="d_2" localSheetId="10">'Geo Column'!c_nom+'Geo Column'!phi_w+'Geo Column'!phi_c/2</definedName>
    <definedName name="bend_ok" localSheetId="10">IFERROR(AND(ISNUMBER('Geo Column'!As_req),'Geo Column'!A_sprov&gt;='Geo Column'!As_req,'Geo Column'!MRd_prov&gt;='Geo Column'!M_d),FALSE)</definedName>
    <definedName name="axial_ok" localSheetId="10">IFERROR('Geo Column'!N_Ed&lt;='Geo Column'!N_Rdmax,FALSE)</definedName>
    <definedName name="det_ok" localSheetId="10">IFERROR(AND('Geo Column'!A_sprov&gt;='Geo Column'!A_smin,'Geo Column'!A_sprov&lt;='Geo Column'!A_smax,'Geo Column'!phi_c&gt;='Geo Column'!phi_min_col,'Geo Column'!gap_b&gt;='Geo Column'!gap_min,'Geo Column'!gap_h&gt;='Geo Column'!gap_min,'Geo Column'!phi_w&gt;='Geo Column'!phi_wmin,'Geo Column'!s_w&lt;='Geo Column'!s_wmax),FALSE)</definedName>
    <definedName name="bend_status" localSheetId="10">'Column'!$G$29</definedName>
    <definedName name="mrd_status" localSheetId="10">'Column'!$G$30</definedName>
    <definedName name="axial_status" localSheetId="10">'Column'!$G$31</definedName>
    <definedName name="det_status" localSheetId="10">'Column'!$G$32</definedName>
    <definedName name="gamma_c" localSheetId="10">'Column'!$E$55</definedName>
    <definedName name="gamma_s" localSheetId="10">'Column'!$E$56</definedName>
    <definedName name="alpha_cc" localSheetId="10">'Column'!$E$57</definedName>
    <definedName name="phi_min_col" localSheetId="10">'Column'!$E$58</definedName>
    <definedName name="f_ck" localSheetId="10">'Column'!$E$59</definedName>
    <definedName name="f_ctm" localSheetId="10">'Column'!$E$60</definedName>
    <definedName name="f_cd" localSheetId="10">'Column'!$E$61</definedName>
    <definedName name="f_yd" localSheetId="10">'Column'!$E$62</definedName>
    <definedName name="A_c" localSheetId="10">'Column'!$E$63</definedName>
    <definedName name="e_0" localSheetId="10">'Column'!$E$65</definedName>
    <definedName name="M_d" localSheetId="10">'Column'!$E$66</definedName>
    <definedName name="As_top" localSheetId="10">'Column'!$E$69</definedName>
    <definedName name="As_req" localSheetId="10">'Column'!$E$71</definedName>
    <definedName name="A_sprov" localSheetId="10">'Column'!$E$72</definedName>
    <definedName name="N_Rdmax" localSheetId="10">'Column'!$E$74</definedName>
    <definedName name="chk_bend" localSheetId="10">'Column'!$G$75</definedName>
    <definedName name="chk_axial" localSheetId="10">'Column'!$G$76</definedName>
    <definedName name="A_smin" localSheetId="10">'Column'!$E$79</definedName>
    <definedName name="A_smax" localSheetId="10">'Column'!$E$80</definedName>
    <definedName name="gap_min" localSheetId="10">'Column'!$E$81</definedName>
    <definedName name="gap_b" localSheetId="10">'Column'!$E$82</definedName>
    <definedName name="gap_h" localSheetId="10">'Column'!$E$83</definedName>
    <definedName name="phi_wmin" localSheetId="10">'Column'!$E$84</definedName>
    <definedName name="s_wmax" localSheetId="10">'Column'!$E$85</definedName>
    <definedName name="chk_det" localSheetId="10">'Column'!$G$86</definedName>
    <definedName name="MRd_top" localSheetId="10">'Iter Column'!$HA$3</definedName>
    <definedName name="MRd_prov" localSheetId="10">'Iter Column'!$HA$4</definedName>
    <definedName name="x_prov" localSheetId="10">'Iter Column'!$GW$4</definedName>
    <definedName name="ok_prov" localSheetId="10">'Iter Column'!$GZ$4</definedName>
    <definedName name="As_hi" localSheetId="10">'Iter Column'!$C$45</definedName>
    <definedName name="MRd_hi" localSheetId="10">'Iter Column'!$HA$45</definedName>
    <definedName name="ndp_gamma_c" localSheetId="10">INDEX('NDP'!$D$6:$E$6,'Geo Column'!na_idx)</definedName>
    <definedName name="ndp_gamma_s" localSheetId="10">INDEX('NDP'!$D$7:$E$7,'Geo Column'!na_idx)</definedName>
    <definedName name="ndp_alpha_cc" localSheetId="10">INDEX('NDP'!$D$8:$E$8,'Geo Column'!na_idx)</definedName>
    <definedName name="ndp_alpha_cc_pl" localSheetId="10">INDEX('NDP'!$D$9:$E$9,'Geo Column'!na_idx)</definedName>
    <definedName name="ndp_alpha_cc_shear" localSheetId="10">INDEX('NDP'!$D$10:$E$10,'Geo Column'!na_idx)</definedName>
    <definedName name="ndp_alpha_ct" localSheetId="10">INDEX('NDP'!$D$11:$E$11,'Geo Column'!na_idx)</definedName>
    <definedName name="ndp_C_Rdc" localSheetId="10">INDEX('NDP'!$D$12:$E$12,'Geo Column'!na_idx)</definedName>
    <definedName name="ndp_k1_p" localSheetId="10">INDEX('NDP'!$D$13:$E$13,'Geo Column'!na_idx)</definedName>
    <definedName name="ndp_vmax" localSheetId="10">INDEX('NDP'!$D$14:$E$14,'Geo Column'!na_idx)</definedName>
    <definedName name="ndp_kmax" localSheetId="10">INDEX('NDP'!$D$15:$E$15,'Geo Column'!na_idx)</definedName>
    <definedName name="ndp_phi_large" localSheetId="10">INDEX('NDP'!$D$16:$E$16,'Geo Column'!na_idx)</definedName>
    <definedName name="ndp_cot_max" localSheetId="10">INDEX('NDP'!$D$17:$E$17,'Geo Column'!na_idx)</definedName>
    <definedName name="ndp_k1_red" localSheetId="10">INDEX('NDP'!$D$18:$E$18,'Geo Column'!na_idx)</definedName>
    <definedName name="ndp_k2_red" localSheetId="10">INDEX('NDP'!$D$19:$E$19,'Geo Column'!na_idx)</definedName>
    <definedName name="ndp_ld_mod_max" localSheetId="10">INDEX('NDP'!$D$20:$E$20,'Geo Column'!na_idx)</definedName>
    <definedName name="ndp_ld_cap_40K" localSheetId="10">INDEX('NDP'!$D$21:$E$21,'Geo Column'!na_idx)</definedName>
    <definedName name="ndp_phi_min_col" localSheetId="10">INDEX('NDP'!$D$22:$E$22,'Geo Column'!na_idx)</definedName>
    <definedName name="ndp_k3" localSheetId="10">INDEX('NDP'!$D$23:$E$23,'Geo Column'!na_idx)</definedName>
    <definedName name="ndp_k4" localSheetId="10">INDEX('NDP'!$D$24:$E$24,'Geo Column'!na_idx)</definedName>
    <definedName name="ndp_k1_sl" localSheetId="10">INDEX('NDP'!$D$25:$E$25,'Geo Column'!na_idx)</definedName>
    <definedName name="ndp_k2_sl" localSheetId="10">INDEX('NDP'!$D$26:$E$26,'Geo Column'!na_idx)</definedName>
    <definedName name="ndp_k3_sl" localSheetId="10">INDEX('NDP'!$D$27:$E$27,'Geo Column'!na_idx)</definedName>
    <definedName name="ndp_k4_sl" localSheetId="10">INDEX('NDP'!$D$28:$E$28,'Geo Column'!na_idx)</definedName>
    <definedName name="na_idx" localSheetId="10">IF('Geo Column'!NA_sel="PL NA (PN-EN)",2,IF('Geo Column'!NA_sel="UK NA (BS EN)",1,NA()))</definedName>
    <definedName name="NA_sel" localSheetId="11">'Column'!$E$11</definedName>
    <definedName name="conc_class" localSheetId="11">'Column'!$E$12</definedName>
    <definedName name="f_yk" localSheetId="11">'Column'!$E$13</definedName>
    <definedName name="d_g" localSheetId="11">'Column'!$E$14</definedName>
    <definedName name="b_col" localSheetId="11">'Column'!$E$15</definedName>
    <definedName name="h_col" localSheetId="11">'Column'!$E$16</definedName>
    <definedName name="c_nom" localSheetId="11">'Column'!$E$17</definedName>
    <definedName name="phi_w" localSheetId="11">'Column'!$E$18</definedName>
    <definedName name="s_w" localSheetId="11">'Column'!$E$19</definedName>
    <definedName name="phi_c" localSheetId="11">'Column'!$E$20</definedName>
    <definedName name="n_f" localSheetId="11">'Column'!$E$21</definedName>
    <definedName name="N_Ed" localSheetId="11">'Column'!$E$24</definedName>
    <definedName name="M_Ed" localSheetId="11">'Column'!$E$25</definedName>
    <definedName name="inputs_ok" localSheetId="11">IFERROR(AND(OR('Iter Column'!NA_sel="UK NA (BS EN)",'Iter Column'!NA_sel="PL NA (PN-EN)"),OR('Iter Column'!conc_class="C20/25",'Iter Column'!conc_class="C25/30",'Iter Column'!conc_class="C28/35",'Iter Column'!conc_class="C30/37",'Iter Column'!conc_class="C32/40",'Iter Column'!conc_class="C35/45",'Iter Column'!conc_class="C40/50",'Iter Column'!conc_class="C45/55",'Iter Column'!conc_class="C50/60"),ISNUMBER('Iter Column'!f_yk),'Iter Column'!f_yk&gt;0,ISNUMBER('Iter Column'!d_g),'Iter Column'!d_g&gt;0,ISNUMBER('Iter Column'!b_col),'Iter Column'!b_col&gt;0,ISNUMBER('Iter Column'!h_col),'Iter Column'!h_col&gt;0,ISNUMBER('Iter Column'!c_nom),'Iter Column'!c_nom&gt;0,OR(AND(ISNUMBER('Iter Column'!phi_w),'Iter Column'!phi_w=6),AND(ISNUMBER('Iter Column'!phi_w),'Iter Column'!phi_w=8),AND(ISNUMBER('Iter Column'!phi_w),'Iter Column'!phi_w=10),AND(ISNUMBER('Iter Column'!phi_w),'Iter Column'!phi_w=12)),ISNUMBER('Iter Column'!s_w),'Iter Column'!s_w&gt;0,OR(AND(ISNUMBER('Iter Column'!phi_c),'Iter Column'!phi_c=6),AND(ISNUMBER('Iter Column'!phi_c),'Iter Column'!phi_c=8),AND(ISNUMBER('Iter Column'!phi_c),'Iter Column'!phi_c=10),AND(ISNUMBER('Iter Column'!phi_c),'Iter Column'!phi_c=12),AND(ISNUMBER('Iter Column'!phi_c),'Iter Column'!phi_c=16),AND(ISNUMBER('Iter Column'!phi_c),'Iter Column'!phi_c=20),AND(ISNUMBER('Iter Column'!phi_c),'Iter Column'!phi_c=25),AND(ISNUMBER('Iter Column'!phi_c),'Iter Column'!phi_c=32),AND(ISNUMBER('Iter Column'!phi_c),'Iter Column'!phi_c=40)),OR(AND(ISNUMBER('Iter Column'!n_f),'Iter Column'!n_f=2),AND(ISNUMBER('Iter Column'!n_f),'Iter Column'!n_f=3),AND(ISNUMBER('Iter Column'!n_f),'Iter Column'!n_f=4),AND(ISNUMBER('Iter Column'!n_f),'Iter Column'!n_f=5),AND(ISNUMBER('Iter Column'!n_f),'Iter Column'!n_f=6),AND(ISNUMBER('Iter Column'!n_f),'Iter Column'!n_f=7),AND(ISNUMBER('Iter Column'!n_f),'Iter Column'!n_f=8),AND(ISNUMBER('Iter Column'!n_f),'Iter Column'!n_f=9),AND(ISNUMBER('Iter Column'!n_f),'Iter Column'!n_f=10)),ISNUMBER('Iter Column'!N_Ed),'Iter Column'!N_Ed&gt;=0,ISNUMBER('Iter Column'!M_Ed),'Iter Column'!M_Ed&gt;=0,AND('Iter Column'!f_yk&gt;=400,'Iter Column'!f_yk&lt;=500,MAX('Iter Column'!b_col,'Iter Column'!h_col)&lt;=4*MIN('Iter Column'!b_col,'Iter Column'!h_col),'Iter Column'!b_col&gt;2*('Iter Column'!c_nom+'Iter Column'!phi_w)+'Iter Column'!n_f*'Iter Column'!phi_c,'Iter Column'!h_col&gt;2*('Iter Column'!c_nom+'Iter Column'!phi_w+'Iter Column'!phi_c))),FALSE)</definedName>
    <definedName name="input_status" localSheetId="11">'Column'!$G$26</definedName>
    <definedName name="d_2" localSheetId="11">'Iter Column'!c_nom+'Iter Column'!phi_w+'Iter Column'!phi_c/2</definedName>
    <definedName name="bend_ok" localSheetId="11">IFERROR(AND(ISNUMBER('Iter Column'!As_req),'Iter Column'!A_sprov&gt;='Iter Column'!As_req,'Iter Column'!MRd_prov&gt;='Iter Column'!M_d),FALSE)</definedName>
    <definedName name="axial_ok" localSheetId="11">IFERROR('Iter Column'!N_Ed&lt;='Iter Column'!N_Rdmax,FALSE)</definedName>
    <definedName name="det_ok" localSheetId="11">IFERROR(AND('Iter Column'!A_sprov&gt;='Iter Column'!A_smin,'Iter Column'!A_sprov&lt;='Iter Column'!A_smax,'Iter Column'!phi_c&gt;='Iter Column'!phi_min_col,'Iter Column'!gap_b&gt;='Iter Column'!gap_min,'Iter Column'!gap_h&gt;='Iter Column'!gap_min,'Iter Column'!phi_w&gt;='Iter Column'!phi_wmin,'Iter Column'!s_w&lt;='Iter Column'!s_wmax),FALSE)</definedName>
    <definedName name="bend_status" localSheetId="11">'Column'!$G$29</definedName>
    <definedName name="mrd_status" localSheetId="11">'Column'!$G$30</definedName>
    <definedName name="axial_status" localSheetId="11">'Column'!$G$31</definedName>
    <definedName name="det_status" localSheetId="11">'Column'!$G$32</definedName>
    <definedName name="gamma_c" localSheetId="11">'Column'!$E$55</definedName>
    <definedName name="gamma_s" localSheetId="11">'Column'!$E$56</definedName>
    <definedName name="alpha_cc" localSheetId="11">'Column'!$E$57</definedName>
    <definedName name="phi_min_col" localSheetId="11">'Column'!$E$58</definedName>
    <definedName name="f_ck" localSheetId="11">'Column'!$E$59</definedName>
    <definedName name="f_ctm" localSheetId="11">'Column'!$E$60</definedName>
    <definedName name="f_cd" localSheetId="11">'Column'!$E$61</definedName>
    <definedName name="f_yd" localSheetId="11">'Column'!$E$62</definedName>
    <definedName name="A_c" localSheetId="11">'Column'!$E$63</definedName>
    <definedName name="e_0" localSheetId="11">'Column'!$E$65</definedName>
    <definedName name="M_d" localSheetId="11">'Column'!$E$66</definedName>
    <definedName name="As_top" localSheetId="11">'Column'!$E$69</definedName>
    <definedName name="As_req" localSheetId="11">'Column'!$E$71</definedName>
    <definedName name="A_sprov" localSheetId="11">'Column'!$E$72</definedName>
    <definedName name="N_Rdmax" localSheetId="11">'Column'!$E$74</definedName>
    <definedName name="chk_bend" localSheetId="11">'Column'!$G$75</definedName>
    <definedName name="chk_axial" localSheetId="11">'Column'!$G$76</definedName>
    <definedName name="A_smin" localSheetId="11">'Column'!$E$79</definedName>
    <definedName name="A_smax" localSheetId="11">'Column'!$E$80</definedName>
    <definedName name="gap_min" localSheetId="11">'Column'!$E$81</definedName>
    <definedName name="gap_b" localSheetId="11">'Column'!$E$82</definedName>
    <definedName name="gap_h" localSheetId="11">'Column'!$E$83</definedName>
    <definedName name="phi_wmin" localSheetId="11">'Column'!$E$84</definedName>
    <definedName name="s_wmax" localSheetId="11">'Column'!$E$85</definedName>
    <definedName name="chk_det" localSheetId="11">'Column'!$G$86</definedName>
    <definedName name="MRd_top" localSheetId="11">'Iter Column'!$HA$3</definedName>
    <definedName name="MRd_prov" localSheetId="11">'Iter Column'!$HA$4</definedName>
    <definedName name="x_prov" localSheetId="11">'Iter Column'!$GW$4</definedName>
    <definedName name="ok_prov" localSheetId="11">'Iter Column'!$GZ$4</definedName>
    <definedName name="As_hi" localSheetId="11">'Iter Column'!$C$45</definedName>
    <definedName name="MRd_hi" localSheetId="11">'Iter Column'!$HA$45</definedName>
    <definedName name="ndp_gamma_c" localSheetId="11">INDEX('NDP'!$D$6:$E$6,'Iter Column'!na_idx)</definedName>
    <definedName name="ndp_gamma_s" localSheetId="11">INDEX('NDP'!$D$7:$E$7,'Iter Column'!na_idx)</definedName>
    <definedName name="ndp_alpha_cc" localSheetId="11">INDEX('NDP'!$D$8:$E$8,'Iter Column'!na_idx)</definedName>
    <definedName name="ndp_alpha_cc_pl" localSheetId="11">INDEX('NDP'!$D$9:$E$9,'Iter Column'!na_idx)</definedName>
    <definedName name="ndp_alpha_cc_shear" localSheetId="11">INDEX('NDP'!$D$10:$E$10,'Iter Column'!na_idx)</definedName>
    <definedName name="ndp_alpha_ct" localSheetId="11">INDEX('NDP'!$D$11:$E$11,'Iter Column'!na_idx)</definedName>
    <definedName name="ndp_C_Rdc" localSheetId="11">INDEX('NDP'!$D$12:$E$12,'Iter Column'!na_idx)</definedName>
    <definedName name="ndp_k1_p" localSheetId="11">INDEX('NDP'!$D$13:$E$13,'Iter Column'!na_idx)</definedName>
    <definedName name="ndp_vmax" localSheetId="11">INDEX('NDP'!$D$14:$E$14,'Iter Column'!na_idx)</definedName>
    <definedName name="ndp_kmax" localSheetId="11">INDEX('NDP'!$D$15:$E$15,'Iter Column'!na_idx)</definedName>
    <definedName name="ndp_phi_large" localSheetId="11">INDEX('NDP'!$D$16:$E$16,'Iter Column'!na_idx)</definedName>
    <definedName name="ndp_cot_max" localSheetId="11">INDEX('NDP'!$D$17:$E$17,'Iter Column'!na_idx)</definedName>
    <definedName name="ndp_k1_red" localSheetId="11">INDEX('NDP'!$D$18:$E$18,'Iter Column'!na_idx)</definedName>
    <definedName name="ndp_k2_red" localSheetId="11">INDEX('NDP'!$D$19:$E$19,'Iter Column'!na_idx)</definedName>
    <definedName name="ndp_ld_mod_max" localSheetId="11">INDEX('NDP'!$D$20:$E$20,'Iter Column'!na_idx)</definedName>
    <definedName name="ndp_ld_cap_40K" localSheetId="11">INDEX('NDP'!$D$21:$E$21,'Iter Column'!na_idx)</definedName>
    <definedName name="ndp_phi_min_col" localSheetId="11">INDEX('NDP'!$D$22:$E$22,'Iter Column'!na_idx)</definedName>
    <definedName name="ndp_k3" localSheetId="11">INDEX('NDP'!$D$23:$E$23,'Iter Column'!na_idx)</definedName>
    <definedName name="ndp_k4" localSheetId="11">INDEX('NDP'!$D$24:$E$24,'Iter Column'!na_idx)</definedName>
    <definedName name="ndp_k1_sl" localSheetId="11">INDEX('NDP'!$D$25:$E$25,'Iter Column'!na_idx)</definedName>
    <definedName name="ndp_k2_sl" localSheetId="11">INDEX('NDP'!$D$26:$E$26,'Iter Column'!na_idx)</definedName>
    <definedName name="ndp_k3_sl" localSheetId="11">INDEX('NDP'!$D$27:$E$27,'Iter Column'!na_idx)</definedName>
    <definedName name="ndp_k4_sl" localSheetId="11">INDEX('NDP'!$D$28:$E$28,'Iter Column'!na_idx)</definedName>
    <definedName name="na_idx" localSheetId="11">IF('Iter Column'!NA_sel="PL NA (PN-EN)",2,IF('Iter Column'!NA_sel="UK NA (BS EN)",1,NA()))</definedName>
    <definedName name="NA_sel" localSheetId="12">'Indirect'!$E$11</definedName>
    <definedName name="f_yk" localSheetId="12">'Indirect'!$E$12</definedName>
    <definedName name="V_Ed" localSheetId="12">'Indirect'!$E$13</definedName>
    <definedName name="b_1" localSheetId="12">'Indirect'!$E$14</definedName>
    <definedName name="h_1" localSheetId="12">'Indirect'!$E$15</definedName>
    <definedName name="b_2" localSheetId="12">'Indirect'!$E$16</definedName>
    <definedName name="h_2" localSheetId="12">'Indirect'!$E$17</definedName>
    <definedName name="c_A" localSheetId="12">'Indirect'!$E$18</definedName>
    <definedName name="phi_A" localSheetId="12">'Indirect'!$E$21</definedName>
    <definedName name="n_A" localSheetId="12">'Indirect'!$E$22</definedName>
    <definedName name="m_A" localSheetId="12">'Indirect'!$E$23</definedName>
    <definedName name="s_A" localSheetId="12">'Indirect'!$E$24</definedName>
    <definedName name="phi_B" localSheetId="12">'Indirect'!$E$25</definedName>
    <definedName name="n_B" localSheetId="12">'Indirect'!$E$26</definedName>
    <definedName name="m_B" localSheetId="12">'Indirect'!$E$27</definedName>
    <definedName name="s_B" localSheetId="12">'Indirect'!$E$28</definedName>
    <definedName name="inputs_ok" localSheetId="12">IFERROR(AND(OR('Indirect'!NA_sel="UK NA (BS EN)",'Indirect'!NA_sel="PL NA (PN-EN)"),ISNUMBER('Indirect'!f_yk),'Indirect'!f_yk&gt;0,ISNUMBER('Indirect'!V_Ed),'Indirect'!V_Ed&gt;=0,ISNUMBER('Indirect'!b_1),'Indirect'!b_1&gt;0,ISNUMBER('Indirect'!h_1),'Indirect'!h_1&gt;0,ISNUMBER('Indirect'!b_2),'Indirect'!b_2&gt;0,ISNUMBER('Indirect'!h_2),'Indirect'!h_2&gt;0,ISNUMBER('Indirect'!c_A),'Indirect'!c_A&gt;0,OR(AND(ISNUMBER('Indirect'!phi_A),'Indirect'!phi_A=8),AND(ISNUMBER('Indirect'!phi_A),'Indirect'!phi_A=10),AND(ISNUMBER('Indirect'!phi_A),'Indirect'!phi_A=12),AND(ISNUMBER('Indirect'!phi_A),'Indirect'!phi_A=16)),ISNUMBER('Indirect'!n_A),'Indirect'!n_A&gt;0,ISNUMBER('Indirect'!m_A),'Indirect'!m_A&gt;0,IF('Indirect'!m_A&gt;1,IF(ISNUMBER('Indirect'!s_A),'Indirect'!s_A&gt;0,FALSE),TRUE),OR(AND(ISNUMBER('Indirect'!phi_B),'Indirect'!phi_B=8),AND(ISNUMBER('Indirect'!phi_B),'Indirect'!phi_B=10),AND(ISNUMBER('Indirect'!phi_B),'Indirect'!phi_B=12),AND(ISNUMBER('Indirect'!phi_B),'Indirect'!phi_B=16)),IF('Indirect'!m_B&gt;0,IF(ISNUMBER('Indirect'!n_B),'Indirect'!n_B&gt;0,FALSE),TRUE),ISNUMBER('Indirect'!m_B),'Indirect'!m_B&gt;=0,IF('Indirect'!m_B&gt;1,IF(ISNUMBER('Indirect'!s_B),'Indirect'!s_B&gt;0,FALSE),TRUE),AND('Indirect'!f_yk&gt;=400,'Indirect'!f_yk&lt;=500,'Indirect'!h_2&lt;='Indirect'!h_1,INT('Indirect'!n_A)='Indirect'!n_A,'Indirect'!n_A&gt;=2,INT('Indirect'!m_A)='Indirect'!m_A,'Indirect'!m_A&lt;=20,INT('Indirect'!m_B)='Indirect'!m_B,'Indirect'!m_B&lt;=20,IF('Indirect'!m_B&gt;0,AND(INT('Indirect'!n_B)='Indirect'!n_B,'Indirect'!n_B&gt;=2),TRUE),'Indirect'!b_1&gt;2*'Indirect'!c_A+2*'Indirect'!phi_A,'Indirect'!b_2&gt;2*'Indirect'!c_A+2*'Indirect'!phi_B,'Indirect'!h_1&gt;2*'Indirect'!c_A+6*'Indirect'!phi_A,'Indirect'!h_2&gt;2*'Indirect'!c_A+6*'Indirect'!phi_B)),FALSE)</definedName>
    <definedName name="input_status" localSheetId="12">'Indirect'!$G$29</definedName>
    <definedName name="susp_ok" localSheetId="12">IFERROR('Indirect'!As_hprov&gt;='Indirect'!As_hreq,FALSE)</definedName>
    <definedName name="zone_ok" localSheetId="12">IFERROR(AND(IF('Indirect'!m_A&gt;1,('Indirect'!m_A-1)*'Indirect'!s_A,0)&lt;='Indirect'!b_2+2*'Indirect'!L_A,IF('Indirect'!m_B&lt;=1,TRUE,('Indirect'!m_B-1)*'Indirect'!s_B&lt;='Indirect'!L_B),OR('Indirect'!m_B=0,'Indirect'!L_B&gt;0),IF('Indirect'!m_A&lt;=1,TRUE,'Indirect'!s_A-'Indirect'!phi_A&gt;=MAX('Indirect'!phi_A,20)),('Indirect'!b_1-2*'Indirect'!c_A-'Indirect'!phi_A)/('Indirect'!n_A-1)-'Indirect'!phi_A&gt;=MAX('Indirect'!phi_A,20),IF('Indirect'!m_B=0,TRUE,('Indirect'!b_2-2*'Indirect'!c_A-'Indirect'!phi_B)/('Indirect'!n_B-1)-'Indirect'!phi_B&gt;=MAX('Indirect'!phi_B,20)),IF('Indirect'!m_B&lt;=1,TRUE,'Indirect'!s_B-'Indirect'!phi_B&gt;=MAX('Indirect'!phi_B,20))),FALSE)</definedName>
    <definedName name="susp_status" localSheetId="12">'Indirect'!$G$32</definedName>
    <definedName name="zone_status" localSheetId="12">'Indirect'!$G$33</definedName>
    <definedName name="gamma_s" localSheetId="12">'Indirect'!$E$57</definedName>
    <definedName name="f_yd" localSheetId="12">'Indirect'!$E$58</definedName>
    <definedName name="As_hreq" localSheetId="12">'Indirect'!$E$59</definedName>
    <definedName name="L_A" localSheetId="12">'Indirect'!$E$60</definedName>
    <definedName name="L_B" localSheetId="12">'Indirect'!$E$61</definedName>
    <definedName name="As_A" localSheetId="12">'Indirect'!$E$62</definedName>
    <definedName name="As_B" localSheetId="12">'Indirect'!$E$63</definedName>
    <definedName name="As_hprov" localSheetId="12">'Indirect'!$E$64</definedName>
    <definedName name="chk_susp" localSheetId="12">'Indirect'!$G$65</definedName>
    <definedName name="chk_zone" localSheetId="12">'Indirect'!$G$66</definedName>
    <definedName name="ndp_gamma_c" localSheetId="12">INDEX('NDP'!$D$6:$E$6,'Indirect'!na_idx)</definedName>
    <definedName name="ndp_gamma_s" localSheetId="12">INDEX('NDP'!$D$7:$E$7,'Indirect'!na_idx)</definedName>
    <definedName name="ndp_alpha_cc" localSheetId="12">INDEX('NDP'!$D$8:$E$8,'Indirect'!na_idx)</definedName>
    <definedName name="ndp_alpha_cc_pl" localSheetId="12">INDEX('NDP'!$D$9:$E$9,'Indirect'!na_idx)</definedName>
    <definedName name="ndp_alpha_cc_shear" localSheetId="12">INDEX('NDP'!$D$10:$E$10,'Indirect'!na_idx)</definedName>
    <definedName name="ndp_alpha_ct" localSheetId="12">INDEX('NDP'!$D$11:$E$11,'Indirect'!na_idx)</definedName>
    <definedName name="ndp_C_Rdc" localSheetId="12">INDEX('NDP'!$D$12:$E$12,'Indirect'!na_idx)</definedName>
    <definedName name="ndp_k1_p" localSheetId="12">INDEX('NDP'!$D$13:$E$13,'Indirect'!na_idx)</definedName>
    <definedName name="ndp_vmax" localSheetId="12">INDEX('NDP'!$D$14:$E$14,'Indirect'!na_idx)</definedName>
    <definedName name="ndp_kmax" localSheetId="12">INDEX('NDP'!$D$15:$E$15,'Indirect'!na_idx)</definedName>
    <definedName name="ndp_phi_large" localSheetId="12">INDEX('NDP'!$D$16:$E$16,'Indirect'!na_idx)</definedName>
    <definedName name="ndp_cot_max" localSheetId="12">INDEX('NDP'!$D$17:$E$17,'Indirect'!na_idx)</definedName>
    <definedName name="ndp_k1_red" localSheetId="12">INDEX('NDP'!$D$18:$E$18,'Indirect'!na_idx)</definedName>
    <definedName name="ndp_k2_red" localSheetId="12">INDEX('NDP'!$D$19:$E$19,'Indirect'!na_idx)</definedName>
    <definedName name="ndp_ld_mod_max" localSheetId="12">INDEX('NDP'!$D$20:$E$20,'Indirect'!na_idx)</definedName>
    <definedName name="ndp_ld_cap_40K" localSheetId="12">INDEX('NDP'!$D$21:$E$21,'Indirect'!na_idx)</definedName>
    <definedName name="ndp_phi_min_col" localSheetId="12">INDEX('NDP'!$D$22:$E$22,'Indirect'!na_idx)</definedName>
    <definedName name="ndp_k3" localSheetId="12">INDEX('NDP'!$D$23:$E$23,'Indirect'!na_idx)</definedName>
    <definedName name="ndp_k4" localSheetId="12">INDEX('NDP'!$D$24:$E$24,'Indirect'!na_idx)</definedName>
    <definedName name="ndp_k1_sl" localSheetId="12">INDEX('NDP'!$D$25:$E$25,'Indirect'!na_idx)</definedName>
    <definedName name="ndp_k2_sl" localSheetId="12">INDEX('NDP'!$D$26:$E$26,'Indirect'!na_idx)</definedName>
    <definedName name="ndp_k3_sl" localSheetId="12">INDEX('NDP'!$D$27:$E$27,'Indirect'!na_idx)</definedName>
    <definedName name="ndp_k4_sl" localSheetId="12">INDEX('NDP'!$D$28:$E$28,'Indirect'!na_idx)</definedName>
    <definedName name="na_idx" localSheetId="12">IF('Indirect'!NA_sel="PL NA (PN-EN)",2,IF('Indirect'!NA_sel="UK NA (BS EN)",1,NA()))</definedName>
    <definedName name="_xlnm.Print_Area" localSheetId="12">'Indirect'!$A$1:$H$70</definedName>
    <definedName name="NA_sel" localSheetId="13">'Indirect'!$E$11</definedName>
    <definedName name="f_yk" localSheetId="13">'Indirect'!$E$12</definedName>
    <definedName name="V_Ed" localSheetId="13">'Indirect'!$E$13</definedName>
    <definedName name="b_1" localSheetId="13">'Indirect'!$E$14</definedName>
    <definedName name="h_1" localSheetId="13">'Indirect'!$E$15</definedName>
    <definedName name="b_2" localSheetId="13">'Indirect'!$E$16</definedName>
    <definedName name="h_2" localSheetId="13">'Indirect'!$E$17</definedName>
    <definedName name="c_A" localSheetId="13">'Indirect'!$E$18</definedName>
    <definedName name="phi_A" localSheetId="13">'Indirect'!$E$21</definedName>
    <definedName name="n_A" localSheetId="13">'Indirect'!$E$22</definedName>
    <definedName name="m_A" localSheetId="13">'Indirect'!$E$23</definedName>
    <definedName name="s_A" localSheetId="13">'Indirect'!$E$24</definedName>
    <definedName name="phi_B" localSheetId="13">'Indirect'!$E$25</definedName>
    <definedName name="n_B" localSheetId="13">'Indirect'!$E$26</definedName>
    <definedName name="m_B" localSheetId="13">'Indirect'!$E$27</definedName>
    <definedName name="s_B" localSheetId="13">'Indirect'!$E$28</definedName>
    <definedName name="inputs_ok" localSheetId="13">IFERROR(AND(OR('Geo Indirect'!NA_sel="UK NA (BS EN)",'Geo Indirect'!NA_sel="PL NA (PN-EN)"),ISNUMBER('Geo Indirect'!f_yk),'Geo Indirect'!f_yk&gt;0,ISNUMBER('Geo Indirect'!V_Ed),'Geo Indirect'!V_Ed&gt;=0,ISNUMBER('Geo Indirect'!b_1),'Geo Indirect'!b_1&gt;0,ISNUMBER('Geo Indirect'!h_1),'Geo Indirect'!h_1&gt;0,ISNUMBER('Geo Indirect'!b_2),'Geo Indirect'!b_2&gt;0,ISNUMBER('Geo Indirect'!h_2),'Geo Indirect'!h_2&gt;0,ISNUMBER('Geo Indirect'!c_A),'Geo Indirect'!c_A&gt;0,OR(AND(ISNUMBER('Geo Indirect'!phi_A),'Geo Indirect'!phi_A=8),AND(ISNUMBER('Geo Indirect'!phi_A),'Geo Indirect'!phi_A=10),AND(ISNUMBER('Geo Indirect'!phi_A),'Geo Indirect'!phi_A=12),AND(ISNUMBER('Geo Indirect'!phi_A),'Geo Indirect'!phi_A=16)),ISNUMBER('Geo Indirect'!n_A),'Geo Indirect'!n_A&gt;0,ISNUMBER('Geo Indirect'!m_A),'Geo Indirect'!m_A&gt;0,IF('Geo Indirect'!m_A&gt;1,IF(ISNUMBER('Geo Indirect'!s_A),'Geo Indirect'!s_A&gt;0,FALSE),TRUE),OR(AND(ISNUMBER('Geo Indirect'!phi_B),'Geo Indirect'!phi_B=8),AND(ISNUMBER('Geo Indirect'!phi_B),'Geo Indirect'!phi_B=10),AND(ISNUMBER('Geo Indirect'!phi_B),'Geo Indirect'!phi_B=12),AND(ISNUMBER('Geo Indirect'!phi_B),'Geo Indirect'!phi_B=16)),IF('Geo Indirect'!m_B&gt;0,IF(ISNUMBER('Geo Indirect'!n_B),'Geo Indirect'!n_B&gt;0,FALSE),TRUE),ISNUMBER('Geo Indirect'!m_B),'Geo Indirect'!m_B&gt;=0,IF('Geo Indirect'!m_B&gt;1,IF(ISNUMBER('Geo Indirect'!s_B),'Geo Indirect'!s_B&gt;0,FALSE),TRUE),AND('Geo Indirect'!f_yk&gt;=400,'Geo Indirect'!f_yk&lt;=500,'Geo Indirect'!h_2&lt;='Geo Indirect'!h_1,INT('Geo Indirect'!n_A)='Geo Indirect'!n_A,'Geo Indirect'!n_A&gt;=2,INT('Geo Indirect'!m_A)='Geo Indirect'!m_A,'Geo Indirect'!m_A&lt;=20,INT('Geo Indirect'!m_B)='Geo Indirect'!m_B,'Geo Indirect'!m_B&lt;=20,IF('Geo Indirect'!m_B&gt;0,AND(INT('Geo Indirect'!n_B)='Geo Indirect'!n_B,'Geo Indirect'!n_B&gt;=2),TRUE),'Geo Indirect'!b_1&gt;2*'Geo Indirect'!c_A+2*'Geo Indirect'!phi_A,'Geo Indirect'!b_2&gt;2*'Geo Indirect'!c_A+2*'Geo Indirect'!phi_B,'Geo Indirect'!h_1&gt;2*'Geo Indirect'!c_A+6*'Geo Indirect'!phi_A,'Geo Indirect'!h_2&gt;2*'Geo Indirect'!c_A+6*'Geo Indirect'!phi_B)),FALSE)</definedName>
    <definedName name="input_status" localSheetId="13">'Indirect'!$G$29</definedName>
    <definedName name="susp_ok" localSheetId="13">IFERROR('Geo Indirect'!As_hprov&gt;='Geo Indirect'!As_hreq,FALSE)</definedName>
    <definedName name="zone_ok" localSheetId="13">IFERROR(AND(IF('Geo Indirect'!m_A&gt;1,('Geo Indirect'!m_A-1)*'Geo Indirect'!s_A,0)&lt;='Geo Indirect'!b_2+2*'Geo Indirect'!L_A,IF('Geo Indirect'!m_B&lt;=1,TRUE,('Geo Indirect'!m_B-1)*'Geo Indirect'!s_B&lt;='Geo Indirect'!L_B),OR('Geo Indirect'!m_B=0,'Geo Indirect'!L_B&gt;0),IF('Geo Indirect'!m_A&lt;=1,TRUE,'Geo Indirect'!s_A-'Geo Indirect'!phi_A&gt;=MAX('Geo Indirect'!phi_A,20)),('Geo Indirect'!b_1-2*'Geo Indirect'!c_A-'Geo Indirect'!phi_A)/('Geo Indirect'!n_A-1)-'Geo Indirect'!phi_A&gt;=MAX('Geo Indirect'!phi_A,20),IF('Geo Indirect'!m_B=0,TRUE,('Geo Indirect'!b_2-2*'Geo Indirect'!c_A-'Geo Indirect'!phi_B)/('Geo Indirect'!n_B-1)-'Geo Indirect'!phi_B&gt;=MAX('Geo Indirect'!phi_B,20)),IF('Geo Indirect'!m_B&lt;=1,TRUE,'Geo Indirect'!s_B-'Geo Indirect'!phi_B&gt;=MAX('Geo Indirect'!phi_B,20))),FALSE)</definedName>
    <definedName name="susp_status" localSheetId="13">'Indirect'!$G$32</definedName>
    <definedName name="zone_status" localSheetId="13">'Indirect'!$G$33</definedName>
    <definedName name="gamma_s" localSheetId="13">'Indirect'!$E$57</definedName>
    <definedName name="f_yd" localSheetId="13">'Indirect'!$E$58</definedName>
    <definedName name="As_hreq" localSheetId="13">'Indirect'!$E$59</definedName>
    <definedName name="L_A" localSheetId="13">'Indirect'!$E$60</definedName>
    <definedName name="L_B" localSheetId="13">'Indirect'!$E$61</definedName>
    <definedName name="As_A" localSheetId="13">'Indirect'!$E$62</definedName>
    <definedName name="As_B" localSheetId="13">'Indirect'!$E$63</definedName>
    <definedName name="As_hprov" localSheetId="13">'Indirect'!$E$64</definedName>
    <definedName name="chk_susp" localSheetId="13">'Indirect'!$G$65</definedName>
    <definedName name="chk_zone" localSheetId="13">'Indirect'!$G$66</definedName>
    <definedName name="ndp_gamma_c" localSheetId="13">INDEX('NDP'!$D$6:$E$6,'Geo Indirect'!na_idx)</definedName>
    <definedName name="ndp_gamma_s" localSheetId="13">INDEX('NDP'!$D$7:$E$7,'Geo Indirect'!na_idx)</definedName>
    <definedName name="ndp_alpha_cc" localSheetId="13">INDEX('NDP'!$D$8:$E$8,'Geo Indirect'!na_idx)</definedName>
    <definedName name="ndp_alpha_cc_pl" localSheetId="13">INDEX('NDP'!$D$9:$E$9,'Geo Indirect'!na_idx)</definedName>
    <definedName name="ndp_alpha_cc_shear" localSheetId="13">INDEX('NDP'!$D$10:$E$10,'Geo Indirect'!na_idx)</definedName>
    <definedName name="ndp_alpha_ct" localSheetId="13">INDEX('NDP'!$D$11:$E$11,'Geo Indirect'!na_idx)</definedName>
    <definedName name="ndp_C_Rdc" localSheetId="13">INDEX('NDP'!$D$12:$E$12,'Geo Indirect'!na_idx)</definedName>
    <definedName name="ndp_k1_p" localSheetId="13">INDEX('NDP'!$D$13:$E$13,'Geo Indirect'!na_idx)</definedName>
    <definedName name="ndp_vmax" localSheetId="13">INDEX('NDP'!$D$14:$E$14,'Geo Indirect'!na_idx)</definedName>
    <definedName name="ndp_kmax" localSheetId="13">INDEX('NDP'!$D$15:$E$15,'Geo Indirect'!na_idx)</definedName>
    <definedName name="ndp_phi_large" localSheetId="13">INDEX('NDP'!$D$16:$E$16,'Geo Indirect'!na_idx)</definedName>
    <definedName name="ndp_cot_max" localSheetId="13">INDEX('NDP'!$D$17:$E$17,'Geo Indirect'!na_idx)</definedName>
    <definedName name="ndp_k1_red" localSheetId="13">INDEX('NDP'!$D$18:$E$18,'Geo Indirect'!na_idx)</definedName>
    <definedName name="ndp_k2_red" localSheetId="13">INDEX('NDP'!$D$19:$E$19,'Geo Indirect'!na_idx)</definedName>
    <definedName name="ndp_ld_mod_max" localSheetId="13">INDEX('NDP'!$D$20:$E$20,'Geo Indirect'!na_idx)</definedName>
    <definedName name="ndp_ld_cap_40K" localSheetId="13">INDEX('NDP'!$D$21:$E$21,'Geo Indirect'!na_idx)</definedName>
    <definedName name="ndp_phi_min_col" localSheetId="13">INDEX('NDP'!$D$22:$E$22,'Geo Indirect'!na_idx)</definedName>
    <definedName name="ndp_k3" localSheetId="13">INDEX('NDP'!$D$23:$E$23,'Geo Indirect'!na_idx)</definedName>
    <definedName name="ndp_k4" localSheetId="13">INDEX('NDP'!$D$24:$E$24,'Geo Indirect'!na_idx)</definedName>
    <definedName name="ndp_k1_sl" localSheetId="13">INDEX('NDP'!$D$25:$E$25,'Geo Indirect'!na_idx)</definedName>
    <definedName name="ndp_k2_sl" localSheetId="13">INDEX('NDP'!$D$26:$E$26,'Geo Indirect'!na_idx)</definedName>
    <definedName name="ndp_k3_sl" localSheetId="13">INDEX('NDP'!$D$27:$E$27,'Geo Indirect'!na_idx)</definedName>
    <definedName name="ndp_k4_sl" localSheetId="13">INDEX('NDP'!$D$28:$E$28,'Geo Indirect'!na_idx)</definedName>
    <definedName name="na_idx" localSheetId="13">IF('Geo Indirect'!NA_sel="PL NA (PN-EN)",2,IF('Geo Indirect'!NA_sel="UK NA (BS EN)",1,NA()))</definedName>
    <definedName name="_xlnm.Print_Area" localSheetId="14">'NDP'!$A$1:$G$29</definedName>
  </definedNames>
  <calcPr calcId="124519" fullCalcOnLoad="1"/>
</workbook>
</file>

<file path=xl/styles.xml><?xml version="1.0" encoding="utf-8"?>
<styleSheet xmlns="http://schemas.openxmlformats.org/spreadsheetml/2006/main">
  <numFmts count="5">
    <numFmt numFmtId="164" formatCode="dd mmm yyyy"/>
    <numFmt numFmtId="165" formatCode="0.0"/>
    <numFmt numFmtId="166" formatCode="0.000"/>
    <numFmt numFmtId="167" formatCode="0.00000"/>
    <numFmt numFmtId="168" formatCode="0.0000"/>
  </numFmts>
  <fonts count="21">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color rgb="002B2B2B"/>
      <sz val="11"/>
    </font>
    <font>
      <name val="Calibri"/>
      <b val="1"/>
      <color rgb="002B2B2B"/>
      <sz val="15"/>
    </font>
    <font>
      <name val="Calibri"/>
      <family val="2"/>
      <i val="1"/>
      <color rgb="008A8A8A"/>
      <sz val="9"/>
      <scheme val="minor"/>
    </font>
    <font>
      <name val="Calibri"/>
      <i val="1"/>
      <color rgb="008A8A8A"/>
      <sz val="8.5"/>
    </font>
    <font>
      <name val="Calibri"/>
      <b val="1"/>
      <color rgb="002B2B2B"/>
      <sz val="16"/>
    </font>
    <font>
      <name val="Calibri"/>
      <b val="1"/>
      <color rgb="008A8A8A"/>
      <sz val="9"/>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58">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165" fontId="12" fillId="3" borderId="1" applyAlignment="1" applyProtection="1" pivotButton="0" quotePrefix="0" xfId="0">
      <alignment horizontal="center" vertical="center"/>
      <protection locked="0" hidden="0"/>
    </xf>
    <xf numFmtId="2"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0" fillId="4" borderId="0" pivotButton="0" quotePrefix="0" xfId="0"/>
    <xf numFmtId="0" fontId="15" fillId="4" borderId="0" applyAlignment="1" pivotButton="0" quotePrefix="0" xfId="0">
      <alignment vertical="center"/>
    </xf>
    <xf numFmtId="0" fontId="0" fillId="4" borderId="0" applyAlignment="1" pivotButton="0" quotePrefix="0" xfId="0">
      <alignment horizontal="center" vertical="center"/>
    </xf>
    <xf numFmtId="2" fontId="16"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1" fontId="16" fillId="4" borderId="0" applyAlignment="1" pivotButton="0" quotePrefix="0" xfId="0">
      <alignment horizontal="center" vertical="center"/>
    </xf>
    <xf numFmtId="49" fontId="16" fillId="4" borderId="0" applyAlignment="1" pivotButton="0" quotePrefix="0" xfId="0">
      <alignment horizontal="center" vertical="center"/>
    </xf>
    <xf numFmtId="0" fontId="17" fillId="0" borderId="0" pivotButton="0" quotePrefix="0" xfId="0"/>
    <xf numFmtId="2" fontId="5" fillId="0" borderId="1" applyAlignment="1" pivotButton="0" quotePrefix="0" xfId="0">
      <alignment horizontal="center" vertical="center"/>
    </xf>
    <xf numFmtId="1" fontId="5" fillId="0" borderId="1" applyAlignment="1" pivotButton="0" quotePrefix="0" xfId="0">
      <alignment horizontal="center" vertical="center"/>
    </xf>
    <xf numFmtId="165" fontId="5" fillId="0" borderId="1" applyAlignment="1" pivotButton="0" quotePrefix="0" xfId="0">
      <alignment horizontal="center" vertical="center"/>
    </xf>
    <xf numFmtId="166" fontId="5" fillId="0" borderId="1" applyAlignment="1" pivotButton="0" quotePrefix="0" xfId="0">
      <alignment horizontal="center" vertical="center"/>
    </xf>
    <xf numFmtId="1" fontId="12" fillId="0" borderId="1" applyAlignment="1" pivotButton="0" quotePrefix="0" xfId="0">
      <alignment horizontal="center" vertical="center"/>
    </xf>
    <xf numFmtId="165" fontId="12" fillId="0" borderId="1" applyAlignment="1" pivotButton="0" quotePrefix="0" xfId="0">
      <alignment horizontal="center" vertical="center"/>
    </xf>
    <xf numFmtId="167" fontId="5" fillId="0" borderId="1" applyAlignment="1" pivotButton="0" quotePrefix="0" xfId="0">
      <alignment horizontal="center" vertical="center"/>
    </xf>
    <xf numFmtId="0" fontId="18" fillId="0" borderId="0" applyAlignment="1" pivotButton="0" quotePrefix="0" xfId="0">
      <alignment vertical="top" wrapText="1"/>
    </xf>
    <xf numFmtId="1" fontId="12" fillId="3" borderId="1" applyAlignment="1" applyProtection="1" pivotButton="0" quotePrefix="0" xfId="0">
      <alignment horizontal="center" vertical="center"/>
      <protection locked="0" hidden="0"/>
    </xf>
    <xf numFmtId="165" fontId="16" fillId="4" borderId="0" applyAlignment="1" pivotButton="0" quotePrefix="0" xfId="0">
      <alignment horizontal="center" vertical="center"/>
    </xf>
    <xf numFmtId="168" fontId="5" fillId="0" borderId="1" applyAlignment="1" pivotButton="0" quotePrefix="0" xfId="0">
      <alignment horizontal="center" vertical="center"/>
    </xf>
    <xf numFmtId="166" fontId="12" fillId="0" borderId="1" applyAlignment="1" pivotButton="0" quotePrefix="0" xfId="0">
      <alignment horizontal="center" vertical="center"/>
    </xf>
    <xf numFmtId="0" fontId="19" fillId="0" borderId="0" pivotButton="0" quotePrefix="0" xfId="0"/>
    <xf numFmtId="0" fontId="20"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styles" Target="styles.xml" Id="rId16"/><Relationship Type="http://schemas.openxmlformats.org/officeDocument/2006/relationships/theme" Target="theme/theme1.xml" Id="rId17"/></Relationships>
</file>

<file path=xl/charts/chart1.xml><?xml version="1.0" encoding="utf-8"?>
<chartSpace xmlns="http://schemas.openxmlformats.org/drawingml/2006/chart">
  <style val="1"/>
  <chart>
    <plotArea>
      <scatterChart>
        <scatterStyle val="lineMarker"/>
        <ser>
          <idx val="0"/>
          <order val="0"/>
          <tx>
            <strRef>
              <f>'Geo Slab'!$A$2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 Slab'!$A$3</f>
            </numRef>
          </xVal>
          <yVal>
            <numRef>
              <f>'Geo Slab'!$B$3</f>
            </numRef>
          </yVal>
          <smooth val="0"/>
        </ser>
        <ser>
          <idx val="1"/>
          <order val="1"/>
          <tx>
            <v>section</v>
          </tx>
          <spPr>
            <a:ln xmlns:a="http://schemas.openxmlformats.org/drawingml/2006/main" w="25400">
              <a:solidFill>
                <a:srgbClr val="2B2B2B"/>
              </a:solidFill>
              <a:prstDash val="solid"/>
            </a:ln>
          </spPr>
          <marker>
            <symbol val="none"/>
            <spPr>
              <a:ln xmlns:a="http://schemas.openxmlformats.org/drawingml/2006/main">
                <a:prstDash val="solid"/>
              </a:ln>
            </spPr>
          </marker>
          <xVal>
            <numRef>
              <f>'Geo Slab'!$D$3:$D$7</f>
            </numRef>
          </xVal>
          <yVal>
            <numRef>
              <f>'Geo Slab'!$E$3:$E$7</f>
            </numRef>
          </yVal>
          <smooth val="0"/>
        </ser>
        <ser>
          <idx val="2"/>
          <order val="2"/>
          <tx>
            <v>bar 0</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Slab'!$G$3:$G$13</f>
            </numRef>
          </xVal>
          <yVal>
            <numRef>
              <f>'Geo Slab'!$H$3:$H$13</f>
            </numRef>
          </yVal>
          <smooth val="0"/>
        </ser>
        <ser>
          <idx val="3"/>
          <order val="3"/>
          <tx>
            <v>bar 1</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Slab'!$J$3:$J$13</f>
            </numRef>
          </xVal>
          <yVal>
            <numRef>
              <f>'Geo Slab'!$K$3:$K$13</f>
            </numRef>
          </yVal>
          <smooth val="0"/>
        </ser>
        <ser>
          <idx val="4"/>
          <order val="4"/>
          <tx>
            <v>bar 2</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Slab'!$M$3:$M$13</f>
            </numRef>
          </xVal>
          <yVal>
            <numRef>
              <f>'Geo Slab'!$N$3:$N$13</f>
            </numRef>
          </yVal>
          <smooth val="0"/>
        </ser>
        <ser>
          <idx val="5"/>
          <order val="5"/>
          <tx>
            <v>bar 3</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Slab'!$P$3:$P$13</f>
            </numRef>
          </xVal>
          <yVal>
            <numRef>
              <f>'Geo Slab'!$Q$3:$Q$13</f>
            </numRef>
          </yVal>
          <smooth val="0"/>
        </ser>
        <ser>
          <idx val="6"/>
          <order val="6"/>
          <tx>
            <v>bar 4</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Slab'!$S$3:$S$13</f>
            </numRef>
          </xVal>
          <yVal>
            <numRef>
              <f>'Geo Slab'!$T$3:$T$13</f>
            </numRef>
          </yVal>
          <smooth val="0"/>
        </ser>
        <ser>
          <idx val="7"/>
          <order val="7"/>
          <tx>
            <v>bar 5</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Slab'!$V$3:$V$13</f>
            </numRef>
          </xVal>
          <yVal>
            <numRef>
              <f>'Geo Slab'!$W$3:$W$13</f>
            </numRef>
          </yVal>
          <smooth val="0"/>
        </ser>
        <ser>
          <idx val="8"/>
          <order val="8"/>
          <tx>
            <v>bar 6</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Slab'!$Y$3:$Y$13</f>
            </numRef>
          </xVal>
          <yVal>
            <numRef>
              <f>'Geo Slab'!$Z$3:$Z$13</f>
            </numRef>
          </yVal>
          <smooth val="0"/>
        </ser>
        <ser>
          <idx val="9"/>
          <order val="9"/>
          <tx>
            <v>bar 7</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Slab'!$AB$3:$AB$13</f>
            </numRef>
          </xVal>
          <yVal>
            <numRef>
              <f>'Geo Slab'!$AC$3:$AC$13</f>
            </numRef>
          </yVal>
          <smooth val="0"/>
        </ser>
        <ser>
          <idx val="10"/>
          <order val="10"/>
          <tx>
            <v>bar 8</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Slab'!$AE$3:$AE$13</f>
            </numRef>
          </xVal>
          <yVal>
            <numRef>
              <f>'Geo Slab'!$AF$3:$AF$13</f>
            </numRef>
          </yVal>
          <smooth val="0"/>
        </ser>
        <ser>
          <idx val="11"/>
          <order val="11"/>
          <tx>
            <v>bar 9</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Slab'!$AH$3:$AH$13</f>
            </numRef>
          </xVal>
          <yVal>
            <numRef>
              <f>'Geo Slab'!$AI$3:$AI$13</f>
            </numRef>
          </yVal>
          <smooth val="0"/>
        </ser>
        <ser>
          <idx val="12"/>
          <order val="12"/>
          <tx>
            <v>bar 10</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Slab'!$AK$3:$AK$13</f>
            </numRef>
          </xVal>
          <yVal>
            <numRef>
              <f>'Geo Slab'!$AL$3:$AL$13</f>
            </numRef>
          </yVal>
          <smooth val="0"/>
        </ser>
        <ser>
          <idx val="13"/>
          <order val="13"/>
          <tx>
            <v>bar 11</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Slab'!$AN$3:$AN$13</f>
            </numRef>
          </xVal>
          <yVal>
            <numRef>
              <f>'Geo Slab'!$AO$3:$AO$13</f>
            </numRef>
          </yVal>
          <smooth val="0"/>
        </ser>
        <ser>
          <idx val="14"/>
          <order val="14"/>
          <tx>
            <v>bar 12</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Slab'!$AQ$3:$AQ$13</f>
            </numRef>
          </xVal>
          <yVal>
            <numRef>
              <f>'Geo Slab'!$AR$3:$AR$13</f>
            </numRef>
          </yVal>
          <smooth val="0"/>
        </ser>
        <ser>
          <idx val="15"/>
          <order val="15"/>
          <tx>
            <v>bar 13</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Slab'!$AT$3:$AT$13</f>
            </numRef>
          </xVal>
          <yVal>
            <numRef>
              <f>'Geo Slab'!$AU$3:$AU$13</f>
            </numRef>
          </yVal>
          <smooth val="0"/>
        </ser>
        <ser>
          <idx val="16"/>
          <order val="16"/>
          <tx>
            <v>bar 14</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Slab'!$AW$3:$AW$13</f>
            </numRef>
          </xVal>
          <yVal>
            <numRef>
              <f>'Geo Slab'!$AX$3:$AX$13</f>
            </numRef>
          </yVal>
          <smooth val="0"/>
        </ser>
        <ser>
          <idx val="17"/>
          <order val="17"/>
          <tx>
            <v>bar 15</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Slab'!$AZ$3:$AZ$13</f>
            </numRef>
          </xVal>
          <yVal>
            <numRef>
              <f>'Geo Slab'!$BA$3:$BA$13</f>
            </numRef>
          </yVal>
          <smooth val="0"/>
        </ser>
        <ser>
          <idx val="18"/>
          <order val="18"/>
          <tx>
            <v>bar 16</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Slab'!$BC$3:$BC$13</f>
            </numRef>
          </xVal>
          <yVal>
            <numRef>
              <f>'Geo Slab'!$BD$3:$BD$13</f>
            </numRef>
          </yVal>
          <smooth val="0"/>
        </ser>
        <ser>
          <idx val="19"/>
          <order val="19"/>
          <tx>
            <v>bar 17</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Slab'!$BF$3:$BF$13</f>
            </numRef>
          </xVal>
          <yVal>
            <numRef>
              <f>'Geo Slab'!$BG$3:$BG$13</f>
            </numRef>
          </yVal>
          <smooth val="0"/>
        </ser>
        <ser>
          <idx val="20"/>
          <order val="20"/>
          <tx>
            <v>bar 18</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Slab'!$BI$3:$BI$13</f>
            </numRef>
          </xVal>
          <yVal>
            <numRef>
              <f>'Geo Slab'!$BJ$3:$BJ$13</f>
            </numRef>
          </yVal>
          <smooth val="0"/>
        </ser>
        <ser>
          <idx val="21"/>
          <order val="21"/>
          <tx>
            <v>bar 19</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Slab'!$BL$3:$BL$13</f>
            </numRef>
          </xVal>
          <yVal>
            <numRef>
              <f>'Geo Slab'!$BM$3:$BM$13</f>
            </numRef>
          </yVal>
          <smooth val="0"/>
        </ser>
        <ser>
          <idx val="22"/>
          <order val="22"/>
          <tx>
            <v>bar 20</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Slab'!$BO$3:$BO$13</f>
            </numRef>
          </xVal>
          <yVal>
            <numRef>
              <f>'Geo Slab'!$BP$3:$BP$13</f>
            </numRef>
          </yVal>
          <smooth val="0"/>
        </ser>
        <ser>
          <idx val="23"/>
          <order val="23"/>
          <tx>
            <v>bar 21</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Slab'!$BR$3:$BR$13</f>
            </numRef>
          </xVal>
          <yVal>
            <numRef>
              <f>'Geo Slab'!$BS$3:$BS$13</f>
            </numRef>
          </yVal>
          <smooth val="0"/>
        </ser>
        <ser>
          <idx val="24"/>
          <order val="24"/>
          <tx>
            <v>bar 22</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Slab'!$BU$3:$BU$13</f>
            </numRef>
          </xVal>
          <yVal>
            <numRef>
              <f>'Geo Slab'!$BV$3:$BV$13</f>
            </numRef>
          </yVal>
          <smooth val="0"/>
        </ser>
        <ser>
          <idx val="25"/>
          <order val="25"/>
          <tx>
            <v>bar 23</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Slab'!$BX$3:$BX$13</f>
            </numRef>
          </xVal>
          <yVal>
            <numRef>
              <f>'Geo Slab'!$BY$3:$BY$13</f>
            </numRef>
          </yVal>
          <smooth val="0"/>
        </ser>
        <ser>
          <idx val="26"/>
          <order val="26"/>
          <tx>
            <v>bar 24</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Slab'!$CA$3:$CA$13</f>
            </numRef>
          </xVal>
          <yVal>
            <numRef>
              <f>'Geo Slab'!$CB$3:$CB$13</f>
            </numRef>
          </yVal>
          <smooth val="0"/>
        </ser>
        <ser>
          <idx val="27"/>
          <order val="27"/>
          <tx>
            <v>bar 25</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Slab'!$CD$3:$CD$13</f>
            </numRef>
          </xVal>
          <yVal>
            <numRef>
              <f>'Geo Slab'!$CE$3:$CE$13</f>
            </numRef>
          </yVal>
          <smooth val="0"/>
        </ser>
        <ser>
          <idx val="28"/>
          <order val="28"/>
          <tx>
            <v>bar 26</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Slab'!$CG$3:$CG$13</f>
            </numRef>
          </xVal>
          <yVal>
            <numRef>
              <f>'Geo Slab'!$CH$3:$CH$13</f>
            </numRef>
          </yVal>
          <smooth val="0"/>
        </ser>
        <ser>
          <idx val="29"/>
          <order val="29"/>
          <tx>
            <v>bar 27</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Slab'!$CJ$3:$CJ$13</f>
            </numRef>
          </xVal>
          <yVal>
            <numRef>
              <f>'Geo Slab'!$CK$3:$CK$13</f>
            </numRef>
          </yVal>
          <smooth val="0"/>
        </ser>
        <ser>
          <idx val="30"/>
          <order val="30"/>
          <tx>
            <v>bar 28</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Slab'!$CM$3:$CM$13</f>
            </numRef>
          </xVal>
          <yVal>
            <numRef>
              <f>'Geo Slab'!$CN$3:$CN$13</f>
            </numRef>
          </yVal>
          <smooth val="0"/>
        </ser>
        <ser>
          <idx val="31"/>
          <order val="31"/>
          <tx>
            <v>bar 29</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Slab'!$CP$3:$CP$13</f>
            </numRef>
          </xVal>
          <yVal>
            <numRef>
              <f>'Geo Slab'!$CQ$3:$CQ$13</f>
            </numRef>
          </yVal>
          <smooth val="0"/>
        </ser>
        <ser>
          <idx val="32"/>
          <order val="32"/>
          <tx>
            <v>bar 30</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Slab'!$CS$3:$CS$13</f>
            </numRef>
          </xVal>
          <yVal>
            <numRef>
              <f>'Geo Slab'!$CT$3:$CT$13</f>
            </numRef>
          </yVal>
          <smooth val="0"/>
        </ser>
        <ser>
          <idx val="33"/>
          <order val="33"/>
          <tx>
            <v>bar 31</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Slab'!$CV$3:$CV$13</f>
            </numRef>
          </xVal>
          <yVal>
            <numRef>
              <f>'Geo Slab'!$CW$3:$CW$13</f>
            </numRef>
          </yVal>
          <smooth val="0"/>
        </ser>
        <ser>
          <idx val="34"/>
          <order val="34"/>
          <tx>
            <v>bar 32</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Slab'!$CY$3:$CY$13</f>
            </numRef>
          </xVal>
          <yVal>
            <numRef>
              <f>'Geo Slab'!$CZ$3:$CZ$13</f>
            </numRef>
          </yVal>
          <smooth val="0"/>
        </ser>
        <ser>
          <idx val="35"/>
          <order val="35"/>
          <tx>
            <v>bar 33</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Slab'!$DB$3:$DB$13</f>
            </numRef>
          </xVal>
          <yVal>
            <numRef>
              <f>'Geo Slab'!$DC$3:$DC$13</f>
            </numRef>
          </yVal>
          <smooth val="0"/>
        </ser>
        <ser>
          <idx val="36"/>
          <order val="36"/>
          <tx>
            <v>bar 34</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Slab'!$DE$3:$DE$13</f>
            </numRef>
          </xVal>
          <yVal>
            <numRef>
              <f>'Geo Slab'!$DF$3:$DF$13</f>
            </numRef>
          </yVal>
          <smooth val="0"/>
        </ser>
        <ser>
          <idx val="37"/>
          <order val="37"/>
          <tx>
            <v>bar 35</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Slab'!$DH$3:$DH$13</f>
            </numRef>
          </xVal>
          <yVal>
            <numRef>
              <f>'Geo Slab'!$DI$3:$DI$13</f>
            </numRef>
          </yVal>
          <smooth val="0"/>
        </ser>
        <ser>
          <idx val="38"/>
          <order val="38"/>
          <tx>
            <v>bar 36</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Slab'!$DK$3:$DK$13</f>
            </numRef>
          </xVal>
          <yVal>
            <numRef>
              <f>'Geo Slab'!$DL$3:$DL$13</f>
            </numRef>
          </yVal>
          <smooth val="0"/>
        </ser>
        <ser>
          <idx val="39"/>
          <order val="39"/>
          <tx>
            <v>bar 37</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Slab'!$DN$3:$DN$13</f>
            </numRef>
          </xVal>
          <yVal>
            <numRef>
              <f>'Geo Slab'!$DO$3:$DO$13</f>
            </numRef>
          </yVal>
          <smooth val="0"/>
        </ser>
        <ser>
          <idx val="40"/>
          <order val="40"/>
          <tx>
            <v>bar 38</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Slab'!$DQ$3:$DQ$13</f>
            </numRef>
          </xVal>
          <yVal>
            <numRef>
              <f>'Geo Slab'!$DR$3:$DR$13</f>
            </numRef>
          </yVal>
          <smooth val="0"/>
        </ser>
        <ser>
          <idx val="41"/>
          <order val="41"/>
          <tx>
            <v>bar 39</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Slab'!$DT$3:$DT$13</f>
            </numRef>
          </xVal>
          <yVal>
            <numRef>
              <f>'Geo Slab'!$DU$3:$DU$13</f>
            </numRef>
          </yVal>
          <smooth val="0"/>
        </ser>
        <ser>
          <idx val="42"/>
          <order val="42"/>
          <tx>
            <v>bar 40</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Slab'!$DW$3:$DW$13</f>
            </numRef>
          </xVal>
          <yVal>
            <numRef>
              <f>'Geo Slab'!$DX$3:$DX$13</f>
            </numRef>
          </yVal>
          <smooth val="0"/>
        </ser>
        <ser>
          <idx val="43"/>
          <order val="43"/>
          <tx>
            <v>bar 41</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Slab'!$DZ$3:$DZ$13</f>
            </numRef>
          </xVal>
          <yVal>
            <numRef>
              <f>'Geo Slab'!$EA$3:$EA$13</f>
            </numRef>
          </yVal>
          <smooth val="0"/>
        </ser>
        <ser>
          <idx val="44"/>
          <order val="44"/>
          <tx>
            <v>bar 42</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Slab'!$EC$3:$EC$13</f>
            </numRef>
          </xVal>
          <yVal>
            <numRef>
              <f>'Geo Slab'!$ED$3:$ED$13</f>
            </numRef>
          </yVal>
          <smooth val="0"/>
        </ser>
        <ser>
          <idx val="45"/>
          <order val="45"/>
          <tx>
            <v>bar 43</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Slab'!$EF$3:$EF$13</f>
            </numRef>
          </xVal>
          <yVal>
            <numRef>
              <f>'Geo Slab'!$EG$3:$EG$13</f>
            </numRef>
          </yVal>
          <smooth val="0"/>
        </ser>
        <ser>
          <idx val="46"/>
          <order val="46"/>
          <tx>
            <v>bar 44</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Slab'!$EI$3:$EI$13</f>
            </numRef>
          </xVal>
          <yVal>
            <numRef>
              <f>'Geo Slab'!$EJ$3:$EJ$13</f>
            </numRef>
          </yVal>
          <smooth val="0"/>
        </ser>
        <ser>
          <idx val="47"/>
          <order val="47"/>
          <tx>
            <v>bar 45</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Slab'!$EL$3:$EL$13</f>
            </numRef>
          </xVal>
          <yVal>
            <numRef>
              <f>'Geo Slab'!$EM$3:$EM$13</f>
            </numRef>
          </yVal>
          <smooth val="0"/>
        </ser>
        <ser>
          <idx val="48"/>
          <order val="48"/>
          <tx>
            <v>bar 46</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Slab'!$EO$3:$EO$13</f>
            </numRef>
          </xVal>
          <yVal>
            <numRef>
              <f>'Geo Slab'!$EP$3:$EP$13</f>
            </numRef>
          </yVal>
          <smooth val="0"/>
        </ser>
        <ser>
          <idx val="49"/>
          <order val="49"/>
          <tx>
            <v>bar 47</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Slab'!$ER$3:$ER$13</f>
            </numRef>
          </xVal>
          <yVal>
            <numRef>
              <f>'Geo Slab'!$ES$3:$ES$13</f>
            </numRef>
          </yVal>
          <smooth val="0"/>
        </ser>
        <ser>
          <idx val="50"/>
          <order val="50"/>
          <tx>
            <v>bar 48</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Slab'!$EU$3:$EU$13</f>
            </numRef>
          </xVal>
          <yVal>
            <numRef>
              <f>'Geo Slab'!$EV$3:$EV$13</f>
            </numRef>
          </yVal>
          <smooth val="0"/>
        </ser>
        <ser>
          <idx val="51"/>
          <order val="51"/>
          <tx>
            <v>bar 49</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Slab'!$EX$3:$EX$13</f>
            </numRef>
          </xVal>
          <yVal>
            <numRef>
              <f>'Geo Slab'!$EY$3:$EY$13</f>
            </numRef>
          </yVal>
          <smooth val="0"/>
        </ser>
        <ser>
          <idx val="52"/>
          <order val="52"/>
          <tx>
            <v>bar 50</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Slab'!$FA$3:$FA$13</f>
            </numRef>
          </xVal>
          <yVal>
            <numRef>
              <f>'Geo Slab'!$FB$3:$FB$13</f>
            </numRef>
          </yVal>
          <smooth val="0"/>
        </ser>
        <ser>
          <idx val="53"/>
          <order val="53"/>
          <tx>
            <v>bar 51</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Slab'!$FD$3:$FD$13</f>
            </numRef>
          </xVal>
          <yVal>
            <numRef>
              <f>'Geo Slab'!$FE$3:$FE$13</f>
            </numRef>
          </yVal>
          <smooth val="0"/>
        </ser>
        <ser>
          <idx val="54"/>
          <order val="54"/>
          <tx>
            <v>bar 52</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Slab'!$FG$3:$FG$13</f>
            </numRef>
          </xVal>
          <yVal>
            <numRef>
              <f>'Geo Slab'!$FH$3:$FH$13</f>
            </numRef>
          </yVal>
          <smooth val="0"/>
        </ser>
        <ser>
          <idx val="55"/>
          <order val="55"/>
          <tx>
            <v>bar 53</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Slab'!$FJ$3:$FJ$13</f>
            </numRef>
          </xVal>
          <yVal>
            <numRef>
              <f>'Geo Slab'!$FK$3:$FK$13</f>
            </numRef>
          </yVal>
          <smooth val="0"/>
        </ser>
        <ser>
          <idx val="56"/>
          <order val="56"/>
          <tx>
            <v>bar 54</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Slab'!$FM$3:$FM$13</f>
            </numRef>
          </xVal>
          <yVal>
            <numRef>
              <f>'Geo Slab'!$FN$3:$FN$13</f>
            </numRef>
          </yVal>
          <smooth val="0"/>
        </ser>
        <ser>
          <idx val="57"/>
          <order val="57"/>
          <tx>
            <v>bar 55</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Slab'!$FP$3:$FP$13</f>
            </numRef>
          </xVal>
          <yVal>
            <numRef>
              <f>'Geo Slab'!$FQ$3:$FQ$13</f>
            </numRef>
          </yVal>
          <smooth val="0"/>
        </ser>
        <ser>
          <idx val="58"/>
          <order val="58"/>
          <tx>
            <v>bar 56</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Slab'!$FS$3:$FS$13</f>
            </numRef>
          </xVal>
          <yVal>
            <numRef>
              <f>'Geo Slab'!$FT$3:$FT$13</f>
            </numRef>
          </yVal>
          <smooth val="0"/>
        </ser>
        <ser>
          <idx val="59"/>
          <order val="59"/>
          <tx>
            <v>bar 57</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Slab'!$FV$3:$FV$13</f>
            </numRef>
          </xVal>
          <yVal>
            <numRef>
              <f>'Geo Slab'!$FW$3:$FW$13</f>
            </numRef>
          </yVal>
          <smooth val="0"/>
        </ser>
        <ser>
          <idx val="60"/>
          <order val="60"/>
          <tx>
            <v>bar 58</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Slab'!$FY$3:$FY$13</f>
            </numRef>
          </xVal>
          <yVal>
            <numRef>
              <f>'Geo Slab'!$FZ$3:$FZ$13</f>
            </numRef>
          </yVal>
          <smooth val="0"/>
        </ser>
        <ser>
          <idx val="61"/>
          <order val="61"/>
          <tx>
            <v>bar 59</v>
          </tx>
          <spPr>
            <a:ln xmlns:a="http://schemas.openxmlformats.org/drawingml/2006/main" w="22225">
              <a:solidFill>
                <a:srgbClr val="2B2B2B"/>
              </a:solidFill>
              <a:prstDash val="solid"/>
            </a:ln>
          </spPr>
          <marker>
            <symbol val="none"/>
            <spPr>
              <a:ln xmlns:a="http://schemas.openxmlformats.org/drawingml/2006/main">
                <a:prstDash val="solid"/>
              </a:ln>
            </spPr>
          </marker>
          <xVal>
            <numRef>
              <f>'Geo Slab'!$GB$3:$GB$13</f>
            </numRef>
          </xVal>
          <yVal>
            <numRef>
              <f>'Geo Slab'!$GC$3:$GC$13</f>
            </numRef>
          </yVal>
          <smooth val="0"/>
        </ser>
        <ser>
          <idx val="62"/>
          <order val="62"/>
          <tx>
            <strRef>
              <f>'Geo Slab'!$GE$2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ctr"/>
            <showLegendKey val="0"/>
            <showVal val="0"/>
            <showCatName val="0"/>
            <showSerName val="1"/>
            <showPercent val="0"/>
          </dLbls>
          <xVal>
            <numRef>
              <f>'Geo Slab'!$GE$3</f>
            </numRef>
          </xVal>
          <yVal>
            <numRef>
              <f>'Geo Slab'!$GF$3</f>
            </numRef>
          </yVal>
          <smooth val="0"/>
        </ser>
        <ser>
          <idx val="63"/>
          <order val="63"/>
          <tx>
            <v>neutral axis</v>
          </tx>
          <spPr>
            <a:ln xmlns:a="http://schemas.openxmlformats.org/drawingml/2006/main" w="12700">
              <a:solidFill>
                <a:srgbClr val="B3261E"/>
              </a:solidFill>
              <a:prstDash val="dash"/>
            </a:ln>
          </spPr>
          <marker>
            <symbol val="none"/>
            <spPr>
              <a:ln xmlns:a="http://schemas.openxmlformats.org/drawingml/2006/main">
                <a:prstDash val="solid"/>
              </a:ln>
            </spPr>
          </marker>
          <xVal>
            <numRef>
              <f>'Geo Slab'!$GH$3:$GH$4</f>
            </numRef>
          </xVal>
          <yVal>
            <numRef>
              <f>'Geo Slab'!$GI$3:$GI$4</f>
            </numRef>
          </yVal>
          <smooth val="0"/>
        </ser>
        <ser>
          <idx val="64"/>
          <order val="64"/>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 Slab'!$GK$3:$GK$4</f>
            </numRef>
          </xVal>
          <yVal>
            <numRef>
              <f>'Geo Slab'!$GL$3:$GL$4</f>
            </numRef>
          </yVal>
          <smooth val="0"/>
        </ser>
        <ser>
          <idx val="65"/>
          <order val="65"/>
          <tx>
            <strRef>
              <f>'Geo Slab'!$GN$2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l"/>
            <showLegendKey val="0"/>
            <showVal val="0"/>
            <showCatName val="0"/>
            <showSerName val="1"/>
            <showPercent val="0"/>
          </dLbls>
          <xVal>
            <numRef>
              <f>'Geo Slab'!$GN$3</f>
            </numRef>
          </xVal>
          <yVal>
            <numRef>
              <f>'Geo Slab'!$GO$3</f>
            </numRef>
          </yVal>
          <smooth val="0"/>
        </ser>
        <ser>
          <idx val="66"/>
          <order val="66"/>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 Slab'!$GQ$3:$GQ$4</f>
            </numRef>
          </xVal>
          <yVal>
            <numRef>
              <f>'Geo Slab'!$GR$3:$GR$4</f>
            </numRef>
          </yVal>
          <smooth val="0"/>
        </ser>
        <ser>
          <idx val="67"/>
          <order val="67"/>
          <tx>
            <strRef>
              <f>'Geo Slab'!$GT$2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 Slab'!$GT$3</f>
            </numRef>
          </xVal>
          <yVal>
            <numRef>
              <f>'Geo Slab'!$GU$3</f>
            </numRef>
          </yVal>
          <smooth val="0"/>
        </ser>
        <ser>
          <idx val="68"/>
          <order val="68"/>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 Slab'!$GW$3:$GW$4</f>
            </numRef>
          </xVal>
          <yVal>
            <numRef>
              <f>'Geo Slab'!$GX$3:$GX$4</f>
            </numRef>
          </yVal>
          <smooth val="0"/>
        </ser>
        <ser>
          <idx val="69"/>
          <order val="69"/>
          <tx>
            <strRef>
              <f>'Geo Slab'!$GZ$2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 Slab'!$GZ$3</f>
            </numRef>
          </xVal>
          <yVal>
            <numRef>
              <f>'Geo Slab'!$HA$3</f>
            </numRef>
          </yVal>
          <smooth val="0"/>
        </ser>
        <ser>
          <idx val="70"/>
          <order val="70"/>
          <tx>
            <strRef>
              <f>'Geo Slab'!$HC$2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l"/>
            <showLegendKey val="0"/>
            <showVal val="0"/>
            <showCatName val="0"/>
            <showSerName val="1"/>
            <showPercent val="0"/>
          </dLbls>
          <xVal>
            <numRef>
              <f>'Geo Slab'!$HC$3</f>
            </numRef>
          </xVal>
          <yVal>
            <numRef>
              <f>'Geo Slab'!$HD$3</f>
            </numRef>
          </yVal>
          <smooth val="0"/>
        </ser>
        <ser>
          <idx val="71"/>
          <order val="71"/>
          <tx>
            <strRef>
              <f>'Geo Slab'!$HF$2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b"/>
            <showLegendKey val="0"/>
            <showVal val="0"/>
            <showCatName val="0"/>
            <showSerName val="1"/>
            <showPercent val="0"/>
          </dLbls>
          <xVal>
            <numRef>
              <f>'Geo Slab'!$HF$3</f>
            </numRef>
          </xVal>
          <yVal>
            <numRef>
              <f>'Geo Slab'!$HG$3</f>
            </numRef>
          </yVal>
          <smooth val="0"/>
        </ser>
        <ser>
          <idx val="72"/>
          <order val="72"/>
          <tx>
            <v>frame</v>
          </tx>
          <spPr>
            <a:ln xmlns:a="http://schemas.openxmlformats.org/drawingml/2006/main">
              <a:noFill/>
              <a:prstDash val="solid"/>
            </a:ln>
          </spPr>
          <marker>
            <symbol val="none"/>
            <spPr>
              <a:ln xmlns:a="http://schemas.openxmlformats.org/drawingml/2006/main">
                <a:prstDash val="solid"/>
              </a:ln>
            </spPr>
          </marker>
          <xVal>
            <numRef>
              <f>'Geo Slab'!$HI$3:$HI$4</f>
            </numRef>
          </xVal>
          <yVal>
            <numRef>
              <f>'Geo Slab'!$HJ$3:$HJ$4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charts/chart2.xml><?xml version="1.0" encoding="utf-8"?>
<chartSpace xmlns="http://schemas.openxmlformats.org/drawingml/2006/chart">
  <style val="1"/>
  <chart>
    <plotArea>
      <scatterChart>
        <scatterStyle val="lineMarker"/>
        <ser>
          <idx val="0"/>
          <order val="0"/>
          <tx>
            <strRef>
              <f>'Geo Rect beam'!$A$2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 Rect beam'!$A$3</f>
            </numRef>
          </xVal>
          <yVal>
            <numRef>
              <f>'Geo Rect beam'!$B$3</f>
            </numRef>
          </yVal>
          <smooth val="0"/>
        </ser>
        <ser>
          <idx val="1"/>
          <order val="1"/>
          <tx>
            <v>section</v>
          </tx>
          <spPr>
            <a:ln xmlns:a="http://schemas.openxmlformats.org/drawingml/2006/main" w="25400">
              <a:solidFill>
                <a:srgbClr val="2B2B2B"/>
              </a:solidFill>
              <a:prstDash val="solid"/>
            </a:ln>
          </spPr>
          <marker>
            <symbol val="none"/>
            <spPr>
              <a:ln xmlns:a="http://schemas.openxmlformats.org/drawingml/2006/main">
                <a:prstDash val="solid"/>
              </a:ln>
            </spPr>
          </marker>
          <xVal>
            <numRef>
              <f>'Geo Rect beam'!$D$3:$D$7</f>
            </numRef>
          </xVal>
          <yVal>
            <numRef>
              <f>'Geo Rect beam'!$E$3:$E$7</f>
            </numRef>
          </yVal>
          <smooth val="0"/>
        </ser>
        <ser>
          <idx val="2"/>
          <order val="2"/>
          <tx>
            <v>link</v>
          </tx>
          <spPr>
            <a:ln xmlns:a="http://schemas.openxmlformats.org/drawingml/2006/main" w="15875">
              <a:solidFill>
                <a:srgbClr val="5B7F8A"/>
              </a:solidFill>
              <a:prstDash val="solid"/>
            </a:ln>
          </spPr>
          <marker>
            <symbol val="none"/>
            <spPr>
              <a:ln xmlns:a="http://schemas.openxmlformats.org/drawingml/2006/main">
                <a:prstDash val="solid"/>
              </a:ln>
            </spPr>
          </marker>
          <xVal>
            <numRef>
              <f>'Geo Rect beam'!$G$3:$G$7</f>
            </numRef>
          </xVal>
          <yVal>
            <numRef>
              <f>'Geo Rect beam'!$H$3:$H$7</f>
            </numRef>
          </yVal>
          <smooth val="0"/>
        </ser>
        <ser>
          <idx val="3"/>
          <order val="3"/>
          <tx>
            <v>bar t0</v>
          </tx>
          <spPr>
            <a:ln xmlns:a="http://schemas.openxmlformats.org/drawingml/2006/main" w="25400">
              <a:solidFill>
                <a:srgbClr val="2B2B2B"/>
              </a:solidFill>
              <a:prstDash val="solid"/>
            </a:ln>
          </spPr>
          <marker>
            <symbol val="none"/>
            <spPr>
              <a:ln xmlns:a="http://schemas.openxmlformats.org/drawingml/2006/main">
                <a:prstDash val="solid"/>
              </a:ln>
            </spPr>
          </marker>
          <xVal>
            <numRef>
              <f>'Geo Rect beam'!$J$3:$J$19</f>
            </numRef>
          </xVal>
          <yVal>
            <numRef>
              <f>'Geo Rect beam'!$K$3:$K$19</f>
            </numRef>
          </yVal>
          <smooth val="0"/>
        </ser>
        <ser>
          <idx val="4"/>
          <order val="4"/>
          <tx>
            <v>bar c0</v>
          </tx>
          <spPr>
            <a:ln xmlns:a="http://schemas.openxmlformats.org/drawingml/2006/main" w="19050">
              <a:solidFill>
                <a:srgbClr val="2B2B2B"/>
              </a:solidFill>
              <a:prstDash val="solid"/>
            </a:ln>
          </spPr>
          <marker>
            <symbol val="none"/>
            <spPr>
              <a:ln xmlns:a="http://schemas.openxmlformats.org/drawingml/2006/main">
                <a:prstDash val="solid"/>
              </a:ln>
            </spPr>
          </marker>
          <xVal>
            <numRef>
              <f>'Geo Rect beam'!$M$3:$M$19</f>
            </numRef>
          </xVal>
          <yVal>
            <numRef>
              <f>'Geo Rect beam'!$N$3:$N$19</f>
            </numRef>
          </yVal>
          <smooth val="0"/>
        </ser>
        <ser>
          <idx val="5"/>
          <order val="5"/>
          <tx>
            <v>bar t1</v>
          </tx>
          <spPr>
            <a:ln xmlns:a="http://schemas.openxmlformats.org/drawingml/2006/main" w="25400">
              <a:solidFill>
                <a:srgbClr val="2B2B2B"/>
              </a:solidFill>
              <a:prstDash val="solid"/>
            </a:ln>
          </spPr>
          <marker>
            <symbol val="none"/>
            <spPr>
              <a:ln xmlns:a="http://schemas.openxmlformats.org/drawingml/2006/main">
                <a:prstDash val="solid"/>
              </a:ln>
            </spPr>
          </marker>
          <xVal>
            <numRef>
              <f>'Geo Rect beam'!$P$3:$P$19</f>
            </numRef>
          </xVal>
          <yVal>
            <numRef>
              <f>'Geo Rect beam'!$Q$3:$Q$19</f>
            </numRef>
          </yVal>
          <smooth val="0"/>
        </ser>
        <ser>
          <idx val="6"/>
          <order val="6"/>
          <tx>
            <v>bar c1</v>
          </tx>
          <spPr>
            <a:ln xmlns:a="http://schemas.openxmlformats.org/drawingml/2006/main" w="19050">
              <a:solidFill>
                <a:srgbClr val="2B2B2B"/>
              </a:solidFill>
              <a:prstDash val="solid"/>
            </a:ln>
          </spPr>
          <marker>
            <symbol val="none"/>
            <spPr>
              <a:ln xmlns:a="http://schemas.openxmlformats.org/drawingml/2006/main">
                <a:prstDash val="solid"/>
              </a:ln>
            </spPr>
          </marker>
          <xVal>
            <numRef>
              <f>'Geo Rect beam'!$S$3:$S$19</f>
            </numRef>
          </xVal>
          <yVal>
            <numRef>
              <f>'Geo Rect beam'!$T$3:$T$19</f>
            </numRef>
          </yVal>
          <smooth val="0"/>
        </ser>
        <ser>
          <idx val="7"/>
          <order val="7"/>
          <tx>
            <v>bar t2</v>
          </tx>
          <spPr>
            <a:ln xmlns:a="http://schemas.openxmlformats.org/drawingml/2006/main" w="25400">
              <a:solidFill>
                <a:srgbClr val="2B2B2B"/>
              </a:solidFill>
              <a:prstDash val="solid"/>
            </a:ln>
          </spPr>
          <marker>
            <symbol val="none"/>
            <spPr>
              <a:ln xmlns:a="http://schemas.openxmlformats.org/drawingml/2006/main">
                <a:prstDash val="solid"/>
              </a:ln>
            </spPr>
          </marker>
          <xVal>
            <numRef>
              <f>'Geo Rect beam'!$V$3:$V$19</f>
            </numRef>
          </xVal>
          <yVal>
            <numRef>
              <f>'Geo Rect beam'!$W$3:$W$19</f>
            </numRef>
          </yVal>
          <smooth val="0"/>
        </ser>
        <ser>
          <idx val="8"/>
          <order val="8"/>
          <tx>
            <v>bar c2</v>
          </tx>
          <spPr>
            <a:ln xmlns:a="http://schemas.openxmlformats.org/drawingml/2006/main" w="19050">
              <a:solidFill>
                <a:srgbClr val="2B2B2B"/>
              </a:solidFill>
              <a:prstDash val="solid"/>
            </a:ln>
          </spPr>
          <marker>
            <symbol val="none"/>
            <spPr>
              <a:ln xmlns:a="http://schemas.openxmlformats.org/drawingml/2006/main">
                <a:prstDash val="solid"/>
              </a:ln>
            </spPr>
          </marker>
          <xVal>
            <numRef>
              <f>'Geo Rect beam'!$Y$3:$Y$19</f>
            </numRef>
          </xVal>
          <yVal>
            <numRef>
              <f>'Geo Rect beam'!$Z$3:$Z$19</f>
            </numRef>
          </yVal>
          <smooth val="0"/>
        </ser>
        <ser>
          <idx val="9"/>
          <order val="9"/>
          <tx>
            <v>bar t3</v>
          </tx>
          <spPr>
            <a:ln xmlns:a="http://schemas.openxmlformats.org/drawingml/2006/main" w="25400">
              <a:solidFill>
                <a:srgbClr val="2B2B2B"/>
              </a:solidFill>
              <a:prstDash val="solid"/>
            </a:ln>
          </spPr>
          <marker>
            <symbol val="none"/>
            <spPr>
              <a:ln xmlns:a="http://schemas.openxmlformats.org/drawingml/2006/main">
                <a:prstDash val="solid"/>
              </a:ln>
            </spPr>
          </marker>
          <xVal>
            <numRef>
              <f>'Geo Rect beam'!$AB$3:$AB$19</f>
            </numRef>
          </xVal>
          <yVal>
            <numRef>
              <f>'Geo Rect beam'!$AC$3:$AC$19</f>
            </numRef>
          </yVal>
          <smooth val="0"/>
        </ser>
        <ser>
          <idx val="10"/>
          <order val="10"/>
          <tx>
            <v>bar c3</v>
          </tx>
          <spPr>
            <a:ln xmlns:a="http://schemas.openxmlformats.org/drawingml/2006/main" w="19050">
              <a:solidFill>
                <a:srgbClr val="2B2B2B"/>
              </a:solidFill>
              <a:prstDash val="solid"/>
            </a:ln>
          </spPr>
          <marker>
            <symbol val="none"/>
            <spPr>
              <a:ln xmlns:a="http://schemas.openxmlformats.org/drawingml/2006/main">
                <a:prstDash val="solid"/>
              </a:ln>
            </spPr>
          </marker>
          <xVal>
            <numRef>
              <f>'Geo Rect beam'!$AE$3:$AE$19</f>
            </numRef>
          </xVal>
          <yVal>
            <numRef>
              <f>'Geo Rect beam'!$AF$3:$AF$19</f>
            </numRef>
          </yVal>
          <smooth val="0"/>
        </ser>
        <ser>
          <idx val="11"/>
          <order val="11"/>
          <tx>
            <v>bar t4</v>
          </tx>
          <spPr>
            <a:ln xmlns:a="http://schemas.openxmlformats.org/drawingml/2006/main" w="25400">
              <a:solidFill>
                <a:srgbClr val="2B2B2B"/>
              </a:solidFill>
              <a:prstDash val="solid"/>
            </a:ln>
          </spPr>
          <marker>
            <symbol val="none"/>
            <spPr>
              <a:ln xmlns:a="http://schemas.openxmlformats.org/drawingml/2006/main">
                <a:prstDash val="solid"/>
              </a:ln>
            </spPr>
          </marker>
          <xVal>
            <numRef>
              <f>'Geo Rect beam'!$AH$3:$AH$19</f>
            </numRef>
          </xVal>
          <yVal>
            <numRef>
              <f>'Geo Rect beam'!$AI$3:$AI$19</f>
            </numRef>
          </yVal>
          <smooth val="0"/>
        </ser>
        <ser>
          <idx val="12"/>
          <order val="12"/>
          <tx>
            <v>bar c4</v>
          </tx>
          <spPr>
            <a:ln xmlns:a="http://schemas.openxmlformats.org/drawingml/2006/main" w="19050">
              <a:solidFill>
                <a:srgbClr val="2B2B2B"/>
              </a:solidFill>
              <a:prstDash val="solid"/>
            </a:ln>
          </spPr>
          <marker>
            <symbol val="none"/>
            <spPr>
              <a:ln xmlns:a="http://schemas.openxmlformats.org/drawingml/2006/main">
                <a:prstDash val="solid"/>
              </a:ln>
            </spPr>
          </marker>
          <xVal>
            <numRef>
              <f>'Geo Rect beam'!$AK$3:$AK$19</f>
            </numRef>
          </xVal>
          <yVal>
            <numRef>
              <f>'Geo Rect beam'!$AL$3:$AL$19</f>
            </numRef>
          </yVal>
          <smooth val="0"/>
        </ser>
        <ser>
          <idx val="13"/>
          <order val="13"/>
          <tx>
            <v>bar t5</v>
          </tx>
          <spPr>
            <a:ln xmlns:a="http://schemas.openxmlformats.org/drawingml/2006/main" w="25400">
              <a:solidFill>
                <a:srgbClr val="2B2B2B"/>
              </a:solidFill>
              <a:prstDash val="solid"/>
            </a:ln>
          </spPr>
          <marker>
            <symbol val="none"/>
            <spPr>
              <a:ln xmlns:a="http://schemas.openxmlformats.org/drawingml/2006/main">
                <a:prstDash val="solid"/>
              </a:ln>
            </spPr>
          </marker>
          <xVal>
            <numRef>
              <f>'Geo Rect beam'!$AN$3:$AN$19</f>
            </numRef>
          </xVal>
          <yVal>
            <numRef>
              <f>'Geo Rect beam'!$AO$3:$AO$19</f>
            </numRef>
          </yVal>
          <smooth val="0"/>
        </ser>
        <ser>
          <idx val="14"/>
          <order val="14"/>
          <tx>
            <v>bar c5</v>
          </tx>
          <spPr>
            <a:ln xmlns:a="http://schemas.openxmlformats.org/drawingml/2006/main" w="19050">
              <a:solidFill>
                <a:srgbClr val="2B2B2B"/>
              </a:solidFill>
              <a:prstDash val="solid"/>
            </a:ln>
          </spPr>
          <marker>
            <symbol val="none"/>
            <spPr>
              <a:ln xmlns:a="http://schemas.openxmlformats.org/drawingml/2006/main">
                <a:prstDash val="solid"/>
              </a:ln>
            </spPr>
          </marker>
          <xVal>
            <numRef>
              <f>'Geo Rect beam'!$AQ$3:$AQ$19</f>
            </numRef>
          </xVal>
          <yVal>
            <numRef>
              <f>'Geo Rect beam'!$AR$3:$AR$19</f>
            </numRef>
          </yVal>
          <smooth val="0"/>
        </ser>
        <ser>
          <idx val="15"/>
          <order val="15"/>
          <tx>
            <v>bar t6</v>
          </tx>
          <spPr>
            <a:ln xmlns:a="http://schemas.openxmlformats.org/drawingml/2006/main" w="25400">
              <a:solidFill>
                <a:srgbClr val="2B2B2B"/>
              </a:solidFill>
              <a:prstDash val="solid"/>
            </a:ln>
          </spPr>
          <marker>
            <symbol val="none"/>
            <spPr>
              <a:ln xmlns:a="http://schemas.openxmlformats.org/drawingml/2006/main">
                <a:prstDash val="solid"/>
              </a:ln>
            </spPr>
          </marker>
          <xVal>
            <numRef>
              <f>'Geo Rect beam'!$AT$3:$AT$19</f>
            </numRef>
          </xVal>
          <yVal>
            <numRef>
              <f>'Geo Rect beam'!$AU$3:$AU$19</f>
            </numRef>
          </yVal>
          <smooth val="0"/>
        </ser>
        <ser>
          <idx val="16"/>
          <order val="16"/>
          <tx>
            <v>bar c6</v>
          </tx>
          <spPr>
            <a:ln xmlns:a="http://schemas.openxmlformats.org/drawingml/2006/main" w="19050">
              <a:solidFill>
                <a:srgbClr val="2B2B2B"/>
              </a:solidFill>
              <a:prstDash val="solid"/>
            </a:ln>
          </spPr>
          <marker>
            <symbol val="none"/>
            <spPr>
              <a:ln xmlns:a="http://schemas.openxmlformats.org/drawingml/2006/main">
                <a:prstDash val="solid"/>
              </a:ln>
            </spPr>
          </marker>
          <xVal>
            <numRef>
              <f>'Geo Rect beam'!$AW$3:$AW$19</f>
            </numRef>
          </xVal>
          <yVal>
            <numRef>
              <f>'Geo Rect beam'!$AX$3:$AX$19</f>
            </numRef>
          </yVal>
          <smooth val="0"/>
        </ser>
        <ser>
          <idx val="17"/>
          <order val="17"/>
          <tx>
            <v>bar t7</v>
          </tx>
          <spPr>
            <a:ln xmlns:a="http://schemas.openxmlformats.org/drawingml/2006/main" w="25400">
              <a:solidFill>
                <a:srgbClr val="2B2B2B"/>
              </a:solidFill>
              <a:prstDash val="solid"/>
            </a:ln>
          </spPr>
          <marker>
            <symbol val="none"/>
            <spPr>
              <a:ln xmlns:a="http://schemas.openxmlformats.org/drawingml/2006/main">
                <a:prstDash val="solid"/>
              </a:ln>
            </spPr>
          </marker>
          <xVal>
            <numRef>
              <f>'Geo Rect beam'!$AZ$3:$AZ$19</f>
            </numRef>
          </xVal>
          <yVal>
            <numRef>
              <f>'Geo Rect beam'!$BA$3:$BA$19</f>
            </numRef>
          </yVal>
          <smooth val="0"/>
        </ser>
        <ser>
          <idx val="18"/>
          <order val="18"/>
          <tx>
            <v>bar c7</v>
          </tx>
          <spPr>
            <a:ln xmlns:a="http://schemas.openxmlformats.org/drawingml/2006/main" w="19050">
              <a:solidFill>
                <a:srgbClr val="2B2B2B"/>
              </a:solidFill>
              <a:prstDash val="solid"/>
            </a:ln>
          </spPr>
          <marker>
            <symbol val="none"/>
            <spPr>
              <a:ln xmlns:a="http://schemas.openxmlformats.org/drawingml/2006/main">
                <a:prstDash val="solid"/>
              </a:ln>
            </spPr>
          </marker>
          <xVal>
            <numRef>
              <f>'Geo Rect beam'!$BC$3:$BC$19</f>
            </numRef>
          </xVal>
          <yVal>
            <numRef>
              <f>'Geo Rect beam'!$BD$3:$BD$19</f>
            </numRef>
          </yVal>
          <smooth val="0"/>
        </ser>
        <ser>
          <idx val="19"/>
          <order val="19"/>
          <tx>
            <v>bar t8</v>
          </tx>
          <spPr>
            <a:ln xmlns:a="http://schemas.openxmlformats.org/drawingml/2006/main" w="25400">
              <a:solidFill>
                <a:srgbClr val="2B2B2B"/>
              </a:solidFill>
              <a:prstDash val="solid"/>
            </a:ln>
          </spPr>
          <marker>
            <symbol val="none"/>
            <spPr>
              <a:ln xmlns:a="http://schemas.openxmlformats.org/drawingml/2006/main">
                <a:prstDash val="solid"/>
              </a:ln>
            </spPr>
          </marker>
          <xVal>
            <numRef>
              <f>'Geo Rect beam'!$BF$3:$BF$19</f>
            </numRef>
          </xVal>
          <yVal>
            <numRef>
              <f>'Geo Rect beam'!$BG$3:$BG$19</f>
            </numRef>
          </yVal>
          <smooth val="0"/>
        </ser>
        <ser>
          <idx val="20"/>
          <order val="20"/>
          <tx>
            <v>bar c8</v>
          </tx>
          <spPr>
            <a:ln xmlns:a="http://schemas.openxmlformats.org/drawingml/2006/main" w="19050">
              <a:solidFill>
                <a:srgbClr val="2B2B2B"/>
              </a:solidFill>
              <a:prstDash val="solid"/>
            </a:ln>
          </spPr>
          <marker>
            <symbol val="none"/>
            <spPr>
              <a:ln xmlns:a="http://schemas.openxmlformats.org/drawingml/2006/main">
                <a:prstDash val="solid"/>
              </a:ln>
            </spPr>
          </marker>
          <xVal>
            <numRef>
              <f>'Geo Rect beam'!$BI$3:$BI$19</f>
            </numRef>
          </xVal>
          <yVal>
            <numRef>
              <f>'Geo Rect beam'!$BJ$3:$BJ$19</f>
            </numRef>
          </yVal>
          <smooth val="0"/>
        </ser>
        <ser>
          <idx val="21"/>
          <order val="21"/>
          <tx>
            <v>bar t9</v>
          </tx>
          <spPr>
            <a:ln xmlns:a="http://schemas.openxmlformats.org/drawingml/2006/main" w="25400">
              <a:solidFill>
                <a:srgbClr val="2B2B2B"/>
              </a:solidFill>
              <a:prstDash val="solid"/>
            </a:ln>
          </spPr>
          <marker>
            <symbol val="none"/>
            <spPr>
              <a:ln xmlns:a="http://schemas.openxmlformats.org/drawingml/2006/main">
                <a:prstDash val="solid"/>
              </a:ln>
            </spPr>
          </marker>
          <xVal>
            <numRef>
              <f>'Geo Rect beam'!$BL$3:$BL$19</f>
            </numRef>
          </xVal>
          <yVal>
            <numRef>
              <f>'Geo Rect beam'!$BM$3:$BM$19</f>
            </numRef>
          </yVal>
          <smooth val="0"/>
        </ser>
        <ser>
          <idx val="22"/>
          <order val="22"/>
          <tx>
            <v>bar c9</v>
          </tx>
          <spPr>
            <a:ln xmlns:a="http://schemas.openxmlformats.org/drawingml/2006/main" w="19050">
              <a:solidFill>
                <a:srgbClr val="2B2B2B"/>
              </a:solidFill>
              <a:prstDash val="solid"/>
            </a:ln>
          </spPr>
          <marker>
            <symbol val="none"/>
            <spPr>
              <a:ln xmlns:a="http://schemas.openxmlformats.org/drawingml/2006/main">
                <a:prstDash val="solid"/>
              </a:ln>
            </spPr>
          </marker>
          <xVal>
            <numRef>
              <f>'Geo Rect beam'!$BO$3:$BO$19</f>
            </numRef>
          </xVal>
          <yVal>
            <numRef>
              <f>'Geo Rect beam'!$BP$3:$BP$19</f>
            </numRef>
          </yVal>
          <smooth val="0"/>
        </ser>
        <ser>
          <idx val="23"/>
          <order val="23"/>
          <tx>
            <v>bar t10</v>
          </tx>
          <spPr>
            <a:ln xmlns:a="http://schemas.openxmlformats.org/drawingml/2006/main" w="25400">
              <a:solidFill>
                <a:srgbClr val="2B2B2B"/>
              </a:solidFill>
              <a:prstDash val="solid"/>
            </a:ln>
          </spPr>
          <marker>
            <symbol val="none"/>
            <spPr>
              <a:ln xmlns:a="http://schemas.openxmlformats.org/drawingml/2006/main">
                <a:prstDash val="solid"/>
              </a:ln>
            </spPr>
          </marker>
          <xVal>
            <numRef>
              <f>'Geo Rect beam'!$BR$3:$BR$19</f>
            </numRef>
          </xVal>
          <yVal>
            <numRef>
              <f>'Geo Rect beam'!$BS$3:$BS$19</f>
            </numRef>
          </yVal>
          <smooth val="0"/>
        </ser>
        <ser>
          <idx val="24"/>
          <order val="24"/>
          <tx>
            <v>bar c10</v>
          </tx>
          <spPr>
            <a:ln xmlns:a="http://schemas.openxmlformats.org/drawingml/2006/main" w="19050">
              <a:solidFill>
                <a:srgbClr val="2B2B2B"/>
              </a:solidFill>
              <a:prstDash val="solid"/>
            </a:ln>
          </spPr>
          <marker>
            <symbol val="none"/>
            <spPr>
              <a:ln xmlns:a="http://schemas.openxmlformats.org/drawingml/2006/main">
                <a:prstDash val="solid"/>
              </a:ln>
            </spPr>
          </marker>
          <xVal>
            <numRef>
              <f>'Geo Rect beam'!$BU$3:$BU$19</f>
            </numRef>
          </xVal>
          <yVal>
            <numRef>
              <f>'Geo Rect beam'!$BV$3:$BV$19</f>
            </numRef>
          </yVal>
          <smooth val="0"/>
        </ser>
        <ser>
          <idx val="25"/>
          <order val="25"/>
          <tx>
            <v>bar t11</v>
          </tx>
          <spPr>
            <a:ln xmlns:a="http://schemas.openxmlformats.org/drawingml/2006/main" w="25400">
              <a:solidFill>
                <a:srgbClr val="2B2B2B"/>
              </a:solidFill>
              <a:prstDash val="solid"/>
            </a:ln>
          </spPr>
          <marker>
            <symbol val="none"/>
            <spPr>
              <a:ln xmlns:a="http://schemas.openxmlformats.org/drawingml/2006/main">
                <a:prstDash val="solid"/>
              </a:ln>
            </spPr>
          </marker>
          <xVal>
            <numRef>
              <f>'Geo Rect beam'!$BX$3:$BX$19</f>
            </numRef>
          </xVal>
          <yVal>
            <numRef>
              <f>'Geo Rect beam'!$BY$3:$BY$19</f>
            </numRef>
          </yVal>
          <smooth val="0"/>
        </ser>
        <ser>
          <idx val="26"/>
          <order val="26"/>
          <tx>
            <v>bar c11</v>
          </tx>
          <spPr>
            <a:ln xmlns:a="http://schemas.openxmlformats.org/drawingml/2006/main" w="19050">
              <a:solidFill>
                <a:srgbClr val="2B2B2B"/>
              </a:solidFill>
              <a:prstDash val="solid"/>
            </a:ln>
          </spPr>
          <marker>
            <symbol val="none"/>
            <spPr>
              <a:ln xmlns:a="http://schemas.openxmlformats.org/drawingml/2006/main">
                <a:prstDash val="solid"/>
              </a:ln>
            </spPr>
          </marker>
          <xVal>
            <numRef>
              <f>'Geo Rect beam'!$CA$3:$CA$19</f>
            </numRef>
          </xVal>
          <yVal>
            <numRef>
              <f>'Geo Rect beam'!$CB$3:$CB$19</f>
            </numRef>
          </yVal>
          <smooth val="0"/>
        </ser>
        <ser>
          <idx val="27"/>
          <order val="27"/>
          <tx>
            <v>neutral axis</v>
          </tx>
          <spPr>
            <a:ln xmlns:a="http://schemas.openxmlformats.org/drawingml/2006/main" w="12700">
              <a:solidFill>
                <a:srgbClr val="B3261E"/>
              </a:solidFill>
              <a:prstDash val="dash"/>
            </a:ln>
          </spPr>
          <marker>
            <symbol val="none"/>
            <spPr>
              <a:ln xmlns:a="http://schemas.openxmlformats.org/drawingml/2006/main">
                <a:prstDash val="solid"/>
              </a:ln>
            </spPr>
          </marker>
          <xVal>
            <numRef>
              <f>'Geo Rect beam'!$CD$3:$CD$4</f>
            </numRef>
          </xVal>
          <yVal>
            <numRef>
              <f>'Geo Rect beam'!$CE$3:$CE$4</f>
            </numRef>
          </yVal>
          <smooth val="0"/>
        </ser>
        <ser>
          <idx val="28"/>
          <order val="28"/>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 Rect beam'!$CG$3:$CG$4</f>
            </numRef>
          </xVal>
          <yVal>
            <numRef>
              <f>'Geo Rect beam'!$CH$3:$CH$4</f>
            </numRef>
          </yVal>
          <smooth val="0"/>
        </ser>
        <ser>
          <idx val="29"/>
          <order val="29"/>
          <tx>
            <strRef>
              <f>'Geo Rect beam'!$CJ$2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l"/>
            <showLegendKey val="0"/>
            <showVal val="0"/>
            <showCatName val="0"/>
            <showSerName val="1"/>
            <showPercent val="0"/>
          </dLbls>
          <xVal>
            <numRef>
              <f>'Geo Rect beam'!$CJ$3</f>
            </numRef>
          </xVal>
          <yVal>
            <numRef>
              <f>'Geo Rect beam'!$CK$3</f>
            </numRef>
          </yVal>
          <smooth val="0"/>
        </ser>
        <ser>
          <idx val="30"/>
          <order val="30"/>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 Rect beam'!$CM$3:$CM$4</f>
            </numRef>
          </xVal>
          <yVal>
            <numRef>
              <f>'Geo Rect beam'!$CN$3:$CN$4</f>
            </numRef>
          </yVal>
          <smooth val="0"/>
        </ser>
        <ser>
          <idx val="31"/>
          <order val="31"/>
          <tx>
            <strRef>
              <f>'Geo Rect beam'!$CP$2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 Rect beam'!$CP$3</f>
            </numRef>
          </xVal>
          <yVal>
            <numRef>
              <f>'Geo Rect beam'!$CQ$3</f>
            </numRef>
          </yVal>
          <smooth val="0"/>
        </ser>
        <ser>
          <idx val="32"/>
          <order val="32"/>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 Rect beam'!$CS$3:$CS$4</f>
            </numRef>
          </xVal>
          <yVal>
            <numRef>
              <f>'Geo Rect beam'!$CT$3:$CT$4</f>
            </numRef>
          </yVal>
          <smooth val="0"/>
        </ser>
        <ser>
          <idx val="33"/>
          <order val="33"/>
          <tx>
            <strRef>
              <f>'Geo Rect beam'!$CV$2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 Rect beam'!$CV$3</f>
            </numRef>
          </xVal>
          <yVal>
            <numRef>
              <f>'Geo Rect beam'!$CW$3</f>
            </numRef>
          </yVal>
          <smooth val="0"/>
        </ser>
        <ser>
          <idx val="34"/>
          <order val="34"/>
          <tx>
            <strRef>
              <f>'Geo Rect beam'!$CY$2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r"/>
            <showLegendKey val="0"/>
            <showVal val="0"/>
            <showCatName val="0"/>
            <showSerName val="1"/>
            <showPercent val="0"/>
          </dLbls>
          <xVal>
            <numRef>
              <f>'Geo Rect beam'!$CY$3</f>
            </numRef>
          </xVal>
          <yVal>
            <numRef>
              <f>'Geo Rect beam'!$CZ$3</f>
            </numRef>
          </yVal>
          <smooth val="0"/>
        </ser>
        <ser>
          <idx val="35"/>
          <order val="35"/>
          <tx>
            <strRef>
              <f>'Geo Rect beam'!$DB$2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r"/>
            <showLegendKey val="0"/>
            <showVal val="0"/>
            <showCatName val="0"/>
            <showSerName val="1"/>
            <showPercent val="0"/>
          </dLbls>
          <xVal>
            <numRef>
              <f>'Geo Rect beam'!$DB$3</f>
            </numRef>
          </xVal>
          <yVal>
            <numRef>
              <f>'Geo Rect beam'!$DC$3</f>
            </numRef>
          </yVal>
          <smooth val="0"/>
        </ser>
        <ser>
          <idx val="36"/>
          <order val="36"/>
          <tx>
            <strRef>
              <f>'Geo Rect beam'!$DE$2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l"/>
            <showLegendKey val="0"/>
            <showVal val="0"/>
            <showCatName val="0"/>
            <showSerName val="1"/>
            <showPercent val="0"/>
          </dLbls>
          <xVal>
            <numRef>
              <f>'Geo Rect beam'!$DE$3</f>
            </numRef>
          </xVal>
          <yVal>
            <numRef>
              <f>'Geo Rect beam'!$DF$3</f>
            </numRef>
          </yVal>
          <smooth val="0"/>
        </ser>
        <ser>
          <idx val="37"/>
          <order val="37"/>
          <tx>
            <strRef>
              <f>'Geo Rect beam'!$DH$2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b"/>
            <showLegendKey val="0"/>
            <showVal val="0"/>
            <showCatName val="0"/>
            <showSerName val="1"/>
            <showPercent val="0"/>
          </dLbls>
          <xVal>
            <numRef>
              <f>'Geo Rect beam'!$DH$3</f>
            </numRef>
          </xVal>
          <yVal>
            <numRef>
              <f>'Geo Rect beam'!$DI$3</f>
            </numRef>
          </yVal>
          <smooth val="0"/>
        </ser>
        <ser>
          <idx val="38"/>
          <order val="38"/>
          <tx>
            <v>frame</v>
          </tx>
          <spPr>
            <a:ln xmlns:a="http://schemas.openxmlformats.org/drawingml/2006/main">
              <a:noFill/>
              <a:prstDash val="solid"/>
            </a:ln>
          </spPr>
          <marker>
            <symbol val="none"/>
            <spPr>
              <a:ln xmlns:a="http://schemas.openxmlformats.org/drawingml/2006/main">
                <a:prstDash val="solid"/>
              </a:ln>
            </spPr>
          </marker>
          <xVal>
            <numRef>
              <f>'Geo Rect beam'!$DK$3:$DK$4</f>
            </numRef>
          </xVal>
          <yVal>
            <numRef>
              <f>'Geo Rect beam'!$DL$3:$DL$4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charts/chart3.xml><?xml version="1.0" encoding="utf-8"?>
<chartSpace xmlns="http://schemas.openxmlformats.org/drawingml/2006/chart">
  <style val="1"/>
  <chart>
    <plotArea>
      <scatterChart>
        <scatterStyle val="lineMarker"/>
        <ser>
          <idx val="0"/>
          <order val="0"/>
          <tx>
            <strRef>
              <f>'Geo Tee beam'!$A$2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 Tee beam'!$A$3</f>
            </numRef>
          </xVal>
          <yVal>
            <numRef>
              <f>'Geo Tee beam'!$B$3</f>
            </numRef>
          </yVal>
          <smooth val="0"/>
        </ser>
        <ser>
          <idx val="1"/>
          <order val="1"/>
          <tx>
            <v>section</v>
          </tx>
          <spPr>
            <a:ln xmlns:a="http://schemas.openxmlformats.org/drawingml/2006/main" w="25400">
              <a:solidFill>
                <a:srgbClr val="2B2B2B"/>
              </a:solidFill>
              <a:prstDash val="solid"/>
            </a:ln>
          </spPr>
          <marker>
            <symbol val="none"/>
            <spPr>
              <a:ln xmlns:a="http://schemas.openxmlformats.org/drawingml/2006/main">
                <a:prstDash val="solid"/>
              </a:ln>
            </spPr>
          </marker>
          <xVal>
            <numRef>
              <f>'Geo Tee beam'!$D$3:$D$11</f>
            </numRef>
          </xVal>
          <yVal>
            <numRef>
              <f>'Geo Tee beam'!$E$3:$E$11</f>
            </numRef>
          </yVal>
          <smooth val="0"/>
        </ser>
        <ser>
          <idx val="2"/>
          <order val="2"/>
          <tx>
            <v>link</v>
          </tx>
          <spPr>
            <a:ln xmlns:a="http://schemas.openxmlformats.org/drawingml/2006/main" w="15875">
              <a:solidFill>
                <a:srgbClr val="5B7F8A"/>
              </a:solidFill>
              <a:prstDash val="solid"/>
            </a:ln>
          </spPr>
          <marker>
            <symbol val="none"/>
            <spPr>
              <a:ln xmlns:a="http://schemas.openxmlformats.org/drawingml/2006/main">
                <a:prstDash val="solid"/>
              </a:ln>
            </spPr>
          </marker>
          <xVal>
            <numRef>
              <f>'Geo Tee beam'!$G$3:$G$7</f>
            </numRef>
          </xVal>
          <yVal>
            <numRef>
              <f>'Geo Tee beam'!$H$3:$H$7</f>
            </numRef>
          </yVal>
          <smooth val="0"/>
        </ser>
        <ser>
          <idx val="3"/>
          <order val="3"/>
          <tx>
            <v>bar t0</v>
          </tx>
          <spPr>
            <a:ln xmlns:a="http://schemas.openxmlformats.org/drawingml/2006/main" w="25400">
              <a:solidFill>
                <a:srgbClr val="2B2B2B"/>
              </a:solidFill>
              <a:prstDash val="solid"/>
            </a:ln>
          </spPr>
          <marker>
            <symbol val="none"/>
            <spPr>
              <a:ln xmlns:a="http://schemas.openxmlformats.org/drawingml/2006/main">
                <a:prstDash val="solid"/>
              </a:ln>
            </spPr>
          </marker>
          <xVal>
            <numRef>
              <f>'Geo Tee beam'!$J$3:$J$19</f>
            </numRef>
          </xVal>
          <yVal>
            <numRef>
              <f>'Geo Tee beam'!$K$3:$K$19</f>
            </numRef>
          </yVal>
          <smooth val="0"/>
        </ser>
        <ser>
          <idx val="4"/>
          <order val="4"/>
          <tx>
            <v>bar c0</v>
          </tx>
          <spPr>
            <a:ln xmlns:a="http://schemas.openxmlformats.org/drawingml/2006/main" w="19050">
              <a:solidFill>
                <a:srgbClr val="2B2B2B"/>
              </a:solidFill>
              <a:prstDash val="solid"/>
            </a:ln>
          </spPr>
          <marker>
            <symbol val="none"/>
            <spPr>
              <a:ln xmlns:a="http://schemas.openxmlformats.org/drawingml/2006/main">
                <a:prstDash val="solid"/>
              </a:ln>
            </spPr>
          </marker>
          <xVal>
            <numRef>
              <f>'Geo Tee beam'!$M$3:$M$19</f>
            </numRef>
          </xVal>
          <yVal>
            <numRef>
              <f>'Geo Tee beam'!$N$3:$N$19</f>
            </numRef>
          </yVal>
          <smooth val="0"/>
        </ser>
        <ser>
          <idx val="5"/>
          <order val="5"/>
          <tx>
            <v>bar t1</v>
          </tx>
          <spPr>
            <a:ln xmlns:a="http://schemas.openxmlformats.org/drawingml/2006/main" w="25400">
              <a:solidFill>
                <a:srgbClr val="2B2B2B"/>
              </a:solidFill>
              <a:prstDash val="solid"/>
            </a:ln>
          </spPr>
          <marker>
            <symbol val="none"/>
            <spPr>
              <a:ln xmlns:a="http://schemas.openxmlformats.org/drawingml/2006/main">
                <a:prstDash val="solid"/>
              </a:ln>
            </spPr>
          </marker>
          <xVal>
            <numRef>
              <f>'Geo Tee beam'!$P$3:$P$19</f>
            </numRef>
          </xVal>
          <yVal>
            <numRef>
              <f>'Geo Tee beam'!$Q$3:$Q$19</f>
            </numRef>
          </yVal>
          <smooth val="0"/>
        </ser>
        <ser>
          <idx val="6"/>
          <order val="6"/>
          <tx>
            <v>bar c1</v>
          </tx>
          <spPr>
            <a:ln xmlns:a="http://schemas.openxmlformats.org/drawingml/2006/main" w="19050">
              <a:solidFill>
                <a:srgbClr val="2B2B2B"/>
              </a:solidFill>
              <a:prstDash val="solid"/>
            </a:ln>
          </spPr>
          <marker>
            <symbol val="none"/>
            <spPr>
              <a:ln xmlns:a="http://schemas.openxmlformats.org/drawingml/2006/main">
                <a:prstDash val="solid"/>
              </a:ln>
            </spPr>
          </marker>
          <xVal>
            <numRef>
              <f>'Geo Tee beam'!$S$3:$S$19</f>
            </numRef>
          </xVal>
          <yVal>
            <numRef>
              <f>'Geo Tee beam'!$T$3:$T$19</f>
            </numRef>
          </yVal>
          <smooth val="0"/>
        </ser>
        <ser>
          <idx val="7"/>
          <order val="7"/>
          <tx>
            <v>bar t2</v>
          </tx>
          <spPr>
            <a:ln xmlns:a="http://schemas.openxmlformats.org/drawingml/2006/main" w="25400">
              <a:solidFill>
                <a:srgbClr val="2B2B2B"/>
              </a:solidFill>
              <a:prstDash val="solid"/>
            </a:ln>
          </spPr>
          <marker>
            <symbol val="none"/>
            <spPr>
              <a:ln xmlns:a="http://schemas.openxmlformats.org/drawingml/2006/main">
                <a:prstDash val="solid"/>
              </a:ln>
            </spPr>
          </marker>
          <xVal>
            <numRef>
              <f>'Geo Tee beam'!$V$3:$V$19</f>
            </numRef>
          </xVal>
          <yVal>
            <numRef>
              <f>'Geo Tee beam'!$W$3:$W$19</f>
            </numRef>
          </yVal>
          <smooth val="0"/>
        </ser>
        <ser>
          <idx val="8"/>
          <order val="8"/>
          <tx>
            <v>bar c2</v>
          </tx>
          <spPr>
            <a:ln xmlns:a="http://schemas.openxmlformats.org/drawingml/2006/main" w="19050">
              <a:solidFill>
                <a:srgbClr val="2B2B2B"/>
              </a:solidFill>
              <a:prstDash val="solid"/>
            </a:ln>
          </spPr>
          <marker>
            <symbol val="none"/>
            <spPr>
              <a:ln xmlns:a="http://schemas.openxmlformats.org/drawingml/2006/main">
                <a:prstDash val="solid"/>
              </a:ln>
            </spPr>
          </marker>
          <xVal>
            <numRef>
              <f>'Geo Tee beam'!$Y$3:$Y$19</f>
            </numRef>
          </xVal>
          <yVal>
            <numRef>
              <f>'Geo Tee beam'!$Z$3:$Z$19</f>
            </numRef>
          </yVal>
          <smooth val="0"/>
        </ser>
        <ser>
          <idx val="9"/>
          <order val="9"/>
          <tx>
            <v>bar t3</v>
          </tx>
          <spPr>
            <a:ln xmlns:a="http://schemas.openxmlformats.org/drawingml/2006/main" w="25400">
              <a:solidFill>
                <a:srgbClr val="2B2B2B"/>
              </a:solidFill>
              <a:prstDash val="solid"/>
            </a:ln>
          </spPr>
          <marker>
            <symbol val="none"/>
            <spPr>
              <a:ln xmlns:a="http://schemas.openxmlformats.org/drawingml/2006/main">
                <a:prstDash val="solid"/>
              </a:ln>
            </spPr>
          </marker>
          <xVal>
            <numRef>
              <f>'Geo Tee beam'!$AB$3:$AB$19</f>
            </numRef>
          </xVal>
          <yVal>
            <numRef>
              <f>'Geo Tee beam'!$AC$3:$AC$19</f>
            </numRef>
          </yVal>
          <smooth val="0"/>
        </ser>
        <ser>
          <idx val="10"/>
          <order val="10"/>
          <tx>
            <v>bar c3</v>
          </tx>
          <spPr>
            <a:ln xmlns:a="http://schemas.openxmlformats.org/drawingml/2006/main" w="19050">
              <a:solidFill>
                <a:srgbClr val="2B2B2B"/>
              </a:solidFill>
              <a:prstDash val="solid"/>
            </a:ln>
          </spPr>
          <marker>
            <symbol val="none"/>
            <spPr>
              <a:ln xmlns:a="http://schemas.openxmlformats.org/drawingml/2006/main">
                <a:prstDash val="solid"/>
              </a:ln>
            </spPr>
          </marker>
          <xVal>
            <numRef>
              <f>'Geo Tee beam'!$AE$3:$AE$19</f>
            </numRef>
          </xVal>
          <yVal>
            <numRef>
              <f>'Geo Tee beam'!$AF$3:$AF$19</f>
            </numRef>
          </yVal>
          <smooth val="0"/>
        </ser>
        <ser>
          <idx val="11"/>
          <order val="11"/>
          <tx>
            <v>bar t4</v>
          </tx>
          <spPr>
            <a:ln xmlns:a="http://schemas.openxmlformats.org/drawingml/2006/main" w="25400">
              <a:solidFill>
                <a:srgbClr val="2B2B2B"/>
              </a:solidFill>
              <a:prstDash val="solid"/>
            </a:ln>
          </spPr>
          <marker>
            <symbol val="none"/>
            <spPr>
              <a:ln xmlns:a="http://schemas.openxmlformats.org/drawingml/2006/main">
                <a:prstDash val="solid"/>
              </a:ln>
            </spPr>
          </marker>
          <xVal>
            <numRef>
              <f>'Geo Tee beam'!$AH$3:$AH$19</f>
            </numRef>
          </xVal>
          <yVal>
            <numRef>
              <f>'Geo Tee beam'!$AI$3:$AI$19</f>
            </numRef>
          </yVal>
          <smooth val="0"/>
        </ser>
        <ser>
          <idx val="12"/>
          <order val="12"/>
          <tx>
            <v>bar c4</v>
          </tx>
          <spPr>
            <a:ln xmlns:a="http://schemas.openxmlformats.org/drawingml/2006/main" w="19050">
              <a:solidFill>
                <a:srgbClr val="2B2B2B"/>
              </a:solidFill>
              <a:prstDash val="solid"/>
            </a:ln>
          </spPr>
          <marker>
            <symbol val="none"/>
            <spPr>
              <a:ln xmlns:a="http://schemas.openxmlformats.org/drawingml/2006/main">
                <a:prstDash val="solid"/>
              </a:ln>
            </spPr>
          </marker>
          <xVal>
            <numRef>
              <f>'Geo Tee beam'!$AK$3:$AK$19</f>
            </numRef>
          </xVal>
          <yVal>
            <numRef>
              <f>'Geo Tee beam'!$AL$3:$AL$19</f>
            </numRef>
          </yVal>
          <smooth val="0"/>
        </ser>
        <ser>
          <idx val="13"/>
          <order val="13"/>
          <tx>
            <v>bar t5</v>
          </tx>
          <spPr>
            <a:ln xmlns:a="http://schemas.openxmlformats.org/drawingml/2006/main" w="25400">
              <a:solidFill>
                <a:srgbClr val="2B2B2B"/>
              </a:solidFill>
              <a:prstDash val="solid"/>
            </a:ln>
          </spPr>
          <marker>
            <symbol val="none"/>
            <spPr>
              <a:ln xmlns:a="http://schemas.openxmlformats.org/drawingml/2006/main">
                <a:prstDash val="solid"/>
              </a:ln>
            </spPr>
          </marker>
          <xVal>
            <numRef>
              <f>'Geo Tee beam'!$AN$3:$AN$19</f>
            </numRef>
          </xVal>
          <yVal>
            <numRef>
              <f>'Geo Tee beam'!$AO$3:$AO$19</f>
            </numRef>
          </yVal>
          <smooth val="0"/>
        </ser>
        <ser>
          <idx val="14"/>
          <order val="14"/>
          <tx>
            <v>bar c5</v>
          </tx>
          <spPr>
            <a:ln xmlns:a="http://schemas.openxmlformats.org/drawingml/2006/main" w="19050">
              <a:solidFill>
                <a:srgbClr val="2B2B2B"/>
              </a:solidFill>
              <a:prstDash val="solid"/>
            </a:ln>
          </spPr>
          <marker>
            <symbol val="none"/>
            <spPr>
              <a:ln xmlns:a="http://schemas.openxmlformats.org/drawingml/2006/main">
                <a:prstDash val="solid"/>
              </a:ln>
            </spPr>
          </marker>
          <xVal>
            <numRef>
              <f>'Geo Tee beam'!$AQ$3:$AQ$19</f>
            </numRef>
          </xVal>
          <yVal>
            <numRef>
              <f>'Geo Tee beam'!$AR$3:$AR$19</f>
            </numRef>
          </yVal>
          <smooth val="0"/>
        </ser>
        <ser>
          <idx val="15"/>
          <order val="15"/>
          <tx>
            <v>bar t6</v>
          </tx>
          <spPr>
            <a:ln xmlns:a="http://schemas.openxmlformats.org/drawingml/2006/main" w="25400">
              <a:solidFill>
                <a:srgbClr val="2B2B2B"/>
              </a:solidFill>
              <a:prstDash val="solid"/>
            </a:ln>
          </spPr>
          <marker>
            <symbol val="none"/>
            <spPr>
              <a:ln xmlns:a="http://schemas.openxmlformats.org/drawingml/2006/main">
                <a:prstDash val="solid"/>
              </a:ln>
            </spPr>
          </marker>
          <xVal>
            <numRef>
              <f>'Geo Tee beam'!$AT$3:$AT$19</f>
            </numRef>
          </xVal>
          <yVal>
            <numRef>
              <f>'Geo Tee beam'!$AU$3:$AU$19</f>
            </numRef>
          </yVal>
          <smooth val="0"/>
        </ser>
        <ser>
          <idx val="16"/>
          <order val="16"/>
          <tx>
            <v>bar c6</v>
          </tx>
          <spPr>
            <a:ln xmlns:a="http://schemas.openxmlformats.org/drawingml/2006/main" w="19050">
              <a:solidFill>
                <a:srgbClr val="2B2B2B"/>
              </a:solidFill>
              <a:prstDash val="solid"/>
            </a:ln>
          </spPr>
          <marker>
            <symbol val="none"/>
            <spPr>
              <a:ln xmlns:a="http://schemas.openxmlformats.org/drawingml/2006/main">
                <a:prstDash val="solid"/>
              </a:ln>
            </spPr>
          </marker>
          <xVal>
            <numRef>
              <f>'Geo Tee beam'!$AW$3:$AW$19</f>
            </numRef>
          </xVal>
          <yVal>
            <numRef>
              <f>'Geo Tee beam'!$AX$3:$AX$19</f>
            </numRef>
          </yVal>
          <smooth val="0"/>
        </ser>
        <ser>
          <idx val="17"/>
          <order val="17"/>
          <tx>
            <v>bar t7</v>
          </tx>
          <spPr>
            <a:ln xmlns:a="http://schemas.openxmlformats.org/drawingml/2006/main" w="25400">
              <a:solidFill>
                <a:srgbClr val="2B2B2B"/>
              </a:solidFill>
              <a:prstDash val="solid"/>
            </a:ln>
          </spPr>
          <marker>
            <symbol val="none"/>
            <spPr>
              <a:ln xmlns:a="http://schemas.openxmlformats.org/drawingml/2006/main">
                <a:prstDash val="solid"/>
              </a:ln>
            </spPr>
          </marker>
          <xVal>
            <numRef>
              <f>'Geo Tee beam'!$AZ$3:$AZ$19</f>
            </numRef>
          </xVal>
          <yVal>
            <numRef>
              <f>'Geo Tee beam'!$BA$3:$BA$19</f>
            </numRef>
          </yVal>
          <smooth val="0"/>
        </ser>
        <ser>
          <idx val="18"/>
          <order val="18"/>
          <tx>
            <v>bar c7</v>
          </tx>
          <spPr>
            <a:ln xmlns:a="http://schemas.openxmlformats.org/drawingml/2006/main" w="19050">
              <a:solidFill>
                <a:srgbClr val="2B2B2B"/>
              </a:solidFill>
              <a:prstDash val="solid"/>
            </a:ln>
          </spPr>
          <marker>
            <symbol val="none"/>
            <spPr>
              <a:ln xmlns:a="http://schemas.openxmlformats.org/drawingml/2006/main">
                <a:prstDash val="solid"/>
              </a:ln>
            </spPr>
          </marker>
          <xVal>
            <numRef>
              <f>'Geo Tee beam'!$BC$3:$BC$19</f>
            </numRef>
          </xVal>
          <yVal>
            <numRef>
              <f>'Geo Tee beam'!$BD$3:$BD$19</f>
            </numRef>
          </yVal>
          <smooth val="0"/>
        </ser>
        <ser>
          <idx val="19"/>
          <order val="19"/>
          <tx>
            <v>bar t8</v>
          </tx>
          <spPr>
            <a:ln xmlns:a="http://schemas.openxmlformats.org/drawingml/2006/main" w="25400">
              <a:solidFill>
                <a:srgbClr val="2B2B2B"/>
              </a:solidFill>
              <a:prstDash val="solid"/>
            </a:ln>
          </spPr>
          <marker>
            <symbol val="none"/>
            <spPr>
              <a:ln xmlns:a="http://schemas.openxmlformats.org/drawingml/2006/main">
                <a:prstDash val="solid"/>
              </a:ln>
            </spPr>
          </marker>
          <xVal>
            <numRef>
              <f>'Geo Tee beam'!$BF$3:$BF$19</f>
            </numRef>
          </xVal>
          <yVal>
            <numRef>
              <f>'Geo Tee beam'!$BG$3:$BG$19</f>
            </numRef>
          </yVal>
          <smooth val="0"/>
        </ser>
        <ser>
          <idx val="20"/>
          <order val="20"/>
          <tx>
            <v>bar c8</v>
          </tx>
          <spPr>
            <a:ln xmlns:a="http://schemas.openxmlformats.org/drawingml/2006/main" w="19050">
              <a:solidFill>
                <a:srgbClr val="2B2B2B"/>
              </a:solidFill>
              <a:prstDash val="solid"/>
            </a:ln>
          </spPr>
          <marker>
            <symbol val="none"/>
            <spPr>
              <a:ln xmlns:a="http://schemas.openxmlformats.org/drawingml/2006/main">
                <a:prstDash val="solid"/>
              </a:ln>
            </spPr>
          </marker>
          <xVal>
            <numRef>
              <f>'Geo Tee beam'!$BI$3:$BI$19</f>
            </numRef>
          </xVal>
          <yVal>
            <numRef>
              <f>'Geo Tee beam'!$BJ$3:$BJ$19</f>
            </numRef>
          </yVal>
          <smooth val="0"/>
        </ser>
        <ser>
          <idx val="21"/>
          <order val="21"/>
          <tx>
            <v>bar t9</v>
          </tx>
          <spPr>
            <a:ln xmlns:a="http://schemas.openxmlformats.org/drawingml/2006/main" w="25400">
              <a:solidFill>
                <a:srgbClr val="2B2B2B"/>
              </a:solidFill>
              <a:prstDash val="solid"/>
            </a:ln>
          </spPr>
          <marker>
            <symbol val="none"/>
            <spPr>
              <a:ln xmlns:a="http://schemas.openxmlformats.org/drawingml/2006/main">
                <a:prstDash val="solid"/>
              </a:ln>
            </spPr>
          </marker>
          <xVal>
            <numRef>
              <f>'Geo Tee beam'!$BL$3:$BL$19</f>
            </numRef>
          </xVal>
          <yVal>
            <numRef>
              <f>'Geo Tee beam'!$BM$3:$BM$19</f>
            </numRef>
          </yVal>
          <smooth val="0"/>
        </ser>
        <ser>
          <idx val="22"/>
          <order val="22"/>
          <tx>
            <v>bar c9</v>
          </tx>
          <spPr>
            <a:ln xmlns:a="http://schemas.openxmlformats.org/drawingml/2006/main" w="19050">
              <a:solidFill>
                <a:srgbClr val="2B2B2B"/>
              </a:solidFill>
              <a:prstDash val="solid"/>
            </a:ln>
          </spPr>
          <marker>
            <symbol val="none"/>
            <spPr>
              <a:ln xmlns:a="http://schemas.openxmlformats.org/drawingml/2006/main">
                <a:prstDash val="solid"/>
              </a:ln>
            </spPr>
          </marker>
          <xVal>
            <numRef>
              <f>'Geo Tee beam'!$BO$3:$BO$19</f>
            </numRef>
          </xVal>
          <yVal>
            <numRef>
              <f>'Geo Tee beam'!$BP$3:$BP$19</f>
            </numRef>
          </yVal>
          <smooth val="0"/>
        </ser>
        <ser>
          <idx val="23"/>
          <order val="23"/>
          <tx>
            <v>bar t10</v>
          </tx>
          <spPr>
            <a:ln xmlns:a="http://schemas.openxmlformats.org/drawingml/2006/main" w="25400">
              <a:solidFill>
                <a:srgbClr val="2B2B2B"/>
              </a:solidFill>
              <a:prstDash val="solid"/>
            </a:ln>
          </spPr>
          <marker>
            <symbol val="none"/>
            <spPr>
              <a:ln xmlns:a="http://schemas.openxmlformats.org/drawingml/2006/main">
                <a:prstDash val="solid"/>
              </a:ln>
            </spPr>
          </marker>
          <xVal>
            <numRef>
              <f>'Geo Tee beam'!$BR$3:$BR$19</f>
            </numRef>
          </xVal>
          <yVal>
            <numRef>
              <f>'Geo Tee beam'!$BS$3:$BS$19</f>
            </numRef>
          </yVal>
          <smooth val="0"/>
        </ser>
        <ser>
          <idx val="24"/>
          <order val="24"/>
          <tx>
            <v>bar c10</v>
          </tx>
          <spPr>
            <a:ln xmlns:a="http://schemas.openxmlformats.org/drawingml/2006/main" w="19050">
              <a:solidFill>
                <a:srgbClr val="2B2B2B"/>
              </a:solidFill>
              <a:prstDash val="solid"/>
            </a:ln>
          </spPr>
          <marker>
            <symbol val="none"/>
            <spPr>
              <a:ln xmlns:a="http://schemas.openxmlformats.org/drawingml/2006/main">
                <a:prstDash val="solid"/>
              </a:ln>
            </spPr>
          </marker>
          <xVal>
            <numRef>
              <f>'Geo Tee beam'!$BU$3:$BU$19</f>
            </numRef>
          </xVal>
          <yVal>
            <numRef>
              <f>'Geo Tee beam'!$BV$3:$BV$19</f>
            </numRef>
          </yVal>
          <smooth val="0"/>
        </ser>
        <ser>
          <idx val="25"/>
          <order val="25"/>
          <tx>
            <v>bar t11</v>
          </tx>
          <spPr>
            <a:ln xmlns:a="http://schemas.openxmlformats.org/drawingml/2006/main" w="25400">
              <a:solidFill>
                <a:srgbClr val="2B2B2B"/>
              </a:solidFill>
              <a:prstDash val="solid"/>
            </a:ln>
          </spPr>
          <marker>
            <symbol val="none"/>
            <spPr>
              <a:ln xmlns:a="http://schemas.openxmlformats.org/drawingml/2006/main">
                <a:prstDash val="solid"/>
              </a:ln>
            </spPr>
          </marker>
          <xVal>
            <numRef>
              <f>'Geo Tee beam'!$BX$3:$BX$19</f>
            </numRef>
          </xVal>
          <yVal>
            <numRef>
              <f>'Geo Tee beam'!$BY$3:$BY$19</f>
            </numRef>
          </yVal>
          <smooth val="0"/>
        </ser>
        <ser>
          <idx val="26"/>
          <order val="26"/>
          <tx>
            <v>bar c11</v>
          </tx>
          <spPr>
            <a:ln xmlns:a="http://schemas.openxmlformats.org/drawingml/2006/main" w="19050">
              <a:solidFill>
                <a:srgbClr val="2B2B2B"/>
              </a:solidFill>
              <a:prstDash val="solid"/>
            </a:ln>
          </spPr>
          <marker>
            <symbol val="none"/>
            <spPr>
              <a:ln xmlns:a="http://schemas.openxmlformats.org/drawingml/2006/main">
                <a:prstDash val="solid"/>
              </a:ln>
            </spPr>
          </marker>
          <xVal>
            <numRef>
              <f>'Geo Tee beam'!$CA$3:$CA$19</f>
            </numRef>
          </xVal>
          <yVal>
            <numRef>
              <f>'Geo Tee beam'!$CB$3:$CB$19</f>
            </numRef>
          </yVal>
          <smooth val="0"/>
        </ser>
        <ser>
          <idx val="27"/>
          <order val="27"/>
          <tx>
            <v>neutral axis</v>
          </tx>
          <spPr>
            <a:ln xmlns:a="http://schemas.openxmlformats.org/drawingml/2006/main" w="12700">
              <a:solidFill>
                <a:srgbClr val="B3261E"/>
              </a:solidFill>
              <a:prstDash val="dash"/>
            </a:ln>
          </spPr>
          <marker>
            <symbol val="none"/>
            <spPr>
              <a:ln xmlns:a="http://schemas.openxmlformats.org/drawingml/2006/main">
                <a:prstDash val="solid"/>
              </a:ln>
            </spPr>
          </marker>
          <xVal>
            <numRef>
              <f>'Geo Tee beam'!$CD$3:$CD$4</f>
            </numRef>
          </xVal>
          <yVal>
            <numRef>
              <f>'Geo Tee beam'!$CE$3:$CE$4</f>
            </numRef>
          </yVal>
          <smooth val="0"/>
        </ser>
        <ser>
          <idx val="28"/>
          <order val="28"/>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 Tee beam'!$CG$3:$CG$4</f>
            </numRef>
          </xVal>
          <yVal>
            <numRef>
              <f>'Geo Tee beam'!$CH$3:$CH$4</f>
            </numRef>
          </yVal>
          <smooth val="0"/>
        </ser>
        <ser>
          <idx val="29"/>
          <order val="29"/>
          <tx>
            <strRef>
              <f>'Geo Tee beam'!$CJ$2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l"/>
            <showLegendKey val="0"/>
            <showVal val="0"/>
            <showCatName val="0"/>
            <showSerName val="1"/>
            <showPercent val="0"/>
          </dLbls>
          <xVal>
            <numRef>
              <f>'Geo Tee beam'!$CJ$3</f>
            </numRef>
          </xVal>
          <yVal>
            <numRef>
              <f>'Geo Tee beam'!$CK$3</f>
            </numRef>
          </yVal>
          <smooth val="0"/>
        </ser>
        <ser>
          <idx val="30"/>
          <order val="30"/>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 Tee beam'!$CM$3:$CM$4</f>
            </numRef>
          </xVal>
          <yVal>
            <numRef>
              <f>'Geo Tee beam'!$CN$3:$CN$4</f>
            </numRef>
          </yVal>
          <smooth val="0"/>
        </ser>
        <ser>
          <idx val="31"/>
          <order val="31"/>
          <tx>
            <strRef>
              <f>'Geo Tee beam'!$CP$2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 Tee beam'!$CP$3</f>
            </numRef>
          </xVal>
          <yVal>
            <numRef>
              <f>'Geo Tee beam'!$CQ$3</f>
            </numRef>
          </yVal>
          <smooth val="0"/>
        </ser>
        <ser>
          <idx val="32"/>
          <order val="32"/>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 Tee beam'!$CS$3:$CS$4</f>
            </numRef>
          </xVal>
          <yVal>
            <numRef>
              <f>'Geo Tee beam'!$CT$3:$CT$4</f>
            </numRef>
          </yVal>
          <smooth val="0"/>
        </ser>
        <ser>
          <idx val="33"/>
          <order val="33"/>
          <tx>
            <strRef>
              <f>'Geo Tee beam'!$CV$2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 Tee beam'!$CV$3</f>
            </numRef>
          </xVal>
          <yVal>
            <numRef>
              <f>'Geo Tee beam'!$CW$3</f>
            </numRef>
          </yVal>
          <smooth val="0"/>
        </ser>
        <ser>
          <idx val="34"/>
          <order val="34"/>
          <tx>
            <strRef>
              <f>'Geo Tee beam'!$CY$2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r"/>
            <showLegendKey val="0"/>
            <showVal val="0"/>
            <showCatName val="0"/>
            <showSerName val="1"/>
            <showPercent val="0"/>
          </dLbls>
          <xVal>
            <numRef>
              <f>'Geo Tee beam'!$CY$3</f>
            </numRef>
          </xVal>
          <yVal>
            <numRef>
              <f>'Geo Tee beam'!$CZ$3</f>
            </numRef>
          </yVal>
          <smooth val="0"/>
        </ser>
        <ser>
          <idx val="35"/>
          <order val="35"/>
          <tx>
            <strRef>
              <f>'Geo Tee beam'!$DB$2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r"/>
            <showLegendKey val="0"/>
            <showVal val="0"/>
            <showCatName val="0"/>
            <showSerName val="1"/>
            <showPercent val="0"/>
          </dLbls>
          <xVal>
            <numRef>
              <f>'Geo Tee beam'!$DB$3</f>
            </numRef>
          </xVal>
          <yVal>
            <numRef>
              <f>'Geo Tee beam'!$DC$3</f>
            </numRef>
          </yVal>
          <smooth val="0"/>
        </ser>
        <ser>
          <idx val="36"/>
          <order val="36"/>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 Tee beam'!$DE$3:$DE$4</f>
            </numRef>
          </xVal>
          <yVal>
            <numRef>
              <f>'Geo Tee beam'!$DF$3:$DF$4</f>
            </numRef>
          </yVal>
          <smooth val="0"/>
        </ser>
        <ser>
          <idx val="37"/>
          <order val="37"/>
          <tx>
            <strRef>
              <f>'Geo Tee beam'!$DH$2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 Tee beam'!$DH$3</f>
            </numRef>
          </xVal>
          <yVal>
            <numRef>
              <f>'Geo Tee beam'!$DI$3</f>
            </numRef>
          </yVal>
          <smooth val="0"/>
        </ser>
        <ser>
          <idx val="38"/>
          <order val="38"/>
          <tx>
            <strRef>
              <f>'Geo Tee beam'!$DK$2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l"/>
            <showLegendKey val="0"/>
            <showVal val="0"/>
            <showCatName val="0"/>
            <showSerName val="1"/>
            <showPercent val="0"/>
          </dLbls>
          <xVal>
            <numRef>
              <f>'Geo Tee beam'!$DK$3</f>
            </numRef>
          </xVal>
          <yVal>
            <numRef>
              <f>'Geo Tee beam'!$DL$3</f>
            </numRef>
          </yVal>
          <smooth val="0"/>
        </ser>
        <ser>
          <idx val="39"/>
          <order val="39"/>
          <tx>
            <strRef>
              <f>'Geo Tee beam'!$DN$2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b"/>
            <showLegendKey val="0"/>
            <showVal val="0"/>
            <showCatName val="0"/>
            <showSerName val="1"/>
            <showPercent val="0"/>
          </dLbls>
          <xVal>
            <numRef>
              <f>'Geo Tee beam'!$DN$3</f>
            </numRef>
          </xVal>
          <yVal>
            <numRef>
              <f>'Geo Tee beam'!$DO$3</f>
            </numRef>
          </yVal>
          <smooth val="0"/>
        </ser>
        <ser>
          <idx val="40"/>
          <order val="40"/>
          <tx>
            <v>frame</v>
          </tx>
          <spPr>
            <a:ln xmlns:a="http://schemas.openxmlformats.org/drawingml/2006/main">
              <a:noFill/>
              <a:prstDash val="solid"/>
            </a:ln>
          </spPr>
          <marker>
            <symbol val="none"/>
            <spPr>
              <a:ln xmlns:a="http://schemas.openxmlformats.org/drawingml/2006/main">
                <a:prstDash val="solid"/>
              </a:ln>
            </spPr>
          </marker>
          <xVal>
            <numRef>
              <f>'Geo Tee beam'!$DQ$3:$DQ$4</f>
            </numRef>
          </xVal>
          <yVal>
            <numRef>
              <f>'Geo Tee beam'!$DR$3:$DR$4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charts/chart4.xml><?xml version="1.0" encoding="utf-8"?>
<chartSpace xmlns="http://schemas.openxmlformats.org/drawingml/2006/chart">
  <style val="1"/>
  <chart>
    <plotArea>
      <scatterChart>
        <scatterStyle val="lineMarker"/>
        <ser>
          <idx val="0"/>
          <order val="0"/>
          <tx>
            <strRef>
              <f>'Geo Shear'!$A$2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 Shear'!$A$3</f>
            </numRef>
          </xVal>
          <yVal>
            <numRef>
              <f>'Geo Shear'!$B$3</f>
            </numRef>
          </yVal>
          <smooth val="0"/>
        </ser>
        <ser>
          <idx val="1"/>
          <order val="1"/>
          <tx>
            <v>member</v>
          </tx>
          <spPr>
            <a:ln xmlns:a="http://schemas.openxmlformats.org/drawingml/2006/main" w="25400">
              <a:solidFill>
                <a:srgbClr val="2B2B2B"/>
              </a:solidFill>
              <a:prstDash val="solid"/>
            </a:ln>
          </spPr>
          <marker>
            <symbol val="none"/>
            <spPr>
              <a:ln xmlns:a="http://schemas.openxmlformats.org/drawingml/2006/main">
                <a:prstDash val="solid"/>
              </a:ln>
            </spPr>
          </marker>
          <xVal>
            <numRef>
              <f>'Geo Shear'!$D$3:$D$7</f>
            </numRef>
          </xVal>
          <yVal>
            <numRef>
              <f>'Geo Shear'!$E$3:$E$7</f>
            </numRef>
          </yVal>
          <smooth val="0"/>
        </ser>
        <ser>
          <idx val="2"/>
          <order val="2"/>
          <tx>
            <v>support</v>
          </tx>
          <spPr>
            <a:ln xmlns:a="http://schemas.openxmlformats.org/drawingml/2006/main" w="19050">
              <a:solidFill>
                <a:srgbClr val="9A9A9A"/>
              </a:solidFill>
              <a:prstDash val="solid"/>
            </a:ln>
          </spPr>
          <marker>
            <symbol val="none"/>
            <spPr>
              <a:ln xmlns:a="http://schemas.openxmlformats.org/drawingml/2006/main">
                <a:prstDash val="solid"/>
              </a:ln>
            </spPr>
          </marker>
          <xVal>
            <numRef>
              <f>'Geo Shear'!$G$3:$G$7</f>
            </numRef>
          </xVal>
          <yVal>
            <numRef>
              <f>'Geo Shear'!$H$3:$H$7</f>
            </numRef>
          </yVal>
          <smooth val="0"/>
        </ser>
        <ser>
          <idx val="3"/>
          <order val="3"/>
          <tx>
            <v>tension bars</v>
          </tx>
          <spPr>
            <a:ln xmlns:a="http://schemas.openxmlformats.org/drawingml/2006/main" w="31750">
              <a:solidFill>
                <a:srgbClr val="2B2B2B"/>
              </a:solidFill>
              <a:prstDash val="solid"/>
            </a:ln>
          </spPr>
          <marker>
            <symbol val="none"/>
            <spPr>
              <a:ln xmlns:a="http://schemas.openxmlformats.org/drawingml/2006/main">
                <a:prstDash val="solid"/>
              </a:ln>
            </spPr>
          </marker>
          <xVal>
            <numRef>
              <f>'Geo Shear'!$J$3:$J$4</f>
            </numRef>
          </xVal>
          <yVal>
            <numRef>
              <f>'Geo Shear'!$K$3:$K$4</f>
            </numRef>
          </yVal>
          <smooth val="0"/>
        </ser>
        <ser>
          <idx val="4"/>
          <order val="4"/>
          <tx>
            <v>link 0</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Shear'!$M$3:$M$4</f>
            </numRef>
          </xVal>
          <yVal>
            <numRef>
              <f>'Geo Shear'!$N$3:$N$4</f>
            </numRef>
          </yVal>
          <smooth val="0"/>
        </ser>
        <ser>
          <idx val="5"/>
          <order val="5"/>
          <tx>
            <v>link 1</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Shear'!$P$3:$P$4</f>
            </numRef>
          </xVal>
          <yVal>
            <numRef>
              <f>'Geo Shear'!$Q$3:$Q$4</f>
            </numRef>
          </yVal>
          <smooth val="0"/>
        </ser>
        <ser>
          <idx val="6"/>
          <order val="6"/>
          <tx>
            <v>link 2</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Shear'!$S$3:$S$4</f>
            </numRef>
          </xVal>
          <yVal>
            <numRef>
              <f>'Geo Shear'!$T$3:$T$4</f>
            </numRef>
          </yVal>
          <smooth val="0"/>
        </ser>
        <ser>
          <idx val="7"/>
          <order val="7"/>
          <tx>
            <v>link 3</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Shear'!$V$3:$V$4</f>
            </numRef>
          </xVal>
          <yVal>
            <numRef>
              <f>'Geo Shear'!$W$3:$W$4</f>
            </numRef>
          </yVal>
          <smooth val="0"/>
        </ser>
        <ser>
          <idx val="8"/>
          <order val="8"/>
          <tx>
            <v>link 4</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Shear'!$Y$3:$Y$4</f>
            </numRef>
          </xVal>
          <yVal>
            <numRef>
              <f>'Geo Shear'!$Z$3:$Z$4</f>
            </numRef>
          </yVal>
          <smooth val="0"/>
        </ser>
        <ser>
          <idx val="9"/>
          <order val="9"/>
          <tx>
            <v>link 5</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Shear'!$AB$3:$AB$4</f>
            </numRef>
          </xVal>
          <yVal>
            <numRef>
              <f>'Geo Shear'!$AC$3:$AC$4</f>
            </numRef>
          </yVal>
          <smooth val="0"/>
        </ser>
        <ser>
          <idx val="10"/>
          <order val="10"/>
          <tx>
            <v>link 6</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Shear'!$AE$3:$AE$4</f>
            </numRef>
          </xVal>
          <yVal>
            <numRef>
              <f>'Geo Shear'!$AF$3:$AF$4</f>
            </numRef>
          </yVal>
          <smooth val="0"/>
        </ser>
        <ser>
          <idx val="11"/>
          <order val="11"/>
          <tx>
            <v>link 7</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Shear'!$AH$3:$AH$4</f>
            </numRef>
          </xVal>
          <yVal>
            <numRef>
              <f>'Geo Shear'!$AI$3:$AI$4</f>
            </numRef>
          </yVal>
          <smooth val="0"/>
        </ser>
        <ser>
          <idx val="12"/>
          <order val="12"/>
          <tx>
            <v>link 8</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Shear'!$AK$3:$AK$4</f>
            </numRef>
          </xVal>
          <yVal>
            <numRef>
              <f>'Geo Shear'!$AL$3:$AL$4</f>
            </numRef>
          </yVal>
          <smooth val="0"/>
        </ser>
        <ser>
          <idx val="13"/>
          <order val="13"/>
          <tx>
            <v>link 9</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Shear'!$AN$3:$AN$4</f>
            </numRef>
          </xVal>
          <yVal>
            <numRef>
              <f>'Geo Shear'!$AO$3:$AO$4</f>
            </numRef>
          </yVal>
          <smooth val="0"/>
        </ser>
        <ser>
          <idx val="14"/>
          <order val="14"/>
          <tx>
            <v>link 10</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Shear'!$AQ$3:$AQ$4</f>
            </numRef>
          </xVal>
          <yVal>
            <numRef>
              <f>'Geo Shear'!$AR$3:$AR$4</f>
            </numRef>
          </yVal>
          <smooth val="0"/>
        </ser>
        <ser>
          <idx val="15"/>
          <order val="15"/>
          <tx>
            <v>link 11</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Shear'!$AT$3:$AT$4</f>
            </numRef>
          </xVal>
          <yVal>
            <numRef>
              <f>'Geo Shear'!$AU$3:$AU$4</f>
            </numRef>
          </yVal>
          <smooth val="0"/>
        </ser>
        <ser>
          <idx val="16"/>
          <order val="16"/>
          <tx>
            <v>link 12</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Shear'!$AW$3:$AW$4</f>
            </numRef>
          </xVal>
          <yVal>
            <numRef>
              <f>'Geo Shear'!$AX$3:$AX$4</f>
            </numRef>
          </yVal>
          <smooth val="0"/>
        </ser>
        <ser>
          <idx val="17"/>
          <order val="17"/>
          <tx>
            <v>link 13</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Shear'!$AZ$3:$AZ$4</f>
            </numRef>
          </xVal>
          <yVal>
            <numRef>
              <f>'Geo Shear'!$BA$3:$BA$4</f>
            </numRef>
          </yVal>
          <smooth val="0"/>
        </ser>
        <ser>
          <idx val="18"/>
          <order val="18"/>
          <tx>
            <v>link 14</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Shear'!$BC$3:$BC$4</f>
            </numRef>
          </xVal>
          <yVal>
            <numRef>
              <f>'Geo Shear'!$BD$3:$BD$4</f>
            </numRef>
          </yVal>
          <smooth val="0"/>
        </ser>
        <ser>
          <idx val="19"/>
          <order val="19"/>
          <tx>
            <v>link 15</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Shear'!$BF$3:$BF$4</f>
            </numRef>
          </xVal>
          <yVal>
            <numRef>
              <f>'Geo Shear'!$BG$3:$BG$4</f>
            </numRef>
          </yVal>
          <smooth val="0"/>
        </ser>
        <ser>
          <idx val="20"/>
          <order val="20"/>
          <tx>
            <v>link 16</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Shear'!$BI$3:$BI$4</f>
            </numRef>
          </xVal>
          <yVal>
            <numRef>
              <f>'Geo Shear'!$BJ$3:$BJ$4</f>
            </numRef>
          </yVal>
          <smooth val="0"/>
        </ser>
        <ser>
          <idx val="21"/>
          <order val="21"/>
          <tx>
            <v>link 17</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Shear'!$BL$3:$BL$4</f>
            </numRef>
          </xVal>
          <yVal>
            <numRef>
              <f>'Geo Shear'!$BM$3:$BM$4</f>
            </numRef>
          </yVal>
          <smooth val="0"/>
        </ser>
        <ser>
          <idx val="22"/>
          <order val="22"/>
          <tx>
            <v>link 18</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Shear'!$BO$3:$BO$4</f>
            </numRef>
          </xVal>
          <yVal>
            <numRef>
              <f>'Geo Shear'!$BP$3:$BP$4</f>
            </numRef>
          </yVal>
          <smooth val="0"/>
        </ser>
        <ser>
          <idx val="23"/>
          <order val="23"/>
          <tx>
            <v>link 19</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Shear'!$BR$3:$BR$4</f>
            </numRef>
          </xVal>
          <yVal>
            <numRef>
              <f>'Geo Shear'!$BS$3:$BS$4</f>
            </numRef>
          </yVal>
          <smooth val="0"/>
        </ser>
        <ser>
          <idx val="24"/>
          <order val="24"/>
          <tx>
            <v>link 20</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Shear'!$BU$3:$BU$4</f>
            </numRef>
          </xVal>
          <yVal>
            <numRef>
              <f>'Geo Shear'!$BV$3:$BV$4</f>
            </numRef>
          </yVal>
          <smooth val="0"/>
        </ser>
        <ser>
          <idx val="25"/>
          <order val="25"/>
          <tx>
            <v>link 21</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Shear'!$BX$3:$BX$4</f>
            </numRef>
          </xVal>
          <yVal>
            <numRef>
              <f>'Geo Shear'!$BY$3:$BY$4</f>
            </numRef>
          </yVal>
          <smooth val="0"/>
        </ser>
        <ser>
          <idx val="26"/>
          <order val="26"/>
          <tx>
            <v>link 22</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Shear'!$CA$3:$CA$4</f>
            </numRef>
          </xVal>
          <yVal>
            <numRef>
              <f>'Geo Shear'!$CB$3:$CB$4</f>
            </numRef>
          </yVal>
          <smooth val="0"/>
        </ser>
        <ser>
          <idx val="27"/>
          <order val="27"/>
          <tx>
            <v>link 23</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Shear'!$CD$3:$CD$4</f>
            </numRef>
          </xVal>
          <yVal>
            <numRef>
              <f>'Geo Shear'!$CE$3:$CE$4</f>
            </numRef>
          </yVal>
          <smooth val="0"/>
        </ser>
        <ser>
          <idx val="28"/>
          <order val="28"/>
          <tx>
            <v>link 24</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Shear'!$CG$3:$CG$4</f>
            </numRef>
          </xVal>
          <yVal>
            <numRef>
              <f>'Geo Shear'!$CH$3:$CH$4</f>
            </numRef>
          </yVal>
          <smooth val="0"/>
        </ser>
        <ser>
          <idx val="29"/>
          <order val="29"/>
          <tx>
            <v>link 25</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Shear'!$CJ$3:$CJ$4</f>
            </numRef>
          </xVal>
          <yVal>
            <numRef>
              <f>'Geo Shear'!$CK$3:$CK$4</f>
            </numRef>
          </yVal>
          <smooth val="0"/>
        </ser>
        <ser>
          <idx val="30"/>
          <order val="30"/>
          <tx>
            <v>link 26</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Shear'!$CM$3:$CM$4</f>
            </numRef>
          </xVal>
          <yVal>
            <numRef>
              <f>'Geo Shear'!$CN$3:$CN$4</f>
            </numRef>
          </yVal>
          <smooth val="0"/>
        </ser>
        <ser>
          <idx val="31"/>
          <order val="31"/>
          <tx>
            <v>link 27</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Shear'!$CP$3:$CP$4</f>
            </numRef>
          </xVal>
          <yVal>
            <numRef>
              <f>'Geo Shear'!$CQ$3:$CQ$4</f>
            </numRef>
          </yVal>
          <smooth val="0"/>
        </ser>
        <ser>
          <idx val="32"/>
          <order val="32"/>
          <tx>
            <v>link 28</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Shear'!$CS$3:$CS$4</f>
            </numRef>
          </xVal>
          <yVal>
            <numRef>
              <f>'Geo Shear'!$CT$3:$CT$4</f>
            </numRef>
          </yVal>
          <smooth val="0"/>
        </ser>
        <ser>
          <idx val="33"/>
          <order val="33"/>
          <tx>
            <v>link 29</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Shear'!$CV$3:$CV$4</f>
            </numRef>
          </xVal>
          <yVal>
            <numRef>
              <f>'Geo Shear'!$CW$3:$CW$4</f>
            </numRef>
          </yVal>
          <smooth val="0"/>
        </ser>
        <ser>
          <idx val="34"/>
          <order val="34"/>
          <tx>
            <v>link 30</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Shear'!$CY$3:$CY$4</f>
            </numRef>
          </xVal>
          <yVal>
            <numRef>
              <f>'Geo Shear'!$CZ$3:$CZ$4</f>
            </numRef>
          </yVal>
          <smooth val="0"/>
        </ser>
        <ser>
          <idx val="35"/>
          <order val="35"/>
          <tx>
            <v>link 31</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Shear'!$DB$3:$DB$4</f>
            </numRef>
          </xVal>
          <yVal>
            <numRef>
              <f>'Geo Shear'!$DC$3:$DC$4</f>
            </numRef>
          </yVal>
          <smooth val="0"/>
        </ser>
        <ser>
          <idx val="36"/>
          <order val="36"/>
          <tx>
            <v>link 32</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Shear'!$DE$3:$DE$4</f>
            </numRef>
          </xVal>
          <yVal>
            <numRef>
              <f>'Geo Shear'!$DF$3:$DF$4</f>
            </numRef>
          </yVal>
          <smooth val="0"/>
        </ser>
        <ser>
          <idx val="37"/>
          <order val="37"/>
          <tx>
            <v>link 33</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Shear'!$DH$3:$DH$4</f>
            </numRef>
          </xVal>
          <yVal>
            <numRef>
              <f>'Geo Shear'!$DI$3:$DI$4</f>
            </numRef>
          </yVal>
          <smooth val="0"/>
        </ser>
        <ser>
          <idx val="38"/>
          <order val="38"/>
          <tx>
            <v>link 34</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Shear'!$DK$3:$DK$4</f>
            </numRef>
          </xVal>
          <yVal>
            <numRef>
              <f>'Geo Shear'!$DL$3:$DL$4</f>
            </numRef>
          </yVal>
          <smooth val="0"/>
        </ser>
        <ser>
          <idx val="39"/>
          <order val="39"/>
          <tx>
            <v>link 35</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Shear'!$DN$3:$DN$4</f>
            </numRef>
          </xVal>
          <yVal>
            <numRef>
              <f>'Geo Shear'!$DO$3:$DO$4</f>
            </numRef>
          </yVal>
          <smooth val="0"/>
        </ser>
        <ser>
          <idx val="40"/>
          <order val="40"/>
          <tx>
            <v>link 36</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Shear'!$DQ$3:$DQ$4</f>
            </numRef>
          </xVal>
          <yVal>
            <numRef>
              <f>'Geo Shear'!$DR$3:$DR$4</f>
            </numRef>
          </yVal>
          <smooth val="0"/>
        </ser>
        <ser>
          <idx val="41"/>
          <order val="41"/>
          <tx>
            <v>link 37</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Shear'!$DT$3:$DT$4</f>
            </numRef>
          </xVal>
          <yVal>
            <numRef>
              <f>'Geo Shear'!$DU$3:$DU$4</f>
            </numRef>
          </yVal>
          <smooth val="0"/>
        </ser>
        <ser>
          <idx val="42"/>
          <order val="42"/>
          <tx>
            <v>link 38</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Shear'!$DW$3:$DW$4</f>
            </numRef>
          </xVal>
          <yVal>
            <numRef>
              <f>'Geo Shear'!$DX$3:$DX$4</f>
            </numRef>
          </yVal>
          <smooth val="0"/>
        </ser>
        <ser>
          <idx val="43"/>
          <order val="43"/>
          <tx>
            <v>link 39</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Shear'!$DZ$3:$DZ$4</f>
            </numRef>
          </xVal>
          <yVal>
            <numRef>
              <f>'Geo Shear'!$EA$3:$EA$4</f>
            </numRef>
          </yVal>
          <smooth val="0"/>
        </ser>
        <ser>
          <idx val="44"/>
          <order val="44"/>
          <tx>
            <v>link 40</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Shear'!$EC$3:$EC$4</f>
            </numRef>
          </xVal>
          <yVal>
            <numRef>
              <f>'Geo Shear'!$ED$3:$ED$4</f>
            </numRef>
          </yVal>
          <smooth val="0"/>
        </ser>
        <ser>
          <idx val="45"/>
          <order val="45"/>
          <tx>
            <v>link 41</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Shear'!$EF$3:$EF$4</f>
            </numRef>
          </xVal>
          <yVal>
            <numRef>
              <f>'Geo Shear'!$EG$3:$EG$4</f>
            </numRef>
          </yVal>
          <smooth val="0"/>
        </ser>
        <ser>
          <idx val="46"/>
          <order val="46"/>
          <tx>
            <v>link 42</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Shear'!$EI$3:$EI$4</f>
            </numRef>
          </xVal>
          <yVal>
            <numRef>
              <f>'Geo Shear'!$EJ$3:$EJ$4</f>
            </numRef>
          </yVal>
          <smooth val="0"/>
        </ser>
        <ser>
          <idx val="47"/>
          <order val="47"/>
          <tx>
            <v>link 43</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Shear'!$EL$3:$EL$4</f>
            </numRef>
          </xVal>
          <yVal>
            <numRef>
              <f>'Geo Shear'!$EM$3:$EM$4</f>
            </numRef>
          </yVal>
          <smooth val="0"/>
        </ser>
        <ser>
          <idx val="48"/>
          <order val="48"/>
          <tx>
            <v>link 44</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Shear'!$EO$3:$EO$4</f>
            </numRef>
          </xVal>
          <yVal>
            <numRef>
              <f>'Geo Shear'!$EP$3:$EP$4</f>
            </numRef>
          </yVal>
          <smooth val="0"/>
        </ser>
        <ser>
          <idx val="49"/>
          <order val="49"/>
          <tx>
            <v>link 45</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Shear'!$ER$3:$ER$4</f>
            </numRef>
          </xVal>
          <yVal>
            <numRef>
              <f>'Geo Shear'!$ES$3:$ES$4</f>
            </numRef>
          </yVal>
          <smooth val="0"/>
        </ser>
        <ser>
          <idx val="50"/>
          <order val="50"/>
          <tx>
            <v>link 46</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Shear'!$EU$3:$EU$4</f>
            </numRef>
          </xVal>
          <yVal>
            <numRef>
              <f>'Geo Shear'!$EV$3:$EV$4</f>
            </numRef>
          </yVal>
          <smooth val="0"/>
        </ser>
        <ser>
          <idx val="51"/>
          <order val="51"/>
          <tx>
            <v>link 47</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Shear'!$EX$3:$EX$4</f>
            </numRef>
          </xVal>
          <yVal>
            <numRef>
              <f>'Geo Shear'!$EY$3:$EY$4</f>
            </numRef>
          </yVal>
          <smooth val="0"/>
        </ser>
        <ser>
          <idx val="52"/>
          <order val="52"/>
          <tx>
            <v>link 48</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Shear'!$FA$3:$FA$4</f>
            </numRef>
          </xVal>
          <yVal>
            <numRef>
              <f>'Geo Shear'!$FB$3:$FB$4</f>
            </numRef>
          </yVal>
          <smooth val="0"/>
        </ser>
        <ser>
          <idx val="53"/>
          <order val="53"/>
          <tx>
            <v>link 49</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Shear'!$FD$3:$FD$4</f>
            </numRef>
          </xVal>
          <yVal>
            <numRef>
              <f>'Geo Shear'!$FE$3:$FE$4</f>
            </numRef>
          </yVal>
          <smooth val="0"/>
        </ser>
        <ser>
          <idx val="54"/>
          <order val="54"/>
          <tx>
            <v>link 50</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Shear'!$FG$3:$FG$4</f>
            </numRef>
          </xVal>
          <yVal>
            <numRef>
              <f>'Geo Shear'!$FH$3:$FH$4</f>
            </numRef>
          </yVal>
          <smooth val="0"/>
        </ser>
        <ser>
          <idx val="55"/>
          <order val="55"/>
          <tx>
            <v>link 51</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Shear'!$FJ$3:$FJ$4</f>
            </numRef>
          </xVal>
          <yVal>
            <numRef>
              <f>'Geo Shear'!$FK$3:$FK$4</f>
            </numRef>
          </yVal>
          <smooth val="0"/>
        </ser>
        <ser>
          <idx val="56"/>
          <order val="56"/>
          <tx>
            <v>link 52</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Shear'!$FM$3:$FM$4</f>
            </numRef>
          </xVal>
          <yVal>
            <numRef>
              <f>'Geo Shear'!$FN$3:$FN$4</f>
            </numRef>
          </yVal>
          <smooth val="0"/>
        </ser>
        <ser>
          <idx val="57"/>
          <order val="57"/>
          <tx>
            <v>link 53</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Shear'!$FP$3:$FP$4</f>
            </numRef>
          </xVal>
          <yVal>
            <numRef>
              <f>'Geo Shear'!$FQ$3:$FQ$4</f>
            </numRef>
          </yVal>
          <smooth val="0"/>
        </ser>
        <ser>
          <idx val="58"/>
          <order val="58"/>
          <tx>
            <v>link 54</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Shear'!$FS$3:$FS$4</f>
            </numRef>
          </xVal>
          <yVal>
            <numRef>
              <f>'Geo Shear'!$FT$3:$FT$4</f>
            </numRef>
          </yVal>
          <smooth val="0"/>
        </ser>
        <ser>
          <idx val="59"/>
          <order val="59"/>
          <tx>
            <v>link 55</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Shear'!$FV$3:$FV$4</f>
            </numRef>
          </xVal>
          <yVal>
            <numRef>
              <f>'Geo Shear'!$FW$3:$FW$4</f>
            </numRef>
          </yVal>
          <smooth val="0"/>
        </ser>
        <ser>
          <idx val="60"/>
          <order val="60"/>
          <tx>
            <v>link 56</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Shear'!$FY$3:$FY$4</f>
            </numRef>
          </xVal>
          <yVal>
            <numRef>
              <f>'Geo Shear'!$FZ$3:$FZ$4</f>
            </numRef>
          </yVal>
          <smooth val="0"/>
        </ser>
        <ser>
          <idx val="61"/>
          <order val="61"/>
          <tx>
            <v>link 57</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Shear'!$GB$3:$GB$4</f>
            </numRef>
          </xVal>
          <yVal>
            <numRef>
              <f>'Geo Shear'!$GC$3:$GC$4</f>
            </numRef>
          </yVal>
          <smooth val="0"/>
        </ser>
        <ser>
          <idx val="62"/>
          <order val="62"/>
          <tx>
            <v>link 58</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Shear'!$GE$3:$GE$4</f>
            </numRef>
          </xVal>
          <yVal>
            <numRef>
              <f>'Geo Shear'!$GF$3:$GF$4</f>
            </numRef>
          </yVal>
          <smooth val="0"/>
        </ser>
        <ser>
          <idx val="63"/>
          <order val="63"/>
          <tx>
            <v>link 59</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Shear'!$GH$3:$GH$4</f>
            </numRef>
          </xVal>
          <yVal>
            <numRef>
              <f>'Geo Shear'!$GI$3:$GI$4</f>
            </numRef>
          </yVal>
          <smooth val="0"/>
        </ser>
        <ser>
          <idx val="64"/>
          <order val="64"/>
          <tx>
            <v>link 60</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Shear'!$GK$3:$GK$4</f>
            </numRef>
          </xVal>
          <yVal>
            <numRef>
              <f>'Geo Shear'!$GL$3:$GL$4</f>
            </numRef>
          </yVal>
          <smooth val="0"/>
        </ser>
        <ser>
          <idx val="65"/>
          <order val="65"/>
          <tx>
            <v>link 61</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Shear'!$GN$3:$GN$4</f>
            </numRef>
          </xVal>
          <yVal>
            <numRef>
              <f>'Geo Shear'!$GO$3:$GO$4</f>
            </numRef>
          </yVal>
          <smooth val="0"/>
        </ser>
        <ser>
          <idx val="66"/>
          <order val="66"/>
          <tx>
            <v>link 62</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Shear'!$GQ$3:$GQ$4</f>
            </numRef>
          </xVal>
          <yVal>
            <numRef>
              <f>'Geo Shear'!$GR$3:$GR$4</f>
            </numRef>
          </yVal>
          <smooth val="0"/>
        </ser>
        <ser>
          <idx val="67"/>
          <order val="67"/>
          <tx>
            <v>link 63</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Shear'!$GT$3:$GT$4</f>
            </numRef>
          </xVal>
          <yVal>
            <numRef>
              <f>'Geo Shear'!$GU$3:$GU$4</f>
            </numRef>
          </yVal>
          <smooth val="0"/>
        </ser>
        <ser>
          <idx val="68"/>
          <order val="68"/>
          <tx>
            <v>link 64</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Shear'!$GW$3:$GW$4</f>
            </numRef>
          </xVal>
          <yVal>
            <numRef>
              <f>'Geo Shear'!$GX$3:$GX$4</f>
            </numRef>
          </yVal>
          <smooth val="0"/>
        </ser>
        <ser>
          <idx val="69"/>
          <order val="69"/>
          <tx>
            <v>link 65</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Shear'!$GZ$3:$GZ$4</f>
            </numRef>
          </xVal>
          <yVal>
            <numRef>
              <f>'Geo Shear'!$HA$3:$HA$4</f>
            </numRef>
          </yVal>
          <smooth val="0"/>
        </ser>
        <ser>
          <idx val="70"/>
          <order val="70"/>
          <tx>
            <v>link 66</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Shear'!$HC$3:$HC$4</f>
            </numRef>
          </xVal>
          <yVal>
            <numRef>
              <f>'Geo Shear'!$HD$3:$HD$4</f>
            </numRef>
          </yVal>
          <smooth val="0"/>
        </ser>
        <ser>
          <idx val="71"/>
          <order val="71"/>
          <tx>
            <v>link 67</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Shear'!$HF$3:$HF$4</f>
            </numRef>
          </xVal>
          <yVal>
            <numRef>
              <f>'Geo Shear'!$HG$3:$HG$4</f>
            </numRef>
          </yVal>
          <smooth val="0"/>
        </ser>
        <ser>
          <idx val="72"/>
          <order val="72"/>
          <tx>
            <v>link 68</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Shear'!$HI$3:$HI$4</f>
            </numRef>
          </xVal>
          <yVal>
            <numRef>
              <f>'Geo Shear'!$HJ$3:$HJ$4</f>
            </numRef>
          </yVal>
          <smooth val="0"/>
        </ser>
        <ser>
          <idx val="73"/>
          <order val="73"/>
          <tx>
            <v>link 69</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Shear'!$HL$3:$HL$4</f>
            </numRef>
          </xVal>
          <yVal>
            <numRef>
              <f>'Geo Shear'!$HM$3:$HM$4</f>
            </numRef>
          </yVal>
          <smooth val="0"/>
        </ser>
        <ser>
          <idx val="74"/>
          <order val="74"/>
          <tx>
            <v>link 70</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Shear'!$HO$3:$HO$4</f>
            </numRef>
          </xVal>
          <yVal>
            <numRef>
              <f>'Geo Shear'!$HP$3:$HP$4</f>
            </numRef>
          </yVal>
          <smooth val="0"/>
        </ser>
        <ser>
          <idx val="75"/>
          <order val="75"/>
          <tx>
            <v>link 71</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Shear'!$HR$3:$HR$4</f>
            </numRef>
          </xVal>
          <yVal>
            <numRef>
              <f>'Geo Shear'!$HS$3:$HS$4</f>
            </numRef>
          </yVal>
          <smooth val="0"/>
        </ser>
        <ser>
          <idx val="76"/>
          <order val="76"/>
          <tx>
            <v>link 72</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Shear'!$HU$3:$HU$4</f>
            </numRef>
          </xVal>
          <yVal>
            <numRef>
              <f>'Geo Shear'!$HV$3:$HV$4</f>
            </numRef>
          </yVal>
          <smooth val="0"/>
        </ser>
        <ser>
          <idx val="77"/>
          <order val="77"/>
          <tx>
            <v>link 73</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Shear'!$HX$3:$HX$4</f>
            </numRef>
          </xVal>
          <yVal>
            <numRef>
              <f>'Geo Shear'!$HY$3:$HY$4</f>
            </numRef>
          </yVal>
          <smooth val="0"/>
        </ser>
        <ser>
          <idx val="78"/>
          <order val="78"/>
          <tx>
            <v>link 74</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Shear'!$IA$3:$IA$4</f>
            </numRef>
          </xVal>
          <yVal>
            <numRef>
              <f>'Geo Shear'!$IB$3:$IB$4</f>
            </numRef>
          </yVal>
          <smooth val="0"/>
        </ser>
        <ser>
          <idx val="79"/>
          <order val="79"/>
          <tx>
            <v>link 75</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Shear'!$ID$3:$ID$4</f>
            </numRef>
          </xVal>
          <yVal>
            <numRef>
              <f>'Geo Shear'!$IE$3:$IE$4</f>
            </numRef>
          </yVal>
          <smooth val="0"/>
        </ser>
        <ser>
          <idx val="80"/>
          <order val="80"/>
          <tx>
            <v>link 76</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Shear'!$IG$3:$IG$4</f>
            </numRef>
          </xVal>
          <yVal>
            <numRef>
              <f>'Geo Shear'!$IH$3:$IH$4</f>
            </numRef>
          </yVal>
          <smooth val="0"/>
        </ser>
        <ser>
          <idx val="81"/>
          <order val="81"/>
          <tx>
            <v>link 77</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Shear'!$IJ$3:$IJ$4</f>
            </numRef>
          </xVal>
          <yVal>
            <numRef>
              <f>'Geo Shear'!$IK$3:$IK$4</f>
            </numRef>
          </yVal>
          <smooth val="0"/>
        </ser>
        <ser>
          <idx val="82"/>
          <order val="82"/>
          <tx>
            <v>link 78</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Shear'!$IM$3:$IM$4</f>
            </numRef>
          </xVal>
          <yVal>
            <numRef>
              <f>'Geo Shear'!$IN$3:$IN$4</f>
            </numRef>
          </yVal>
          <smooth val="0"/>
        </ser>
        <ser>
          <idx val="83"/>
          <order val="83"/>
          <tx>
            <v>link 79</v>
          </tx>
          <spPr>
            <a:ln xmlns:a="http://schemas.openxmlformats.org/drawingml/2006/main" w="12700">
              <a:solidFill>
                <a:srgbClr val="5B7F8A"/>
              </a:solidFill>
              <a:prstDash val="solid"/>
            </a:ln>
          </spPr>
          <marker>
            <symbol val="none"/>
            <spPr>
              <a:ln xmlns:a="http://schemas.openxmlformats.org/drawingml/2006/main">
                <a:prstDash val="solid"/>
              </a:ln>
            </spPr>
          </marker>
          <xVal>
            <numRef>
              <f>'Geo Shear'!$IP$3:$IP$4</f>
            </numRef>
          </xVal>
          <yVal>
            <numRef>
              <f>'Geo Shear'!$IQ$3:$IQ$4</f>
            </numRef>
          </yVal>
          <smooth val="0"/>
        </ser>
        <ser>
          <idx val="84"/>
          <order val="84"/>
          <tx>
            <strRef>
              <f>'Geo Shear'!$IS$2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ctr"/>
            <showLegendKey val="0"/>
            <showVal val="0"/>
            <showCatName val="0"/>
            <showSerName val="1"/>
            <showPercent val="0"/>
          </dLbls>
          <xVal>
            <numRef>
              <f>'Geo Shear'!$IS$3</f>
            </numRef>
          </xVal>
          <yVal>
            <numRef>
              <f>'Geo Shear'!$IT$3</f>
            </numRef>
          </yVal>
          <smooth val="0"/>
        </ser>
        <ser>
          <idx val="85"/>
          <order val="85"/>
          <tx>
            <v>section at d</v>
          </tx>
          <spPr>
            <a:ln xmlns:a="http://schemas.openxmlformats.org/drawingml/2006/main" w="15875">
              <a:solidFill>
                <a:srgbClr val="B3261E"/>
              </a:solidFill>
              <a:prstDash val="dash"/>
            </a:ln>
          </spPr>
          <marker>
            <symbol val="none"/>
            <spPr>
              <a:ln xmlns:a="http://schemas.openxmlformats.org/drawingml/2006/main">
                <a:prstDash val="solid"/>
              </a:ln>
            </spPr>
          </marker>
          <xVal>
            <numRef>
              <f>'Geo Shear'!$IV$3:$IV$4</f>
            </numRef>
          </xVal>
          <yVal>
            <numRef>
              <f>'Geo Shear'!$IW$3:$IW$4</f>
            </numRef>
          </yVal>
          <smooth val="0"/>
        </ser>
        <ser>
          <idx val="86"/>
          <order val="86"/>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 Shear'!$IY$3:$IY$4</f>
            </numRef>
          </xVal>
          <yVal>
            <numRef>
              <f>'Geo Shear'!$IZ$3:$IZ$4</f>
            </numRef>
          </yVal>
          <smooth val="0"/>
        </ser>
        <ser>
          <idx val="87"/>
          <order val="87"/>
          <tx>
            <strRef>
              <f>'Geo Shear'!$JB$2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 Shear'!$JB$3</f>
            </numRef>
          </xVal>
          <yVal>
            <numRef>
              <f>'Geo Shear'!$JC$3</f>
            </numRef>
          </yVal>
          <smooth val="0"/>
        </ser>
        <ser>
          <idx val="88"/>
          <order val="88"/>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 Shear'!$JE$3:$JE$4</f>
            </numRef>
          </xVal>
          <yVal>
            <numRef>
              <f>'Geo Shear'!$JF$3:$JF$4</f>
            </numRef>
          </yVal>
          <smooth val="0"/>
        </ser>
        <ser>
          <idx val="89"/>
          <order val="89"/>
          <tx>
            <strRef>
              <f>'Geo Shear'!$JH$2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 Shear'!$JH$3</f>
            </numRef>
          </xVal>
          <yVal>
            <numRef>
              <f>'Geo Shear'!$JI$3</f>
            </numRef>
          </yVal>
          <smooth val="0"/>
        </ser>
        <ser>
          <idx val="90"/>
          <order val="90"/>
          <tx>
            <strRef>
              <f>'Geo Shear'!$JK$2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r"/>
            <showLegendKey val="0"/>
            <showVal val="0"/>
            <showCatName val="0"/>
            <showSerName val="1"/>
            <showPercent val="0"/>
          </dLbls>
          <xVal>
            <numRef>
              <f>'Geo Shear'!$JK$3</f>
            </numRef>
          </xVal>
          <yVal>
            <numRef>
              <f>'Geo Shear'!$JL$3</f>
            </numRef>
          </yVal>
          <smooth val="0"/>
        </ser>
        <ser>
          <idx val="91"/>
          <order val="91"/>
          <tx>
            <strRef>
              <f>'Geo Shear'!$JN$2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b"/>
            <showLegendKey val="0"/>
            <showVal val="0"/>
            <showCatName val="0"/>
            <showSerName val="1"/>
            <showPercent val="0"/>
          </dLbls>
          <xVal>
            <numRef>
              <f>'Geo Shear'!$JN$3</f>
            </numRef>
          </xVal>
          <yVal>
            <numRef>
              <f>'Geo Shear'!$JO$3</f>
            </numRef>
          </yVal>
          <smooth val="0"/>
        </ser>
        <ser>
          <idx val="92"/>
          <order val="92"/>
          <tx>
            <strRef>
              <f>'Geo Shear'!$JQ$2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ctr"/>
            <showLegendKey val="0"/>
            <showVal val="0"/>
            <showCatName val="0"/>
            <showSerName val="1"/>
            <showPercent val="0"/>
          </dLbls>
          <xVal>
            <numRef>
              <f>'Geo Shear'!$JQ$3</f>
            </numRef>
          </xVal>
          <yVal>
            <numRef>
              <f>'Geo Shear'!$JR$3</f>
            </numRef>
          </yVal>
          <smooth val="0"/>
        </ser>
        <ser>
          <idx val="93"/>
          <order val="93"/>
          <tx>
            <v>frame</v>
          </tx>
          <spPr>
            <a:ln xmlns:a="http://schemas.openxmlformats.org/drawingml/2006/main">
              <a:noFill/>
              <a:prstDash val="solid"/>
            </a:ln>
          </spPr>
          <marker>
            <symbol val="none"/>
            <spPr>
              <a:ln xmlns:a="http://schemas.openxmlformats.org/drawingml/2006/main">
                <a:prstDash val="solid"/>
              </a:ln>
            </spPr>
          </marker>
          <xVal>
            <numRef>
              <f>'Geo Shear'!$JT$3:$JT$4</f>
            </numRef>
          </xVal>
          <yVal>
            <numRef>
              <f>'Geo Shear'!$JU$3:$JU$4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charts/chart5.xml><?xml version="1.0" encoding="utf-8"?>
<chartSpace xmlns="http://schemas.openxmlformats.org/drawingml/2006/chart">
  <style val="1"/>
  <chart>
    <plotArea>
      <scatterChart>
        <scatterStyle val="lineMarker"/>
        <ser>
          <idx val="0"/>
          <order val="0"/>
          <tx>
            <strRef>
              <f>'Geo Column'!$A$2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 Column'!$A$3</f>
            </numRef>
          </xVal>
          <yVal>
            <numRef>
              <f>'Geo Column'!$B$3</f>
            </numRef>
          </yVal>
          <smooth val="0"/>
        </ser>
        <ser>
          <idx val="1"/>
          <order val="1"/>
          <tx>
            <v>section</v>
          </tx>
          <spPr>
            <a:ln xmlns:a="http://schemas.openxmlformats.org/drawingml/2006/main" w="25400">
              <a:solidFill>
                <a:srgbClr val="2B2B2B"/>
              </a:solidFill>
              <a:prstDash val="solid"/>
            </a:ln>
          </spPr>
          <marker>
            <symbol val="none"/>
            <spPr>
              <a:ln xmlns:a="http://schemas.openxmlformats.org/drawingml/2006/main">
                <a:prstDash val="solid"/>
              </a:ln>
            </spPr>
          </marker>
          <xVal>
            <numRef>
              <f>'Geo Column'!$D$3:$D$7</f>
            </numRef>
          </xVal>
          <yVal>
            <numRef>
              <f>'Geo Column'!$E$3:$E$7</f>
            </numRef>
          </yVal>
          <smooth val="0"/>
        </ser>
        <ser>
          <idx val="2"/>
          <order val="2"/>
          <tx>
            <v>link</v>
          </tx>
          <spPr>
            <a:ln xmlns:a="http://schemas.openxmlformats.org/drawingml/2006/main" w="15875">
              <a:solidFill>
                <a:srgbClr val="5B7F8A"/>
              </a:solidFill>
              <a:prstDash val="solid"/>
            </a:ln>
          </spPr>
          <marker>
            <symbol val="none"/>
            <spPr>
              <a:ln xmlns:a="http://schemas.openxmlformats.org/drawingml/2006/main">
                <a:prstDash val="solid"/>
              </a:ln>
            </spPr>
          </marker>
          <xVal>
            <numRef>
              <f>'Geo Column'!$G$3:$G$7</f>
            </numRef>
          </xVal>
          <yVal>
            <numRef>
              <f>'Geo Column'!$H$3:$H$7</f>
            </numRef>
          </yVal>
          <smooth val="0"/>
        </ser>
        <ser>
          <idx val="3"/>
          <order val="3"/>
          <tx>
            <v>bar top 0</v>
          </tx>
          <spPr>
            <a:ln xmlns:a="http://schemas.openxmlformats.org/drawingml/2006/main" w="25400">
              <a:solidFill>
                <a:srgbClr val="2B2B2B"/>
              </a:solidFill>
              <a:prstDash val="solid"/>
            </a:ln>
          </spPr>
          <marker>
            <symbol val="none"/>
            <spPr>
              <a:ln xmlns:a="http://schemas.openxmlformats.org/drawingml/2006/main">
                <a:prstDash val="solid"/>
              </a:ln>
            </spPr>
          </marker>
          <xVal>
            <numRef>
              <f>'Geo Column'!$J$3:$J$19</f>
            </numRef>
          </xVal>
          <yVal>
            <numRef>
              <f>'Geo Column'!$K$3:$K$19</f>
            </numRef>
          </yVal>
          <smooth val="0"/>
        </ser>
        <ser>
          <idx val="4"/>
          <order val="4"/>
          <tx>
            <v>bar bottom 0</v>
          </tx>
          <spPr>
            <a:ln xmlns:a="http://schemas.openxmlformats.org/drawingml/2006/main" w="25400">
              <a:solidFill>
                <a:srgbClr val="2B2B2B"/>
              </a:solidFill>
              <a:prstDash val="solid"/>
            </a:ln>
          </spPr>
          <marker>
            <symbol val="none"/>
            <spPr>
              <a:ln xmlns:a="http://schemas.openxmlformats.org/drawingml/2006/main">
                <a:prstDash val="solid"/>
              </a:ln>
            </spPr>
          </marker>
          <xVal>
            <numRef>
              <f>'Geo Column'!$M$3:$M$19</f>
            </numRef>
          </xVal>
          <yVal>
            <numRef>
              <f>'Geo Column'!$N$3:$N$19</f>
            </numRef>
          </yVal>
          <smooth val="0"/>
        </ser>
        <ser>
          <idx val="5"/>
          <order val="5"/>
          <tx>
            <v>bar top 1</v>
          </tx>
          <spPr>
            <a:ln xmlns:a="http://schemas.openxmlformats.org/drawingml/2006/main" w="25400">
              <a:solidFill>
                <a:srgbClr val="2B2B2B"/>
              </a:solidFill>
              <a:prstDash val="solid"/>
            </a:ln>
          </spPr>
          <marker>
            <symbol val="none"/>
            <spPr>
              <a:ln xmlns:a="http://schemas.openxmlformats.org/drawingml/2006/main">
                <a:prstDash val="solid"/>
              </a:ln>
            </spPr>
          </marker>
          <xVal>
            <numRef>
              <f>'Geo Column'!$P$3:$P$19</f>
            </numRef>
          </xVal>
          <yVal>
            <numRef>
              <f>'Geo Column'!$Q$3:$Q$19</f>
            </numRef>
          </yVal>
          <smooth val="0"/>
        </ser>
        <ser>
          <idx val="6"/>
          <order val="6"/>
          <tx>
            <v>bar bottom 1</v>
          </tx>
          <spPr>
            <a:ln xmlns:a="http://schemas.openxmlformats.org/drawingml/2006/main" w="25400">
              <a:solidFill>
                <a:srgbClr val="2B2B2B"/>
              </a:solidFill>
              <a:prstDash val="solid"/>
            </a:ln>
          </spPr>
          <marker>
            <symbol val="none"/>
            <spPr>
              <a:ln xmlns:a="http://schemas.openxmlformats.org/drawingml/2006/main">
                <a:prstDash val="solid"/>
              </a:ln>
            </spPr>
          </marker>
          <xVal>
            <numRef>
              <f>'Geo Column'!$S$3:$S$19</f>
            </numRef>
          </xVal>
          <yVal>
            <numRef>
              <f>'Geo Column'!$T$3:$T$19</f>
            </numRef>
          </yVal>
          <smooth val="0"/>
        </ser>
        <ser>
          <idx val="7"/>
          <order val="7"/>
          <tx>
            <v>bar top 2</v>
          </tx>
          <spPr>
            <a:ln xmlns:a="http://schemas.openxmlformats.org/drawingml/2006/main" w="25400">
              <a:solidFill>
                <a:srgbClr val="2B2B2B"/>
              </a:solidFill>
              <a:prstDash val="solid"/>
            </a:ln>
          </spPr>
          <marker>
            <symbol val="none"/>
            <spPr>
              <a:ln xmlns:a="http://schemas.openxmlformats.org/drawingml/2006/main">
                <a:prstDash val="solid"/>
              </a:ln>
            </spPr>
          </marker>
          <xVal>
            <numRef>
              <f>'Geo Column'!$V$3:$V$19</f>
            </numRef>
          </xVal>
          <yVal>
            <numRef>
              <f>'Geo Column'!$W$3:$W$19</f>
            </numRef>
          </yVal>
          <smooth val="0"/>
        </ser>
        <ser>
          <idx val="8"/>
          <order val="8"/>
          <tx>
            <v>bar bottom 2</v>
          </tx>
          <spPr>
            <a:ln xmlns:a="http://schemas.openxmlformats.org/drawingml/2006/main" w="25400">
              <a:solidFill>
                <a:srgbClr val="2B2B2B"/>
              </a:solidFill>
              <a:prstDash val="solid"/>
            </a:ln>
          </spPr>
          <marker>
            <symbol val="none"/>
            <spPr>
              <a:ln xmlns:a="http://schemas.openxmlformats.org/drawingml/2006/main">
                <a:prstDash val="solid"/>
              </a:ln>
            </spPr>
          </marker>
          <xVal>
            <numRef>
              <f>'Geo Column'!$Y$3:$Y$19</f>
            </numRef>
          </xVal>
          <yVal>
            <numRef>
              <f>'Geo Column'!$Z$3:$Z$19</f>
            </numRef>
          </yVal>
          <smooth val="0"/>
        </ser>
        <ser>
          <idx val="9"/>
          <order val="9"/>
          <tx>
            <v>bar top 3</v>
          </tx>
          <spPr>
            <a:ln xmlns:a="http://schemas.openxmlformats.org/drawingml/2006/main" w="25400">
              <a:solidFill>
                <a:srgbClr val="2B2B2B"/>
              </a:solidFill>
              <a:prstDash val="solid"/>
            </a:ln>
          </spPr>
          <marker>
            <symbol val="none"/>
            <spPr>
              <a:ln xmlns:a="http://schemas.openxmlformats.org/drawingml/2006/main">
                <a:prstDash val="solid"/>
              </a:ln>
            </spPr>
          </marker>
          <xVal>
            <numRef>
              <f>'Geo Column'!$AB$3:$AB$19</f>
            </numRef>
          </xVal>
          <yVal>
            <numRef>
              <f>'Geo Column'!$AC$3:$AC$19</f>
            </numRef>
          </yVal>
          <smooth val="0"/>
        </ser>
        <ser>
          <idx val="10"/>
          <order val="10"/>
          <tx>
            <v>bar bottom 3</v>
          </tx>
          <spPr>
            <a:ln xmlns:a="http://schemas.openxmlformats.org/drawingml/2006/main" w="25400">
              <a:solidFill>
                <a:srgbClr val="2B2B2B"/>
              </a:solidFill>
              <a:prstDash val="solid"/>
            </a:ln>
          </spPr>
          <marker>
            <symbol val="none"/>
            <spPr>
              <a:ln xmlns:a="http://schemas.openxmlformats.org/drawingml/2006/main">
                <a:prstDash val="solid"/>
              </a:ln>
            </spPr>
          </marker>
          <xVal>
            <numRef>
              <f>'Geo Column'!$AE$3:$AE$19</f>
            </numRef>
          </xVal>
          <yVal>
            <numRef>
              <f>'Geo Column'!$AF$3:$AF$19</f>
            </numRef>
          </yVal>
          <smooth val="0"/>
        </ser>
        <ser>
          <idx val="11"/>
          <order val="11"/>
          <tx>
            <v>bar top 4</v>
          </tx>
          <spPr>
            <a:ln xmlns:a="http://schemas.openxmlformats.org/drawingml/2006/main" w="25400">
              <a:solidFill>
                <a:srgbClr val="2B2B2B"/>
              </a:solidFill>
              <a:prstDash val="solid"/>
            </a:ln>
          </spPr>
          <marker>
            <symbol val="none"/>
            <spPr>
              <a:ln xmlns:a="http://schemas.openxmlformats.org/drawingml/2006/main">
                <a:prstDash val="solid"/>
              </a:ln>
            </spPr>
          </marker>
          <xVal>
            <numRef>
              <f>'Geo Column'!$AH$3:$AH$19</f>
            </numRef>
          </xVal>
          <yVal>
            <numRef>
              <f>'Geo Column'!$AI$3:$AI$19</f>
            </numRef>
          </yVal>
          <smooth val="0"/>
        </ser>
        <ser>
          <idx val="12"/>
          <order val="12"/>
          <tx>
            <v>bar bottom 4</v>
          </tx>
          <spPr>
            <a:ln xmlns:a="http://schemas.openxmlformats.org/drawingml/2006/main" w="25400">
              <a:solidFill>
                <a:srgbClr val="2B2B2B"/>
              </a:solidFill>
              <a:prstDash val="solid"/>
            </a:ln>
          </spPr>
          <marker>
            <symbol val="none"/>
            <spPr>
              <a:ln xmlns:a="http://schemas.openxmlformats.org/drawingml/2006/main">
                <a:prstDash val="solid"/>
              </a:ln>
            </spPr>
          </marker>
          <xVal>
            <numRef>
              <f>'Geo Column'!$AK$3:$AK$19</f>
            </numRef>
          </xVal>
          <yVal>
            <numRef>
              <f>'Geo Column'!$AL$3:$AL$19</f>
            </numRef>
          </yVal>
          <smooth val="0"/>
        </ser>
        <ser>
          <idx val="13"/>
          <order val="13"/>
          <tx>
            <v>bar top 5</v>
          </tx>
          <spPr>
            <a:ln xmlns:a="http://schemas.openxmlformats.org/drawingml/2006/main" w="25400">
              <a:solidFill>
                <a:srgbClr val="2B2B2B"/>
              </a:solidFill>
              <a:prstDash val="solid"/>
            </a:ln>
          </spPr>
          <marker>
            <symbol val="none"/>
            <spPr>
              <a:ln xmlns:a="http://schemas.openxmlformats.org/drawingml/2006/main">
                <a:prstDash val="solid"/>
              </a:ln>
            </spPr>
          </marker>
          <xVal>
            <numRef>
              <f>'Geo Column'!$AN$3:$AN$19</f>
            </numRef>
          </xVal>
          <yVal>
            <numRef>
              <f>'Geo Column'!$AO$3:$AO$19</f>
            </numRef>
          </yVal>
          <smooth val="0"/>
        </ser>
        <ser>
          <idx val="14"/>
          <order val="14"/>
          <tx>
            <v>bar bottom 5</v>
          </tx>
          <spPr>
            <a:ln xmlns:a="http://schemas.openxmlformats.org/drawingml/2006/main" w="25400">
              <a:solidFill>
                <a:srgbClr val="2B2B2B"/>
              </a:solidFill>
              <a:prstDash val="solid"/>
            </a:ln>
          </spPr>
          <marker>
            <symbol val="none"/>
            <spPr>
              <a:ln xmlns:a="http://schemas.openxmlformats.org/drawingml/2006/main">
                <a:prstDash val="solid"/>
              </a:ln>
            </spPr>
          </marker>
          <xVal>
            <numRef>
              <f>'Geo Column'!$AQ$3:$AQ$19</f>
            </numRef>
          </xVal>
          <yVal>
            <numRef>
              <f>'Geo Column'!$AR$3:$AR$19</f>
            </numRef>
          </yVal>
          <smooth val="0"/>
        </ser>
        <ser>
          <idx val="15"/>
          <order val="15"/>
          <tx>
            <v>bar top 6</v>
          </tx>
          <spPr>
            <a:ln xmlns:a="http://schemas.openxmlformats.org/drawingml/2006/main" w="25400">
              <a:solidFill>
                <a:srgbClr val="2B2B2B"/>
              </a:solidFill>
              <a:prstDash val="solid"/>
            </a:ln>
          </spPr>
          <marker>
            <symbol val="none"/>
            <spPr>
              <a:ln xmlns:a="http://schemas.openxmlformats.org/drawingml/2006/main">
                <a:prstDash val="solid"/>
              </a:ln>
            </spPr>
          </marker>
          <xVal>
            <numRef>
              <f>'Geo Column'!$AT$3:$AT$19</f>
            </numRef>
          </xVal>
          <yVal>
            <numRef>
              <f>'Geo Column'!$AU$3:$AU$19</f>
            </numRef>
          </yVal>
          <smooth val="0"/>
        </ser>
        <ser>
          <idx val="16"/>
          <order val="16"/>
          <tx>
            <v>bar bottom 6</v>
          </tx>
          <spPr>
            <a:ln xmlns:a="http://schemas.openxmlformats.org/drawingml/2006/main" w="25400">
              <a:solidFill>
                <a:srgbClr val="2B2B2B"/>
              </a:solidFill>
              <a:prstDash val="solid"/>
            </a:ln>
          </spPr>
          <marker>
            <symbol val="none"/>
            <spPr>
              <a:ln xmlns:a="http://schemas.openxmlformats.org/drawingml/2006/main">
                <a:prstDash val="solid"/>
              </a:ln>
            </spPr>
          </marker>
          <xVal>
            <numRef>
              <f>'Geo Column'!$AW$3:$AW$19</f>
            </numRef>
          </xVal>
          <yVal>
            <numRef>
              <f>'Geo Column'!$AX$3:$AX$19</f>
            </numRef>
          </yVal>
          <smooth val="0"/>
        </ser>
        <ser>
          <idx val="17"/>
          <order val="17"/>
          <tx>
            <v>bar top 7</v>
          </tx>
          <spPr>
            <a:ln xmlns:a="http://schemas.openxmlformats.org/drawingml/2006/main" w="25400">
              <a:solidFill>
                <a:srgbClr val="2B2B2B"/>
              </a:solidFill>
              <a:prstDash val="solid"/>
            </a:ln>
          </spPr>
          <marker>
            <symbol val="none"/>
            <spPr>
              <a:ln xmlns:a="http://schemas.openxmlformats.org/drawingml/2006/main">
                <a:prstDash val="solid"/>
              </a:ln>
            </spPr>
          </marker>
          <xVal>
            <numRef>
              <f>'Geo Column'!$AZ$3:$AZ$19</f>
            </numRef>
          </xVal>
          <yVal>
            <numRef>
              <f>'Geo Column'!$BA$3:$BA$19</f>
            </numRef>
          </yVal>
          <smooth val="0"/>
        </ser>
        <ser>
          <idx val="18"/>
          <order val="18"/>
          <tx>
            <v>bar bottom 7</v>
          </tx>
          <spPr>
            <a:ln xmlns:a="http://schemas.openxmlformats.org/drawingml/2006/main" w="25400">
              <a:solidFill>
                <a:srgbClr val="2B2B2B"/>
              </a:solidFill>
              <a:prstDash val="solid"/>
            </a:ln>
          </spPr>
          <marker>
            <symbol val="none"/>
            <spPr>
              <a:ln xmlns:a="http://schemas.openxmlformats.org/drawingml/2006/main">
                <a:prstDash val="solid"/>
              </a:ln>
            </spPr>
          </marker>
          <xVal>
            <numRef>
              <f>'Geo Column'!$BC$3:$BC$19</f>
            </numRef>
          </xVal>
          <yVal>
            <numRef>
              <f>'Geo Column'!$BD$3:$BD$19</f>
            </numRef>
          </yVal>
          <smooth val="0"/>
        </ser>
        <ser>
          <idx val="19"/>
          <order val="19"/>
          <tx>
            <v>bar top 8</v>
          </tx>
          <spPr>
            <a:ln xmlns:a="http://schemas.openxmlformats.org/drawingml/2006/main" w="25400">
              <a:solidFill>
                <a:srgbClr val="2B2B2B"/>
              </a:solidFill>
              <a:prstDash val="solid"/>
            </a:ln>
          </spPr>
          <marker>
            <symbol val="none"/>
            <spPr>
              <a:ln xmlns:a="http://schemas.openxmlformats.org/drawingml/2006/main">
                <a:prstDash val="solid"/>
              </a:ln>
            </spPr>
          </marker>
          <xVal>
            <numRef>
              <f>'Geo Column'!$BF$3:$BF$19</f>
            </numRef>
          </xVal>
          <yVal>
            <numRef>
              <f>'Geo Column'!$BG$3:$BG$19</f>
            </numRef>
          </yVal>
          <smooth val="0"/>
        </ser>
        <ser>
          <idx val="20"/>
          <order val="20"/>
          <tx>
            <v>bar bottom 8</v>
          </tx>
          <spPr>
            <a:ln xmlns:a="http://schemas.openxmlformats.org/drawingml/2006/main" w="25400">
              <a:solidFill>
                <a:srgbClr val="2B2B2B"/>
              </a:solidFill>
              <a:prstDash val="solid"/>
            </a:ln>
          </spPr>
          <marker>
            <symbol val="none"/>
            <spPr>
              <a:ln xmlns:a="http://schemas.openxmlformats.org/drawingml/2006/main">
                <a:prstDash val="solid"/>
              </a:ln>
            </spPr>
          </marker>
          <xVal>
            <numRef>
              <f>'Geo Column'!$BI$3:$BI$19</f>
            </numRef>
          </xVal>
          <yVal>
            <numRef>
              <f>'Geo Column'!$BJ$3:$BJ$19</f>
            </numRef>
          </yVal>
          <smooth val="0"/>
        </ser>
        <ser>
          <idx val="21"/>
          <order val="21"/>
          <tx>
            <v>bar top 9</v>
          </tx>
          <spPr>
            <a:ln xmlns:a="http://schemas.openxmlformats.org/drawingml/2006/main" w="25400">
              <a:solidFill>
                <a:srgbClr val="2B2B2B"/>
              </a:solidFill>
              <a:prstDash val="solid"/>
            </a:ln>
          </spPr>
          <marker>
            <symbol val="none"/>
            <spPr>
              <a:ln xmlns:a="http://schemas.openxmlformats.org/drawingml/2006/main">
                <a:prstDash val="solid"/>
              </a:ln>
            </spPr>
          </marker>
          <xVal>
            <numRef>
              <f>'Geo Column'!$BL$3:$BL$19</f>
            </numRef>
          </xVal>
          <yVal>
            <numRef>
              <f>'Geo Column'!$BM$3:$BM$19</f>
            </numRef>
          </yVal>
          <smooth val="0"/>
        </ser>
        <ser>
          <idx val="22"/>
          <order val="22"/>
          <tx>
            <v>bar bottom 9</v>
          </tx>
          <spPr>
            <a:ln xmlns:a="http://schemas.openxmlformats.org/drawingml/2006/main" w="25400">
              <a:solidFill>
                <a:srgbClr val="2B2B2B"/>
              </a:solidFill>
              <a:prstDash val="solid"/>
            </a:ln>
          </spPr>
          <marker>
            <symbol val="none"/>
            <spPr>
              <a:ln xmlns:a="http://schemas.openxmlformats.org/drawingml/2006/main">
                <a:prstDash val="solid"/>
              </a:ln>
            </spPr>
          </marker>
          <xVal>
            <numRef>
              <f>'Geo Column'!$BO$3:$BO$19</f>
            </numRef>
          </xVal>
          <yVal>
            <numRef>
              <f>'Geo Column'!$BP$3:$BP$19</f>
            </numRef>
          </yVal>
          <smooth val="0"/>
        </ser>
        <ser>
          <idx val="23"/>
          <order val="23"/>
          <tx>
            <v>neutral axis</v>
          </tx>
          <spPr>
            <a:ln xmlns:a="http://schemas.openxmlformats.org/drawingml/2006/main" w="12700">
              <a:solidFill>
                <a:srgbClr val="B3261E"/>
              </a:solidFill>
              <a:prstDash val="dash"/>
            </a:ln>
          </spPr>
          <marker>
            <symbol val="none"/>
            <spPr>
              <a:ln xmlns:a="http://schemas.openxmlformats.org/drawingml/2006/main">
                <a:prstDash val="solid"/>
              </a:ln>
            </spPr>
          </marker>
          <xVal>
            <numRef>
              <f>'Geo Column'!$BR$3:$BR$4</f>
            </numRef>
          </xVal>
          <yVal>
            <numRef>
              <f>'Geo Column'!$BS$3:$BS$4</f>
            </numRef>
          </yVal>
          <smooth val="0"/>
        </ser>
        <ser>
          <idx val="24"/>
          <order val="24"/>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 Column'!$BU$3:$BU$4</f>
            </numRef>
          </xVal>
          <yVal>
            <numRef>
              <f>'Geo Column'!$BV$3:$BV$4</f>
            </numRef>
          </yVal>
          <smooth val="0"/>
        </ser>
        <ser>
          <idx val="25"/>
          <order val="25"/>
          <tx>
            <strRef>
              <f>'Geo Column'!$BX$2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 Column'!$BX$3</f>
            </numRef>
          </xVal>
          <yVal>
            <numRef>
              <f>'Geo Column'!$BY$3</f>
            </numRef>
          </yVal>
          <smooth val="0"/>
        </ser>
        <ser>
          <idx val="26"/>
          <order val="26"/>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 Column'!$CA$3:$CA$4</f>
            </numRef>
          </xVal>
          <yVal>
            <numRef>
              <f>'Geo Column'!$CB$3:$CB$4</f>
            </numRef>
          </yVal>
          <smooth val="0"/>
        </ser>
        <ser>
          <idx val="27"/>
          <order val="27"/>
          <tx>
            <strRef>
              <f>'Geo Column'!$CD$2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l"/>
            <showLegendKey val="0"/>
            <showVal val="0"/>
            <showCatName val="0"/>
            <showSerName val="1"/>
            <showPercent val="0"/>
          </dLbls>
          <xVal>
            <numRef>
              <f>'Geo Column'!$CD$3</f>
            </numRef>
          </xVal>
          <yVal>
            <numRef>
              <f>'Geo Column'!$CE$3</f>
            </numRef>
          </yVal>
          <smooth val="0"/>
        </ser>
        <ser>
          <idx val="28"/>
          <order val="28"/>
          <tx>
            <strRef>
              <f>'Geo Column'!$CG$2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r"/>
            <showLegendKey val="0"/>
            <showVal val="0"/>
            <showCatName val="0"/>
            <showSerName val="1"/>
            <showPercent val="0"/>
          </dLbls>
          <xVal>
            <numRef>
              <f>'Geo Column'!$CG$3</f>
            </numRef>
          </xVal>
          <yVal>
            <numRef>
              <f>'Geo Column'!$CH$3</f>
            </numRef>
          </yVal>
          <smooth val="0"/>
        </ser>
        <ser>
          <idx val="29"/>
          <order val="29"/>
          <tx>
            <strRef>
              <f>'Geo Column'!$CJ$2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r"/>
            <showLegendKey val="0"/>
            <showVal val="0"/>
            <showCatName val="0"/>
            <showSerName val="1"/>
            <showPercent val="0"/>
          </dLbls>
          <xVal>
            <numRef>
              <f>'Geo Column'!$CJ$3</f>
            </numRef>
          </xVal>
          <yVal>
            <numRef>
              <f>'Geo Column'!$CK$3</f>
            </numRef>
          </yVal>
          <smooth val="0"/>
        </ser>
        <ser>
          <idx val="30"/>
          <order val="30"/>
          <tx>
            <strRef>
              <f>'Geo Column'!$CM$2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 Column'!$CM$3</f>
            </numRef>
          </xVal>
          <yVal>
            <numRef>
              <f>'Geo Column'!$CN$3</f>
            </numRef>
          </yVal>
          <smooth val="0"/>
        </ser>
        <ser>
          <idx val="31"/>
          <order val="31"/>
          <tx>
            <v>compression face</v>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t"/>
            <showLegendKey val="0"/>
            <showVal val="0"/>
            <showCatName val="0"/>
            <showSerName val="1"/>
            <showPercent val="0"/>
          </dLbls>
          <xVal>
            <numRef>
              <f>'Geo Column'!$CP$3</f>
            </numRef>
          </xVal>
          <yVal>
            <numRef>
              <f>'Geo Column'!$CQ$3</f>
            </numRef>
          </yVal>
          <smooth val="0"/>
        </ser>
        <ser>
          <idx val="32"/>
          <order val="32"/>
          <tx>
            <v>frame</v>
          </tx>
          <spPr>
            <a:ln xmlns:a="http://schemas.openxmlformats.org/drawingml/2006/main">
              <a:noFill/>
              <a:prstDash val="solid"/>
            </a:ln>
          </spPr>
          <marker>
            <symbol val="none"/>
            <spPr>
              <a:ln xmlns:a="http://schemas.openxmlformats.org/drawingml/2006/main">
                <a:prstDash val="solid"/>
              </a:ln>
            </spPr>
          </marker>
          <xVal>
            <numRef>
              <f>'Geo Column'!$CS$3:$CS$4</f>
            </numRef>
          </xVal>
          <yVal>
            <numRef>
              <f>'Geo Column'!$CT$3:$CT$4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charts/chart6.xml><?xml version="1.0" encoding="utf-8"?>
<chartSpace xmlns="http://schemas.openxmlformats.org/drawingml/2006/chart">
  <style val="1"/>
  <chart>
    <plotArea>
      <scatterChart>
        <scatterStyle val="lineMarker"/>
        <ser>
          <idx val="0"/>
          <order val="0"/>
          <tx>
            <strRef>
              <f>'Geo Indirect'!$A$2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 Indirect'!$A$3</f>
            </numRef>
          </xVal>
          <yVal>
            <numRef>
              <f>'Geo Indirect'!$B$3</f>
            </numRef>
          </yVal>
          <smooth val="0"/>
        </ser>
        <ser>
          <idx val="1"/>
          <order val="1"/>
          <tx>
            <v>supporting beam</v>
          </tx>
          <spPr>
            <a:ln xmlns:a="http://schemas.openxmlformats.org/drawingml/2006/main" w="25400">
              <a:solidFill>
                <a:srgbClr val="2B2B2B"/>
              </a:solidFill>
              <a:prstDash val="solid"/>
            </a:ln>
          </spPr>
          <marker>
            <symbol val="none"/>
            <spPr>
              <a:ln xmlns:a="http://schemas.openxmlformats.org/drawingml/2006/main">
                <a:prstDash val="solid"/>
              </a:ln>
            </spPr>
          </marker>
          <xVal>
            <numRef>
              <f>'Geo Indirect'!$D$3:$D$7</f>
            </numRef>
          </xVal>
          <yVal>
            <numRef>
              <f>'Geo Indirect'!$E$3:$E$7</f>
            </numRef>
          </yVal>
          <smooth val="0"/>
        </ser>
        <ser>
          <idx val="2"/>
          <order val="2"/>
          <tx>
            <v>supported beam</v>
          </tx>
          <spPr>
            <a:ln xmlns:a="http://schemas.openxmlformats.org/drawingml/2006/main" w="25400">
              <a:solidFill>
                <a:srgbClr val="2B2B2B"/>
              </a:solidFill>
              <a:prstDash val="solid"/>
            </a:ln>
          </spPr>
          <marker>
            <symbol val="none"/>
            <spPr>
              <a:ln xmlns:a="http://schemas.openxmlformats.org/drawingml/2006/main">
                <a:prstDash val="solid"/>
              </a:ln>
            </spPr>
          </marker>
          <xVal>
            <numRef>
              <f>'Geo Indirect'!$G$3:$G$6</f>
            </numRef>
          </xVal>
          <yVal>
            <numRef>
              <f>'Geo Indirect'!$H$3:$H$6</f>
            </numRef>
          </yVal>
          <smooth val="0"/>
        </ser>
        <ser>
          <idx val="3"/>
          <order val="3"/>
          <tx>
            <v>zone A</v>
          </tx>
          <spPr>
            <a:ln xmlns:a="http://schemas.openxmlformats.org/drawingml/2006/main" w="15875">
              <a:solidFill>
                <a:srgbClr val="5B7F8A"/>
              </a:solidFill>
              <a:prstDash val="dash"/>
            </a:ln>
          </spPr>
          <marker>
            <symbol val="none"/>
            <spPr>
              <a:ln xmlns:a="http://schemas.openxmlformats.org/drawingml/2006/main">
                <a:prstDash val="solid"/>
              </a:ln>
            </spPr>
          </marker>
          <xVal>
            <numRef>
              <f>'Geo Indirect'!$J$3:$J$7</f>
            </numRef>
          </xVal>
          <yVal>
            <numRef>
              <f>'Geo Indirect'!$K$3:$K$7</f>
            </numRef>
          </yVal>
          <smooth val="0"/>
        </ser>
        <ser>
          <idx val="4"/>
          <order val="4"/>
          <tx>
            <v>zone B</v>
          </tx>
          <spPr>
            <a:ln xmlns:a="http://schemas.openxmlformats.org/drawingml/2006/main" w="15875">
              <a:solidFill>
                <a:srgbClr val="5B7F8A"/>
              </a:solidFill>
              <a:prstDash val="dash"/>
            </a:ln>
          </spPr>
          <marker>
            <symbol val="none"/>
            <spPr>
              <a:ln xmlns:a="http://schemas.openxmlformats.org/drawingml/2006/main">
                <a:prstDash val="solid"/>
              </a:ln>
            </spPr>
          </marker>
          <xVal>
            <numRef>
              <f>'Geo Indirect'!$M$3:$M$6</f>
            </numRef>
          </xVal>
          <yVal>
            <numRef>
              <f>'Geo Indirect'!$N$3:$N$6</f>
            </numRef>
          </yVal>
          <smooth val="0"/>
        </ser>
        <ser>
          <idx val="5"/>
          <order val="5"/>
          <tx>
            <v>link A 0</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Indirect'!$P$3:$P$4</f>
            </numRef>
          </xVal>
          <yVal>
            <numRef>
              <f>'Geo Indirect'!$Q$3:$Q$4</f>
            </numRef>
          </yVal>
          <smooth val="0"/>
        </ser>
        <ser>
          <idx val="6"/>
          <order val="6"/>
          <tx>
            <v>link B 0</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Indirect'!$S$3:$S$4</f>
            </numRef>
          </xVal>
          <yVal>
            <numRef>
              <f>'Geo Indirect'!$T$3:$T$4</f>
            </numRef>
          </yVal>
          <smooth val="0"/>
        </ser>
        <ser>
          <idx val="7"/>
          <order val="7"/>
          <tx>
            <v>link A 1</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Indirect'!$V$3:$V$4</f>
            </numRef>
          </xVal>
          <yVal>
            <numRef>
              <f>'Geo Indirect'!$W$3:$W$4</f>
            </numRef>
          </yVal>
          <smooth val="0"/>
        </ser>
        <ser>
          <idx val="8"/>
          <order val="8"/>
          <tx>
            <v>link B 1</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Indirect'!$Y$3:$Y$4</f>
            </numRef>
          </xVal>
          <yVal>
            <numRef>
              <f>'Geo Indirect'!$Z$3:$Z$4</f>
            </numRef>
          </yVal>
          <smooth val="0"/>
        </ser>
        <ser>
          <idx val="9"/>
          <order val="9"/>
          <tx>
            <v>link A 2</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Indirect'!$AB$3:$AB$4</f>
            </numRef>
          </xVal>
          <yVal>
            <numRef>
              <f>'Geo Indirect'!$AC$3:$AC$4</f>
            </numRef>
          </yVal>
          <smooth val="0"/>
        </ser>
        <ser>
          <idx val="10"/>
          <order val="10"/>
          <tx>
            <v>link B 2</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Indirect'!$AE$3:$AE$4</f>
            </numRef>
          </xVal>
          <yVal>
            <numRef>
              <f>'Geo Indirect'!$AF$3:$AF$4</f>
            </numRef>
          </yVal>
          <smooth val="0"/>
        </ser>
        <ser>
          <idx val="11"/>
          <order val="11"/>
          <tx>
            <v>link A 3</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Indirect'!$AH$3:$AH$4</f>
            </numRef>
          </xVal>
          <yVal>
            <numRef>
              <f>'Geo Indirect'!$AI$3:$AI$4</f>
            </numRef>
          </yVal>
          <smooth val="0"/>
        </ser>
        <ser>
          <idx val="12"/>
          <order val="12"/>
          <tx>
            <v>link B 3</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Indirect'!$AK$3:$AK$4</f>
            </numRef>
          </xVal>
          <yVal>
            <numRef>
              <f>'Geo Indirect'!$AL$3:$AL$4</f>
            </numRef>
          </yVal>
          <smooth val="0"/>
        </ser>
        <ser>
          <idx val="13"/>
          <order val="13"/>
          <tx>
            <v>link A 4</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Indirect'!$AN$3:$AN$4</f>
            </numRef>
          </xVal>
          <yVal>
            <numRef>
              <f>'Geo Indirect'!$AO$3:$AO$4</f>
            </numRef>
          </yVal>
          <smooth val="0"/>
        </ser>
        <ser>
          <idx val="14"/>
          <order val="14"/>
          <tx>
            <v>link B 4</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Indirect'!$AQ$3:$AQ$4</f>
            </numRef>
          </xVal>
          <yVal>
            <numRef>
              <f>'Geo Indirect'!$AR$3:$AR$4</f>
            </numRef>
          </yVal>
          <smooth val="0"/>
        </ser>
        <ser>
          <idx val="15"/>
          <order val="15"/>
          <tx>
            <v>link A 5</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Indirect'!$AT$3:$AT$4</f>
            </numRef>
          </xVal>
          <yVal>
            <numRef>
              <f>'Geo Indirect'!$AU$3:$AU$4</f>
            </numRef>
          </yVal>
          <smooth val="0"/>
        </ser>
        <ser>
          <idx val="16"/>
          <order val="16"/>
          <tx>
            <v>link B 5</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Indirect'!$AW$3:$AW$4</f>
            </numRef>
          </xVal>
          <yVal>
            <numRef>
              <f>'Geo Indirect'!$AX$3:$AX$4</f>
            </numRef>
          </yVal>
          <smooth val="0"/>
        </ser>
        <ser>
          <idx val="17"/>
          <order val="17"/>
          <tx>
            <v>link A 6</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Indirect'!$AZ$3:$AZ$4</f>
            </numRef>
          </xVal>
          <yVal>
            <numRef>
              <f>'Geo Indirect'!$BA$3:$BA$4</f>
            </numRef>
          </yVal>
          <smooth val="0"/>
        </ser>
        <ser>
          <idx val="18"/>
          <order val="18"/>
          <tx>
            <v>link B 6</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Indirect'!$BC$3:$BC$4</f>
            </numRef>
          </xVal>
          <yVal>
            <numRef>
              <f>'Geo Indirect'!$BD$3:$BD$4</f>
            </numRef>
          </yVal>
          <smooth val="0"/>
        </ser>
        <ser>
          <idx val="19"/>
          <order val="19"/>
          <tx>
            <v>link A 7</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Indirect'!$BF$3:$BF$4</f>
            </numRef>
          </xVal>
          <yVal>
            <numRef>
              <f>'Geo Indirect'!$BG$3:$BG$4</f>
            </numRef>
          </yVal>
          <smooth val="0"/>
        </ser>
        <ser>
          <idx val="20"/>
          <order val="20"/>
          <tx>
            <v>link B 7</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Indirect'!$BI$3:$BI$4</f>
            </numRef>
          </xVal>
          <yVal>
            <numRef>
              <f>'Geo Indirect'!$BJ$3:$BJ$4</f>
            </numRef>
          </yVal>
          <smooth val="0"/>
        </ser>
        <ser>
          <idx val="21"/>
          <order val="21"/>
          <tx>
            <v>link A 8</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Indirect'!$BL$3:$BL$4</f>
            </numRef>
          </xVal>
          <yVal>
            <numRef>
              <f>'Geo Indirect'!$BM$3:$BM$4</f>
            </numRef>
          </yVal>
          <smooth val="0"/>
        </ser>
        <ser>
          <idx val="22"/>
          <order val="22"/>
          <tx>
            <v>link B 8</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Indirect'!$BO$3:$BO$4</f>
            </numRef>
          </xVal>
          <yVal>
            <numRef>
              <f>'Geo Indirect'!$BP$3:$BP$4</f>
            </numRef>
          </yVal>
          <smooth val="0"/>
        </ser>
        <ser>
          <idx val="23"/>
          <order val="23"/>
          <tx>
            <v>link A 9</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Indirect'!$BR$3:$BR$4</f>
            </numRef>
          </xVal>
          <yVal>
            <numRef>
              <f>'Geo Indirect'!$BS$3:$BS$4</f>
            </numRef>
          </yVal>
          <smooth val="0"/>
        </ser>
        <ser>
          <idx val="24"/>
          <order val="24"/>
          <tx>
            <v>link B 9</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Indirect'!$BU$3:$BU$4</f>
            </numRef>
          </xVal>
          <yVal>
            <numRef>
              <f>'Geo Indirect'!$BV$3:$BV$4</f>
            </numRef>
          </yVal>
          <smooth val="0"/>
        </ser>
        <ser>
          <idx val="25"/>
          <order val="25"/>
          <tx>
            <v>link A 10</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Indirect'!$BX$3:$BX$4</f>
            </numRef>
          </xVal>
          <yVal>
            <numRef>
              <f>'Geo Indirect'!$BY$3:$BY$4</f>
            </numRef>
          </yVal>
          <smooth val="0"/>
        </ser>
        <ser>
          <idx val="26"/>
          <order val="26"/>
          <tx>
            <v>link B 10</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Indirect'!$CA$3:$CA$4</f>
            </numRef>
          </xVal>
          <yVal>
            <numRef>
              <f>'Geo Indirect'!$CB$3:$CB$4</f>
            </numRef>
          </yVal>
          <smooth val="0"/>
        </ser>
        <ser>
          <idx val="27"/>
          <order val="27"/>
          <tx>
            <v>link A 11</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Indirect'!$CD$3:$CD$4</f>
            </numRef>
          </xVal>
          <yVal>
            <numRef>
              <f>'Geo Indirect'!$CE$3:$CE$4</f>
            </numRef>
          </yVal>
          <smooth val="0"/>
        </ser>
        <ser>
          <idx val="28"/>
          <order val="28"/>
          <tx>
            <v>link B 11</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Indirect'!$CG$3:$CG$4</f>
            </numRef>
          </xVal>
          <yVal>
            <numRef>
              <f>'Geo Indirect'!$CH$3:$CH$4</f>
            </numRef>
          </yVal>
          <smooth val="0"/>
        </ser>
        <ser>
          <idx val="29"/>
          <order val="29"/>
          <tx>
            <v>link A 12</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Indirect'!$CJ$3:$CJ$4</f>
            </numRef>
          </xVal>
          <yVal>
            <numRef>
              <f>'Geo Indirect'!$CK$3:$CK$4</f>
            </numRef>
          </yVal>
          <smooth val="0"/>
        </ser>
        <ser>
          <idx val="30"/>
          <order val="30"/>
          <tx>
            <v>link B 12</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Indirect'!$CM$3:$CM$4</f>
            </numRef>
          </xVal>
          <yVal>
            <numRef>
              <f>'Geo Indirect'!$CN$3:$CN$4</f>
            </numRef>
          </yVal>
          <smooth val="0"/>
        </ser>
        <ser>
          <idx val="31"/>
          <order val="31"/>
          <tx>
            <v>link A 13</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Indirect'!$CP$3:$CP$4</f>
            </numRef>
          </xVal>
          <yVal>
            <numRef>
              <f>'Geo Indirect'!$CQ$3:$CQ$4</f>
            </numRef>
          </yVal>
          <smooth val="0"/>
        </ser>
        <ser>
          <idx val="32"/>
          <order val="32"/>
          <tx>
            <v>link B 13</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Indirect'!$CS$3:$CS$4</f>
            </numRef>
          </xVal>
          <yVal>
            <numRef>
              <f>'Geo Indirect'!$CT$3:$CT$4</f>
            </numRef>
          </yVal>
          <smooth val="0"/>
        </ser>
        <ser>
          <idx val="33"/>
          <order val="33"/>
          <tx>
            <v>link A 14</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Indirect'!$CV$3:$CV$4</f>
            </numRef>
          </xVal>
          <yVal>
            <numRef>
              <f>'Geo Indirect'!$CW$3:$CW$4</f>
            </numRef>
          </yVal>
          <smooth val="0"/>
        </ser>
        <ser>
          <idx val="34"/>
          <order val="34"/>
          <tx>
            <v>link B 14</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Indirect'!$CY$3:$CY$4</f>
            </numRef>
          </xVal>
          <yVal>
            <numRef>
              <f>'Geo Indirect'!$CZ$3:$CZ$4</f>
            </numRef>
          </yVal>
          <smooth val="0"/>
        </ser>
        <ser>
          <idx val="35"/>
          <order val="35"/>
          <tx>
            <v>link A 15</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Indirect'!$DB$3:$DB$4</f>
            </numRef>
          </xVal>
          <yVal>
            <numRef>
              <f>'Geo Indirect'!$DC$3:$DC$4</f>
            </numRef>
          </yVal>
          <smooth val="0"/>
        </ser>
        <ser>
          <idx val="36"/>
          <order val="36"/>
          <tx>
            <v>link B 15</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Indirect'!$DE$3:$DE$4</f>
            </numRef>
          </xVal>
          <yVal>
            <numRef>
              <f>'Geo Indirect'!$DF$3:$DF$4</f>
            </numRef>
          </yVal>
          <smooth val="0"/>
        </ser>
        <ser>
          <idx val="37"/>
          <order val="37"/>
          <tx>
            <v>link A 16</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Indirect'!$DH$3:$DH$4</f>
            </numRef>
          </xVal>
          <yVal>
            <numRef>
              <f>'Geo Indirect'!$DI$3:$DI$4</f>
            </numRef>
          </yVal>
          <smooth val="0"/>
        </ser>
        <ser>
          <idx val="38"/>
          <order val="38"/>
          <tx>
            <v>link B 16</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Indirect'!$DK$3:$DK$4</f>
            </numRef>
          </xVal>
          <yVal>
            <numRef>
              <f>'Geo Indirect'!$DL$3:$DL$4</f>
            </numRef>
          </yVal>
          <smooth val="0"/>
        </ser>
        <ser>
          <idx val="39"/>
          <order val="39"/>
          <tx>
            <v>link A 17</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Indirect'!$DN$3:$DN$4</f>
            </numRef>
          </xVal>
          <yVal>
            <numRef>
              <f>'Geo Indirect'!$DO$3:$DO$4</f>
            </numRef>
          </yVal>
          <smooth val="0"/>
        </ser>
        <ser>
          <idx val="40"/>
          <order val="40"/>
          <tx>
            <v>link B 17</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Indirect'!$DQ$3:$DQ$4</f>
            </numRef>
          </xVal>
          <yVal>
            <numRef>
              <f>'Geo Indirect'!$DR$3:$DR$4</f>
            </numRef>
          </yVal>
          <smooth val="0"/>
        </ser>
        <ser>
          <idx val="41"/>
          <order val="41"/>
          <tx>
            <v>link A 18</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Indirect'!$DT$3:$DT$4</f>
            </numRef>
          </xVal>
          <yVal>
            <numRef>
              <f>'Geo Indirect'!$DU$3:$DU$4</f>
            </numRef>
          </yVal>
          <smooth val="0"/>
        </ser>
        <ser>
          <idx val="42"/>
          <order val="42"/>
          <tx>
            <v>link B 18</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Indirect'!$DW$3:$DW$4</f>
            </numRef>
          </xVal>
          <yVal>
            <numRef>
              <f>'Geo Indirect'!$DX$3:$DX$4</f>
            </numRef>
          </yVal>
          <smooth val="0"/>
        </ser>
        <ser>
          <idx val="43"/>
          <order val="43"/>
          <tx>
            <v>link A 19</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Indirect'!$DZ$3:$DZ$4</f>
            </numRef>
          </xVal>
          <yVal>
            <numRef>
              <f>'Geo Indirect'!$EA$3:$EA$4</f>
            </numRef>
          </yVal>
          <smooth val="0"/>
        </ser>
        <ser>
          <idx val="44"/>
          <order val="44"/>
          <tx>
            <v>link B 19</v>
          </tx>
          <spPr>
            <a:ln xmlns:a="http://schemas.openxmlformats.org/drawingml/2006/main" w="19050">
              <a:solidFill>
                <a:srgbClr val="B3261E"/>
              </a:solidFill>
              <a:prstDash val="solid"/>
            </a:ln>
          </spPr>
          <marker>
            <symbol val="none"/>
            <spPr>
              <a:ln xmlns:a="http://schemas.openxmlformats.org/drawingml/2006/main">
                <a:prstDash val="solid"/>
              </a:ln>
            </spPr>
          </marker>
          <xVal>
            <numRef>
              <f>'Geo Indirect'!$EC$3:$EC$4</f>
            </numRef>
          </xVal>
          <yVal>
            <numRef>
              <f>'Geo Indirect'!$ED$3:$ED$4</f>
            </numRef>
          </yVal>
          <smooth val="0"/>
        </ser>
        <ser>
          <idx val="45"/>
          <order val="45"/>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 Indirect'!$EF$3:$EF$4</f>
            </numRef>
          </xVal>
          <yVal>
            <numRef>
              <f>'Geo Indirect'!$EG$3:$EG$4</f>
            </numRef>
          </yVal>
          <smooth val="0"/>
        </ser>
        <ser>
          <idx val="46"/>
          <order val="46"/>
          <tx>
            <strRef>
              <f>'Geo Indirect'!$EI$2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 Indirect'!$EI$3</f>
            </numRef>
          </xVal>
          <yVal>
            <numRef>
              <f>'Geo Indirect'!$EJ$3</f>
            </numRef>
          </yVal>
          <smooth val="0"/>
        </ser>
        <ser>
          <idx val="47"/>
          <order val="47"/>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 Indirect'!$EL$3:$EL$4</f>
            </numRef>
          </xVal>
          <yVal>
            <numRef>
              <f>'Geo Indirect'!$EM$3:$EM$4</f>
            </numRef>
          </yVal>
          <smooth val="0"/>
        </ser>
        <ser>
          <idx val="48"/>
          <order val="48"/>
          <tx>
            <strRef>
              <f>'Geo Indirect'!$EO$2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 Indirect'!$EO$3</f>
            </numRef>
          </xVal>
          <yVal>
            <numRef>
              <f>'Geo Indirect'!$EP$3</f>
            </numRef>
          </yVal>
          <smooth val="0"/>
        </ser>
        <ser>
          <idx val="49"/>
          <order val="49"/>
          <tx>
            <strRef>
              <f>'Geo Indirect'!$ER$2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b"/>
            <showLegendKey val="0"/>
            <showVal val="0"/>
            <showCatName val="0"/>
            <showSerName val="1"/>
            <showPercent val="0"/>
          </dLbls>
          <xVal>
            <numRef>
              <f>'Geo Indirect'!$ER$3</f>
            </numRef>
          </xVal>
          <yVal>
            <numRef>
              <f>'Geo Indirect'!$ES$3</f>
            </numRef>
          </yVal>
          <smooth val="0"/>
        </ser>
        <ser>
          <idx val="50"/>
          <order val="50"/>
          <tx>
            <strRef>
              <f>'Geo Indirect'!$EU$2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l"/>
            <showLegendKey val="0"/>
            <showVal val="0"/>
            <showCatName val="0"/>
            <showSerName val="1"/>
            <showPercent val="0"/>
          </dLbls>
          <xVal>
            <numRef>
              <f>'Geo Indirect'!$EU$3</f>
            </numRef>
          </xVal>
          <yVal>
            <numRef>
              <f>'Geo Indirect'!$EV$3</f>
            </numRef>
          </yVal>
          <smooth val="0"/>
        </ser>
        <ser>
          <idx val="51"/>
          <order val="51"/>
          <tx>
            <strRef>
              <f>'Geo Indirect'!$EX$2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t"/>
            <showLegendKey val="0"/>
            <showVal val="0"/>
            <showCatName val="0"/>
            <showSerName val="1"/>
            <showPercent val="0"/>
          </dLbls>
          <xVal>
            <numRef>
              <f>'Geo Indirect'!$EX$3</f>
            </numRef>
          </xVal>
          <yVal>
            <numRef>
              <f>'Geo Indirect'!$EY$3</f>
            </numRef>
          </yVal>
          <smooth val="0"/>
        </ser>
        <ser>
          <idx val="52"/>
          <order val="52"/>
          <tx>
            <strRef>
              <f>'Geo Indirect'!$FA$2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r"/>
            <showLegendKey val="0"/>
            <showVal val="0"/>
            <showCatName val="0"/>
            <showSerName val="1"/>
            <showPercent val="0"/>
          </dLbls>
          <xVal>
            <numRef>
              <f>'Geo Indirect'!$FA$3</f>
            </numRef>
          </xVal>
          <yVal>
            <numRef>
              <f>'Geo Indirect'!$FB$3</f>
            </numRef>
          </yVal>
          <smooth val="0"/>
        </ser>
        <ser>
          <idx val="53"/>
          <order val="53"/>
          <tx>
            <v>frame</v>
          </tx>
          <spPr>
            <a:ln xmlns:a="http://schemas.openxmlformats.org/drawingml/2006/main">
              <a:noFill/>
              <a:prstDash val="solid"/>
            </a:ln>
          </spPr>
          <marker>
            <symbol val="none"/>
            <spPr>
              <a:ln xmlns:a="http://schemas.openxmlformats.org/drawingml/2006/main">
                <a:prstDash val="solid"/>
              </a:ln>
            </spPr>
          </marker>
          <xVal>
            <numRef>
              <f>'Geo Indirect'!$FD$3:$FD$4</f>
            </numRef>
          </xVal>
          <yVal>
            <numRef>
              <f>'Geo Indirect'!$FE$3:$FE$4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_rels/drawing3.xml.rels><Relationships xmlns="http://schemas.openxmlformats.org/package/2006/relationships"><Relationship Type="http://schemas.openxmlformats.org/officeDocument/2006/relationships/chart" Target="/xl/charts/chart2.xml" Id="rId1"/><Relationship Type="http://schemas.openxmlformats.org/officeDocument/2006/relationships/image" Target="/xl/media/image3.png" Id="rId2"/></Relationships>
</file>

<file path=xl/drawings/_rels/drawing4.xml.rels><Relationships xmlns="http://schemas.openxmlformats.org/package/2006/relationships"><Relationship Type="http://schemas.openxmlformats.org/officeDocument/2006/relationships/chart" Target="/xl/charts/chart3.xml" Id="rId1"/><Relationship Type="http://schemas.openxmlformats.org/officeDocument/2006/relationships/image" Target="/xl/media/image4.png" Id="rId2"/></Relationships>
</file>

<file path=xl/drawings/_rels/drawing5.xml.rels><Relationships xmlns="http://schemas.openxmlformats.org/package/2006/relationships"><Relationship Type="http://schemas.openxmlformats.org/officeDocument/2006/relationships/chart" Target="/xl/charts/chart4.xml" Id="rId1"/><Relationship Type="http://schemas.openxmlformats.org/officeDocument/2006/relationships/image" Target="/xl/media/image5.png" Id="rId2"/></Relationships>
</file>

<file path=xl/drawings/_rels/drawing6.xml.rels><Relationships xmlns="http://schemas.openxmlformats.org/package/2006/relationships"><Relationship Type="http://schemas.openxmlformats.org/officeDocument/2006/relationships/chart" Target="/xl/charts/chart5.xml" Id="rId1"/><Relationship Type="http://schemas.openxmlformats.org/officeDocument/2006/relationships/image" Target="/xl/media/image6.png" Id="rId2"/></Relationships>
</file>

<file path=xl/drawings/_rels/drawing7.xml.rels><Relationships xmlns="http://schemas.openxmlformats.org/package/2006/relationships"><Relationship Type="http://schemas.openxmlformats.org/officeDocument/2006/relationships/chart" Target="/xl/charts/chart6.xml" Id="rId1"/><Relationship Type="http://schemas.openxmlformats.org/officeDocument/2006/relationships/image" Target="/xl/media/image7.png" Id="rId2"/></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43</row>
      <rowOff>0</rowOff>
    </from>
    <ext cx="4185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2</col>
      <colOff>0</colOff>
      <row>48</row>
      <rowOff>0</rowOff>
    </from>
    <ext cx="5580000" cy="36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2</col>
      <colOff>0</colOff>
      <row>55</row>
      <rowOff>0</rowOff>
    </from>
    <ext cx="5580000" cy="36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2</col>
      <colOff>0</colOff>
      <row>37</row>
      <rowOff>0</rowOff>
    </from>
    <ext cx="4464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6.xml><?xml version="1.0" encoding="utf-8"?>
<wsDr xmlns="http://schemas.openxmlformats.org/drawingml/2006/spreadsheetDrawing">
  <oneCellAnchor>
    <from>
      <col>2</col>
      <colOff>0</colOff>
      <row>35</row>
      <rowOff>0</rowOff>
    </from>
    <ext cx="4743000" cy="30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7.xml><?xml version="1.0" encoding="utf-8"?>
<wsDr xmlns="http://schemas.openxmlformats.org/drawingml/2006/spreadsheetDrawing">
  <oneCellAnchor>
    <from>
      <col>2</col>
      <colOff>0</colOff>
      <row>36</row>
      <rowOff>0</rowOff>
    </from>
    <ext cx="5022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4.xml.rels><Relationships xmlns="http://schemas.openxmlformats.org/package/2006/relationships"><Relationship Type="http://schemas.openxmlformats.org/officeDocument/2006/relationships/drawing" Target="/xl/drawings/drawing3.xml" Id="rId1"/></Relationships>
</file>

<file path=xl/worksheets/_rels/sheet6.xml.rels><Relationships xmlns="http://schemas.openxmlformats.org/package/2006/relationships"><Relationship Type="http://schemas.openxmlformats.org/officeDocument/2006/relationships/drawing" Target="/xl/drawings/drawing4.xml" Id="rId1"/></Relationships>
</file>

<file path=xl/worksheets/_rels/sheet8.xml.rels><Relationships xmlns="http://schemas.openxmlformats.org/package/2006/relationships"><Relationship Type="http://schemas.openxmlformats.org/officeDocument/2006/relationships/drawing" Target="/xl/drawings/drawing5.xml" Id="rId1"/></Relationships>
</file>

<file path=xl/worksheets/_rels/sheet10.xml.rels><Relationships xmlns="http://schemas.openxmlformats.org/package/2006/relationships"><Relationship Type="http://schemas.openxmlformats.org/officeDocument/2006/relationships/drawing" Target="/xl/drawings/drawing6.xml" Id="rId1"/></Relationships>
</file>

<file path=xl/worksheets/_rels/sheet13.xml.rels><Relationships xmlns="http://schemas.openxmlformats.org/package/2006/relationships"><Relationship Type="http://schemas.openxmlformats.org/officeDocument/2006/relationships/drawing" Target="/xl/drawings/drawing7.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Element design</t>
        </is>
      </c>
    </row>
    <row r="8" ht="20" customHeight="1">
      <c r="B8" s="4" t="inlineStr">
        <is>
          <t>Slabs, beams, shear, columns, indirect supports  ·  EN 1992-1-1  ·  UK NA / PN-EN</t>
        </is>
      </c>
    </row>
    <row r="10">
      <c r="B10" s="5" t="inlineStr">
        <is>
          <t>Reference</t>
        </is>
      </c>
      <c r="C10" s="6" t="inlineStr">
        <is>
          <t>NAE-RC-040  ·  version 1.0</t>
        </is>
      </c>
    </row>
    <row r="11" ht="31" customHeight="1">
      <c r="B11" s="5" t="inlineStr">
        <is>
          <t>Standards</t>
        </is>
      </c>
      <c r="C11" s="7" t="inlineStr">
        <is>
          <t>BS EN 1992-1-1:2004 with UK NA  ·  PN-EN 1992-1-1:2008 with Polish NA (NDP sources listed on the NDP sheet)</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62" customHeight="1">
      <c r="B16" s="7" t="inlineStr">
        <is>
          <t>Six quick designs in one workbook, one tab each: a slab section, a rectangular beam, a T or L beam (bending with the x/d limit of the redistribution chosen, As,min, As,max, bars provided, deflection by span / depth and cracking by bar size or spacing), shear in a beam or slab, a symmetric rectangular column under N and M, and the hanger links of an indirect support.</t>
        </is>
      </c>
    </row>
    <row r="18" ht="20" customHeight="1">
      <c r="B18" s="8" t="inlineStr">
        <is>
          <t>How to use</t>
        </is>
      </c>
      <c r="C18" s="9" t="n"/>
    </row>
    <row r="19" ht="47.5" customHeight="1">
      <c r="B19" s="7" t="inlineStr">
        <is>
          <t>1.  Pick a tab: Slab, Rect beam, Tee beam, Shear, Column or Indirect.
2.  Select the National Annex on that tab and fill in its shaded cells; each tab is independent.
3.  Read the Results block; every step below it quotes its clause. Print or save as PDF for your calculation package.</t>
        </is>
      </c>
    </row>
    <row r="21" ht="20" customHeight="1">
      <c r="B21" s="8" t="inlineStr">
        <is>
          <t>Scope and limitations</t>
        </is>
      </c>
      <c r="C21" s="9" t="n"/>
    </row>
    <row r="22" ht="236" customHeight="1">
      <c r="B22" s="7" t="inlineStr">
        <is>
          <t>Slab, Rect beam, Tee beam: one section with the design moment entered (hogging at a support or cantilever: tension at the top; a T beam then works as its web). Rectangular block λ = 0.8, η = 1 for bending, concrete up to C50/60, fyk 400 – 500 MPa. x/d ≤ min((δ − k1)/k2; εcu/(εcu + εyd)) (5.5(4)), K′ from it; above K′ beams take compression steel at fsc from the strain diagram (|fsc| ≤ fyd) net of the concrete it displaces, slabs fail. With δ &lt; 1 the bars provided must keep x ≤ x_lim. As,min (9.1N) with bt the web (flange in compression) or the mean width of the gross tension zone (flange in tension); As,max 0.04 Ac. Deflection by (7.16) with K from the section location (Table 7.4N), ρ on bd (flanged: the concrete above the tension steel, Concise EC2 10.5.2), 0.8 for beff/bw &gt; 3, 7/l (flat slab 8.5/l) with brittle partitions, 310/σs with σs = fyd (gk + ψ2 qk)/(γG gk + γQ qk) As,req/As,prov/δ, UK NA: 310/σs ≤ 1.5 and l/d ≤ 40 K. ψ2 from EN 1990 Table A1.1 (the same in both annexes). Cracking by Table 7.2N (bar size adjusted by (7.6N), kc = 0.4, hcr of the gross section) or Table 7.3N at the same σs, linear between rows. Shear: VRd,c (6.2), variable strut 1 ≤ cot θ ≤ 2.5 (UK) or 2.0 (PL), vertical links, σcp = 0; VEd at d for uniform load (6.2.1(8)). Column: two symmetric layers of bars, parabola-rectangle concrete (3.1.7(1)) under the strain limits of 6.1(5) for every neutral axis depth, steel found by bisection on the area with the neutral axis solved by strain compatibility for each trial; MEd includes second order effects. Indirect support: hanger links for the whole reaction within the zones of Figure 9.7. Torsion, fire, flange shear (RC-031), slenderness (RC-008, RC-037) and crack widths by calculation (RC-003) are separate sheets.
The second-generation EN 1992-1-1:2023 is not yet implemented.</t>
        </is>
      </c>
    </row>
    <row r="24" ht="20" customHeight="1">
      <c r="B24" s="8" t="inlineStr">
        <is>
          <t>Further reading and independent cross-check</t>
        </is>
      </c>
      <c r="C24" s="9" t="n"/>
    </row>
    <row r="25" ht="105.5" customHeight="1">
      <c r="B25" s="10" t="inlineStr">
        <is>
          <t>•  The Concrete Centre, How to design concrete structures using Eurocode 2: Beams, Slabs, Columns, Deflection, Crack control.
•  The Concrete Centre, Concise Eurocode 2.
•  The Concrete Centre, RC Spreadsheets v4, TCC11 Element Design (licensed product) can be used as an independent cross-check.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&amp;K8A8A8ANAE-RC-040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128"/>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Element design  ·  Slab</t>
        </is>
      </c>
      <c r="H2" s="1" t="n"/>
    </row>
    <row r="3" ht="16" customHeight="1">
      <c r="A3" s="1" t="n"/>
      <c r="B3" s="1" t="n"/>
      <c r="C3" s="15" t="inlineStr">
        <is>
          <t>NAE-RC-040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section</t>
        </is>
      </c>
      <c r="C10" s="21" t="n"/>
      <c r="D10" s="21" t="n"/>
      <c r="E10" s="21" t="n"/>
      <c r="F10" s="21" t="n"/>
      <c r="G10" s="22" t="inlineStr">
        <is>
          <t>Shaded cells only  ·  per metre width</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3.2.2</t>
        </is>
      </c>
      <c r="C13" s="24" t="inlineStr">
        <is>
          <t>Reinforcement characteristic yield strength  (≤ 500 MPa)</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6" t="inlineStr">
        <is>
          <t>Annex C</t>
        </is>
      </c>
      <c r="C14" s="24" t="inlineStr">
        <is>
          <t>Reinforcement ductility class</t>
        </is>
      </c>
      <c r="D14" s="23" t="n"/>
      <c r="E14" s="25" t="inlineStr">
        <is>
          <t>B</t>
        </is>
      </c>
      <c r="F14" s="23" t="n"/>
      <c r="G14" s="26" t="inlineStr">
        <is>
          <t>δ ≥ 0.7 (B, C) / 0.8 (A)</t>
        </is>
      </c>
    </row>
    <row r="15" ht="17" customHeight="1">
      <c r="B15" s="26" t="inlineStr">
        <is>
          <t>8.2(2)</t>
        </is>
      </c>
      <c r="C15" s="24" t="inlineStr">
        <is>
          <t>Maximum aggregate size</t>
        </is>
      </c>
      <c r="D15" s="27" t="inlineStr">
        <is>
          <r>
            <rPr>
              <rFont val="Calibri"/>
              <i val="1"/>
              <color rgb="002B2B2B"/>
              <sz val="10"/>
            </rPr>
            <t>d</t>
          </r>
          <r>
            <rPr>
              <rFont val="Calibri"/>
              <i val="1"/>
              <color rgb="002B2B2B"/>
              <sz val="10"/>
              <vertAlign val="subscript"/>
            </rPr>
            <t>g</t>
          </r>
        </is>
      </c>
      <c r="E15" s="25" t="n">
        <v>20</v>
      </c>
      <c r="F15" s="28" t="inlineStr">
        <is>
          <t>mm</t>
        </is>
      </c>
      <c r="G15" s="23" t="n"/>
    </row>
    <row r="16" ht="17" customHeight="1">
      <c r="B16" s="26" t="inlineStr">
        <is>
          <t>Table 7.4N</t>
        </is>
      </c>
      <c r="C16" s="24" t="inlineStr">
        <is>
          <t>Section location</t>
        </is>
      </c>
      <c r="D16" s="23" t="n"/>
      <c r="E16" s="25" t="inlineStr">
        <is>
          <t>End span</t>
        </is>
      </c>
      <c r="F16" s="23" t="n"/>
      <c r="G16" s="26" t="inlineStr">
        <is>
          <t>Support: hogging, no l/d</t>
        </is>
      </c>
    </row>
    <row r="17" ht="17" customHeight="1">
      <c r="B17" s="23" t="n"/>
      <c r="C17" s="24" t="inlineStr">
        <is>
          <t>Slab thickness</t>
        </is>
      </c>
      <c r="D17" s="27" t="inlineStr">
        <is>
          <r>
            <rPr>
              <rFont val="Calibri"/>
              <i val="1"/>
              <color rgb="002B2B2B"/>
              <sz val="10"/>
            </rPr>
            <t>h</t>
          </r>
        </is>
      </c>
      <c r="E17" s="25" t="n">
        <v>250</v>
      </c>
      <c r="F17" s="28" t="inlineStr">
        <is>
          <t>mm</t>
        </is>
      </c>
      <c r="G17" s="23" t="n"/>
    </row>
    <row r="18" ht="17" customHeight="1">
      <c r="B18" s="26" t="inlineStr">
        <is>
          <t>4.4.1</t>
        </is>
      </c>
      <c r="C18" s="24" t="inlineStr">
        <is>
          <t>Cover to the main bars</t>
        </is>
      </c>
      <c r="D18" s="27" t="inlineStr">
        <is>
          <r>
            <rPr>
              <rFont val="Calibri"/>
              <i val="1"/>
              <color rgb="002B2B2B"/>
              <sz val="10"/>
            </rPr>
            <t>c</t>
          </r>
        </is>
      </c>
      <c r="E18" s="25" t="n">
        <v>25</v>
      </c>
      <c r="F18" s="28" t="inlineStr">
        <is>
          <t>mm</t>
        </is>
      </c>
      <c r="G18" s="26" t="inlineStr">
        <is>
          <t>Inner layer: add the outer bar</t>
        </is>
      </c>
    </row>
    <row r="19" ht="17" customHeight="1">
      <c r="B19" s="23" t="n"/>
      <c r="C19" s="24" t="inlineStr">
        <is>
          <t>Main bars: diameter</t>
        </is>
      </c>
      <c r="D19" s="27" t="inlineStr">
        <is>
          <r>
            <rPr>
              <rFont val="Calibri"/>
              <i val="1"/>
              <color rgb="002B2B2B"/>
              <sz val="10"/>
            </rPr>
            <t>φ</t>
          </r>
        </is>
      </c>
      <c r="E19" s="25" t="n">
        <v>12</v>
      </c>
      <c r="F19" s="28" t="inlineStr">
        <is>
          <t>mm</t>
        </is>
      </c>
      <c r="G19" s="23" t="n"/>
    </row>
    <row r="20" ht="17" customHeight="1">
      <c r="B20" s="23" t="n"/>
      <c r="C20" s="24" t="inlineStr">
        <is>
          <t>Main bars: spacing</t>
        </is>
      </c>
      <c r="D20" s="27" t="inlineStr">
        <is>
          <r>
            <rPr>
              <rFont val="Calibri"/>
              <i val="1"/>
              <color rgb="002B2B2B"/>
              <sz val="10"/>
            </rPr>
            <t>s</t>
          </r>
        </is>
      </c>
      <c r="E20" s="25" t="n">
        <v>150</v>
      </c>
      <c r="F20" s="28" t="inlineStr">
        <is>
          <t>mm</t>
        </is>
      </c>
      <c r="G20" s="23" t="n"/>
    </row>
    <row r="22" ht="22" customHeight="1">
      <c r="B22" s="20" t="inlineStr">
        <is>
          <t>Inputs  ·  actions and serviceability</t>
        </is>
      </c>
      <c r="C22" s="21" t="n"/>
      <c r="D22" s="21" t="n"/>
      <c r="E22" s="21" t="n"/>
      <c r="F22" s="21" t="n"/>
      <c r="G22" s="22" t="inlineStr">
        <is>
          <t>ULS moment;  characteristic loads for σs</t>
        </is>
      </c>
    </row>
    <row r="23" ht="17" customHeight="1">
      <c r="B23" s="23" t="n"/>
      <c r="C23" s="24" t="inlineStr">
        <is>
          <t>Design moment at the section  (support, cantilever: hogging)</t>
        </is>
      </c>
      <c r="D23" s="27" t="inlineStr">
        <is>
          <r>
            <rPr>
              <rFont val="Calibri"/>
              <i val="1"/>
              <color rgb="002B2B2B"/>
              <sz val="10"/>
            </rPr>
            <t>M</t>
          </r>
          <r>
            <rPr>
              <rFont val="Calibri"/>
              <i val="1"/>
              <color rgb="002B2B2B"/>
              <sz val="10"/>
              <vertAlign val="subscript"/>
            </rPr>
            <t>Ed</t>
          </r>
        </is>
      </c>
      <c r="E23" s="29" t="n">
        <v>40</v>
      </c>
      <c r="F23" s="28" t="inlineStr">
        <is>
          <t>kNm/m</t>
        </is>
      </c>
      <c r="G23" s="23" t="n"/>
    </row>
    <row r="24" ht="17" customHeight="1">
      <c r="B24" s="26" t="inlineStr">
        <is>
          <t>5.5(4)</t>
        </is>
      </c>
      <c r="C24" s="24" t="inlineStr">
        <is>
          <t>Moment redistribution ratio  (1.0 = none)</t>
        </is>
      </c>
      <c r="D24" s="27" t="inlineStr">
        <is>
          <r>
            <rPr>
              <rFont val="Calibri"/>
              <i val="1"/>
              <color rgb="002B2B2B"/>
              <sz val="10"/>
            </rPr>
            <t>δ</t>
          </r>
        </is>
      </c>
      <c r="E24" s="30" t="n">
        <v>1</v>
      </c>
      <c r="F24" s="23" t="n"/>
      <c r="G24" s="23" t="n"/>
    </row>
    <row r="25" ht="17" customHeight="1">
      <c r="B25" s="26" t="inlineStr">
        <is>
          <t>7.4.2</t>
        </is>
      </c>
      <c r="C25" s="24" t="inlineStr">
        <is>
          <t>Span for l/d  (cantilever: its length;  flat slab: the longer span)</t>
        </is>
      </c>
      <c r="D25" s="27" t="inlineStr">
        <is>
          <r>
            <rPr>
              <rFont val="Calibri"/>
              <i val="1"/>
              <color rgb="002B2B2B"/>
              <sz val="10"/>
            </rPr>
            <t>l</t>
          </r>
        </is>
      </c>
      <c r="E25" s="30" t="n">
        <v>5</v>
      </c>
      <c r="F25" s="28" t="inlineStr">
        <is>
          <t>m</t>
        </is>
      </c>
      <c r="G25" s="23" t="n"/>
    </row>
    <row r="26" ht="17" customHeight="1">
      <c r="B26" s="23" t="n"/>
      <c r="C26" s="24" t="inlineStr">
        <is>
          <t>Characteristic permanent load  (any unit: only the ratio is used)</t>
        </is>
      </c>
      <c r="D26" s="27" t="inlineStr">
        <is>
          <r>
            <rPr>
              <rFont val="Calibri"/>
              <i val="1"/>
              <color rgb="002B2B2B"/>
              <sz val="10"/>
            </rPr>
            <t>g</t>
          </r>
          <r>
            <rPr>
              <rFont val="Calibri"/>
              <i val="1"/>
              <color rgb="002B2B2B"/>
              <sz val="10"/>
              <vertAlign val="subscript"/>
            </rPr>
            <t>k</t>
          </r>
        </is>
      </c>
      <c r="E26" s="30" t="n">
        <v>5</v>
      </c>
      <c r="F26" s="23" t="n"/>
      <c r="G26" s="23" t="n"/>
    </row>
    <row r="27" ht="17" customHeight="1">
      <c r="B27" s="23" t="n"/>
      <c r="C27" s="24" t="inlineStr">
        <is>
          <t>Characteristic variable load</t>
        </is>
      </c>
      <c r="D27" s="27" t="inlineStr">
        <is>
          <r>
            <rPr>
              <rFont val="Calibri"/>
              <i val="1"/>
              <color rgb="002B2B2B"/>
              <sz val="10"/>
            </rPr>
            <t>q</t>
          </r>
          <r>
            <rPr>
              <rFont val="Calibri"/>
              <i val="1"/>
              <color rgb="002B2B2B"/>
              <sz val="10"/>
              <vertAlign val="subscript"/>
            </rPr>
            <t>k</t>
          </r>
        </is>
      </c>
      <c r="E27" s="30" t="n">
        <v>3</v>
      </c>
      <c r="F27" s="23" t="n"/>
      <c r="G27" s="23" t="n"/>
    </row>
    <row r="28" ht="17" customHeight="1">
      <c r="B28" s="26" t="inlineStr">
        <is>
          <t>EN 1990 A1.2(B)</t>
        </is>
      </c>
      <c r="C28" s="24" t="inlineStr">
        <is>
          <t>Partial factor, permanent</t>
        </is>
      </c>
      <c r="D28" s="27" t="inlineStr">
        <is>
          <r>
            <rPr>
              <rFont val="Calibri"/>
              <i val="1"/>
              <color rgb="002B2B2B"/>
              <sz val="10"/>
            </rPr>
            <t>γ</t>
          </r>
          <r>
            <rPr>
              <rFont val="Calibri"/>
              <i val="1"/>
              <color rgb="002B2B2B"/>
              <sz val="10"/>
              <vertAlign val="subscript"/>
            </rPr>
            <t>G</t>
          </r>
        </is>
      </c>
      <c r="E28" s="30" t="n">
        <v>1.35</v>
      </c>
      <c r="F28" s="23" t="n"/>
      <c r="G28" s="23" t="n"/>
    </row>
    <row r="29" ht="17" customHeight="1">
      <c r="B29" s="26" t="inlineStr">
        <is>
          <t>EN 1990 A1.2(B)</t>
        </is>
      </c>
      <c r="C29" s="24" t="inlineStr">
        <is>
          <t>Partial factor, variable</t>
        </is>
      </c>
      <c r="D29" s="27" t="inlineStr">
        <is>
          <r>
            <rPr>
              <rFont val="Calibri"/>
              <i val="1"/>
              <color rgb="002B2B2B"/>
              <sz val="10"/>
            </rPr>
            <t>γ</t>
          </r>
          <r>
            <rPr>
              <rFont val="Calibri"/>
              <i val="1"/>
              <color rgb="002B2B2B"/>
              <sz val="10"/>
              <vertAlign val="subscript"/>
            </rPr>
            <t>Q</t>
          </r>
        </is>
      </c>
      <c r="E29" s="30" t="n">
        <v>1.5</v>
      </c>
      <c r="F29" s="23" t="n"/>
      <c r="G29" s="23" t="n"/>
    </row>
    <row r="30" ht="17" customHeight="1">
      <c r="B30" s="26" t="inlineStr">
        <is>
          <t>EN 1990 A1.1</t>
        </is>
      </c>
      <c r="C30" s="24" t="inlineStr">
        <is>
          <t>Category of use  (gives ψ2)</t>
        </is>
      </c>
      <c r="D30" s="23" t="n"/>
      <c r="E30" s="25" t="inlineStr">
        <is>
          <t>B  office</t>
        </is>
      </c>
      <c r="F30" s="23" t="n"/>
      <c r="G30" s="23" t="n"/>
    </row>
    <row r="31" ht="17" customHeight="1">
      <c r="B31" s="23" t="n"/>
      <c r="C31" s="24" t="inlineStr">
        <is>
          <t>ψ2  (category Other only)</t>
        </is>
      </c>
      <c r="D31" s="27" t="inlineStr">
        <is>
          <r>
            <rPr>
              <rFont val="Calibri"/>
              <i val="1"/>
              <color rgb="002B2B2B"/>
              <sz val="10"/>
            </rPr>
            <t>ψ</t>
          </r>
          <r>
            <rPr>
              <rFont val="Calibri"/>
              <i val="1"/>
              <color rgb="002B2B2B"/>
              <sz val="10"/>
              <vertAlign val="subscript"/>
            </rPr>
            <t>2</t>
          </r>
        </is>
      </c>
      <c r="E31" s="30" t="n">
        <v>0.3</v>
      </c>
      <c r="F31" s="23" t="n"/>
      <c r="G31" s="23" t="n"/>
    </row>
    <row r="32" ht="17" customHeight="1">
      <c r="B32" s="26" t="inlineStr">
        <is>
          <t>7.4.2(2)</t>
        </is>
      </c>
      <c r="C32" s="24" t="inlineStr">
        <is>
          <t>Brittle partitions supported?</t>
        </is>
      </c>
      <c r="D32" s="23" t="n"/>
      <c r="E32" s="25" t="inlineStr">
        <is>
          <t>No</t>
        </is>
      </c>
      <c r="F32" s="23" t="n"/>
      <c r="G32" s="23" t="n"/>
    </row>
    <row r="33" ht="17" customHeight="1">
      <c r="B33" s="26" t="inlineStr">
        <is>
          <t>7.3.1(5)</t>
        </is>
      </c>
      <c r="C33" s="24" t="inlineStr">
        <is>
          <t>Limiting crack width</t>
        </is>
      </c>
      <c r="D33" s="27" t="inlineStr">
        <is>
          <r>
            <rPr>
              <rFont val="Calibri"/>
              <i val="1"/>
              <color rgb="002B2B2B"/>
              <sz val="10"/>
            </rPr>
            <t>w</t>
          </r>
          <r>
            <rPr>
              <rFont val="Calibri"/>
              <i val="1"/>
              <color rgb="002B2B2B"/>
              <sz val="10"/>
              <vertAlign val="subscript"/>
            </rPr>
            <t>max</t>
          </r>
        </is>
      </c>
      <c r="E33" s="25" t="n">
        <v>0.3</v>
      </c>
      <c r="F33" s="28" t="inlineStr">
        <is>
          <t>mm</t>
        </is>
      </c>
      <c r="G33" s="26" t="inlineStr">
        <is>
          <t>UK NA Table NA.4; Table 7.1N</t>
        </is>
      </c>
    </row>
    <row r="34" ht="17" customHeight="1">
      <c r="B34" s="23" t="n"/>
      <c r="C34" s="24" t="inlineStr">
        <is>
          <t>Inputs valid and consistent</t>
        </is>
      </c>
      <c r="D34" s="23" t="n"/>
      <c r="E34" s="9" t="n"/>
      <c r="F34" s="23" t="n"/>
      <c r="G34" s="31">
        <f>IF(inputs_ok,"OK","FAIL")</f>
        <v/>
      </c>
    </row>
    <row r="36" ht="22" customHeight="1">
      <c r="B36" s="20" t="inlineStr">
        <is>
          <t>Results</t>
        </is>
      </c>
      <c r="C36" s="21" t="n"/>
      <c r="D36" s="21" t="n"/>
      <c r="E36" s="21" t="n"/>
      <c r="F36" s="21" t="n"/>
      <c r="G36" s="21" t="n"/>
    </row>
    <row r="37" ht="26" customHeight="1">
      <c r="B37" s="32" t="n"/>
      <c r="C37" s="33" t="inlineStr">
        <is>
          <t>Bending  max(As,req; As,min) / As,prov  (no compression steel in a slab)</t>
        </is>
      </c>
      <c r="D37" s="34" t="inlineStr">
        <is>
          <r>
            <rPr>
              <rFont val="Calibri"/>
              <i val="1"/>
              <color rgb="002B2B2B"/>
              <sz val="11"/>
            </rPr>
            <t>A</t>
          </r>
          <r>
            <rPr>
              <rFont val="Calibri"/>
              <i val="1"/>
              <color rgb="002B2B2B"/>
              <sz val="11"/>
              <vertAlign val="subscript"/>
            </rPr>
            <t>s</t>
          </r>
        </is>
      </c>
      <c r="E37" s="35">
        <f>IF(inputs_ok,IFERROR(MAX(A_s1req,A_smin)/A_s1prov,"K &gt; K′"),"–")</f>
        <v/>
      </c>
      <c r="F37" s="36" t="inlineStr"/>
      <c r="G37" s="37">
        <f>IF(NOT(inputs_ok),"FAIL",IF(bend_ok,"OK","FAIL"))</f>
        <v/>
      </c>
    </row>
    <row r="38" ht="26" customHeight="1">
      <c r="B38" s="32" t="n"/>
      <c r="C38" s="33" t="inlineStr">
        <is>
          <t>Deflection  actual l/d ÷ limiting l/d</t>
        </is>
      </c>
      <c r="D38" s="32" t="n"/>
      <c r="E38" s="35">
        <f>IF(inputs_ok,IF(span,IFERROR(ld_act/ld_lim,"–"),"n/a"),"–")</f>
        <v/>
      </c>
      <c r="F38" s="36" t="inlineStr"/>
      <c r="G38" s="37">
        <f>IF(NOT(inputs_ok),"FAIL",IF(NOT(span),"n/a",IF(defl_ok,"OK","FAIL")))</f>
        <v/>
      </c>
    </row>
    <row r="39" ht="26" customHeight="1">
      <c r="B39" s="32" t="n"/>
      <c r="C39" s="33" t="inlineStr">
        <is>
          <t>Cracking  (Table 7.2N bar size or Table 7.3N spacing)  ·  h ≤ 200: 7.3.3(1)</t>
        </is>
      </c>
      <c r="D39" s="34" t="inlineStr">
        <is>
          <r>
            <rPr>
              <rFont val="Calibri"/>
              <i val="1"/>
              <color rgb="002B2B2B"/>
              <sz val="11"/>
            </rPr>
            <t>σ</t>
          </r>
          <r>
            <rPr>
              <rFont val="Calibri"/>
              <i val="1"/>
              <color rgb="002B2B2B"/>
              <sz val="11"/>
              <vertAlign val="subscript"/>
            </rPr>
            <t>s</t>
          </r>
        </is>
      </c>
      <c r="E39" s="38">
        <f>IF(inputs_ok,IFERROR(sig_cr,"–"),"–")</f>
        <v/>
      </c>
      <c r="F39" s="36" t="inlineStr">
        <is>
          <t>MPa</t>
        </is>
      </c>
      <c r="G39" s="37">
        <f>IF(NOT(inputs_ok),"FAIL",IF(cr_exempt,"OK",IF(OR(size_ok,spac_ok),"OK","FAIL")))</f>
        <v/>
      </c>
    </row>
    <row r="40" ht="26" customHeight="1">
      <c r="B40" s="32" t="n"/>
      <c r="C40" s="33" t="inlineStr">
        <is>
          <t>Detailing  (spacing, clear gap)</t>
        </is>
      </c>
      <c r="D40" s="32" t="n"/>
      <c r="E40" s="38">
        <f>IF(inputs_ok,s_bar,"–")</f>
        <v/>
      </c>
      <c r="F40" s="36" t="inlineStr">
        <is>
          <t>mm</t>
        </is>
      </c>
      <c r="G40" s="37">
        <f>IF(NOT(inputs_ok),"FAIL",IF(det_ok,"OK","FAIL"))</f>
        <v/>
      </c>
    </row>
    <row r="41" ht="26" customHeight="1">
      <c r="B41" s="32" t="n"/>
      <c r="C41" s="33" t="inlineStr">
        <is>
          <t>Tension reinforcement  required / provided</t>
        </is>
      </c>
      <c r="D41" s="32" t="n"/>
      <c r="E41" s="39">
        <f>IF(inputs_ok,IFERROR(TEXT(MAX(A_s1req,A_smin),"0")&amp;" / "&amp;TEXT(A_s1prov,"0"),"–"),"–")</f>
        <v/>
      </c>
      <c r="F41" s="36" t="inlineStr">
        <is>
          <t>mm²/m</t>
        </is>
      </c>
      <c r="G41" s="32" t="n"/>
    </row>
    <row r="42"/>
    <row r="43">
      <c r="B43" s="40" t="inlineStr">
        <is>
          <t>Your section, to scale  ·  tension face at the bottom in a span, at the top at a support or cantilever  ·  neutral axis (dashed)</t>
        </is>
      </c>
    </row>
    <row r="44"/>
    <row r="45"/>
    <row r="46"/>
    <row r="47"/>
    <row r="48"/>
    <row r="49"/>
    <row r="50"/>
    <row r="51"/>
    <row r="52"/>
    <row r="53"/>
    <row r="54"/>
    <row r="55"/>
    <row r="56"/>
    <row r="57"/>
    <row r="58"/>
    <row r="59"/>
    <row r="60" ht="22" customHeight="1">
      <c r="B60" s="20" t="inlineStr">
        <is>
          <t>Calculation  ·  materials and section</t>
        </is>
      </c>
      <c r="C60" s="21" t="n"/>
      <c r="D60" s="21" t="n"/>
      <c r="E60" s="21" t="n"/>
      <c r="F60" s="21" t="n"/>
      <c r="G60" s="21" t="n"/>
    </row>
    <row r="61" ht="17" customHeight="1">
      <c r="B61" s="26" t="inlineStr">
        <is>
          <t>2.4.2.4(1)</t>
        </is>
      </c>
      <c r="C61" s="24" t="inlineStr">
        <is>
          <t>Partial factor, concrete</t>
        </is>
      </c>
      <c r="D61" s="27" t="inlineStr">
        <is>
          <r>
            <rPr>
              <rFont val="Calibri"/>
              <i val="1"/>
              <color rgb="002B2B2B"/>
              <sz val="10"/>
            </rPr>
            <t>γ</t>
          </r>
          <r>
            <rPr>
              <rFont val="Calibri"/>
              <i val="1"/>
              <color rgb="002B2B2B"/>
              <sz val="10"/>
              <vertAlign val="subscript"/>
            </rPr>
            <t>c</t>
          </r>
        </is>
      </c>
      <c r="E61" s="41">
        <f>IF(inputs_ok,ndp_gamma_c,NA())</f>
        <v/>
      </c>
      <c r="F61" s="23" t="n"/>
      <c r="G61" s="26" t="inlineStr">
        <is>
          <t>NDP sheet</t>
        </is>
      </c>
    </row>
    <row r="62" ht="17" customHeight="1">
      <c r="B62" s="26" t="inlineStr">
        <is>
          <t>2.4.2.4(1)</t>
        </is>
      </c>
      <c r="C62" s="24" t="inlineStr">
        <is>
          <t>Partial factor, reinforcement</t>
        </is>
      </c>
      <c r="D62" s="27" t="inlineStr">
        <is>
          <r>
            <rPr>
              <rFont val="Calibri"/>
              <i val="1"/>
              <color rgb="002B2B2B"/>
              <sz val="10"/>
            </rPr>
            <t>γ</t>
          </r>
          <r>
            <rPr>
              <rFont val="Calibri"/>
              <i val="1"/>
              <color rgb="002B2B2B"/>
              <sz val="10"/>
              <vertAlign val="subscript"/>
            </rPr>
            <t>s</t>
          </r>
        </is>
      </c>
      <c r="E62" s="41">
        <f>IF(inputs_ok,ndp_gamma_s,NA())</f>
        <v/>
      </c>
      <c r="F62" s="23" t="n"/>
      <c r="G62" s="26" t="inlineStr">
        <is>
          <t>NDP sheet</t>
        </is>
      </c>
    </row>
    <row r="63" ht="17" customHeight="1">
      <c r="B63" s="26" t="inlineStr">
        <is>
          <t>3.1.6(1)</t>
        </is>
      </c>
      <c r="C63" s="24" t="inlineStr">
        <is>
          <t>Coefficient on compressive strength (flexure)</t>
        </is>
      </c>
      <c r="D63" s="27" t="inlineStr">
        <is>
          <r>
            <rPr>
              <rFont val="Calibri"/>
              <i val="1"/>
              <color rgb="002B2B2B"/>
              <sz val="10"/>
            </rPr>
            <t>α</t>
          </r>
          <r>
            <rPr>
              <rFont val="Calibri"/>
              <i val="1"/>
              <color rgb="002B2B2B"/>
              <sz val="10"/>
              <vertAlign val="subscript"/>
            </rPr>
            <t>cc</t>
          </r>
        </is>
      </c>
      <c r="E63" s="41">
        <f>IF(inputs_ok,ndp_alpha_cc,NA())</f>
        <v/>
      </c>
      <c r="F63" s="23" t="n"/>
      <c r="G63" s="26" t="inlineStr">
        <is>
          <t>NDP sheet</t>
        </is>
      </c>
    </row>
    <row r="64" ht="17" customHeight="1">
      <c r="B64" s="26" t="inlineStr">
        <is>
          <t>5.5(4)</t>
        </is>
      </c>
      <c r="C64" s="24" t="inlineStr">
        <is>
          <t>Coefficient for x/d limit</t>
        </is>
      </c>
      <c r="D64" s="27" t="inlineStr">
        <is>
          <r>
            <rPr>
              <rFont val="Calibri"/>
              <i val="1"/>
              <color rgb="002B2B2B"/>
              <sz val="10"/>
            </rPr>
            <t>k</t>
          </r>
          <r>
            <rPr>
              <rFont val="Calibri"/>
              <i val="1"/>
              <color rgb="002B2B2B"/>
              <sz val="10"/>
              <vertAlign val="subscript"/>
            </rPr>
            <t>1</t>
          </r>
        </is>
      </c>
      <c r="E64" s="41">
        <f>IF(inputs_ok,ndp_k1_red,NA())</f>
        <v/>
      </c>
      <c r="F64" s="23" t="n"/>
      <c r="G64" s="26" t="inlineStr">
        <is>
          <t>NDP sheet</t>
        </is>
      </c>
    </row>
    <row r="65" ht="17" customHeight="1">
      <c r="B65" s="26" t="inlineStr">
        <is>
          <t>5.5(4)</t>
        </is>
      </c>
      <c r="C65" s="24" t="inlineStr">
        <is>
          <t>Coefficient for x/d limit</t>
        </is>
      </c>
      <c r="D65" s="27" t="inlineStr">
        <is>
          <r>
            <rPr>
              <rFont val="Calibri"/>
              <i val="1"/>
              <color rgb="002B2B2B"/>
              <sz val="10"/>
            </rPr>
            <t>k</t>
          </r>
          <r>
            <rPr>
              <rFont val="Calibri"/>
              <i val="1"/>
              <color rgb="002B2B2B"/>
              <sz val="10"/>
              <vertAlign val="subscript"/>
            </rPr>
            <t>2</t>
          </r>
        </is>
      </c>
      <c r="E65" s="41">
        <f>IF(inputs_ok,ndp_k2_red,NA())</f>
        <v/>
      </c>
      <c r="F65" s="23" t="n"/>
      <c r="G65" s="26" t="inlineStr">
        <is>
          <t>NDP sheet</t>
        </is>
      </c>
    </row>
    <row r="66" ht="17" customHeight="1">
      <c r="B66" s="26" t="inlineStr">
        <is>
          <t>7.4.2(2)</t>
        </is>
      </c>
      <c r="C66" s="24" t="inlineStr">
        <is>
          <t>Upper limit on the stress / area factor</t>
        </is>
      </c>
      <c r="D66" s="23" t="n"/>
      <c r="E66" s="41">
        <f>IF(inputs_ok,ndp_ld_mod_max,NA())</f>
        <v/>
      </c>
      <c r="F66" s="23" t="n"/>
      <c r="G66" s="26" t="inlineStr">
        <is>
          <t>NDP sheet</t>
        </is>
      </c>
    </row>
    <row r="67" ht="17" customHeight="1">
      <c r="B67" s="26" t="inlineStr">
        <is>
          <t>7.4.2(2)</t>
        </is>
      </c>
      <c r="C67" s="24" t="inlineStr">
        <is>
          <t>L/d ≤ 40K applies (1 = yes)</t>
        </is>
      </c>
      <c r="D67" s="23" t="n"/>
      <c r="E67" s="41">
        <f>IF(inputs_ok,ndp_ld_cap_40K,NA())</f>
        <v/>
      </c>
      <c r="F67" s="23" t="n"/>
      <c r="G67" s="26" t="inlineStr">
        <is>
          <t>NDP sheet</t>
        </is>
      </c>
    </row>
    <row r="68" ht="17" customHeight="1">
      <c r="B68" s="26" t="inlineStr">
        <is>
          <t>Table 3.1</t>
        </is>
      </c>
      <c r="C68" s="24" t="inlineStr">
        <is>
          <t>Characteristic cylinder strength</t>
        </is>
      </c>
      <c r="D68" s="27" t="inlineStr">
        <is>
          <r>
            <rPr>
              <rFont val="Calibri"/>
              <i val="1"/>
              <color rgb="002B2B2B"/>
              <sz val="10"/>
            </rPr>
            <t>f</t>
          </r>
          <r>
            <rPr>
              <rFont val="Calibri"/>
              <i val="1"/>
              <color rgb="002B2B2B"/>
              <sz val="10"/>
              <vertAlign val="subscript"/>
            </rPr>
            <t>ck</t>
          </r>
        </is>
      </c>
      <c r="E68" s="42">
        <f>IF(inputs_ok,VALUE(MID(conc_class,2,FIND("/",conc_class)-2)),NA())</f>
        <v/>
      </c>
      <c r="F68" s="28" t="inlineStr">
        <is>
          <t>MPa</t>
        </is>
      </c>
      <c r="G68" s="23" t="n"/>
    </row>
    <row r="69" ht="17" customHeight="1">
      <c r="B69" s="26" t="inlineStr">
        <is>
          <t>Table 3.1</t>
        </is>
      </c>
      <c r="C69" s="24" t="inlineStr">
        <is>
          <t>Mean tensile strength</t>
        </is>
      </c>
      <c r="D69" s="27" t="inlineStr">
        <is>
          <r>
            <rPr>
              <rFont val="Calibri"/>
              <i val="1"/>
              <color rgb="002B2B2B"/>
              <sz val="10"/>
            </rPr>
            <t>f</t>
          </r>
          <r>
            <rPr>
              <rFont val="Calibri"/>
              <i val="1"/>
              <color rgb="002B2B2B"/>
              <sz val="10"/>
              <vertAlign val="subscript"/>
            </rPr>
            <t>ctm</t>
          </r>
        </is>
      </c>
      <c r="E69" s="41">
        <f>IF(inputs_ok,IF(f_ck&lt;=50,0.3*f_ck^(2/3),2.12*LN(1+(f_ck+8)/10)),NA())</f>
        <v/>
      </c>
      <c r="F69" s="28" t="inlineStr">
        <is>
          <t>MPa</t>
        </is>
      </c>
      <c r="G69" s="23" t="n"/>
    </row>
    <row r="70" ht="17" customHeight="1">
      <c r="B70" s="26" t="inlineStr">
        <is>
          <t>3.1.6(1)</t>
        </is>
      </c>
      <c r="C70" s="24" t="inlineStr">
        <is>
          <t>Design compressive strength  αcc fck / γc</t>
        </is>
      </c>
      <c r="D70" s="27" t="inlineStr">
        <is>
          <r>
            <rPr>
              <rFont val="Calibri"/>
              <i val="1"/>
              <color rgb="002B2B2B"/>
              <sz val="10"/>
            </rPr>
            <t>f</t>
          </r>
          <r>
            <rPr>
              <rFont val="Calibri"/>
              <i val="1"/>
              <color rgb="002B2B2B"/>
              <sz val="10"/>
              <vertAlign val="subscript"/>
            </rPr>
            <t>cd</t>
          </r>
        </is>
      </c>
      <c r="E70" s="41">
        <f>IF(inputs_ok,alpha_cc*f_ck/gamma_c,NA())</f>
        <v/>
      </c>
      <c r="F70" s="28" t="inlineStr">
        <is>
          <t>MPa</t>
        </is>
      </c>
      <c r="G70" s="23" t="n"/>
    </row>
    <row r="71" ht="17" customHeight="1">
      <c r="B71" s="26" t="inlineStr">
        <is>
          <t>3.2.7</t>
        </is>
      </c>
      <c r="C71" s="24" t="inlineStr">
        <is>
          <t>Design yield strength  fyk / γs</t>
        </is>
      </c>
      <c r="D71" s="27" t="inlineStr">
        <is>
          <r>
            <rPr>
              <rFont val="Calibri"/>
              <i val="1"/>
              <color rgb="002B2B2B"/>
              <sz val="10"/>
            </rPr>
            <t>f</t>
          </r>
          <r>
            <rPr>
              <rFont val="Calibri"/>
              <i val="1"/>
              <color rgb="002B2B2B"/>
              <sz val="10"/>
              <vertAlign val="subscript"/>
            </rPr>
            <t>yd</t>
          </r>
        </is>
      </c>
      <c r="E71" s="43">
        <f>IF(inputs_ok,f_yk/gamma_s,NA())</f>
        <v/>
      </c>
      <c r="F71" s="28" t="inlineStr">
        <is>
          <t>MPa</t>
        </is>
      </c>
      <c r="G71" s="23" t="n"/>
    </row>
    <row r="72" ht="17" customHeight="1">
      <c r="B72" s="23" t="n"/>
      <c r="C72" s="24" t="inlineStr">
        <is>
          <t>Effective depth  h − c − φ/2</t>
        </is>
      </c>
      <c r="D72" s="27" t="inlineStr">
        <is>
          <r>
            <rPr>
              <rFont val="Calibri"/>
              <i val="1"/>
              <color rgb="002B2B2B"/>
              <sz val="10"/>
            </rPr>
            <t>d</t>
          </r>
        </is>
      </c>
      <c r="E72" s="42">
        <f>IF(inputs_ok,h_sec-c_nom-phi/2,NA())</f>
        <v/>
      </c>
      <c r="F72" s="28" t="inlineStr">
        <is>
          <t>mm</t>
        </is>
      </c>
      <c r="G72" s="23" t="n"/>
    </row>
    <row r="73" ht="17" customHeight="1">
      <c r="B73" s="23" t="n"/>
      <c r="C73" s="24" t="inlineStr">
        <is>
          <t>Width of the strip</t>
        </is>
      </c>
      <c r="D73" s="27" t="inlineStr">
        <is>
          <r>
            <rPr>
              <rFont val="Calibri"/>
              <i val="1"/>
              <color rgb="002B2B2B"/>
              <sz val="10"/>
            </rPr>
            <t>b</t>
          </r>
        </is>
      </c>
      <c r="E73" s="42">
        <f>IF(inputs_ok,1000,NA())</f>
        <v/>
      </c>
      <c r="F73" s="28" t="inlineStr">
        <is>
          <t>mm</t>
        </is>
      </c>
      <c r="G73" s="23" t="n"/>
    </row>
    <row r="74"/>
    <row r="75" ht="22" customHeight="1">
      <c r="B75" s="20" t="inlineStr">
        <is>
          <t>Calculation  ·  bending  (rectangular block λ = 0.8, η = 1)</t>
        </is>
      </c>
      <c r="C75" s="21" t="n"/>
      <c r="D75" s="21" t="n"/>
      <c r="E75" s="21" t="n"/>
      <c r="F75" s="21" t="n"/>
      <c r="G75" s="21" t="n"/>
    </row>
    <row r="76" ht="17" customHeight="1">
      <c r="B76" s="26" t="inlineStr">
        <is>
          <t>3.2.7</t>
        </is>
      </c>
      <c r="C76" s="24" t="inlineStr">
        <is>
          <t>Neutral axis depth at first yield  εcu2 / (εcu2 + fyd/Es)</t>
        </is>
      </c>
      <c r="D76" s="27" t="inlineStr">
        <is>
          <r>
            <rPr>
              <rFont val="Calibri"/>
              <i val="1"/>
              <color rgb="002B2B2B"/>
              <sz val="10"/>
            </rPr>
            <t>ξ</t>
          </r>
          <r>
            <rPr>
              <rFont val="Calibri"/>
              <i val="1"/>
              <color rgb="002B2B2B"/>
              <sz val="10"/>
              <vertAlign val="subscript"/>
            </rPr>
            <t>y</t>
          </r>
        </is>
      </c>
      <c r="E76" s="44">
        <f>IF(inputs_ok,0.0035/(0.0035+f_yd/200000),NA())</f>
        <v/>
      </c>
      <c r="F76" s="23" t="n"/>
      <c r="G76" s="23" t="n"/>
    </row>
    <row r="77" ht="17" customHeight="1">
      <c r="B77" s="26" t="inlineStr">
        <is>
          <t>5.5(4)</t>
        </is>
      </c>
      <c r="C77" s="24" t="inlineStr">
        <is>
          <t>Limiting neutral axis depth  min((δ − k1) / k2; ξy)</t>
        </is>
      </c>
      <c r="D77" s="27" t="inlineStr">
        <is>
          <r>
            <rPr>
              <rFont val="Calibri"/>
              <i val="1"/>
              <color rgb="002B2B2B"/>
              <sz val="10"/>
            </rPr>
            <t>x</t>
          </r>
          <r>
            <rPr>
              <rFont val="Calibri"/>
              <i val="1"/>
              <color rgb="002B2B2B"/>
              <sz val="10"/>
              <vertAlign val="subscript"/>
            </rPr>
            <t>u/d</t>
          </r>
        </is>
      </c>
      <c r="E77" s="44">
        <f>IF(inputs_ok,MIN(xi_y,(delta_r-k1_red)/k2_red),NA())</f>
        <v/>
      </c>
      <c r="F77" s="23" t="n"/>
      <c r="G77" s="23" t="n"/>
    </row>
    <row r="78" ht="17" customHeight="1">
      <c r="B78" s="26" t="inlineStr">
        <is>
          <t>3.1.7(3)</t>
        </is>
      </c>
      <c r="C78" s="24" t="inlineStr">
        <is>
          <t>Limiting K  (αcc/γc) 0.8 ξ (1 − 0.4 ξ)</t>
        </is>
      </c>
      <c r="D78" s="27" t="inlineStr">
        <is>
          <r>
            <rPr>
              <rFont val="Calibri"/>
              <i val="1"/>
              <color rgb="002B2B2B"/>
              <sz val="10"/>
            </rPr>
            <t>K'</t>
          </r>
        </is>
      </c>
      <c r="E78" s="44">
        <f>IF(inputs_ok,alpha_cc/gamma_c*0.8*xi_lim*(1-0.4*xi_lim),NA())</f>
        <v/>
      </c>
      <c r="F78" s="23" t="n"/>
      <c r="G78" s="23" t="n"/>
    </row>
    <row r="79" ht="17" customHeight="1">
      <c r="B79" s="23" t="n"/>
      <c r="C79" s="24" t="inlineStr">
        <is>
          <t>Limiting neutral axis depth</t>
        </is>
      </c>
      <c r="D79" s="27" t="inlineStr">
        <is>
          <r>
            <rPr>
              <rFont val="Calibri"/>
              <i val="1"/>
              <color rgb="002B2B2B"/>
              <sz val="10"/>
            </rPr>
            <t>x</t>
          </r>
          <r>
            <rPr>
              <rFont val="Calibri"/>
              <i val="1"/>
              <color rgb="002B2B2B"/>
              <sz val="10"/>
              <vertAlign val="subscript"/>
            </rPr>
            <t>lim</t>
          </r>
        </is>
      </c>
      <c r="E79" s="42">
        <f>IF(inputs_ok,xi_lim*d_eff,NA())</f>
        <v/>
      </c>
      <c r="F79" s="28" t="inlineStr">
        <is>
          <t>mm</t>
        </is>
      </c>
      <c r="G79" s="23" t="n"/>
    </row>
    <row r="80" ht="17" customHeight="1">
      <c r="B80" s="23" t="n"/>
      <c r="C80" s="24" t="inlineStr">
        <is>
          <t>Concrete force at x_lim  fcd b 0.8 x_lim</t>
        </is>
      </c>
      <c r="D80" s="27" t="inlineStr">
        <is>
          <r>
            <rPr>
              <rFont val="Calibri"/>
              <i val="1"/>
              <color rgb="002B2B2B"/>
              <sz val="10"/>
            </rPr>
            <t>C</t>
          </r>
          <r>
            <rPr>
              <rFont val="Calibri"/>
              <i val="1"/>
              <color rgb="002B2B2B"/>
              <sz val="10"/>
              <vertAlign val="subscript"/>
            </rPr>
            <t>lim</t>
          </r>
        </is>
      </c>
      <c r="E80" s="43">
        <f>IF(inputs_ok,f_cd*b_web*0.8*x_lim/1000,NA())</f>
        <v/>
      </c>
      <c r="F80" s="28" t="inlineStr">
        <is>
          <t>kN/m</t>
        </is>
      </c>
      <c r="G80" s="23" t="n"/>
    </row>
    <row r="81" ht="17" customHeight="1">
      <c r="B81" s="26" t="inlineStr">
        <is>
          <t>3.1.7(3)</t>
        </is>
      </c>
      <c r="C81" s="24" t="inlineStr">
        <is>
          <t>Moment of the concrete at x_lim  K′ fck b d²</t>
        </is>
      </c>
      <c r="D81" s="27" t="inlineStr">
        <is>
          <r>
            <rPr>
              <rFont val="Calibri"/>
              <i val="1"/>
              <color rgb="002B2B2B"/>
              <sz val="10"/>
            </rPr>
            <t>M</t>
          </r>
          <r>
            <rPr>
              <rFont val="Calibri"/>
              <i val="1"/>
              <color rgb="002B2B2B"/>
              <sz val="10"/>
              <vertAlign val="subscript"/>
            </rPr>
            <t>lim</t>
          </r>
        </is>
      </c>
      <c r="E81" s="43">
        <f>IF(inputs_ok,K_lim*f_ck*b_web*d_eff^2/1E6,NA())</f>
        <v/>
      </c>
      <c r="F81" s="28" t="inlineStr">
        <is>
          <t>kNm/m</t>
        </is>
      </c>
      <c r="G81" s="23" t="n"/>
    </row>
    <row r="82" ht="17" customHeight="1">
      <c r="B82" s="26" t="inlineStr">
        <is>
          <t>3.1.7(3)</t>
        </is>
      </c>
      <c r="C82" s="24" t="inlineStr">
        <is>
          <t>K = MEd / (b d² fck)</t>
        </is>
      </c>
      <c r="D82" s="27" t="inlineStr">
        <is>
          <r>
            <rPr>
              <rFont val="Calibri"/>
              <i val="1"/>
              <color rgb="002B2B2B"/>
              <sz val="10"/>
            </rPr>
            <t>K</t>
          </r>
        </is>
      </c>
      <c r="E82" s="44">
        <f>IF(inputs_ok,M_Ed*1E6/(b_web*d_eff^2*f_ck),NA())</f>
        <v/>
      </c>
      <c r="F82" s="23" t="n"/>
      <c r="G82" s="23" t="n"/>
    </row>
    <row r="83" ht="17" customHeight="1">
      <c r="B83" s="26" t="inlineStr">
        <is>
          <t>3.1.7(3)</t>
        </is>
      </c>
      <c r="C83" s="24" t="inlineStr">
        <is>
          <t>Neutral axis  x/d = (1 − √(1 − 2K/(αcc/γc)))/0.8;  x_lim if MEd &gt; Mlim</t>
        </is>
      </c>
      <c r="D83" s="27" t="inlineStr">
        <is>
          <r>
            <rPr>
              <rFont val="Calibri"/>
              <i val="1"/>
              <color rgb="002B2B2B"/>
              <sz val="10"/>
            </rPr>
            <t>x/d</t>
          </r>
        </is>
      </c>
      <c r="E83" s="44">
        <f>IF(inputs_ok,IF(dbl,xi_lim,(1-SQRT(1-2*K_m/(alpha_cc/gamma_c)))/0.8),NA())</f>
        <v/>
      </c>
      <c r="F83" s="23" t="n"/>
      <c r="G83" s="23" t="n"/>
    </row>
    <row r="84" ht="17" customHeight="1">
      <c r="B84" s="23" t="n"/>
      <c r="C84" s="24" t="inlineStr">
        <is>
          <t>Neutral axis depth</t>
        </is>
      </c>
      <c r="D84" s="27" t="inlineStr">
        <is>
          <r>
            <rPr>
              <rFont val="Calibri"/>
              <i val="1"/>
              <color rgb="002B2B2B"/>
              <sz val="10"/>
            </rPr>
            <t>x</t>
          </r>
        </is>
      </c>
      <c r="E84" s="42">
        <f>IF(inputs_ok,xi*d_eff,NA())</f>
        <v/>
      </c>
      <c r="F84" s="28" t="inlineStr">
        <is>
          <t>mm</t>
        </is>
      </c>
      <c r="G84" s="23" t="n"/>
    </row>
    <row r="85" ht="17" customHeight="1">
      <c r="B85" s="23" t="n"/>
      <c r="C85" s="24" t="inlineStr">
        <is>
          <t>Lever arm  d (1 − 0.4 x/d) ≤ 0.95 d</t>
        </is>
      </c>
      <c r="D85" s="27" t="inlineStr">
        <is>
          <r>
            <rPr>
              <rFont val="Calibri"/>
              <i val="1"/>
              <color rgb="002B2B2B"/>
              <sz val="10"/>
            </rPr>
            <t>z</t>
          </r>
        </is>
      </c>
      <c r="E85" s="42">
        <f>IF(inputs_ok,MIN(0.95*d_eff,d_eff*(1-0.4*xi)),NA())</f>
        <v/>
      </c>
      <c r="F85" s="28" t="inlineStr">
        <is>
          <t>mm</t>
        </is>
      </c>
      <c r="G85" s="26" t="inlineStr">
        <is>
          <t>0.95 d: common practice</t>
        </is>
      </c>
    </row>
    <row r="86" ht="17" customHeight="1">
      <c r="B86" s="23" t="n"/>
      <c r="C86" s="24" t="inlineStr">
        <is>
          <t>Tension reinforcement  MEd / (fyd z)  (N/A: K &gt; K′, a slab has no compression steel)</t>
        </is>
      </c>
      <c r="D86" s="27" t="inlineStr">
        <is>
          <r>
            <rPr>
              <rFont val="Calibri"/>
              <i val="1"/>
              <color rgb="002B2B2B"/>
              <sz val="10"/>
            </rPr>
            <t>A</t>
          </r>
          <r>
            <rPr>
              <rFont val="Calibri"/>
              <i val="1"/>
              <color rgb="002B2B2B"/>
              <sz val="10"/>
              <vertAlign val="subscript"/>
            </rPr>
            <t>s,req</t>
          </r>
        </is>
      </c>
      <c r="E86" s="45">
        <f>IF(inputs_ok,IF(dbl,NA(),M_Ed*1E6/(f_yd*z_b)),NA())</f>
        <v/>
      </c>
      <c r="F86" s="28" t="inlineStr">
        <is>
          <t>mm²/m</t>
        </is>
      </c>
      <c r="G86" s="23" t="n"/>
    </row>
    <row r="87" ht="17" customHeight="1">
      <c r="B87" s="23" t="n"/>
      <c r="C87" s="24" t="inlineStr">
        <is>
          <t>Gross area  b h</t>
        </is>
      </c>
      <c r="D87" s="27" t="inlineStr">
        <is>
          <r>
            <rPr>
              <rFont val="Calibri"/>
              <i val="1"/>
              <color rgb="002B2B2B"/>
              <sz val="10"/>
            </rPr>
            <t>A</t>
          </r>
          <r>
            <rPr>
              <rFont val="Calibri"/>
              <i val="1"/>
              <color rgb="002B2B2B"/>
              <sz val="10"/>
              <vertAlign val="subscript"/>
            </rPr>
            <t>c</t>
          </r>
        </is>
      </c>
      <c r="E87" s="42">
        <f>IF(inputs_ok,b_web*h_sec,NA())</f>
        <v/>
      </c>
      <c r="F87" s="28" t="inlineStr">
        <is>
          <t>mm²/m</t>
        </is>
      </c>
      <c r="G87" s="23" t="n"/>
    </row>
    <row r="88" ht="17" customHeight="1">
      <c r="B88" s="26" t="inlineStr">
        <is>
          <t>(9.1N)</t>
        </is>
      </c>
      <c r="C88" s="24" t="inlineStr">
        <is>
          <t>Minimum tension reinforcement  max(0.26 fctm/fyk; 0.0013) bt d</t>
        </is>
      </c>
      <c r="D88" s="27" t="inlineStr">
        <is>
          <r>
            <rPr>
              <rFont val="Calibri"/>
              <i val="1"/>
              <color rgb="002B2B2B"/>
              <sz val="10"/>
            </rPr>
            <t>A</t>
          </r>
          <r>
            <rPr>
              <rFont val="Calibri"/>
              <i val="1"/>
              <color rgb="002B2B2B"/>
              <sz val="10"/>
              <vertAlign val="subscript"/>
            </rPr>
            <t>s,min</t>
          </r>
        </is>
      </c>
      <c r="E88" s="42">
        <f>IF(inputs_ok,MAX(0.26*f_ctm/f_yk,0.0013)*b_t*d_eff,NA())</f>
        <v/>
      </c>
      <c r="F88" s="28" t="inlineStr">
        <is>
          <t>mm²/m</t>
        </is>
      </c>
      <c r="G88" s="23" t="n"/>
    </row>
    <row r="89" ht="17" customHeight="1">
      <c r="B89" s="26" t="inlineStr">
        <is>
          <t>9.2.1.1(3)</t>
        </is>
      </c>
      <c r="C89" s="24" t="inlineStr">
        <is>
          <t>Maximum reinforcement  0.04 Ac</t>
        </is>
      </c>
      <c r="D89" s="27" t="inlineStr">
        <is>
          <r>
            <rPr>
              <rFont val="Calibri"/>
              <i val="1"/>
              <color rgb="002B2B2B"/>
              <sz val="10"/>
            </rPr>
            <t>A</t>
          </r>
          <r>
            <rPr>
              <rFont val="Calibri"/>
              <i val="1"/>
              <color rgb="002B2B2B"/>
              <sz val="10"/>
              <vertAlign val="subscript"/>
            </rPr>
            <t>s,max</t>
          </r>
        </is>
      </c>
      <c r="E89" s="42">
        <f>IF(inputs_ok,0.04*A_c,NA())</f>
        <v/>
      </c>
      <c r="F89" s="28" t="inlineStr">
        <is>
          <t>mm²/m</t>
        </is>
      </c>
      <c r="G89" s="26" t="inlineStr">
        <is>
          <t>Outside lap locations</t>
        </is>
      </c>
    </row>
    <row r="90" ht="17" customHeight="1">
      <c r="B90" s="23" t="n"/>
      <c r="C90" s="24" t="inlineStr">
        <is>
          <t>Provided  1000 π φ² / (4 s)</t>
        </is>
      </c>
      <c r="D90" s="27" t="inlineStr">
        <is>
          <r>
            <rPr>
              <rFont val="Calibri"/>
              <i val="1"/>
              <color rgb="002B2B2B"/>
              <sz val="10"/>
            </rPr>
            <t>A</t>
          </r>
          <r>
            <rPr>
              <rFont val="Calibri"/>
              <i val="1"/>
              <color rgb="002B2B2B"/>
              <sz val="10"/>
              <vertAlign val="subscript"/>
            </rPr>
            <t>s,prov</t>
          </r>
        </is>
      </c>
      <c r="E90" s="42">
        <f>IF(inputs_ok,1000*PI()*phi^2/4/s_bar,NA())</f>
        <v/>
      </c>
      <c r="F90" s="28" t="inlineStr">
        <is>
          <t>mm²/m</t>
        </is>
      </c>
      <c r="G90" s="23" t="n"/>
    </row>
    <row r="91" ht="17" customHeight="1">
      <c r="B91" s="26" t="inlineStr">
        <is>
          <t>5.5(4)</t>
        </is>
      </c>
      <c r="C91" s="24" t="inlineStr">
        <is>
          <t>Bars provided, tension force  As,prov fyd</t>
        </is>
      </c>
      <c r="D91" s="27" t="inlineStr">
        <is>
          <r>
            <rPr>
              <rFont val="Calibri"/>
              <i val="1"/>
              <color rgb="002B2B2B"/>
              <sz val="10"/>
            </rPr>
            <t>T</t>
          </r>
        </is>
      </c>
      <c r="E91" s="43">
        <f>IF(inputs_ok,A_s1prov*f_yd/1000,NA())</f>
        <v/>
      </c>
      <c r="F91" s="28" t="inlineStr">
        <is>
          <t>kN/m</t>
        </is>
      </c>
      <c r="G91" s="23" t="n"/>
    </row>
    <row r="92" ht="17" customHeight="1">
      <c r="B92" s="26" t="inlineStr">
        <is>
          <t>5.5(4)</t>
        </is>
      </c>
      <c r="C92" s="24" t="inlineStr">
        <is>
          <t>Compression at x_lim  C_lim  (T ≤ this: x ≤ x_lim)</t>
        </is>
      </c>
      <c r="D92" s="27" t="inlineStr">
        <is>
          <r>
            <rPr>
              <rFont val="Calibri"/>
              <i val="1"/>
              <color rgb="002B2B2B"/>
              <sz val="10"/>
            </rPr>
            <t>C</t>
          </r>
        </is>
      </c>
      <c r="E92" s="43">
        <f>IF(inputs_ok,C_lim,NA())</f>
        <v/>
      </c>
      <c r="F92" s="28" t="inlineStr">
        <is>
          <t>kN/m</t>
        </is>
      </c>
      <c r="G92" s="26" t="inlineStr">
        <is>
          <t>Checked when δ &lt; 1</t>
        </is>
      </c>
    </row>
    <row r="93" ht="17" customHeight="1">
      <c r="B93" s="26" t="inlineStr">
        <is>
          <t>6.1, 9.2.1.1</t>
        </is>
      </c>
      <c r="C93" s="24" t="inlineStr">
        <is>
          <t>As,prov ≥ max(As,req; As,min), ≤ As,max; δ &lt; 1: x ≤ x_lim</t>
        </is>
      </c>
      <c r="D93" s="23" t="n"/>
      <c r="E93" s="42">
        <f>IF(inputs_ok,A_s1prov,NA())</f>
        <v/>
      </c>
      <c r="F93" s="28" t="inlineStr">
        <is>
          <t>mm²/m</t>
        </is>
      </c>
      <c r="G93" s="31">
        <f>IF(NOT(inputs_ok),"FAIL",IF(bend_ok,"OK","FAIL"))</f>
        <v/>
      </c>
    </row>
    <row r="94"/>
    <row r="95" ht="22" customHeight="1">
      <c r="B95" s="20" t="inlineStr">
        <is>
          <t>Calculation  ·  detailing</t>
        </is>
      </c>
      <c r="C95" s="21" t="n"/>
      <c r="D95" s="21" t="n"/>
      <c r="E95" s="21" t="n"/>
      <c r="F95" s="21" t="n"/>
      <c r="G95" s="21" t="n"/>
    </row>
    <row r="96" ht="17" customHeight="1">
      <c r="B96" s="26" t="inlineStr">
        <is>
          <t>9.3.1.1(3)</t>
        </is>
      </c>
      <c r="C96" s="24" t="inlineStr">
        <is>
          <t>Maximum spacing of main bars at the maximum moment  min(2h; 250)</t>
        </is>
      </c>
      <c r="D96" s="27" t="inlineStr">
        <is>
          <r>
            <rPr>
              <rFont val="Calibri"/>
              <i val="1"/>
              <color rgb="002B2B2B"/>
              <sz val="10"/>
            </rPr>
            <t>s</t>
          </r>
          <r>
            <rPr>
              <rFont val="Calibri"/>
              <i val="1"/>
              <color rgb="002B2B2B"/>
              <sz val="10"/>
              <vertAlign val="subscript"/>
            </rPr>
            <t>max</t>
          </r>
        </is>
      </c>
      <c r="E96" s="42">
        <f>IF(inputs_ok,MIN(2*h_sec,250),NA())</f>
        <v/>
      </c>
      <c r="F96" s="28" t="inlineStr">
        <is>
          <t>mm</t>
        </is>
      </c>
      <c r="G96" s="23" t="n"/>
    </row>
    <row r="97" ht="17" customHeight="1">
      <c r="B97" s="26" t="inlineStr">
        <is>
          <t>8.2(2)</t>
        </is>
      </c>
      <c r="C97" s="24" t="inlineStr">
        <is>
          <t>Minimum clear gap  max(φ; dg + 5; 20)</t>
        </is>
      </c>
      <c r="D97" s="27" t="inlineStr">
        <is>
          <r>
            <rPr>
              <rFont val="Calibri"/>
              <i val="1"/>
              <color rgb="002B2B2B"/>
              <sz val="10"/>
            </rPr>
            <t>a</t>
          </r>
          <r>
            <rPr>
              <rFont val="Calibri"/>
              <i val="1"/>
              <color rgb="002B2B2B"/>
              <sz val="10"/>
              <vertAlign val="subscript"/>
            </rPr>
            <t>min</t>
          </r>
        </is>
      </c>
      <c r="E97" s="42">
        <f>IF(inputs_ok,MAX(phi,d_g+5,20),NA())</f>
        <v/>
      </c>
      <c r="F97" s="28" t="inlineStr">
        <is>
          <t>mm</t>
        </is>
      </c>
      <c r="G97" s="23" t="n"/>
    </row>
    <row r="98" ht="17" customHeight="1">
      <c r="B98" s="26" t="inlineStr">
        <is>
          <t>9.3.1.1(3), 8.2(2)</t>
        </is>
      </c>
      <c r="C98" s="24" t="inlineStr">
        <is>
          <t>Spacing  s ≤ s_max and clear gap s − φ ≥ a_min</t>
        </is>
      </c>
      <c r="D98" s="27" t="inlineStr">
        <is>
          <r>
            <rPr>
              <rFont val="Calibri"/>
              <i val="1"/>
              <color rgb="002B2B2B"/>
              <sz val="10"/>
            </rPr>
            <t>s</t>
          </r>
        </is>
      </c>
      <c r="E98" s="42">
        <f>IF(inputs_ok,s_bar,NA())</f>
        <v/>
      </c>
      <c r="F98" s="28" t="inlineStr">
        <is>
          <t>mm</t>
        </is>
      </c>
      <c r="G98" s="31">
        <f>IF(NOT(inputs_ok),"FAIL",IF(det_ok,"OK","FAIL"))</f>
        <v/>
      </c>
    </row>
    <row r="99"/>
    <row r="100" ht="22" customHeight="1">
      <c r="B100" s="20" t="inlineStr">
        <is>
          <t>Calculation  ·  serviceability stress and deflection  (7.4.2)</t>
        </is>
      </c>
      <c r="C100" s="21" t="n"/>
      <c r="D100" s="21" t="n"/>
      <c r="E100" s="21" t="n"/>
      <c r="F100" s="21" t="n"/>
      <c r="G100" s="21" t="n"/>
    </row>
    <row r="101" ht="17" customHeight="1">
      <c r="B101" s="26" t="inlineStr">
        <is>
          <t>EN 1990 A1.1</t>
        </is>
      </c>
      <c r="C101" s="24" t="inlineStr">
        <is>
          <t>ψ2 for the category of use</t>
        </is>
      </c>
      <c r="D101" s="27" t="inlineStr">
        <is>
          <r>
            <rPr>
              <rFont val="Calibri"/>
              <i val="1"/>
              <color rgb="002B2B2B"/>
              <sz val="10"/>
            </rPr>
            <t>ψ</t>
          </r>
          <r>
            <rPr>
              <rFont val="Calibri"/>
              <i val="1"/>
              <color rgb="002B2B2B"/>
              <sz val="10"/>
              <vertAlign val="subscript"/>
            </rPr>
            <t>2</t>
          </r>
        </is>
      </c>
      <c r="E101" s="41">
        <f>IF(inputs_ok,IF(usage="Other  (enter ψ2)",psi2_in,CHOOSE(usage_i,0.3,0.3,0.6,0.6,0.8,0.6,0.3,0.0)),NA())</f>
        <v/>
      </c>
      <c r="F101" s="23" t="n"/>
      <c r="G101" s="23" t="n"/>
    </row>
    <row r="102" ht="17" customHeight="1">
      <c r="B102" s="26" t="inlineStr">
        <is>
          <t>7.4.2(2)</t>
        </is>
      </c>
      <c r="C102" s="24" t="inlineStr">
        <is>
          <t>Quasi-permanent / ULS load  (gk + ψ2 qk)/(γG gk + γQ qk)</t>
        </is>
      </c>
      <c r="D102" s="23" t="n"/>
      <c r="E102" s="44">
        <f>IF(inputs_ok,(g_k+psi_2c*q_k)/(gamma_G*g_k+gamma_Q*q_k),NA())</f>
        <v/>
      </c>
      <c r="F102" s="23" t="n"/>
      <c r="G102" s="23" t="n"/>
    </row>
    <row r="103" ht="17" customHeight="1">
      <c r="B103" s="23" t="n"/>
      <c r="C103" s="24" t="inlineStr">
        <is>
          <t>Tension steel for the ratios  max(As,req; As,min)</t>
        </is>
      </c>
      <c r="D103" s="27" t="inlineStr">
        <is>
          <r>
            <rPr>
              <rFont val="Calibri"/>
              <i val="1"/>
              <color rgb="002B2B2B"/>
              <sz val="10"/>
            </rPr>
            <t>A</t>
          </r>
          <r>
            <rPr>
              <rFont val="Calibri"/>
              <i val="1"/>
              <color rgb="002B2B2B"/>
              <sz val="10"/>
              <vertAlign val="subscript"/>
            </rPr>
            <t>s,req</t>
          </r>
        </is>
      </c>
      <c r="E103" s="42">
        <f>IF(inputs_ok,MAX(A_s1req,A_smin),NA())</f>
        <v/>
      </c>
      <c r="F103" s="28" t="inlineStr">
        <is>
          <t>mm²/m</t>
        </is>
      </c>
      <c r="G103" s="23" t="n"/>
    </row>
    <row r="104" ht="17" customHeight="1">
      <c r="B104" s="26" t="inlineStr">
        <is>
          <t>7.4.2(2), 7.3.3</t>
        </is>
      </c>
      <c r="C104" s="24" t="inlineStr">
        <is>
          <t>Steel stress, quasi-permanent  fyd × ratio × As,req / As,prov / δ</t>
        </is>
      </c>
      <c r="D104" s="27" t="inlineStr">
        <is>
          <r>
            <rPr>
              <rFont val="Calibri"/>
              <i val="1"/>
              <color rgb="002B2B2B"/>
              <sz val="10"/>
            </rPr>
            <t>σ</t>
          </r>
          <r>
            <rPr>
              <rFont val="Calibri"/>
              <i val="1"/>
              <color rgb="002B2B2B"/>
              <sz val="10"/>
              <vertAlign val="subscript"/>
            </rPr>
            <t>s</t>
          </r>
        </is>
      </c>
      <c r="E104" s="46">
        <f>IF(inputs_ok,f_yd*qp*As_d/A_s1prov/delta_r,NA())</f>
        <v/>
      </c>
      <c r="F104" s="28" t="inlineStr">
        <is>
          <t>MPa</t>
        </is>
      </c>
      <c r="G104" s="23" t="n"/>
    </row>
    <row r="105" ht="17" customHeight="1">
      <c r="B105" s="26" t="inlineStr">
        <is>
          <t>Table 7.4N</t>
        </is>
      </c>
      <c r="C105" s="24" t="inlineStr">
        <is>
          <t>K for the section location</t>
        </is>
      </c>
      <c r="D105" s="27" t="inlineStr">
        <is>
          <r>
            <rPr>
              <rFont val="Calibri"/>
              <i val="1"/>
              <color rgb="002B2B2B"/>
              <sz val="10"/>
            </rPr>
            <t>K</t>
          </r>
        </is>
      </c>
      <c r="E105" s="43">
        <f>IF(inputs_ok,IF(span,CHOOSE(loc_i,1.0,1.3,1.5,1.2,0.4),"n/a"),NA())</f>
        <v/>
      </c>
      <c r="F105" s="23" t="n"/>
      <c r="G105" s="23" t="n"/>
    </row>
    <row r="106" ht="17" customHeight="1">
      <c r="B106" s="26" t="inlineStr">
        <is>
          <t>(7.16)</t>
        </is>
      </c>
      <c r="C106" s="24" t="inlineStr">
        <is>
          <t>Reference ratio  ρ0 = √fck · 10⁻³</t>
        </is>
      </c>
      <c r="D106" s="27" t="inlineStr">
        <is>
          <r>
            <rPr>
              <rFont val="Calibri"/>
              <i val="1"/>
              <color rgb="002B2B2B"/>
              <sz val="10"/>
            </rPr>
            <t>ρ</t>
          </r>
          <r>
            <rPr>
              <rFont val="Calibri"/>
              <i val="1"/>
              <color rgb="002B2B2B"/>
              <sz val="10"/>
              <vertAlign val="subscript"/>
            </rPr>
            <t>0</t>
          </r>
        </is>
      </c>
      <c r="E106" s="47">
        <f>IF(inputs_ok,SQRT(f_ck)/1000,NA())</f>
        <v/>
      </c>
      <c r="F106" s="23" t="n"/>
      <c r="G106" s="23" t="n"/>
    </row>
    <row r="107" ht="17" customHeight="1">
      <c r="B107" s="26" t="inlineStr">
        <is>
          <t>(7.16)</t>
        </is>
      </c>
      <c r="C107" s="24" t="inlineStr">
        <is>
          <t>Tension reinforcement ratio  As,req / (b d)</t>
        </is>
      </c>
      <c r="D107" s="27" t="inlineStr">
        <is>
          <r>
            <rPr>
              <rFont val="Calibri"/>
              <i val="1"/>
              <color rgb="002B2B2B"/>
              <sz val="10"/>
            </rPr>
            <t>ρ</t>
          </r>
        </is>
      </c>
      <c r="E107" s="47">
        <f>IF(inputs_ok,As_d/A_rho,NA())</f>
        <v/>
      </c>
      <c r="F107" s="23" t="n"/>
      <c r="G107" s="23" t="n"/>
    </row>
    <row r="108" ht="17" customHeight="1">
      <c r="B108" s="26" t="inlineStr">
        <is>
          <t>(7.16b)</t>
        </is>
      </c>
      <c r="C108" s="24" t="inlineStr">
        <is>
          <t>Compression reinforcement ratio  As2,req / (b d)</t>
        </is>
      </c>
      <c r="D108" s="27" t="inlineStr">
        <is>
          <r>
            <rPr>
              <rFont val="Calibri"/>
              <i val="1"/>
              <color rgb="002B2B2B"/>
              <sz val="10"/>
            </rPr>
            <t>ρ'</t>
          </r>
        </is>
      </c>
      <c r="E108" s="47">
        <f>IF(inputs_ok,0,NA())</f>
        <v/>
      </c>
      <c r="F108" s="23" t="n"/>
      <c r="G108" s="23" t="n"/>
    </row>
    <row r="109" ht="17" customHeight="1">
      <c r="B109" s="26" t="inlineStr">
        <is>
          <t>(7.16a), (7.16b)</t>
        </is>
      </c>
      <c r="C109" s="24" t="inlineStr">
        <is>
          <t>Basic span / effective depth ratio</t>
        </is>
      </c>
      <c r="D109" s="27" t="inlineStr">
        <is>
          <r>
            <rPr>
              <rFont val="Calibri"/>
              <i val="1"/>
              <color rgb="002B2B2B"/>
              <sz val="10"/>
            </rPr>
            <t>l/d</t>
          </r>
        </is>
      </c>
      <c r="E109" s="43">
        <f>IF(inputs_ok,IF(span,K_d*IF(rho_t&lt;=rho_0,11+1.5*SQRT(f_ck)*rho_0/rho_t+3.2*SQRT(f_ck)*(rho_0/rho_t-1)^1.5,11+1.5*SQRT(f_ck)*rho_0/(rho_t-rho_c)+SQRT(f_ck)/12*SQRT(rho_c/rho_0)),"n/a"),NA())</f>
        <v/>
      </c>
      <c r="F109" s="23" t="n"/>
      <c r="G109" s="23" t="n"/>
    </row>
    <row r="110" ht="17" customHeight="1">
      <c r="B110" s="26" t="inlineStr">
        <is>
          <t>7.4.2(2)</t>
        </is>
      </c>
      <c r="C110" s="24" t="inlineStr">
        <is>
          <t>Brittle partitions: 7 / l over 7 m  (flat slab: 8.5 / l over 8.5 m)</t>
        </is>
      </c>
      <c r="D110" s="27" t="inlineStr">
        <is>
          <r>
            <rPr>
              <rFont val="Calibri"/>
              <i val="1"/>
              <color rgb="002B2B2B"/>
              <sz val="10"/>
            </rPr>
            <t>F</t>
          </r>
          <r>
            <rPr>
              <rFont val="Calibri"/>
              <i val="1"/>
              <color rgb="002B2B2B"/>
              <sz val="10"/>
              <vertAlign val="subscript"/>
            </rPr>
            <t>2</t>
          </r>
        </is>
      </c>
      <c r="E110" s="44">
        <f>IF(inputs_ok,IF(span,IF(partitions="No",1,IF(loc="Flat slab span",IF(L_span&gt;8.5,8.5/L_span,1),IF(L_span&gt;7,7/L_span,1))),"n/a"),NA())</f>
        <v/>
      </c>
      <c r="F110" s="23" t="n"/>
      <c r="G110" s="23" t="n"/>
    </row>
    <row r="111" ht="17" customHeight="1">
      <c r="B111" s="26" t="inlineStr">
        <is>
          <t>(7.17)</t>
        </is>
      </c>
      <c r="C111" s="24" t="inlineStr">
        <is>
          <t>Steel stress factor  310 / σs  (σs ≥ 1 MPa;  UK NA: ≤ 1.5)</t>
        </is>
      </c>
      <c r="D111" s="27" t="inlineStr">
        <is>
          <r>
            <rPr>
              <rFont val="Calibri"/>
              <i val="1"/>
              <color rgb="002B2B2B"/>
              <sz val="10"/>
            </rPr>
            <t>F</t>
          </r>
          <r>
            <rPr>
              <rFont val="Calibri"/>
              <i val="1"/>
              <color rgb="002B2B2B"/>
              <sz val="10"/>
              <vertAlign val="subscript"/>
            </rPr>
            <t>3</t>
          </r>
        </is>
      </c>
      <c r="E111" s="44">
        <f>IF(inputs_ok,IF(ld_mod_max&gt;0,MIN(ld_mod_max,310/MAX(1,sig_cr)),310/MAX(1,sig_cr)),NA())</f>
        <v/>
      </c>
      <c r="F111" s="23" t="n"/>
      <c r="G111" s="23" t="n"/>
    </row>
    <row r="112" ht="17" customHeight="1">
      <c r="B112" s="26" t="inlineStr">
        <is>
          <t>7.4.2</t>
        </is>
      </c>
      <c r="C112" s="24" t="inlineStr">
        <is>
          <t>Limiting span / effective depth  (UK NA: ≤ 40 K)</t>
        </is>
      </c>
      <c r="D112" s="27" t="inlineStr">
        <is>
          <r>
            <rPr>
              <rFont val="Calibri"/>
              <i val="1"/>
              <color rgb="002B2B2B"/>
              <sz val="10"/>
            </rPr>
            <t>l/d</t>
          </r>
          <r>
            <rPr>
              <rFont val="Calibri"/>
              <i val="1"/>
              <color rgb="002B2B2B"/>
              <sz val="10"/>
              <vertAlign val="subscript"/>
            </rPr>
            <t>lim</t>
          </r>
        </is>
      </c>
      <c r="E112" s="46">
        <f>IF(inputs_ok,IF(span,IF(ld_cap_40K=1,MIN(40*K_d,ld_basic*F_1*F_2*F_3),ld_basic*F_1*F_2*F_3),"n/a"),NA())</f>
        <v/>
      </c>
      <c r="F112" s="23" t="n"/>
      <c r="G112" s="23" t="n"/>
    </row>
    <row r="113" ht="17" customHeight="1">
      <c r="B113" s="23" t="n"/>
      <c r="C113" s="24" t="inlineStr">
        <is>
          <t>Actual span / effective depth</t>
        </is>
      </c>
      <c r="D113" s="27" t="inlineStr">
        <is>
          <r>
            <rPr>
              <rFont val="Calibri"/>
              <i val="1"/>
              <color rgb="002B2B2B"/>
              <sz val="10"/>
            </rPr>
            <t>l/d</t>
          </r>
        </is>
      </c>
      <c r="E113" s="46">
        <f>IF(inputs_ok,IF(span,L_span*1000/d_eff,"n/a"),NA())</f>
        <v/>
      </c>
      <c r="F113" s="23" t="n"/>
      <c r="G113" s="23" t="n"/>
    </row>
    <row r="114" ht="17" customHeight="1">
      <c r="B114" s="26" t="inlineStr">
        <is>
          <t>7.4.2</t>
        </is>
      </c>
      <c r="C114" s="24" t="inlineStr">
        <is>
          <t>Deflection  l/d ≤ limiting l/d  (support: not checked)</t>
        </is>
      </c>
      <c r="D114" s="27" t="inlineStr">
        <is>
          <r>
            <rPr>
              <rFont val="Calibri"/>
              <i val="1"/>
              <color rgb="002B2B2B"/>
              <sz val="10"/>
            </rPr>
            <t>l/d</t>
          </r>
        </is>
      </c>
      <c r="E114" s="43">
        <f>IF(inputs_ok,ld_act,NA())</f>
        <v/>
      </c>
      <c r="F114" s="23" t="n"/>
      <c r="G114" s="31">
        <f>IF(NOT(inputs_ok),"FAIL",IF(defl_ok,"OK","FAIL"))</f>
        <v/>
      </c>
    </row>
    <row r="115"/>
    <row r="116" ht="22" customHeight="1">
      <c r="B116" s="20" t="inlineStr">
        <is>
          <t>Calculation  ·  cracking without direct calculation  (7.3.3)</t>
        </is>
      </c>
      <c r="C116" s="21" t="n"/>
      <c r="D116" s="21" t="n"/>
      <c r="E116" s="21" t="n"/>
      <c r="F116" s="21" t="n"/>
      <c r="G116" s="21" t="n"/>
    </row>
    <row r="117" ht="17" customHeight="1">
      <c r="B117" s="26" t="inlineStr">
        <is>
          <t>7.3.2(2)</t>
        </is>
      </c>
      <c r="C117" s="24" t="inlineStr">
        <is>
          <t>Tensile strength when the cracks form  fct,eff = fctm</t>
        </is>
      </c>
      <c r="D117" s="27" t="inlineStr">
        <is>
          <r>
            <rPr>
              <rFont val="Calibri"/>
              <i val="1"/>
              <color rgb="002B2B2B"/>
              <sz val="10"/>
            </rPr>
            <t>f</t>
          </r>
          <r>
            <rPr>
              <rFont val="Calibri"/>
              <i val="1"/>
              <color rgb="002B2B2B"/>
              <sz val="10"/>
              <vertAlign val="subscript"/>
            </rPr>
            <t>ct,eff</t>
          </r>
        </is>
      </c>
      <c r="E117" s="41">
        <f>IF(inputs_ok,f_ctm,NA())</f>
        <v/>
      </c>
      <c r="F117" s="28" t="inlineStr">
        <is>
          <t>MPa</t>
        </is>
      </c>
      <c r="G117" s="23" t="n"/>
    </row>
    <row r="118" ht="17" customHeight="1">
      <c r="B118" s="26" t="inlineStr">
        <is>
          <t>(7.6N)</t>
        </is>
      </c>
      <c r="C118" s="24" t="inlineStr">
        <is>
          <t>Tension zone before cracking  h/2</t>
        </is>
      </c>
      <c r="D118" s="27" t="inlineStr">
        <is>
          <r>
            <rPr>
              <rFont val="Calibri"/>
              <i val="1"/>
              <color rgb="002B2B2B"/>
              <sz val="10"/>
            </rPr>
            <t>h</t>
          </r>
          <r>
            <rPr>
              <rFont val="Calibri"/>
              <i val="1"/>
              <color rgb="002B2B2B"/>
              <sz val="10"/>
              <vertAlign val="subscript"/>
            </rPr>
            <t>cr</t>
          </r>
        </is>
      </c>
      <c r="E118" s="42">
        <f>IF(inputs_ok,h_sec/2,NA())</f>
        <v/>
      </c>
      <c r="F118" s="28" t="inlineStr">
        <is>
          <t>mm</t>
        </is>
      </c>
      <c r="G118" s="23" t="n"/>
    </row>
    <row r="119" ht="17" customHeight="1">
      <c r="B119" s="26" t="inlineStr">
        <is>
          <t>(7.6N)</t>
        </is>
      </c>
      <c r="C119" s="24" t="inlineStr">
        <is>
          <t>Bar size factor  (fct,eff / 2.9) kc hcr / (2 (h − d)),  kc = 0.4</t>
        </is>
      </c>
      <c r="D119" s="23" t="n"/>
      <c r="E119" s="44">
        <f>IF(inputs_ok,fct_eff/2.9*0.4*h_cr/(2*(h_sec-d_eff)),NA())</f>
        <v/>
      </c>
      <c r="F119" s="23" t="n"/>
      <c r="G119" s="23" t="n"/>
    </row>
    <row r="120" ht="17" customHeight="1">
      <c r="B120" s="26" t="inlineStr">
        <is>
          <t>Table 7.2N</t>
        </is>
      </c>
      <c r="C120" s="24" t="inlineStr">
        <is>
          <t>Maximum bar size from the table at σs  φs*</t>
        </is>
      </c>
      <c r="D120" s="27" t="inlineStr">
        <is>
          <r>
            <rPr>
              <rFont val="Calibri"/>
              <i val="1"/>
              <color rgb="002B2B2B"/>
              <sz val="10"/>
            </rPr>
            <t>φ</t>
          </r>
          <r>
            <rPr>
              <rFont val="Calibri"/>
              <i val="1"/>
              <color rgb="002B2B2B"/>
              <sz val="10"/>
              <vertAlign val="subscript"/>
            </rPr>
            <t>s*</t>
          </r>
        </is>
      </c>
      <c r="E120" s="43">
        <f>IF(inputs_ok,IF(sig_cr&gt;450,0,IF(OR(INDEX(cr_phi,MATCH(MAX(160,sig_cr),cr_s,1))=0,AND(sig_cr&gt;INDEX(cr_s,MATCH(MAX(160,sig_cr),cr_s,1)),INDEX(cr_phi,MIN(MATCH(MAX(160,sig_cr),cr_s,1)+1,8))=0)),0,IF(INDEX(cr_s,MIN(MATCH(MAX(160,sig_cr),cr_s,1)+1,8))=INDEX(cr_s,MATCH(MAX(160,sig_cr),cr_s,1)),INDEX(cr_phi,MATCH(MAX(160,sig_cr),cr_s,1)),INDEX(cr_phi,MATCH(MAX(160,sig_cr),cr_s,1))+(INDEX(cr_phi,MIN(MATCH(MAX(160,sig_cr),cr_s,1)+1,8))-INDEX(cr_phi,MATCH(MAX(160,sig_cr),cr_s,1)))*(MAX(160,sig_cr)-INDEX(cr_s,MATCH(MAX(160,sig_cr),cr_s,1)))/(INDEX(cr_s,MIN(MATCH(MAX(160,sig_cr),cr_s,1)+1,8))-INDEX(cr_s,MATCH(MAX(160,sig_cr),cr_s,1)))))),NA())</f>
        <v/>
      </c>
      <c r="F120" s="28" t="inlineStr">
        <is>
          <t>mm</t>
        </is>
      </c>
      <c r="G120" s="26" t="inlineStr">
        <is>
          <t>0: no value in the table</t>
        </is>
      </c>
    </row>
    <row r="121" ht="17" customHeight="1">
      <c r="B121" s="26" t="inlineStr">
        <is>
          <t>(7.6N)</t>
        </is>
      </c>
      <c r="C121" s="24" t="inlineStr">
        <is>
          <t>Adjusted maximum bar size  φs* × factor</t>
        </is>
      </c>
      <c r="D121" s="27" t="inlineStr">
        <is>
          <r>
            <rPr>
              <rFont val="Calibri"/>
              <i val="1"/>
              <color rgb="002B2B2B"/>
              <sz val="10"/>
            </rPr>
            <t>φ</t>
          </r>
          <r>
            <rPr>
              <rFont val="Calibri"/>
              <i val="1"/>
              <color rgb="002B2B2B"/>
              <sz val="10"/>
              <vertAlign val="subscript"/>
            </rPr>
            <t>s</t>
          </r>
        </is>
      </c>
      <c r="E121" s="46">
        <f>IF(inputs_ok,phit_cr*cr_adj,NA())</f>
        <v/>
      </c>
      <c r="F121" s="28" t="inlineStr">
        <is>
          <t>mm</t>
        </is>
      </c>
      <c r="G121" s="23" t="n"/>
    </row>
    <row r="122" ht="17" customHeight="1">
      <c r="B122" s="26" t="inlineStr">
        <is>
          <t>Table 7.3N</t>
        </is>
      </c>
      <c r="C122" s="24" t="inlineStr">
        <is>
          <t>Maximum bar spacing at σs</t>
        </is>
      </c>
      <c r="D122" s="27" t="inlineStr">
        <is>
          <r>
            <rPr>
              <rFont val="Calibri"/>
              <i val="1"/>
              <color rgb="002B2B2B"/>
              <sz val="10"/>
            </rPr>
            <t>s</t>
          </r>
          <r>
            <rPr>
              <rFont val="Calibri"/>
              <i val="1"/>
              <color rgb="002B2B2B"/>
              <sz val="10"/>
              <vertAlign val="subscript"/>
            </rPr>
            <t>max</t>
          </r>
        </is>
      </c>
      <c r="E122" s="45">
        <f>IF(inputs_ok,IF(sig_cr&gt;450,0,IF(OR(INDEX(cr_sp,MATCH(MAX(160,sig_cr),cr_s,1))=0,AND(sig_cr&gt;INDEX(cr_s,MATCH(MAX(160,sig_cr),cr_s,1)),INDEX(cr_sp,MIN(MATCH(MAX(160,sig_cr),cr_s,1)+1,8))=0)),0,IF(INDEX(cr_s,MIN(MATCH(MAX(160,sig_cr),cr_s,1)+1,8))=INDEX(cr_s,MATCH(MAX(160,sig_cr),cr_s,1)),INDEX(cr_sp,MATCH(MAX(160,sig_cr),cr_s,1)),INDEX(cr_sp,MATCH(MAX(160,sig_cr),cr_s,1))+(INDEX(cr_sp,MIN(MATCH(MAX(160,sig_cr),cr_s,1)+1,8))-INDEX(cr_sp,MATCH(MAX(160,sig_cr),cr_s,1)))*(MAX(160,sig_cr)-INDEX(cr_s,MATCH(MAX(160,sig_cr),cr_s,1)))/(INDEX(cr_s,MIN(MATCH(MAX(160,sig_cr),cr_s,1)+1,8))-INDEX(cr_s,MATCH(MAX(160,sig_cr),cr_s,1)))))),NA())</f>
        <v/>
      </c>
      <c r="F122" s="28" t="inlineStr">
        <is>
          <t>mm</t>
        </is>
      </c>
      <c r="G122" s="26" t="inlineStr">
        <is>
          <t>0: no value in the table</t>
        </is>
      </c>
    </row>
    <row r="123" ht="17" customHeight="1">
      <c r="B123" s="23" t="n"/>
      <c r="C123" s="24" t="inlineStr">
        <is>
          <t>Bar spacing</t>
        </is>
      </c>
      <c r="D123" s="27" t="inlineStr">
        <is>
          <r>
            <rPr>
              <rFont val="Calibri"/>
              <i val="1"/>
              <color rgb="002B2B2B"/>
              <sz val="10"/>
            </rPr>
            <t>s</t>
          </r>
        </is>
      </c>
      <c r="E123" s="42">
        <f>IF(inputs_ok,s_cr,NA())</f>
        <v/>
      </c>
      <c r="F123" s="28" t="inlineStr">
        <is>
          <t>mm</t>
        </is>
      </c>
      <c r="G123" s="23" t="n"/>
    </row>
    <row r="124" ht="17" customHeight="1">
      <c r="B124" s="26" t="inlineStr">
        <is>
          <t>Table 7.2N</t>
        </is>
      </c>
      <c r="C124" s="24" t="inlineStr">
        <is>
          <t>Bar size  φ ≤ φs</t>
        </is>
      </c>
      <c r="D124" s="27" t="inlineStr">
        <is>
          <r>
            <rPr>
              <rFont val="Calibri"/>
              <i val="1"/>
              <color rgb="002B2B2B"/>
              <sz val="10"/>
            </rPr>
            <t>φ</t>
          </r>
        </is>
      </c>
      <c r="E124" s="42">
        <f>IF(inputs_ok,phi,NA())</f>
        <v/>
      </c>
      <c r="F124" s="28" t="inlineStr">
        <is>
          <t>mm</t>
        </is>
      </c>
      <c r="G124" s="31">
        <f>IF(NOT(inputs_ok),"FAIL",IF(size_ok,"OK","FAIL"))</f>
        <v/>
      </c>
    </row>
    <row r="125" ht="17" customHeight="1">
      <c r="B125" s="26" t="inlineStr">
        <is>
          <t>Table 7.3N</t>
        </is>
      </c>
      <c r="C125" s="24" t="inlineStr">
        <is>
          <t>Bar spacing  s ≤ s_max</t>
        </is>
      </c>
      <c r="D125" s="27" t="inlineStr">
        <is>
          <r>
            <rPr>
              <rFont val="Calibri"/>
              <i val="1"/>
              <color rgb="002B2B2B"/>
              <sz val="10"/>
            </rPr>
            <t>s</t>
          </r>
        </is>
      </c>
      <c r="E125" s="42">
        <f>IF(inputs_ok,s_cr,NA())</f>
        <v/>
      </c>
      <c r="F125" s="28" t="inlineStr">
        <is>
          <t>mm</t>
        </is>
      </c>
      <c r="G125" s="31">
        <f>IF(NOT(inputs_ok),"FAIL",IF(spac_ok,"OK","FAIL"))</f>
        <v/>
      </c>
    </row>
    <row r="126" ht="54" customHeight="1">
      <c r="B126" s="48" t="inlineStr">
        <is>
          <t>Either table is enough for cracking caused mainly by loading (7.3.3(2)). Slabs in buildings in bending with h ≤ 200 mm need no specific measures when 9.3 is applied (7.3.3(1)): taken here when the spacing and gap checks pass; the secondary bars (9.3.1.1(2)) and the curtailment rules are for the designer. The minimum reinforcement for crack control (7.3.2) and restraint cracking (RC-022) are separate checks. σs uses As,req / As,prov and 1/δ (TCC How to); the same stress gives 310/σs for the deflection check.</t>
        </is>
      </c>
    </row>
    <row r="127"/>
    <row r="128" ht="29" customHeight="1">
      <c r="B128" s="48"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7">
    <mergeCell ref="E5:G5"/>
    <mergeCell ref="B128:G128"/>
    <mergeCell ref="B126:G126"/>
    <mergeCell ref="D2:G2"/>
    <mergeCell ref="E7:G7"/>
    <mergeCell ref="E6:G6"/>
    <mergeCell ref="C3:G3"/>
  </mergeCells>
  <conditionalFormatting sqref="G9:G129">
    <cfRule type="expression" priority="1" dxfId="0">
      <formula>G9="OK"</formula>
    </cfRule>
    <cfRule type="expression" priority="2" dxfId="1">
      <formula>G9="FAIL"</formula>
    </cfRule>
    <cfRule type="expression" priority="3" dxfId="2">
      <formula>LEFT(G9,1)="!"</formula>
    </cfRule>
  </conditionalFormatting>
  <dataValidations count="21">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Pick a value from the list." type="list" errorStyle="stop">
      <formula1>"A,B,C"</formula1>
    </dataValidation>
    <dataValidation sqref="E15" showDropDown="0" showInputMessage="0" showErrorMessage="1" allowBlank="0" errorTitle="NA Engineering" error="Enter a number greater than 0." type="decimal" errorStyle="stop" operator="greaterThan">
      <formula1>0</formula1>
    </dataValidation>
    <dataValidation sqref="E16" showDropDown="0" showInputMessage="0" showErrorMessage="1" allowBlank="0" errorTitle="NA Engineering" error="Pick a value from the list." type="list" errorStyle="stop">
      <formula1>"Simply supported span,End span,Interior span,Flat slab span,Cantilever,Support"</formula1>
    </dataValidation>
    <dataValidation sqref="E17" showDropDown="0" showInputMessage="0" showErrorMessage="1" allowBlank="0" errorTitle="NA Engineering" error="Enter a number greater than 0." type="decimal" errorStyle="stop" operator="greaterThan">
      <formula1>0</formula1>
    </dataValidation>
    <dataValidation sqref="E18" showDropDown="0" showInputMessage="0" showErrorMessage="1" allowBlank="0" errorTitle="NA Engineering" error="Enter a number greater than 0." type="decimal" errorStyle="stop" operator="greaterThan">
      <formula1>0</formula1>
    </dataValidation>
    <dataValidation sqref="E19" showDropDown="0" showInputMessage="0" showErrorMessage="1" allowBlank="0" errorTitle="NA Engineering" error="Pick a value from the list." type="list" errorStyle="stop">
      <formula1>"8,10,12,16,20,25,32,40"</formula1>
    </dataValidation>
    <dataValidation sqref="E20" showDropDown="0" showInputMessage="0" showErrorMessage="1" allowBlank="0" errorTitle="NA Engineering" error="Enter a number greater than 0." type="decimal" errorStyle="stop" operator="greaterThan">
      <formula1>0</formula1>
    </dataValidation>
    <dataValidation sqref="E23" showDropDown="0" showInputMessage="0" showErrorMessage="1" allowBlank="0" errorTitle="NA Engineering" error="Enter a number ≥ 0." type="decimal" errorStyle="stop" operator="greaterThanOrEqual">
      <formula1>0</formula1>
    </dataValidation>
    <dataValidation sqref="E24" showDropDown="0" showInputMessage="0" showErrorMessage="1" allowBlank="0" errorTitle="NA Engineering" error="Enter a number greater than 0." type="decimal" errorStyle="stop" operator="greaterThan">
      <formula1>0</formula1>
    </dataValidation>
    <dataValidation sqref="E25" showDropDown="0" showInputMessage="0" showErrorMessage="1" allowBlank="1" errorTitle="NA Engineering" error="Enter a number greater than 0." type="custom" errorStyle="stop">
      <formula1>IF(loc&lt;&gt;"Support",AND(ISNUMBER(E25),E25&gt;0),TRUE)</formula1>
    </dataValidation>
    <dataValidation sqref="E26" showDropDown="0" showInputMessage="0" showErrorMessage="1" allowBlank="0" errorTitle="NA Engineering" error="Enter a number ≥ 0." type="decimal" errorStyle="stop" operator="greaterThanOrEqual">
      <formula1>0</formula1>
    </dataValidation>
    <dataValidation sqref="E27" showDropDown="0" showInputMessage="0" showErrorMessage="1" allowBlank="0" errorTitle="NA Engineering" error="Enter a number ≥ 0." type="decimal" errorStyle="stop" operator="greaterThanOrEqual">
      <formula1>0</formula1>
    </dataValidation>
    <dataValidation sqref="E28" showDropDown="0" showInputMessage="0" showErrorMessage="1" allowBlank="0" errorTitle="NA Engineering" error="Enter a number greater than 0." type="decimal" errorStyle="stop" operator="greaterThan">
      <formula1>0</formula1>
    </dataValidation>
    <dataValidation sqref="E29" showDropDown="0" showInputMessage="0" showErrorMessage="1" allowBlank="0" errorTitle="NA Engineering" error="Enter a number greater than 0." type="decimal" errorStyle="stop" operator="greaterThan">
      <formula1>0</formula1>
    </dataValidation>
    <dataValidation sqref="E30" showDropDown="0" showInputMessage="0" showErrorMessage="1" allowBlank="0" errorTitle="NA Engineering" error="Pick a value from the list." type="list" errorStyle="stop">
      <formula1>"A  domestic or residential,B  office,C  congregation  (crowds),D  shopping,E  storage,F  traffic  (vehicles ≤ 30 kN),G  traffic  (30 – 160 kN),H  roof,Other  (enter ψ2)"</formula1>
    </dataValidation>
    <dataValidation sqref="E31" showDropDown="0" showInputMessage="0" showErrorMessage="1" allowBlank="1" errorTitle="NA Engineering" error="Enter a number ≥ 0." type="custom" errorStyle="stop">
      <formula1>IF(usage="Other  (enter ψ2)",AND(ISNUMBER(E31),E31&gt;=0),TRUE)</formula1>
    </dataValidation>
    <dataValidation sqref="E32" showDropDown="0" showInputMessage="0" showErrorMessage="1" allowBlank="0" errorTitle="NA Engineering" error="Pick a value from the list." type="list" errorStyle="stop">
      <formula1>"No,Yes"</formula1>
    </dataValidation>
    <dataValidation sqref="E33" showDropDown="0" showInputMessage="0" showErrorMessage="1" allowBlank="0" errorTitle="NA Engineering" error="Pick a value from the list." type="list" errorStyle="stop">
      <formula1>"0.4,0.3,0.2"</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&amp;K8A8A8ANAE-RC-040  v1.0</oddFooter>
    <evenHeader/>
    <evenFooter/>
    <firstHeader/>
    <firstFooter/>
  </headerFooter>
  <rowBreaks count="1" manualBreakCount="1">
    <brk id="35" min="0" max="16383" man="1"/>
  </rowBreaks>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HJ13"/>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section</t>
        </is>
      </c>
      <c r="G2" t="inlineStr">
        <is>
          <t>bar 0</t>
        </is>
      </c>
      <c r="J2" t="inlineStr">
        <is>
          <t>bar 1</t>
        </is>
      </c>
      <c r="M2" t="inlineStr">
        <is>
          <t>bar 2</t>
        </is>
      </c>
      <c r="P2" t="inlineStr">
        <is>
          <t>bar 3</t>
        </is>
      </c>
      <c r="S2" t="inlineStr">
        <is>
          <t>bar 4</t>
        </is>
      </c>
      <c r="V2" t="inlineStr">
        <is>
          <t>bar 5</t>
        </is>
      </c>
      <c r="Y2" t="inlineStr">
        <is>
          <t>bar 6</t>
        </is>
      </c>
      <c r="AB2" t="inlineStr">
        <is>
          <t>bar 7</t>
        </is>
      </c>
      <c r="AE2" t="inlineStr">
        <is>
          <t>bar 8</t>
        </is>
      </c>
      <c r="AH2" t="inlineStr">
        <is>
          <t>bar 9</t>
        </is>
      </c>
      <c r="AK2" t="inlineStr">
        <is>
          <t>bar 10</t>
        </is>
      </c>
      <c r="AN2" t="inlineStr">
        <is>
          <t>bar 11</t>
        </is>
      </c>
      <c r="AQ2" t="inlineStr">
        <is>
          <t>bar 12</t>
        </is>
      </c>
      <c r="AT2" t="inlineStr">
        <is>
          <t>bar 13</t>
        </is>
      </c>
      <c r="AW2" t="inlineStr">
        <is>
          <t>bar 14</t>
        </is>
      </c>
      <c r="AZ2" t="inlineStr">
        <is>
          <t>bar 15</t>
        </is>
      </c>
      <c r="BC2" t="inlineStr">
        <is>
          <t>bar 16</t>
        </is>
      </c>
      <c r="BF2" t="inlineStr">
        <is>
          <t>bar 17</t>
        </is>
      </c>
      <c r="BI2" t="inlineStr">
        <is>
          <t>bar 18</t>
        </is>
      </c>
      <c r="BL2" t="inlineStr">
        <is>
          <t>bar 19</t>
        </is>
      </c>
      <c r="BO2" t="inlineStr">
        <is>
          <t>bar 20</t>
        </is>
      </c>
      <c r="BR2" t="inlineStr">
        <is>
          <t>bar 21</t>
        </is>
      </c>
      <c r="BU2" t="inlineStr">
        <is>
          <t>bar 22</t>
        </is>
      </c>
      <c r="BX2" t="inlineStr">
        <is>
          <t>bar 23</t>
        </is>
      </c>
      <c r="CA2" t="inlineStr">
        <is>
          <t>bar 24</t>
        </is>
      </c>
      <c r="CD2" t="inlineStr">
        <is>
          <t>bar 25</t>
        </is>
      </c>
      <c r="CG2" t="inlineStr">
        <is>
          <t>bar 26</t>
        </is>
      </c>
      <c r="CJ2" t="inlineStr">
        <is>
          <t>bar 27</t>
        </is>
      </c>
      <c r="CM2" t="inlineStr">
        <is>
          <t>bar 28</t>
        </is>
      </c>
      <c r="CP2" t="inlineStr">
        <is>
          <t>bar 29</t>
        </is>
      </c>
      <c r="CS2" t="inlineStr">
        <is>
          <t>bar 30</t>
        </is>
      </c>
      <c r="CV2" t="inlineStr">
        <is>
          <t>bar 31</t>
        </is>
      </c>
      <c r="CY2" t="inlineStr">
        <is>
          <t>bar 32</t>
        </is>
      </c>
      <c r="DB2" t="inlineStr">
        <is>
          <t>bar 33</t>
        </is>
      </c>
      <c r="DE2" t="inlineStr">
        <is>
          <t>bar 34</t>
        </is>
      </c>
      <c r="DH2" t="inlineStr">
        <is>
          <t>bar 35</t>
        </is>
      </c>
      <c r="DK2" t="inlineStr">
        <is>
          <t>bar 36</t>
        </is>
      </c>
      <c r="DN2" t="inlineStr">
        <is>
          <t>bar 37</t>
        </is>
      </c>
      <c r="DQ2" t="inlineStr">
        <is>
          <t>bar 38</t>
        </is>
      </c>
      <c r="DT2" t="inlineStr">
        <is>
          <t>bar 39</t>
        </is>
      </c>
      <c r="DW2" t="inlineStr">
        <is>
          <t>bar 40</t>
        </is>
      </c>
      <c r="DZ2" t="inlineStr">
        <is>
          <t>bar 41</t>
        </is>
      </c>
      <c r="EC2" t="inlineStr">
        <is>
          <t>bar 42</t>
        </is>
      </c>
      <c r="EF2" t="inlineStr">
        <is>
          <t>bar 43</t>
        </is>
      </c>
      <c r="EI2" t="inlineStr">
        <is>
          <t>bar 44</t>
        </is>
      </c>
      <c r="EL2" t="inlineStr">
        <is>
          <t>bar 45</t>
        </is>
      </c>
      <c r="EO2" t="inlineStr">
        <is>
          <t>bar 46</t>
        </is>
      </c>
      <c r="ER2" t="inlineStr">
        <is>
          <t>bar 47</t>
        </is>
      </c>
      <c r="EU2" t="inlineStr">
        <is>
          <t>bar 48</t>
        </is>
      </c>
      <c r="EX2" t="inlineStr">
        <is>
          <t>bar 49</t>
        </is>
      </c>
      <c r="FA2" t="inlineStr">
        <is>
          <t>bar 50</t>
        </is>
      </c>
      <c r="FD2" t="inlineStr">
        <is>
          <t>bar 51</t>
        </is>
      </c>
      <c r="FG2" t="inlineStr">
        <is>
          <t>bar 52</t>
        </is>
      </c>
      <c r="FJ2" t="inlineStr">
        <is>
          <t>bar 53</t>
        </is>
      </c>
      <c r="FM2" t="inlineStr">
        <is>
          <t>bar 54</t>
        </is>
      </c>
      <c r="FP2" t="inlineStr">
        <is>
          <t>bar 55</t>
        </is>
      </c>
      <c r="FS2" t="inlineStr">
        <is>
          <t>bar 56</t>
        </is>
      </c>
      <c r="FV2" t="inlineStr">
        <is>
          <t>bar 57</t>
        </is>
      </c>
      <c r="FY2" t="inlineStr">
        <is>
          <t>bar 58</t>
        </is>
      </c>
      <c r="GB2" t="inlineStr">
        <is>
          <t>bar 59</t>
        </is>
      </c>
      <c r="GE2">
        <f>IF(inputs_ok,IF(s_bar/2+60*s_bar&lt;1000,"first 60 bars drawn",""),"")</f>
        <v/>
      </c>
      <c r="GH2" t="inlineStr">
        <is>
          <t>neutral axis</t>
        </is>
      </c>
      <c r="GK2" t="inlineStr">
        <is>
          <t>dim</t>
        </is>
      </c>
      <c r="GN2">
        <f>IF(inputs_ok,"h "&amp;TEXT(h_sec,"0"),"")</f>
        <v/>
      </c>
      <c r="GQ2" t="inlineStr">
        <is>
          <t>dim</t>
        </is>
      </c>
      <c r="GT2">
        <f>IF(inputs_ok,"d "&amp;TEXT(d_eff,"0"),"")</f>
        <v/>
      </c>
      <c r="GW2" t="inlineStr">
        <is>
          <t>dim</t>
        </is>
      </c>
      <c r="GZ2">
        <f>IF(inputs_ok,"1000 strip  ·  φ"&amp;phi&amp;" @ "&amp;s_bar,"")</f>
        <v/>
      </c>
      <c r="HC2">
        <f>IF(inputs_ok,IF(M_Ed&gt;0,"x "&amp;TEXT(x_na,"0"),""),"")</f>
        <v/>
      </c>
      <c r="HF2">
        <f>IF(inputs_ok,IF(hog,"hogging: tension at the top","sagging: tension at the bottom"),"")</f>
        <v/>
      </c>
      <c r="HI2" t="inlineStr">
        <is>
          <t>frame</t>
        </is>
      </c>
    </row>
    <row r="3">
      <c r="A3">
        <f>0</f>
        <v/>
      </c>
      <c r="B3">
        <f>0</f>
        <v/>
      </c>
      <c r="D3">
        <f>IF(inputs_ok,0,NA())</f>
        <v/>
      </c>
      <c r="E3">
        <f>0</f>
        <v/>
      </c>
      <c r="G3">
        <f>IF(inputs_ok,IF(s_bar/2+0*s_bar&lt;1000,(s_bar/2+0*s_bar)+(phi/2)*1.000000,NA()),NA())</f>
        <v/>
      </c>
      <c r="H3">
        <f>IF(s_bar/2+0*s_bar&lt;1000,(IF(hog,h_sec-c_nom-phi/2,c_nom+phi/2))+(phi/2)*0.000000,NA())</f>
        <v/>
      </c>
      <c r="J3">
        <f>IF(inputs_ok,IF(s_bar/2+1*s_bar&lt;1000,(s_bar/2+1*s_bar)+(phi/2)*1.000000,NA()),NA())</f>
        <v/>
      </c>
      <c r="K3">
        <f>IF(s_bar/2+1*s_bar&lt;1000,(IF(hog,h_sec-c_nom-phi/2,c_nom+phi/2))+(phi/2)*0.000000,NA())</f>
        <v/>
      </c>
      <c r="M3">
        <f>IF(inputs_ok,IF(s_bar/2+2*s_bar&lt;1000,(s_bar/2+2*s_bar)+(phi/2)*1.000000,NA()),NA())</f>
        <v/>
      </c>
      <c r="N3">
        <f>IF(s_bar/2+2*s_bar&lt;1000,(IF(hog,h_sec-c_nom-phi/2,c_nom+phi/2))+(phi/2)*0.000000,NA())</f>
        <v/>
      </c>
      <c r="P3">
        <f>IF(inputs_ok,IF(s_bar/2+3*s_bar&lt;1000,(s_bar/2+3*s_bar)+(phi/2)*1.000000,NA()),NA())</f>
        <v/>
      </c>
      <c r="Q3">
        <f>IF(s_bar/2+3*s_bar&lt;1000,(IF(hog,h_sec-c_nom-phi/2,c_nom+phi/2))+(phi/2)*0.000000,NA())</f>
        <v/>
      </c>
      <c r="S3">
        <f>IF(inputs_ok,IF(s_bar/2+4*s_bar&lt;1000,(s_bar/2+4*s_bar)+(phi/2)*1.000000,NA()),NA())</f>
        <v/>
      </c>
      <c r="T3">
        <f>IF(s_bar/2+4*s_bar&lt;1000,(IF(hog,h_sec-c_nom-phi/2,c_nom+phi/2))+(phi/2)*0.000000,NA())</f>
        <v/>
      </c>
      <c r="V3">
        <f>IF(inputs_ok,IF(s_bar/2+5*s_bar&lt;1000,(s_bar/2+5*s_bar)+(phi/2)*1.000000,NA()),NA())</f>
        <v/>
      </c>
      <c r="W3">
        <f>IF(s_bar/2+5*s_bar&lt;1000,(IF(hog,h_sec-c_nom-phi/2,c_nom+phi/2))+(phi/2)*0.000000,NA())</f>
        <v/>
      </c>
      <c r="Y3">
        <f>IF(inputs_ok,IF(s_bar/2+6*s_bar&lt;1000,(s_bar/2+6*s_bar)+(phi/2)*1.000000,NA()),NA())</f>
        <v/>
      </c>
      <c r="Z3">
        <f>IF(s_bar/2+6*s_bar&lt;1000,(IF(hog,h_sec-c_nom-phi/2,c_nom+phi/2))+(phi/2)*0.000000,NA())</f>
        <v/>
      </c>
      <c r="AB3">
        <f>IF(inputs_ok,IF(s_bar/2+7*s_bar&lt;1000,(s_bar/2+7*s_bar)+(phi/2)*1.000000,NA()),NA())</f>
        <v/>
      </c>
      <c r="AC3">
        <f>IF(s_bar/2+7*s_bar&lt;1000,(IF(hog,h_sec-c_nom-phi/2,c_nom+phi/2))+(phi/2)*0.000000,NA())</f>
        <v/>
      </c>
      <c r="AE3">
        <f>IF(inputs_ok,IF(s_bar/2+8*s_bar&lt;1000,(s_bar/2+8*s_bar)+(phi/2)*1.000000,NA()),NA())</f>
        <v/>
      </c>
      <c r="AF3">
        <f>IF(s_bar/2+8*s_bar&lt;1000,(IF(hog,h_sec-c_nom-phi/2,c_nom+phi/2))+(phi/2)*0.000000,NA())</f>
        <v/>
      </c>
      <c r="AH3">
        <f>IF(inputs_ok,IF(s_bar/2+9*s_bar&lt;1000,(s_bar/2+9*s_bar)+(phi/2)*1.000000,NA()),NA())</f>
        <v/>
      </c>
      <c r="AI3">
        <f>IF(s_bar/2+9*s_bar&lt;1000,(IF(hog,h_sec-c_nom-phi/2,c_nom+phi/2))+(phi/2)*0.000000,NA())</f>
        <v/>
      </c>
      <c r="AK3">
        <f>IF(inputs_ok,IF(s_bar/2+10*s_bar&lt;1000,(s_bar/2+10*s_bar)+(phi/2)*1.000000,NA()),NA())</f>
        <v/>
      </c>
      <c r="AL3">
        <f>IF(s_bar/2+10*s_bar&lt;1000,(IF(hog,h_sec-c_nom-phi/2,c_nom+phi/2))+(phi/2)*0.000000,NA())</f>
        <v/>
      </c>
      <c r="AN3">
        <f>IF(inputs_ok,IF(s_bar/2+11*s_bar&lt;1000,(s_bar/2+11*s_bar)+(phi/2)*1.000000,NA()),NA())</f>
        <v/>
      </c>
      <c r="AO3">
        <f>IF(s_bar/2+11*s_bar&lt;1000,(IF(hog,h_sec-c_nom-phi/2,c_nom+phi/2))+(phi/2)*0.000000,NA())</f>
        <v/>
      </c>
      <c r="AQ3">
        <f>IF(inputs_ok,IF(s_bar/2+12*s_bar&lt;1000,(s_bar/2+12*s_bar)+(phi/2)*1.000000,NA()),NA())</f>
        <v/>
      </c>
      <c r="AR3">
        <f>IF(s_bar/2+12*s_bar&lt;1000,(IF(hog,h_sec-c_nom-phi/2,c_nom+phi/2))+(phi/2)*0.000000,NA())</f>
        <v/>
      </c>
      <c r="AT3">
        <f>IF(inputs_ok,IF(s_bar/2+13*s_bar&lt;1000,(s_bar/2+13*s_bar)+(phi/2)*1.000000,NA()),NA())</f>
        <v/>
      </c>
      <c r="AU3">
        <f>IF(s_bar/2+13*s_bar&lt;1000,(IF(hog,h_sec-c_nom-phi/2,c_nom+phi/2))+(phi/2)*0.000000,NA())</f>
        <v/>
      </c>
      <c r="AW3">
        <f>IF(inputs_ok,IF(s_bar/2+14*s_bar&lt;1000,(s_bar/2+14*s_bar)+(phi/2)*1.000000,NA()),NA())</f>
        <v/>
      </c>
      <c r="AX3">
        <f>IF(s_bar/2+14*s_bar&lt;1000,(IF(hog,h_sec-c_nom-phi/2,c_nom+phi/2))+(phi/2)*0.000000,NA())</f>
        <v/>
      </c>
      <c r="AZ3">
        <f>IF(inputs_ok,IF(s_bar/2+15*s_bar&lt;1000,(s_bar/2+15*s_bar)+(phi/2)*1.000000,NA()),NA())</f>
        <v/>
      </c>
      <c r="BA3">
        <f>IF(s_bar/2+15*s_bar&lt;1000,(IF(hog,h_sec-c_nom-phi/2,c_nom+phi/2))+(phi/2)*0.000000,NA())</f>
        <v/>
      </c>
      <c r="BC3">
        <f>IF(inputs_ok,IF(s_bar/2+16*s_bar&lt;1000,(s_bar/2+16*s_bar)+(phi/2)*1.000000,NA()),NA())</f>
        <v/>
      </c>
      <c r="BD3">
        <f>IF(s_bar/2+16*s_bar&lt;1000,(IF(hog,h_sec-c_nom-phi/2,c_nom+phi/2))+(phi/2)*0.000000,NA())</f>
        <v/>
      </c>
      <c r="BF3">
        <f>IF(inputs_ok,IF(s_bar/2+17*s_bar&lt;1000,(s_bar/2+17*s_bar)+(phi/2)*1.000000,NA()),NA())</f>
        <v/>
      </c>
      <c r="BG3">
        <f>IF(s_bar/2+17*s_bar&lt;1000,(IF(hog,h_sec-c_nom-phi/2,c_nom+phi/2))+(phi/2)*0.000000,NA())</f>
        <v/>
      </c>
      <c r="BI3">
        <f>IF(inputs_ok,IF(s_bar/2+18*s_bar&lt;1000,(s_bar/2+18*s_bar)+(phi/2)*1.000000,NA()),NA())</f>
        <v/>
      </c>
      <c r="BJ3">
        <f>IF(s_bar/2+18*s_bar&lt;1000,(IF(hog,h_sec-c_nom-phi/2,c_nom+phi/2))+(phi/2)*0.000000,NA())</f>
        <v/>
      </c>
      <c r="BL3">
        <f>IF(inputs_ok,IF(s_bar/2+19*s_bar&lt;1000,(s_bar/2+19*s_bar)+(phi/2)*1.000000,NA()),NA())</f>
        <v/>
      </c>
      <c r="BM3">
        <f>IF(s_bar/2+19*s_bar&lt;1000,(IF(hog,h_sec-c_nom-phi/2,c_nom+phi/2))+(phi/2)*0.000000,NA())</f>
        <v/>
      </c>
      <c r="BO3">
        <f>IF(inputs_ok,IF(s_bar/2+20*s_bar&lt;1000,(s_bar/2+20*s_bar)+(phi/2)*1.000000,NA()),NA())</f>
        <v/>
      </c>
      <c r="BP3">
        <f>IF(s_bar/2+20*s_bar&lt;1000,(IF(hog,h_sec-c_nom-phi/2,c_nom+phi/2))+(phi/2)*0.000000,NA())</f>
        <v/>
      </c>
      <c r="BR3">
        <f>IF(inputs_ok,IF(s_bar/2+21*s_bar&lt;1000,(s_bar/2+21*s_bar)+(phi/2)*1.000000,NA()),NA())</f>
        <v/>
      </c>
      <c r="BS3">
        <f>IF(s_bar/2+21*s_bar&lt;1000,(IF(hog,h_sec-c_nom-phi/2,c_nom+phi/2))+(phi/2)*0.000000,NA())</f>
        <v/>
      </c>
      <c r="BU3">
        <f>IF(inputs_ok,IF(s_bar/2+22*s_bar&lt;1000,(s_bar/2+22*s_bar)+(phi/2)*1.000000,NA()),NA())</f>
        <v/>
      </c>
      <c r="BV3">
        <f>IF(s_bar/2+22*s_bar&lt;1000,(IF(hog,h_sec-c_nom-phi/2,c_nom+phi/2))+(phi/2)*0.000000,NA())</f>
        <v/>
      </c>
      <c r="BX3">
        <f>IF(inputs_ok,IF(s_bar/2+23*s_bar&lt;1000,(s_bar/2+23*s_bar)+(phi/2)*1.000000,NA()),NA())</f>
        <v/>
      </c>
      <c r="BY3">
        <f>IF(s_bar/2+23*s_bar&lt;1000,(IF(hog,h_sec-c_nom-phi/2,c_nom+phi/2))+(phi/2)*0.000000,NA())</f>
        <v/>
      </c>
      <c r="CA3">
        <f>IF(inputs_ok,IF(s_bar/2+24*s_bar&lt;1000,(s_bar/2+24*s_bar)+(phi/2)*1.000000,NA()),NA())</f>
        <v/>
      </c>
      <c r="CB3">
        <f>IF(s_bar/2+24*s_bar&lt;1000,(IF(hog,h_sec-c_nom-phi/2,c_nom+phi/2))+(phi/2)*0.000000,NA())</f>
        <v/>
      </c>
      <c r="CD3">
        <f>IF(inputs_ok,IF(s_bar/2+25*s_bar&lt;1000,(s_bar/2+25*s_bar)+(phi/2)*1.000000,NA()),NA())</f>
        <v/>
      </c>
      <c r="CE3">
        <f>IF(s_bar/2+25*s_bar&lt;1000,(IF(hog,h_sec-c_nom-phi/2,c_nom+phi/2))+(phi/2)*0.000000,NA())</f>
        <v/>
      </c>
      <c r="CG3">
        <f>IF(inputs_ok,IF(s_bar/2+26*s_bar&lt;1000,(s_bar/2+26*s_bar)+(phi/2)*1.000000,NA()),NA())</f>
        <v/>
      </c>
      <c r="CH3">
        <f>IF(s_bar/2+26*s_bar&lt;1000,(IF(hog,h_sec-c_nom-phi/2,c_nom+phi/2))+(phi/2)*0.000000,NA())</f>
        <v/>
      </c>
      <c r="CJ3">
        <f>IF(inputs_ok,IF(s_bar/2+27*s_bar&lt;1000,(s_bar/2+27*s_bar)+(phi/2)*1.000000,NA()),NA())</f>
        <v/>
      </c>
      <c r="CK3">
        <f>IF(s_bar/2+27*s_bar&lt;1000,(IF(hog,h_sec-c_nom-phi/2,c_nom+phi/2))+(phi/2)*0.000000,NA())</f>
        <v/>
      </c>
      <c r="CM3">
        <f>IF(inputs_ok,IF(s_bar/2+28*s_bar&lt;1000,(s_bar/2+28*s_bar)+(phi/2)*1.000000,NA()),NA())</f>
        <v/>
      </c>
      <c r="CN3">
        <f>IF(s_bar/2+28*s_bar&lt;1000,(IF(hog,h_sec-c_nom-phi/2,c_nom+phi/2))+(phi/2)*0.000000,NA())</f>
        <v/>
      </c>
      <c r="CP3">
        <f>IF(inputs_ok,IF(s_bar/2+29*s_bar&lt;1000,(s_bar/2+29*s_bar)+(phi/2)*1.000000,NA()),NA())</f>
        <v/>
      </c>
      <c r="CQ3">
        <f>IF(s_bar/2+29*s_bar&lt;1000,(IF(hog,h_sec-c_nom-phi/2,c_nom+phi/2))+(phi/2)*0.000000,NA())</f>
        <v/>
      </c>
      <c r="CS3">
        <f>IF(inputs_ok,IF(s_bar/2+30*s_bar&lt;1000,(s_bar/2+30*s_bar)+(phi/2)*1.000000,NA()),NA())</f>
        <v/>
      </c>
      <c r="CT3">
        <f>IF(s_bar/2+30*s_bar&lt;1000,(IF(hog,h_sec-c_nom-phi/2,c_nom+phi/2))+(phi/2)*0.000000,NA())</f>
        <v/>
      </c>
      <c r="CV3">
        <f>IF(inputs_ok,IF(s_bar/2+31*s_bar&lt;1000,(s_bar/2+31*s_bar)+(phi/2)*1.000000,NA()),NA())</f>
        <v/>
      </c>
      <c r="CW3">
        <f>IF(s_bar/2+31*s_bar&lt;1000,(IF(hog,h_sec-c_nom-phi/2,c_nom+phi/2))+(phi/2)*0.000000,NA())</f>
        <v/>
      </c>
      <c r="CY3">
        <f>IF(inputs_ok,IF(s_bar/2+32*s_bar&lt;1000,(s_bar/2+32*s_bar)+(phi/2)*1.000000,NA()),NA())</f>
        <v/>
      </c>
      <c r="CZ3">
        <f>IF(s_bar/2+32*s_bar&lt;1000,(IF(hog,h_sec-c_nom-phi/2,c_nom+phi/2))+(phi/2)*0.000000,NA())</f>
        <v/>
      </c>
      <c r="DB3">
        <f>IF(inputs_ok,IF(s_bar/2+33*s_bar&lt;1000,(s_bar/2+33*s_bar)+(phi/2)*1.000000,NA()),NA())</f>
        <v/>
      </c>
      <c r="DC3">
        <f>IF(s_bar/2+33*s_bar&lt;1000,(IF(hog,h_sec-c_nom-phi/2,c_nom+phi/2))+(phi/2)*0.000000,NA())</f>
        <v/>
      </c>
      <c r="DE3">
        <f>IF(inputs_ok,IF(s_bar/2+34*s_bar&lt;1000,(s_bar/2+34*s_bar)+(phi/2)*1.000000,NA()),NA())</f>
        <v/>
      </c>
      <c r="DF3">
        <f>IF(s_bar/2+34*s_bar&lt;1000,(IF(hog,h_sec-c_nom-phi/2,c_nom+phi/2))+(phi/2)*0.000000,NA())</f>
        <v/>
      </c>
      <c r="DH3">
        <f>IF(inputs_ok,IF(s_bar/2+35*s_bar&lt;1000,(s_bar/2+35*s_bar)+(phi/2)*1.000000,NA()),NA())</f>
        <v/>
      </c>
      <c r="DI3">
        <f>IF(s_bar/2+35*s_bar&lt;1000,(IF(hog,h_sec-c_nom-phi/2,c_nom+phi/2))+(phi/2)*0.000000,NA())</f>
        <v/>
      </c>
      <c r="DK3">
        <f>IF(inputs_ok,IF(s_bar/2+36*s_bar&lt;1000,(s_bar/2+36*s_bar)+(phi/2)*1.000000,NA()),NA())</f>
        <v/>
      </c>
      <c r="DL3">
        <f>IF(s_bar/2+36*s_bar&lt;1000,(IF(hog,h_sec-c_nom-phi/2,c_nom+phi/2))+(phi/2)*0.000000,NA())</f>
        <v/>
      </c>
      <c r="DN3">
        <f>IF(inputs_ok,IF(s_bar/2+37*s_bar&lt;1000,(s_bar/2+37*s_bar)+(phi/2)*1.000000,NA()),NA())</f>
        <v/>
      </c>
      <c r="DO3">
        <f>IF(s_bar/2+37*s_bar&lt;1000,(IF(hog,h_sec-c_nom-phi/2,c_nom+phi/2))+(phi/2)*0.000000,NA())</f>
        <v/>
      </c>
      <c r="DQ3">
        <f>IF(inputs_ok,IF(s_bar/2+38*s_bar&lt;1000,(s_bar/2+38*s_bar)+(phi/2)*1.000000,NA()),NA())</f>
        <v/>
      </c>
      <c r="DR3">
        <f>IF(s_bar/2+38*s_bar&lt;1000,(IF(hog,h_sec-c_nom-phi/2,c_nom+phi/2))+(phi/2)*0.000000,NA())</f>
        <v/>
      </c>
      <c r="DT3">
        <f>IF(inputs_ok,IF(s_bar/2+39*s_bar&lt;1000,(s_bar/2+39*s_bar)+(phi/2)*1.000000,NA()),NA())</f>
        <v/>
      </c>
      <c r="DU3">
        <f>IF(s_bar/2+39*s_bar&lt;1000,(IF(hog,h_sec-c_nom-phi/2,c_nom+phi/2))+(phi/2)*0.000000,NA())</f>
        <v/>
      </c>
      <c r="DW3">
        <f>IF(inputs_ok,IF(s_bar/2+40*s_bar&lt;1000,(s_bar/2+40*s_bar)+(phi/2)*1.000000,NA()),NA())</f>
        <v/>
      </c>
      <c r="DX3">
        <f>IF(s_bar/2+40*s_bar&lt;1000,(IF(hog,h_sec-c_nom-phi/2,c_nom+phi/2))+(phi/2)*0.000000,NA())</f>
        <v/>
      </c>
      <c r="DZ3">
        <f>IF(inputs_ok,IF(s_bar/2+41*s_bar&lt;1000,(s_bar/2+41*s_bar)+(phi/2)*1.000000,NA()),NA())</f>
        <v/>
      </c>
      <c r="EA3">
        <f>IF(s_bar/2+41*s_bar&lt;1000,(IF(hog,h_sec-c_nom-phi/2,c_nom+phi/2))+(phi/2)*0.000000,NA())</f>
        <v/>
      </c>
      <c r="EC3">
        <f>IF(inputs_ok,IF(s_bar/2+42*s_bar&lt;1000,(s_bar/2+42*s_bar)+(phi/2)*1.000000,NA()),NA())</f>
        <v/>
      </c>
      <c r="ED3">
        <f>IF(s_bar/2+42*s_bar&lt;1000,(IF(hog,h_sec-c_nom-phi/2,c_nom+phi/2))+(phi/2)*0.000000,NA())</f>
        <v/>
      </c>
      <c r="EF3">
        <f>IF(inputs_ok,IF(s_bar/2+43*s_bar&lt;1000,(s_bar/2+43*s_bar)+(phi/2)*1.000000,NA()),NA())</f>
        <v/>
      </c>
      <c r="EG3">
        <f>IF(s_bar/2+43*s_bar&lt;1000,(IF(hog,h_sec-c_nom-phi/2,c_nom+phi/2))+(phi/2)*0.000000,NA())</f>
        <v/>
      </c>
      <c r="EI3">
        <f>IF(inputs_ok,IF(s_bar/2+44*s_bar&lt;1000,(s_bar/2+44*s_bar)+(phi/2)*1.000000,NA()),NA())</f>
        <v/>
      </c>
      <c r="EJ3">
        <f>IF(s_bar/2+44*s_bar&lt;1000,(IF(hog,h_sec-c_nom-phi/2,c_nom+phi/2))+(phi/2)*0.000000,NA())</f>
        <v/>
      </c>
      <c r="EL3">
        <f>IF(inputs_ok,IF(s_bar/2+45*s_bar&lt;1000,(s_bar/2+45*s_bar)+(phi/2)*1.000000,NA()),NA())</f>
        <v/>
      </c>
      <c r="EM3">
        <f>IF(s_bar/2+45*s_bar&lt;1000,(IF(hog,h_sec-c_nom-phi/2,c_nom+phi/2))+(phi/2)*0.000000,NA())</f>
        <v/>
      </c>
      <c r="EO3">
        <f>IF(inputs_ok,IF(s_bar/2+46*s_bar&lt;1000,(s_bar/2+46*s_bar)+(phi/2)*1.000000,NA()),NA())</f>
        <v/>
      </c>
      <c r="EP3">
        <f>IF(s_bar/2+46*s_bar&lt;1000,(IF(hog,h_sec-c_nom-phi/2,c_nom+phi/2))+(phi/2)*0.000000,NA())</f>
        <v/>
      </c>
      <c r="ER3">
        <f>IF(inputs_ok,IF(s_bar/2+47*s_bar&lt;1000,(s_bar/2+47*s_bar)+(phi/2)*1.000000,NA()),NA())</f>
        <v/>
      </c>
      <c r="ES3">
        <f>IF(s_bar/2+47*s_bar&lt;1000,(IF(hog,h_sec-c_nom-phi/2,c_nom+phi/2))+(phi/2)*0.000000,NA())</f>
        <v/>
      </c>
      <c r="EU3">
        <f>IF(inputs_ok,IF(s_bar/2+48*s_bar&lt;1000,(s_bar/2+48*s_bar)+(phi/2)*1.000000,NA()),NA())</f>
        <v/>
      </c>
      <c r="EV3">
        <f>IF(s_bar/2+48*s_bar&lt;1000,(IF(hog,h_sec-c_nom-phi/2,c_nom+phi/2))+(phi/2)*0.000000,NA())</f>
        <v/>
      </c>
      <c r="EX3">
        <f>IF(inputs_ok,IF(s_bar/2+49*s_bar&lt;1000,(s_bar/2+49*s_bar)+(phi/2)*1.000000,NA()),NA())</f>
        <v/>
      </c>
      <c r="EY3">
        <f>IF(s_bar/2+49*s_bar&lt;1000,(IF(hog,h_sec-c_nom-phi/2,c_nom+phi/2))+(phi/2)*0.000000,NA())</f>
        <v/>
      </c>
      <c r="FA3">
        <f>IF(inputs_ok,IF(s_bar/2+50*s_bar&lt;1000,(s_bar/2+50*s_bar)+(phi/2)*1.000000,NA()),NA())</f>
        <v/>
      </c>
      <c r="FB3">
        <f>IF(s_bar/2+50*s_bar&lt;1000,(IF(hog,h_sec-c_nom-phi/2,c_nom+phi/2))+(phi/2)*0.000000,NA())</f>
        <v/>
      </c>
      <c r="FD3">
        <f>IF(inputs_ok,IF(s_bar/2+51*s_bar&lt;1000,(s_bar/2+51*s_bar)+(phi/2)*1.000000,NA()),NA())</f>
        <v/>
      </c>
      <c r="FE3">
        <f>IF(s_bar/2+51*s_bar&lt;1000,(IF(hog,h_sec-c_nom-phi/2,c_nom+phi/2))+(phi/2)*0.000000,NA())</f>
        <v/>
      </c>
      <c r="FG3">
        <f>IF(inputs_ok,IF(s_bar/2+52*s_bar&lt;1000,(s_bar/2+52*s_bar)+(phi/2)*1.000000,NA()),NA())</f>
        <v/>
      </c>
      <c r="FH3">
        <f>IF(s_bar/2+52*s_bar&lt;1000,(IF(hog,h_sec-c_nom-phi/2,c_nom+phi/2))+(phi/2)*0.000000,NA())</f>
        <v/>
      </c>
      <c r="FJ3">
        <f>IF(inputs_ok,IF(s_bar/2+53*s_bar&lt;1000,(s_bar/2+53*s_bar)+(phi/2)*1.000000,NA()),NA())</f>
        <v/>
      </c>
      <c r="FK3">
        <f>IF(s_bar/2+53*s_bar&lt;1000,(IF(hog,h_sec-c_nom-phi/2,c_nom+phi/2))+(phi/2)*0.000000,NA())</f>
        <v/>
      </c>
      <c r="FM3">
        <f>IF(inputs_ok,IF(s_bar/2+54*s_bar&lt;1000,(s_bar/2+54*s_bar)+(phi/2)*1.000000,NA()),NA())</f>
        <v/>
      </c>
      <c r="FN3">
        <f>IF(s_bar/2+54*s_bar&lt;1000,(IF(hog,h_sec-c_nom-phi/2,c_nom+phi/2))+(phi/2)*0.000000,NA())</f>
        <v/>
      </c>
      <c r="FP3">
        <f>IF(inputs_ok,IF(s_bar/2+55*s_bar&lt;1000,(s_bar/2+55*s_bar)+(phi/2)*1.000000,NA()),NA())</f>
        <v/>
      </c>
      <c r="FQ3">
        <f>IF(s_bar/2+55*s_bar&lt;1000,(IF(hog,h_sec-c_nom-phi/2,c_nom+phi/2))+(phi/2)*0.000000,NA())</f>
        <v/>
      </c>
      <c r="FS3">
        <f>IF(inputs_ok,IF(s_bar/2+56*s_bar&lt;1000,(s_bar/2+56*s_bar)+(phi/2)*1.000000,NA()),NA())</f>
        <v/>
      </c>
      <c r="FT3">
        <f>IF(s_bar/2+56*s_bar&lt;1000,(IF(hog,h_sec-c_nom-phi/2,c_nom+phi/2))+(phi/2)*0.000000,NA())</f>
        <v/>
      </c>
      <c r="FV3">
        <f>IF(inputs_ok,IF(s_bar/2+57*s_bar&lt;1000,(s_bar/2+57*s_bar)+(phi/2)*1.000000,NA()),NA())</f>
        <v/>
      </c>
      <c r="FW3">
        <f>IF(s_bar/2+57*s_bar&lt;1000,(IF(hog,h_sec-c_nom-phi/2,c_nom+phi/2))+(phi/2)*0.000000,NA())</f>
        <v/>
      </c>
      <c r="FY3">
        <f>IF(inputs_ok,IF(s_bar/2+58*s_bar&lt;1000,(s_bar/2+58*s_bar)+(phi/2)*1.000000,NA()),NA())</f>
        <v/>
      </c>
      <c r="FZ3">
        <f>IF(s_bar/2+58*s_bar&lt;1000,(IF(hog,h_sec-c_nom-phi/2,c_nom+phi/2))+(phi/2)*0.000000,NA())</f>
        <v/>
      </c>
      <c r="GB3">
        <f>IF(inputs_ok,IF(s_bar/2+59*s_bar&lt;1000,(s_bar/2+59*s_bar)+(phi/2)*1.000000,NA()),NA())</f>
        <v/>
      </c>
      <c r="GC3">
        <f>IF(s_bar/2+59*s_bar&lt;1000,(IF(hog,h_sec-c_nom-phi/2,c_nom+phi/2))+(phi/2)*0.000000,NA())</f>
        <v/>
      </c>
      <c r="GE3">
        <f>IF(inputs_ok,500,NA())</f>
        <v/>
      </c>
      <c r="GF3">
        <f>h_sec/2</f>
        <v/>
      </c>
      <c r="GH3">
        <f>IF(inputs_ok,IF(AND(M_Ed&gt;0,ISNUMBER(x_na)),0-0.04*h_sec,NA()),NA())</f>
        <v/>
      </c>
      <c r="GI3">
        <f>IF(AND(M_Ed&gt;0,ISNUMBER(x_na)),IF(hog,x_na,h_sec-x_na),NA())</f>
        <v/>
      </c>
      <c r="GK3">
        <f>IF(inputs_ok,IF(TRUE,0-0.25*h_sec,NA()),NA())</f>
        <v/>
      </c>
      <c r="GL3">
        <f>IF(TRUE,0,NA())</f>
        <v/>
      </c>
      <c r="GN3">
        <f>IF(inputs_ok,IF(TRUE,((0-0.25*h_sec)+(0-0.25*h_sec))/2,NA()),NA())</f>
        <v/>
      </c>
      <c r="GO3">
        <f>IF(TRUE,((0)+(h_sec))/2,NA())</f>
        <v/>
      </c>
      <c r="GQ3">
        <f>IF(inputs_ok,IF(TRUE,1000+0.25*h_sec,NA()),NA())</f>
        <v/>
      </c>
      <c r="GR3">
        <f>IF(TRUE,IF(hog,0,h_sec),NA())</f>
        <v/>
      </c>
      <c r="GT3">
        <f>IF(inputs_ok,IF(TRUE,((1000+0.25*h_sec)+(1000+0.25*h_sec))/2,NA()),NA())</f>
        <v/>
      </c>
      <c r="GU3">
        <f>IF(TRUE,((IF(hog,0,h_sec))+(IF(hog,d_eff,h_sec-d_eff)))/2,NA())</f>
        <v/>
      </c>
      <c r="GW3">
        <f>IF(inputs_ok,IF(TRUE,0,NA()),NA())</f>
        <v/>
      </c>
      <c r="GX3">
        <f>IF(TRUE,-0.25*h_sec,NA())</f>
        <v/>
      </c>
      <c r="GZ3">
        <f>IF(inputs_ok,IF(TRUE,((0)+(1000))/2,NA()),NA())</f>
        <v/>
      </c>
      <c r="HA3">
        <f>IF(TRUE,((-0.25*h_sec)+(-0.25*h_sec))/2,NA())</f>
        <v/>
      </c>
      <c r="HC3">
        <f>IF(inputs_ok,0,NA())</f>
        <v/>
      </c>
      <c r="HD3">
        <f>IF(hog,x_na,h_sec-x_na)</f>
        <v/>
      </c>
      <c r="HF3">
        <f>IF(inputs_ok,(0+1000)/2,NA())</f>
        <v/>
      </c>
      <c r="HG3">
        <f>-1.8*0.25*h_sec</f>
        <v/>
      </c>
      <c r="HI3">
        <f>((-2.5*0.25*h_sec)+(1000+3*0.25*h_sec))/2-MAX((h_sec+0.25*h_sec)-(-3*0.25*h_sec),((1000+3*0.25*h_sec)-(-2.5*0.25*h_sec))/1.55)*0.52*1.55</f>
        <v/>
      </c>
      <c r="HJ3">
        <f>((-3*0.25*h_sec)+(h_sec+0.25*h_sec))/2-MAX((h_sec+0.25*h_sec)-(-3*0.25*h_sec),((1000+3*0.25*h_sec)-(-2.5*0.25*h_sec))/1.55)*0.52</f>
        <v/>
      </c>
    </row>
    <row r="4">
      <c r="D4">
        <f>IF(inputs_ok,1000,NA())</f>
        <v/>
      </c>
      <c r="E4">
        <f>0</f>
        <v/>
      </c>
      <c r="G4">
        <f>IF(inputs_ok,IF(s_bar/2+0*s_bar&lt;1000,(s_bar/2+0*s_bar)+(phi/2)*0.809017,NA()),NA())</f>
        <v/>
      </c>
      <c r="H4">
        <f>IF(s_bar/2+0*s_bar&lt;1000,(IF(hog,h_sec-c_nom-phi/2,c_nom+phi/2))+(phi/2)*0.587785,NA())</f>
        <v/>
      </c>
      <c r="J4">
        <f>IF(inputs_ok,IF(s_bar/2+1*s_bar&lt;1000,(s_bar/2+1*s_bar)+(phi/2)*0.809017,NA()),NA())</f>
        <v/>
      </c>
      <c r="K4">
        <f>IF(s_bar/2+1*s_bar&lt;1000,(IF(hog,h_sec-c_nom-phi/2,c_nom+phi/2))+(phi/2)*0.587785,NA())</f>
        <v/>
      </c>
      <c r="M4">
        <f>IF(inputs_ok,IF(s_bar/2+2*s_bar&lt;1000,(s_bar/2+2*s_bar)+(phi/2)*0.809017,NA()),NA())</f>
        <v/>
      </c>
      <c r="N4">
        <f>IF(s_bar/2+2*s_bar&lt;1000,(IF(hog,h_sec-c_nom-phi/2,c_nom+phi/2))+(phi/2)*0.587785,NA())</f>
        <v/>
      </c>
      <c r="P4">
        <f>IF(inputs_ok,IF(s_bar/2+3*s_bar&lt;1000,(s_bar/2+3*s_bar)+(phi/2)*0.809017,NA()),NA())</f>
        <v/>
      </c>
      <c r="Q4">
        <f>IF(s_bar/2+3*s_bar&lt;1000,(IF(hog,h_sec-c_nom-phi/2,c_nom+phi/2))+(phi/2)*0.587785,NA())</f>
        <v/>
      </c>
      <c r="S4">
        <f>IF(inputs_ok,IF(s_bar/2+4*s_bar&lt;1000,(s_bar/2+4*s_bar)+(phi/2)*0.809017,NA()),NA())</f>
        <v/>
      </c>
      <c r="T4">
        <f>IF(s_bar/2+4*s_bar&lt;1000,(IF(hog,h_sec-c_nom-phi/2,c_nom+phi/2))+(phi/2)*0.587785,NA())</f>
        <v/>
      </c>
      <c r="V4">
        <f>IF(inputs_ok,IF(s_bar/2+5*s_bar&lt;1000,(s_bar/2+5*s_bar)+(phi/2)*0.809017,NA()),NA())</f>
        <v/>
      </c>
      <c r="W4">
        <f>IF(s_bar/2+5*s_bar&lt;1000,(IF(hog,h_sec-c_nom-phi/2,c_nom+phi/2))+(phi/2)*0.587785,NA())</f>
        <v/>
      </c>
      <c r="Y4">
        <f>IF(inputs_ok,IF(s_bar/2+6*s_bar&lt;1000,(s_bar/2+6*s_bar)+(phi/2)*0.809017,NA()),NA())</f>
        <v/>
      </c>
      <c r="Z4">
        <f>IF(s_bar/2+6*s_bar&lt;1000,(IF(hog,h_sec-c_nom-phi/2,c_nom+phi/2))+(phi/2)*0.587785,NA())</f>
        <v/>
      </c>
      <c r="AB4">
        <f>IF(inputs_ok,IF(s_bar/2+7*s_bar&lt;1000,(s_bar/2+7*s_bar)+(phi/2)*0.809017,NA()),NA())</f>
        <v/>
      </c>
      <c r="AC4">
        <f>IF(s_bar/2+7*s_bar&lt;1000,(IF(hog,h_sec-c_nom-phi/2,c_nom+phi/2))+(phi/2)*0.587785,NA())</f>
        <v/>
      </c>
      <c r="AE4">
        <f>IF(inputs_ok,IF(s_bar/2+8*s_bar&lt;1000,(s_bar/2+8*s_bar)+(phi/2)*0.809017,NA()),NA())</f>
        <v/>
      </c>
      <c r="AF4">
        <f>IF(s_bar/2+8*s_bar&lt;1000,(IF(hog,h_sec-c_nom-phi/2,c_nom+phi/2))+(phi/2)*0.587785,NA())</f>
        <v/>
      </c>
      <c r="AH4">
        <f>IF(inputs_ok,IF(s_bar/2+9*s_bar&lt;1000,(s_bar/2+9*s_bar)+(phi/2)*0.809017,NA()),NA())</f>
        <v/>
      </c>
      <c r="AI4">
        <f>IF(s_bar/2+9*s_bar&lt;1000,(IF(hog,h_sec-c_nom-phi/2,c_nom+phi/2))+(phi/2)*0.587785,NA())</f>
        <v/>
      </c>
      <c r="AK4">
        <f>IF(inputs_ok,IF(s_bar/2+10*s_bar&lt;1000,(s_bar/2+10*s_bar)+(phi/2)*0.809017,NA()),NA())</f>
        <v/>
      </c>
      <c r="AL4">
        <f>IF(s_bar/2+10*s_bar&lt;1000,(IF(hog,h_sec-c_nom-phi/2,c_nom+phi/2))+(phi/2)*0.587785,NA())</f>
        <v/>
      </c>
      <c r="AN4">
        <f>IF(inputs_ok,IF(s_bar/2+11*s_bar&lt;1000,(s_bar/2+11*s_bar)+(phi/2)*0.809017,NA()),NA())</f>
        <v/>
      </c>
      <c r="AO4">
        <f>IF(s_bar/2+11*s_bar&lt;1000,(IF(hog,h_sec-c_nom-phi/2,c_nom+phi/2))+(phi/2)*0.587785,NA())</f>
        <v/>
      </c>
      <c r="AQ4">
        <f>IF(inputs_ok,IF(s_bar/2+12*s_bar&lt;1000,(s_bar/2+12*s_bar)+(phi/2)*0.809017,NA()),NA())</f>
        <v/>
      </c>
      <c r="AR4">
        <f>IF(s_bar/2+12*s_bar&lt;1000,(IF(hog,h_sec-c_nom-phi/2,c_nom+phi/2))+(phi/2)*0.587785,NA())</f>
        <v/>
      </c>
      <c r="AT4">
        <f>IF(inputs_ok,IF(s_bar/2+13*s_bar&lt;1000,(s_bar/2+13*s_bar)+(phi/2)*0.809017,NA()),NA())</f>
        <v/>
      </c>
      <c r="AU4">
        <f>IF(s_bar/2+13*s_bar&lt;1000,(IF(hog,h_sec-c_nom-phi/2,c_nom+phi/2))+(phi/2)*0.587785,NA())</f>
        <v/>
      </c>
      <c r="AW4">
        <f>IF(inputs_ok,IF(s_bar/2+14*s_bar&lt;1000,(s_bar/2+14*s_bar)+(phi/2)*0.809017,NA()),NA())</f>
        <v/>
      </c>
      <c r="AX4">
        <f>IF(s_bar/2+14*s_bar&lt;1000,(IF(hog,h_sec-c_nom-phi/2,c_nom+phi/2))+(phi/2)*0.587785,NA())</f>
        <v/>
      </c>
      <c r="AZ4">
        <f>IF(inputs_ok,IF(s_bar/2+15*s_bar&lt;1000,(s_bar/2+15*s_bar)+(phi/2)*0.809017,NA()),NA())</f>
        <v/>
      </c>
      <c r="BA4">
        <f>IF(s_bar/2+15*s_bar&lt;1000,(IF(hog,h_sec-c_nom-phi/2,c_nom+phi/2))+(phi/2)*0.587785,NA())</f>
        <v/>
      </c>
      <c r="BC4">
        <f>IF(inputs_ok,IF(s_bar/2+16*s_bar&lt;1000,(s_bar/2+16*s_bar)+(phi/2)*0.809017,NA()),NA())</f>
        <v/>
      </c>
      <c r="BD4">
        <f>IF(s_bar/2+16*s_bar&lt;1000,(IF(hog,h_sec-c_nom-phi/2,c_nom+phi/2))+(phi/2)*0.587785,NA())</f>
        <v/>
      </c>
      <c r="BF4">
        <f>IF(inputs_ok,IF(s_bar/2+17*s_bar&lt;1000,(s_bar/2+17*s_bar)+(phi/2)*0.809017,NA()),NA())</f>
        <v/>
      </c>
      <c r="BG4">
        <f>IF(s_bar/2+17*s_bar&lt;1000,(IF(hog,h_sec-c_nom-phi/2,c_nom+phi/2))+(phi/2)*0.587785,NA())</f>
        <v/>
      </c>
      <c r="BI4">
        <f>IF(inputs_ok,IF(s_bar/2+18*s_bar&lt;1000,(s_bar/2+18*s_bar)+(phi/2)*0.809017,NA()),NA())</f>
        <v/>
      </c>
      <c r="BJ4">
        <f>IF(s_bar/2+18*s_bar&lt;1000,(IF(hog,h_sec-c_nom-phi/2,c_nom+phi/2))+(phi/2)*0.587785,NA())</f>
        <v/>
      </c>
      <c r="BL4">
        <f>IF(inputs_ok,IF(s_bar/2+19*s_bar&lt;1000,(s_bar/2+19*s_bar)+(phi/2)*0.809017,NA()),NA())</f>
        <v/>
      </c>
      <c r="BM4">
        <f>IF(s_bar/2+19*s_bar&lt;1000,(IF(hog,h_sec-c_nom-phi/2,c_nom+phi/2))+(phi/2)*0.587785,NA())</f>
        <v/>
      </c>
      <c r="BO4">
        <f>IF(inputs_ok,IF(s_bar/2+20*s_bar&lt;1000,(s_bar/2+20*s_bar)+(phi/2)*0.809017,NA()),NA())</f>
        <v/>
      </c>
      <c r="BP4">
        <f>IF(s_bar/2+20*s_bar&lt;1000,(IF(hog,h_sec-c_nom-phi/2,c_nom+phi/2))+(phi/2)*0.587785,NA())</f>
        <v/>
      </c>
      <c r="BR4">
        <f>IF(inputs_ok,IF(s_bar/2+21*s_bar&lt;1000,(s_bar/2+21*s_bar)+(phi/2)*0.809017,NA()),NA())</f>
        <v/>
      </c>
      <c r="BS4">
        <f>IF(s_bar/2+21*s_bar&lt;1000,(IF(hog,h_sec-c_nom-phi/2,c_nom+phi/2))+(phi/2)*0.587785,NA())</f>
        <v/>
      </c>
      <c r="BU4">
        <f>IF(inputs_ok,IF(s_bar/2+22*s_bar&lt;1000,(s_bar/2+22*s_bar)+(phi/2)*0.809017,NA()),NA())</f>
        <v/>
      </c>
      <c r="BV4">
        <f>IF(s_bar/2+22*s_bar&lt;1000,(IF(hog,h_sec-c_nom-phi/2,c_nom+phi/2))+(phi/2)*0.587785,NA())</f>
        <v/>
      </c>
      <c r="BX4">
        <f>IF(inputs_ok,IF(s_bar/2+23*s_bar&lt;1000,(s_bar/2+23*s_bar)+(phi/2)*0.809017,NA()),NA())</f>
        <v/>
      </c>
      <c r="BY4">
        <f>IF(s_bar/2+23*s_bar&lt;1000,(IF(hog,h_sec-c_nom-phi/2,c_nom+phi/2))+(phi/2)*0.587785,NA())</f>
        <v/>
      </c>
      <c r="CA4">
        <f>IF(inputs_ok,IF(s_bar/2+24*s_bar&lt;1000,(s_bar/2+24*s_bar)+(phi/2)*0.809017,NA()),NA())</f>
        <v/>
      </c>
      <c r="CB4">
        <f>IF(s_bar/2+24*s_bar&lt;1000,(IF(hog,h_sec-c_nom-phi/2,c_nom+phi/2))+(phi/2)*0.587785,NA())</f>
        <v/>
      </c>
      <c r="CD4">
        <f>IF(inputs_ok,IF(s_bar/2+25*s_bar&lt;1000,(s_bar/2+25*s_bar)+(phi/2)*0.809017,NA()),NA())</f>
        <v/>
      </c>
      <c r="CE4">
        <f>IF(s_bar/2+25*s_bar&lt;1000,(IF(hog,h_sec-c_nom-phi/2,c_nom+phi/2))+(phi/2)*0.587785,NA())</f>
        <v/>
      </c>
      <c r="CG4">
        <f>IF(inputs_ok,IF(s_bar/2+26*s_bar&lt;1000,(s_bar/2+26*s_bar)+(phi/2)*0.809017,NA()),NA())</f>
        <v/>
      </c>
      <c r="CH4">
        <f>IF(s_bar/2+26*s_bar&lt;1000,(IF(hog,h_sec-c_nom-phi/2,c_nom+phi/2))+(phi/2)*0.587785,NA())</f>
        <v/>
      </c>
      <c r="CJ4">
        <f>IF(inputs_ok,IF(s_bar/2+27*s_bar&lt;1000,(s_bar/2+27*s_bar)+(phi/2)*0.809017,NA()),NA())</f>
        <v/>
      </c>
      <c r="CK4">
        <f>IF(s_bar/2+27*s_bar&lt;1000,(IF(hog,h_sec-c_nom-phi/2,c_nom+phi/2))+(phi/2)*0.587785,NA())</f>
        <v/>
      </c>
      <c r="CM4">
        <f>IF(inputs_ok,IF(s_bar/2+28*s_bar&lt;1000,(s_bar/2+28*s_bar)+(phi/2)*0.809017,NA()),NA())</f>
        <v/>
      </c>
      <c r="CN4">
        <f>IF(s_bar/2+28*s_bar&lt;1000,(IF(hog,h_sec-c_nom-phi/2,c_nom+phi/2))+(phi/2)*0.587785,NA())</f>
        <v/>
      </c>
      <c r="CP4">
        <f>IF(inputs_ok,IF(s_bar/2+29*s_bar&lt;1000,(s_bar/2+29*s_bar)+(phi/2)*0.809017,NA()),NA())</f>
        <v/>
      </c>
      <c r="CQ4">
        <f>IF(s_bar/2+29*s_bar&lt;1000,(IF(hog,h_sec-c_nom-phi/2,c_nom+phi/2))+(phi/2)*0.587785,NA())</f>
        <v/>
      </c>
      <c r="CS4">
        <f>IF(inputs_ok,IF(s_bar/2+30*s_bar&lt;1000,(s_bar/2+30*s_bar)+(phi/2)*0.809017,NA()),NA())</f>
        <v/>
      </c>
      <c r="CT4">
        <f>IF(s_bar/2+30*s_bar&lt;1000,(IF(hog,h_sec-c_nom-phi/2,c_nom+phi/2))+(phi/2)*0.587785,NA())</f>
        <v/>
      </c>
      <c r="CV4">
        <f>IF(inputs_ok,IF(s_bar/2+31*s_bar&lt;1000,(s_bar/2+31*s_bar)+(phi/2)*0.809017,NA()),NA())</f>
        <v/>
      </c>
      <c r="CW4">
        <f>IF(s_bar/2+31*s_bar&lt;1000,(IF(hog,h_sec-c_nom-phi/2,c_nom+phi/2))+(phi/2)*0.587785,NA())</f>
        <v/>
      </c>
      <c r="CY4">
        <f>IF(inputs_ok,IF(s_bar/2+32*s_bar&lt;1000,(s_bar/2+32*s_bar)+(phi/2)*0.809017,NA()),NA())</f>
        <v/>
      </c>
      <c r="CZ4">
        <f>IF(s_bar/2+32*s_bar&lt;1000,(IF(hog,h_sec-c_nom-phi/2,c_nom+phi/2))+(phi/2)*0.587785,NA())</f>
        <v/>
      </c>
      <c r="DB4">
        <f>IF(inputs_ok,IF(s_bar/2+33*s_bar&lt;1000,(s_bar/2+33*s_bar)+(phi/2)*0.809017,NA()),NA())</f>
        <v/>
      </c>
      <c r="DC4">
        <f>IF(s_bar/2+33*s_bar&lt;1000,(IF(hog,h_sec-c_nom-phi/2,c_nom+phi/2))+(phi/2)*0.587785,NA())</f>
        <v/>
      </c>
      <c r="DE4">
        <f>IF(inputs_ok,IF(s_bar/2+34*s_bar&lt;1000,(s_bar/2+34*s_bar)+(phi/2)*0.809017,NA()),NA())</f>
        <v/>
      </c>
      <c r="DF4">
        <f>IF(s_bar/2+34*s_bar&lt;1000,(IF(hog,h_sec-c_nom-phi/2,c_nom+phi/2))+(phi/2)*0.587785,NA())</f>
        <v/>
      </c>
      <c r="DH4">
        <f>IF(inputs_ok,IF(s_bar/2+35*s_bar&lt;1000,(s_bar/2+35*s_bar)+(phi/2)*0.809017,NA()),NA())</f>
        <v/>
      </c>
      <c r="DI4">
        <f>IF(s_bar/2+35*s_bar&lt;1000,(IF(hog,h_sec-c_nom-phi/2,c_nom+phi/2))+(phi/2)*0.587785,NA())</f>
        <v/>
      </c>
      <c r="DK4">
        <f>IF(inputs_ok,IF(s_bar/2+36*s_bar&lt;1000,(s_bar/2+36*s_bar)+(phi/2)*0.809017,NA()),NA())</f>
        <v/>
      </c>
      <c r="DL4">
        <f>IF(s_bar/2+36*s_bar&lt;1000,(IF(hog,h_sec-c_nom-phi/2,c_nom+phi/2))+(phi/2)*0.587785,NA())</f>
        <v/>
      </c>
      <c r="DN4">
        <f>IF(inputs_ok,IF(s_bar/2+37*s_bar&lt;1000,(s_bar/2+37*s_bar)+(phi/2)*0.809017,NA()),NA())</f>
        <v/>
      </c>
      <c r="DO4">
        <f>IF(s_bar/2+37*s_bar&lt;1000,(IF(hog,h_sec-c_nom-phi/2,c_nom+phi/2))+(phi/2)*0.587785,NA())</f>
        <v/>
      </c>
      <c r="DQ4">
        <f>IF(inputs_ok,IF(s_bar/2+38*s_bar&lt;1000,(s_bar/2+38*s_bar)+(phi/2)*0.809017,NA()),NA())</f>
        <v/>
      </c>
      <c r="DR4">
        <f>IF(s_bar/2+38*s_bar&lt;1000,(IF(hog,h_sec-c_nom-phi/2,c_nom+phi/2))+(phi/2)*0.587785,NA())</f>
        <v/>
      </c>
      <c r="DT4">
        <f>IF(inputs_ok,IF(s_bar/2+39*s_bar&lt;1000,(s_bar/2+39*s_bar)+(phi/2)*0.809017,NA()),NA())</f>
        <v/>
      </c>
      <c r="DU4">
        <f>IF(s_bar/2+39*s_bar&lt;1000,(IF(hog,h_sec-c_nom-phi/2,c_nom+phi/2))+(phi/2)*0.587785,NA())</f>
        <v/>
      </c>
      <c r="DW4">
        <f>IF(inputs_ok,IF(s_bar/2+40*s_bar&lt;1000,(s_bar/2+40*s_bar)+(phi/2)*0.809017,NA()),NA())</f>
        <v/>
      </c>
      <c r="DX4">
        <f>IF(s_bar/2+40*s_bar&lt;1000,(IF(hog,h_sec-c_nom-phi/2,c_nom+phi/2))+(phi/2)*0.587785,NA())</f>
        <v/>
      </c>
      <c r="DZ4">
        <f>IF(inputs_ok,IF(s_bar/2+41*s_bar&lt;1000,(s_bar/2+41*s_bar)+(phi/2)*0.809017,NA()),NA())</f>
        <v/>
      </c>
      <c r="EA4">
        <f>IF(s_bar/2+41*s_bar&lt;1000,(IF(hog,h_sec-c_nom-phi/2,c_nom+phi/2))+(phi/2)*0.587785,NA())</f>
        <v/>
      </c>
      <c r="EC4">
        <f>IF(inputs_ok,IF(s_bar/2+42*s_bar&lt;1000,(s_bar/2+42*s_bar)+(phi/2)*0.809017,NA()),NA())</f>
        <v/>
      </c>
      <c r="ED4">
        <f>IF(s_bar/2+42*s_bar&lt;1000,(IF(hog,h_sec-c_nom-phi/2,c_nom+phi/2))+(phi/2)*0.587785,NA())</f>
        <v/>
      </c>
      <c r="EF4">
        <f>IF(inputs_ok,IF(s_bar/2+43*s_bar&lt;1000,(s_bar/2+43*s_bar)+(phi/2)*0.809017,NA()),NA())</f>
        <v/>
      </c>
      <c r="EG4">
        <f>IF(s_bar/2+43*s_bar&lt;1000,(IF(hog,h_sec-c_nom-phi/2,c_nom+phi/2))+(phi/2)*0.587785,NA())</f>
        <v/>
      </c>
      <c r="EI4">
        <f>IF(inputs_ok,IF(s_bar/2+44*s_bar&lt;1000,(s_bar/2+44*s_bar)+(phi/2)*0.809017,NA()),NA())</f>
        <v/>
      </c>
      <c r="EJ4">
        <f>IF(s_bar/2+44*s_bar&lt;1000,(IF(hog,h_sec-c_nom-phi/2,c_nom+phi/2))+(phi/2)*0.587785,NA())</f>
        <v/>
      </c>
      <c r="EL4">
        <f>IF(inputs_ok,IF(s_bar/2+45*s_bar&lt;1000,(s_bar/2+45*s_bar)+(phi/2)*0.809017,NA()),NA())</f>
        <v/>
      </c>
      <c r="EM4">
        <f>IF(s_bar/2+45*s_bar&lt;1000,(IF(hog,h_sec-c_nom-phi/2,c_nom+phi/2))+(phi/2)*0.587785,NA())</f>
        <v/>
      </c>
      <c r="EO4">
        <f>IF(inputs_ok,IF(s_bar/2+46*s_bar&lt;1000,(s_bar/2+46*s_bar)+(phi/2)*0.809017,NA()),NA())</f>
        <v/>
      </c>
      <c r="EP4">
        <f>IF(s_bar/2+46*s_bar&lt;1000,(IF(hog,h_sec-c_nom-phi/2,c_nom+phi/2))+(phi/2)*0.587785,NA())</f>
        <v/>
      </c>
      <c r="ER4">
        <f>IF(inputs_ok,IF(s_bar/2+47*s_bar&lt;1000,(s_bar/2+47*s_bar)+(phi/2)*0.809017,NA()),NA())</f>
        <v/>
      </c>
      <c r="ES4">
        <f>IF(s_bar/2+47*s_bar&lt;1000,(IF(hog,h_sec-c_nom-phi/2,c_nom+phi/2))+(phi/2)*0.587785,NA())</f>
        <v/>
      </c>
      <c r="EU4">
        <f>IF(inputs_ok,IF(s_bar/2+48*s_bar&lt;1000,(s_bar/2+48*s_bar)+(phi/2)*0.809017,NA()),NA())</f>
        <v/>
      </c>
      <c r="EV4">
        <f>IF(s_bar/2+48*s_bar&lt;1000,(IF(hog,h_sec-c_nom-phi/2,c_nom+phi/2))+(phi/2)*0.587785,NA())</f>
        <v/>
      </c>
      <c r="EX4">
        <f>IF(inputs_ok,IF(s_bar/2+49*s_bar&lt;1000,(s_bar/2+49*s_bar)+(phi/2)*0.809017,NA()),NA())</f>
        <v/>
      </c>
      <c r="EY4">
        <f>IF(s_bar/2+49*s_bar&lt;1000,(IF(hog,h_sec-c_nom-phi/2,c_nom+phi/2))+(phi/2)*0.587785,NA())</f>
        <v/>
      </c>
      <c r="FA4">
        <f>IF(inputs_ok,IF(s_bar/2+50*s_bar&lt;1000,(s_bar/2+50*s_bar)+(phi/2)*0.809017,NA()),NA())</f>
        <v/>
      </c>
      <c r="FB4">
        <f>IF(s_bar/2+50*s_bar&lt;1000,(IF(hog,h_sec-c_nom-phi/2,c_nom+phi/2))+(phi/2)*0.587785,NA())</f>
        <v/>
      </c>
      <c r="FD4">
        <f>IF(inputs_ok,IF(s_bar/2+51*s_bar&lt;1000,(s_bar/2+51*s_bar)+(phi/2)*0.809017,NA()),NA())</f>
        <v/>
      </c>
      <c r="FE4">
        <f>IF(s_bar/2+51*s_bar&lt;1000,(IF(hog,h_sec-c_nom-phi/2,c_nom+phi/2))+(phi/2)*0.587785,NA())</f>
        <v/>
      </c>
      <c r="FG4">
        <f>IF(inputs_ok,IF(s_bar/2+52*s_bar&lt;1000,(s_bar/2+52*s_bar)+(phi/2)*0.809017,NA()),NA())</f>
        <v/>
      </c>
      <c r="FH4">
        <f>IF(s_bar/2+52*s_bar&lt;1000,(IF(hog,h_sec-c_nom-phi/2,c_nom+phi/2))+(phi/2)*0.587785,NA())</f>
        <v/>
      </c>
      <c r="FJ4">
        <f>IF(inputs_ok,IF(s_bar/2+53*s_bar&lt;1000,(s_bar/2+53*s_bar)+(phi/2)*0.809017,NA()),NA())</f>
        <v/>
      </c>
      <c r="FK4">
        <f>IF(s_bar/2+53*s_bar&lt;1000,(IF(hog,h_sec-c_nom-phi/2,c_nom+phi/2))+(phi/2)*0.587785,NA())</f>
        <v/>
      </c>
      <c r="FM4">
        <f>IF(inputs_ok,IF(s_bar/2+54*s_bar&lt;1000,(s_bar/2+54*s_bar)+(phi/2)*0.809017,NA()),NA())</f>
        <v/>
      </c>
      <c r="FN4">
        <f>IF(s_bar/2+54*s_bar&lt;1000,(IF(hog,h_sec-c_nom-phi/2,c_nom+phi/2))+(phi/2)*0.587785,NA())</f>
        <v/>
      </c>
      <c r="FP4">
        <f>IF(inputs_ok,IF(s_bar/2+55*s_bar&lt;1000,(s_bar/2+55*s_bar)+(phi/2)*0.809017,NA()),NA())</f>
        <v/>
      </c>
      <c r="FQ4">
        <f>IF(s_bar/2+55*s_bar&lt;1000,(IF(hog,h_sec-c_nom-phi/2,c_nom+phi/2))+(phi/2)*0.587785,NA())</f>
        <v/>
      </c>
      <c r="FS4">
        <f>IF(inputs_ok,IF(s_bar/2+56*s_bar&lt;1000,(s_bar/2+56*s_bar)+(phi/2)*0.809017,NA()),NA())</f>
        <v/>
      </c>
      <c r="FT4">
        <f>IF(s_bar/2+56*s_bar&lt;1000,(IF(hog,h_sec-c_nom-phi/2,c_nom+phi/2))+(phi/2)*0.587785,NA())</f>
        <v/>
      </c>
      <c r="FV4">
        <f>IF(inputs_ok,IF(s_bar/2+57*s_bar&lt;1000,(s_bar/2+57*s_bar)+(phi/2)*0.809017,NA()),NA())</f>
        <v/>
      </c>
      <c r="FW4">
        <f>IF(s_bar/2+57*s_bar&lt;1000,(IF(hog,h_sec-c_nom-phi/2,c_nom+phi/2))+(phi/2)*0.587785,NA())</f>
        <v/>
      </c>
      <c r="FY4">
        <f>IF(inputs_ok,IF(s_bar/2+58*s_bar&lt;1000,(s_bar/2+58*s_bar)+(phi/2)*0.809017,NA()),NA())</f>
        <v/>
      </c>
      <c r="FZ4">
        <f>IF(s_bar/2+58*s_bar&lt;1000,(IF(hog,h_sec-c_nom-phi/2,c_nom+phi/2))+(phi/2)*0.587785,NA())</f>
        <v/>
      </c>
      <c r="GB4">
        <f>IF(inputs_ok,IF(s_bar/2+59*s_bar&lt;1000,(s_bar/2+59*s_bar)+(phi/2)*0.809017,NA()),NA())</f>
        <v/>
      </c>
      <c r="GC4">
        <f>IF(s_bar/2+59*s_bar&lt;1000,(IF(hog,h_sec-c_nom-phi/2,c_nom+phi/2))+(phi/2)*0.587785,NA())</f>
        <v/>
      </c>
      <c r="GH4">
        <f>IF(inputs_ok,IF(AND(M_Ed&gt;0,ISNUMBER(x_na)),1000+0.04*h_sec,NA()),NA())</f>
        <v/>
      </c>
      <c r="GI4">
        <f>IF(AND(M_Ed&gt;0,ISNUMBER(x_na)),IF(hog,x_na,h_sec-x_na),NA())</f>
        <v/>
      </c>
      <c r="GK4">
        <f>IF(inputs_ok,IF(TRUE,0-0.25*h_sec,NA()),NA())</f>
        <v/>
      </c>
      <c r="GL4">
        <f>IF(TRUE,h_sec,NA())</f>
        <v/>
      </c>
      <c r="GQ4">
        <f>IF(inputs_ok,IF(TRUE,1000+0.25*h_sec,NA()),NA())</f>
        <v/>
      </c>
      <c r="GR4">
        <f>IF(TRUE,IF(hog,d_eff,h_sec-d_eff),NA())</f>
        <v/>
      </c>
      <c r="GW4">
        <f>IF(inputs_ok,IF(TRUE,1000,NA()),NA())</f>
        <v/>
      </c>
      <c r="GX4">
        <f>IF(TRUE,-0.25*h_sec,NA())</f>
        <v/>
      </c>
      <c r="HI4">
        <f>((-2.5*0.25*h_sec)+(1000+3*0.25*h_sec))/2+MAX((h_sec+0.25*h_sec)-(-3*0.25*h_sec),((1000+3*0.25*h_sec)-(-2.5*0.25*h_sec))/1.55)*0.52*1.55</f>
        <v/>
      </c>
      <c r="HJ4">
        <f>((-3*0.25*h_sec)+(h_sec+0.25*h_sec))/2+MAX((h_sec+0.25*h_sec)-(-3*0.25*h_sec),((1000+3*0.25*h_sec)-(-2.5*0.25*h_sec))/1.55)*0.52</f>
        <v/>
      </c>
    </row>
    <row r="5">
      <c r="D5">
        <f>IF(inputs_ok,1000,NA())</f>
        <v/>
      </c>
      <c r="E5">
        <f>h_sec</f>
        <v/>
      </c>
      <c r="G5">
        <f>IF(inputs_ok,IF(s_bar/2+0*s_bar&lt;1000,(s_bar/2+0*s_bar)+(phi/2)*0.309017,NA()),NA())</f>
        <v/>
      </c>
      <c r="H5">
        <f>IF(s_bar/2+0*s_bar&lt;1000,(IF(hog,h_sec-c_nom-phi/2,c_nom+phi/2))+(phi/2)*0.951057,NA())</f>
        <v/>
      </c>
      <c r="J5">
        <f>IF(inputs_ok,IF(s_bar/2+1*s_bar&lt;1000,(s_bar/2+1*s_bar)+(phi/2)*0.309017,NA()),NA())</f>
        <v/>
      </c>
      <c r="K5">
        <f>IF(s_bar/2+1*s_bar&lt;1000,(IF(hog,h_sec-c_nom-phi/2,c_nom+phi/2))+(phi/2)*0.951057,NA())</f>
        <v/>
      </c>
      <c r="M5">
        <f>IF(inputs_ok,IF(s_bar/2+2*s_bar&lt;1000,(s_bar/2+2*s_bar)+(phi/2)*0.309017,NA()),NA())</f>
        <v/>
      </c>
      <c r="N5">
        <f>IF(s_bar/2+2*s_bar&lt;1000,(IF(hog,h_sec-c_nom-phi/2,c_nom+phi/2))+(phi/2)*0.951057,NA())</f>
        <v/>
      </c>
      <c r="P5">
        <f>IF(inputs_ok,IF(s_bar/2+3*s_bar&lt;1000,(s_bar/2+3*s_bar)+(phi/2)*0.309017,NA()),NA())</f>
        <v/>
      </c>
      <c r="Q5">
        <f>IF(s_bar/2+3*s_bar&lt;1000,(IF(hog,h_sec-c_nom-phi/2,c_nom+phi/2))+(phi/2)*0.951057,NA())</f>
        <v/>
      </c>
      <c r="S5">
        <f>IF(inputs_ok,IF(s_bar/2+4*s_bar&lt;1000,(s_bar/2+4*s_bar)+(phi/2)*0.309017,NA()),NA())</f>
        <v/>
      </c>
      <c r="T5">
        <f>IF(s_bar/2+4*s_bar&lt;1000,(IF(hog,h_sec-c_nom-phi/2,c_nom+phi/2))+(phi/2)*0.951057,NA())</f>
        <v/>
      </c>
      <c r="V5">
        <f>IF(inputs_ok,IF(s_bar/2+5*s_bar&lt;1000,(s_bar/2+5*s_bar)+(phi/2)*0.309017,NA()),NA())</f>
        <v/>
      </c>
      <c r="W5">
        <f>IF(s_bar/2+5*s_bar&lt;1000,(IF(hog,h_sec-c_nom-phi/2,c_nom+phi/2))+(phi/2)*0.951057,NA())</f>
        <v/>
      </c>
      <c r="Y5">
        <f>IF(inputs_ok,IF(s_bar/2+6*s_bar&lt;1000,(s_bar/2+6*s_bar)+(phi/2)*0.309017,NA()),NA())</f>
        <v/>
      </c>
      <c r="Z5">
        <f>IF(s_bar/2+6*s_bar&lt;1000,(IF(hog,h_sec-c_nom-phi/2,c_nom+phi/2))+(phi/2)*0.951057,NA())</f>
        <v/>
      </c>
      <c r="AB5">
        <f>IF(inputs_ok,IF(s_bar/2+7*s_bar&lt;1000,(s_bar/2+7*s_bar)+(phi/2)*0.309017,NA()),NA())</f>
        <v/>
      </c>
      <c r="AC5">
        <f>IF(s_bar/2+7*s_bar&lt;1000,(IF(hog,h_sec-c_nom-phi/2,c_nom+phi/2))+(phi/2)*0.951057,NA())</f>
        <v/>
      </c>
      <c r="AE5">
        <f>IF(inputs_ok,IF(s_bar/2+8*s_bar&lt;1000,(s_bar/2+8*s_bar)+(phi/2)*0.309017,NA()),NA())</f>
        <v/>
      </c>
      <c r="AF5">
        <f>IF(s_bar/2+8*s_bar&lt;1000,(IF(hog,h_sec-c_nom-phi/2,c_nom+phi/2))+(phi/2)*0.951057,NA())</f>
        <v/>
      </c>
      <c r="AH5">
        <f>IF(inputs_ok,IF(s_bar/2+9*s_bar&lt;1000,(s_bar/2+9*s_bar)+(phi/2)*0.309017,NA()),NA())</f>
        <v/>
      </c>
      <c r="AI5">
        <f>IF(s_bar/2+9*s_bar&lt;1000,(IF(hog,h_sec-c_nom-phi/2,c_nom+phi/2))+(phi/2)*0.951057,NA())</f>
        <v/>
      </c>
      <c r="AK5">
        <f>IF(inputs_ok,IF(s_bar/2+10*s_bar&lt;1000,(s_bar/2+10*s_bar)+(phi/2)*0.309017,NA()),NA())</f>
        <v/>
      </c>
      <c r="AL5">
        <f>IF(s_bar/2+10*s_bar&lt;1000,(IF(hog,h_sec-c_nom-phi/2,c_nom+phi/2))+(phi/2)*0.951057,NA())</f>
        <v/>
      </c>
      <c r="AN5">
        <f>IF(inputs_ok,IF(s_bar/2+11*s_bar&lt;1000,(s_bar/2+11*s_bar)+(phi/2)*0.309017,NA()),NA())</f>
        <v/>
      </c>
      <c r="AO5">
        <f>IF(s_bar/2+11*s_bar&lt;1000,(IF(hog,h_sec-c_nom-phi/2,c_nom+phi/2))+(phi/2)*0.951057,NA())</f>
        <v/>
      </c>
      <c r="AQ5">
        <f>IF(inputs_ok,IF(s_bar/2+12*s_bar&lt;1000,(s_bar/2+12*s_bar)+(phi/2)*0.309017,NA()),NA())</f>
        <v/>
      </c>
      <c r="AR5">
        <f>IF(s_bar/2+12*s_bar&lt;1000,(IF(hog,h_sec-c_nom-phi/2,c_nom+phi/2))+(phi/2)*0.951057,NA())</f>
        <v/>
      </c>
      <c r="AT5">
        <f>IF(inputs_ok,IF(s_bar/2+13*s_bar&lt;1000,(s_bar/2+13*s_bar)+(phi/2)*0.309017,NA()),NA())</f>
        <v/>
      </c>
      <c r="AU5">
        <f>IF(s_bar/2+13*s_bar&lt;1000,(IF(hog,h_sec-c_nom-phi/2,c_nom+phi/2))+(phi/2)*0.951057,NA())</f>
        <v/>
      </c>
      <c r="AW5">
        <f>IF(inputs_ok,IF(s_bar/2+14*s_bar&lt;1000,(s_bar/2+14*s_bar)+(phi/2)*0.309017,NA()),NA())</f>
        <v/>
      </c>
      <c r="AX5">
        <f>IF(s_bar/2+14*s_bar&lt;1000,(IF(hog,h_sec-c_nom-phi/2,c_nom+phi/2))+(phi/2)*0.951057,NA())</f>
        <v/>
      </c>
      <c r="AZ5">
        <f>IF(inputs_ok,IF(s_bar/2+15*s_bar&lt;1000,(s_bar/2+15*s_bar)+(phi/2)*0.309017,NA()),NA())</f>
        <v/>
      </c>
      <c r="BA5">
        <f>IF(s_bar/2+15*s_bar&lt;1000,(IF(hog,h_sec-c_nom-phi/2,c_nom+phi/2))+(phi/2)*0.951057,NA())</f>
        <v/>
      </c>
      <c r="BC5">
        <f>IF(inputs_ok,IF(s_bar/2+16*s_bar&lt;1000,(s_bar/2+16*s_bar)+(phi/2)*0.309017,NA()),NA())</f>
        <v/>
      </c>
      <c r="BD5">
        <f>IF(s_bar/2+16*s_bar&lt;1000,(IF(hog,h_sec-c_nom-phi/2,c_nom+phi/2))+(phi/2)*0.951057,NA())</f>
        <v/>
      </c>
      <c r="BF5">
        <f>IF(inputs_ok,IF(s_bar/2+17*s_bar&lt;1000,(s_bar/2+17*s_bar)+(phi/2)*0.309017,NA()),NA())</f>
        <v/>
      </c>
      <c r="BG5">
        <f>IF(s_bar/2+17*s_bar&lt;1000,(IF(hog,h_sec-c_nom-phi/2,c_nom+phi/2))+(phi/2)*0.951057,NA())</f>
        <v/>
      </c>
      <c r="BI5">
        <f>IF(inputs_ok,IF(s_bar/2+18*s_bar&lt;1000,(s_bar/2+18*s_bar)+(phi/2)*0.309017,NA()),NA())</f>
        <v/>
      </c>
      <c r="BJ5">
        <f>IF(s_bar/2+18*s_bar&lt;1000,(IF(hog,h_sec-c_nom-phi/2,c_nom+phi/2))+(phi/2)*0.951057,NA())</f>
        <v/>
      </c>
      <c r="BL5">
        <f>IF(inputs_ok,IF(s_bar/2+19*s_bar&lt;1000,(s_bar/2+19*s_bar)+(phi/2)*0.309017,NA()),NA())</f>
        <v/>
      </c>
      <c r="BM5">
        <f>IF(s_bar/2+19*s_bar&lt;1000,(IF(hog,h_sec-c_nom-phi/2,c_nom+phi/2))+(phi/2)*0.951057,NA())</f>
        <v/>
      </c>
      <c r="BO5">
        <f>IF(inputs_ok,IF(s_bar/2+20*s_bar&lt;1000,(s_bar/2+20*s_bar)+(phi/2)*0.309017,NA()),NA())</f>
        <v/>
      </c>
      <c r="BP5">
        <f>IF(s_bar/2+20*s_bar&lt;1000,(IF(hog,h_sec-c_nom-phi/2,c_nom+phi/2))+(phi/2)*0.951057,NA())</f>
        <v/>
      </c>
      <c r="BR5">
        <f>IF(inputs_ok,IF(s_bar/2+21*s_bar&lt;1000,(s_bar/2+21*s_bar)+(phi/2)*0.309017,NA()),NA())</f>
        <v/>
      </c>
      <c r="BS5">
        <f>IF(s_bar/2+21*s_bar&lt;1000,(IF(hog,h_sec-c_nom-phi/2,c_nom+phi/2))+(phi/2)*0.951057,NA())</f>
        <v/>
      </c>
      <c r="BU5">
        <f>IF(inputs_ok,IF(s_bar/2+22*s_bar&lt;1000,(s_bar/2+22*s_bar)+(phi/2)*0.309017,NA()),NA())</f>
        <v/>
      </c>
      <c r="BV5">
        <f>IF(s_bar/2+22*s_bar&lt;1000,(IF(hog,h_sec-c_nom-phi/2,c_nom+phi/2))+(phi/2)*0.951057,NA())</f>
        <v/>
      </c>
      <c r="BX5">
        <f>IF(inputs_ok,IF(s_bar/2+23*s_bar&lt;1000,(s_bar/2+23*s_bar)+(phi/2)*0.309017,NA()),NA())</f>
        <v/>
      </c>
      <c r="BY5">
        <f>IF(s_bar/2+23*s_bar&lt;1000,(IF(hog,h_sec-c_nom-phi/2,c_nom+phi/2))+(phi/2)*0.951057,NA())</f>
        <v/>
      </c>
      <c r="CA5">
        <f>IF(inputs_ok,IF(s_bar/2+24*s_bar&lt;1000,(s_bar/2+24*s_bar)+(phi/2)*0.309017,NA()),NA())</f>
        <v/>
      </c>
      <c r="CB5">
        <f>IF(s_bar/2+24*s_bar&lt;1000,(IF(hog,h_sec-c_nom-phi/2,c_nom+phi/2))+(phi/2)*0.951057,NA())</f>
        <v/>
      </c>
      <c r="CD5">
        <f>IF(inputs_ok,IF(s_bar/2+25*s_bar&lt;1000,(s_bar/2+25*s_bar)+(phi/2)*0.309017,NA()),NA())</f>
        <v/>
      </c>
      <c r="CE5">
        <f>IF(s_bar/2+25*s_bar&lt;1000,(IF(hog,h_sec-c_nom-phi/2,c_nom+phi/2))+(phi/2)*0.951057,NA())</f>
        <v/>
      </c>
      <c r="CG5">
        <f>IF(inputs_ok,IF(s_bar/2+26*s_bar&lt;1000,(s_bar/2+26*s_bar)+(phi/2)*0.309017,NA()),NA())</f>
        <v/>
      </c>
      <c r="CH5">
        <f>IF(s_bar/2+26*s_bar&lt;1000,(IF(hog,h_sec-c_nom-phi/2,c_nom+phi/2))+(phi/2)*0.951057,NA())</f>
        <v/>
      </c>
      <c r="CJ5">
        <f>IF(inputs_ok,IF(s_bar/2+27*s_bar&lt;1000,(s_bar/2+27*s_bar)+(phi/2)*0.309017,NA()),NA())</f>
        <v/>
      </c>
      <c r="CK5">
        <f>IF(s_bar/2+27*s_bar&lt;1000,(IF(hog,h_sec-c_nom-phi/2,c_nom+phi/2))+(phi/2)*0.951057,NA())</f>
        <v/>
      </c>
      <c r="CM5">
        <f>IF(inputs_ok,IF(s_bar/2+28*s_bar&lt;1000,(s_bar/2+28*s_bar)+(phi/2)*0.309017,NA()),NA())</f>
        <v/>
      </c>
      <c r="CN5">
        <f>IF(s_bar/2+28*s_bar&lt;1000,(IF(hog,h_sec-c_nom-phi/2,c_nom+phi/2))+(phi/2)*0.951057,NA())</f>
        <v/>
      </c>
      <c r="CP5">
        <f>IF(inputs_ok,IF(s_bar/2+29*s_bar&lt;1000,(s_bar/2+29*s_bar)+(phi/2)*0.309017,NA()),NA())</f>
        <v/>
      </c>
      <c r="CQ5">
        <f>IF(s_bar/2+29*s_bar&lt;1000,(IF(hog,h_sec-c_nom-phi/2,c_nom+phi/2))+(phi/2)*0.951057,NA())</f>
        <v/>
      </c>
      <c r="CS5">
        <f>IF(inputs_ok,IF(s_bar/2+30*s_bar&lt;1000,(s_bar/2+30*s_bar)+(phi/2)*0.309017,NA()),NA())</f>
        <v/>
      </c>
      <c r="CT5">
        <f>IF(s_bar/2+30*s_bar&lt;1000,(IF(hog,h_sec-c_nom-phi/2,c_nom+phi/2))+(phi/2)*0.951057,NA())</f>
        <v/>
      </c>
      <c r="CV5">
        <f>IF(inputs_ok,IF(s_bar/2+31*s_bar&lt;1000,(s_bar/2+31*s_bar)+(phi/2)*0.309017,NA()),NA())</f>
        <v/>
      </c>
      <c r="CW5">
        <f>IF(s_bar/2+31*s_bar&lt;1000,(IF(hog,h_sec-c_nom-phi/2,c_nom+phi/2))+(phi/2)*0.951057,NA())</f>
        <v/>
      </c>
      <c r="CY5">
        <f>IF(inputs_ok,IF(s_bar/2+32*s_bar&lt;1000,(s_bar/2+32*s_bar)+(phi/2)*0.309017,NA()),NA())</f>
        <v/>
      </c>
      <c r="CZ5">
        <f>IF(s_bar/2+32*s_bar&lt;1000,(IF(hog,h_sec-c_nom-phi/2,c_nom+phi/2))+(phi/2)*0.951057,NA())</f>
        <v/>
      </c>
      <c r="DB5">
        <f>IF(inputs_ok,IF(s_bar/2+33*s_bar&lt;1000,(s_bar/2+33*s_bar)+(phi/2)*0.309017,NA()),NA())</f>
        <v/>
      </c>
      <c r="DC5">
        <f>IF(s_bar/2+33*s_bar&lt;1000,(IF(hog,h_sec-c_nom-phi/2,c_nom+phi/2))+(phi/2)*0.951057,NA())</f>
        <v/>
      </c>
      <c r="DE5">
        <f>IF(inputs_ok,IF(s_bar/2+34*s_bar&lt;1000,(s_bar/2+34*s_bar)+(phi/2)*0.309017,NA()),NA())</f>
        <v/>
      </c>
      <c r="DF5">
        <f>IF(s_bar/2+34*s_bar&lt;1000,(IF(hog,h_sec-c_nom-phi/2,c_nom+phi/2))+(phi/2)*0.951057,NA())</f>
        <v/>
      </c>
      <c r="DH5">
        <f>IF(inputs_ok,IF(s_bar/2+35*s_bar&lt;1000,(s_bar/2+35*s_bar)+(phi/2)*0.309017,NA()),NA())</f>
        <v/>
      </c>
      <c r="DI5">
        <f>IF(s_bar/2+35*s_bar&lt;1000,(IF(hog,h_sec-c_nom-phi/2,c_nom+phi/2))+(phi/2)*0.951057,NA())</f>
        <v/>
      </c>
      <c r="DK5">
        <f>IF(inputs_ok,IF(s_bar/2+36*s_bar&lt;1000,(s_bar/2+36*s_bar)+(phi/2)*0.309017,NA()),NA())</f>
        <v/>
      </c>
      <c r="DL5">
        <f>IF(s_bar/2+36*s_bar&lt;1000,(IF(hog,h_sec-c_nom-phi/2,c_nom+phi/2))+(phi/2)*0.951057,NA())</f>
        <v/>
      </c>
      <c r="DN5">
        <f>IF(inputs_ok,IF(s_bar/2+37*s_bar&lt;1000,(s_bar/2+37*s_bar)+(phi/2)*0.309017,NA()),NA())</f>
        <v/>
      </c>
      <c r="DO5">
        <f>IF(s_bar/2+37*s_bar&lt;1000,(IF(hog,h_sec-c_nom-phi/2,c_nom+phi/2))+(phi/2)*0.951057,NA())</f>
        <v/>
      </c>
      <c r="DQ5">
        <f>IF(inputs_ok,IF(s_bar/2+38*s_bar&lt;1000,(s_bar/2+38*s_bar)+(phi/2)*0.309017,NA()),NA())</f>
        <v/>
      </c>
      <c r="DR5">
        <f>IF(s_bar/2+38*s_bar&lt;1000,(IF(hog,h_sec-c_nom-phi/2,c_nom+phi/2))+(phi/2)*0.951057,NA())</f>
        <v/>
      </c>
      <c r="DT5">
        <f>IF(inputs_ok,IF(s_bar/2+39*s_bar&lt;1000,(s_bar/2+39*s_bar)+(phi/2)*0.309017,NA()),NA())</f>
        <v/>
      </c>
      <c r="DU5">
        <f>IF(s_bar/2+39*s_bar&lt;1000,(IF(hog,h_sec-c_nom-phi/2,c_nom+phi/2))+(phi/2)*0.951057,NA())</f>
        <v/>
      </c>
      <c r="DW5">
        <f>IF(inputs_ok,IF(s_bar/2+40*s_bar&lt;1000,(s_bar/2+40*s_bar)+(phi/2)*0.309017,NA()),NA())</f>
        <v/>
      </c>
      <c r="DX5">
        <f>IF(s_bar/2+40*s_bar&lt;1000,(IF(hog,h_sec-c_nom-phi/2,c_nom+phi/2))+(phi/2)*0.951057,NA())</f>
        <v/>
      </c>
      <c r="DZ5">
        <f>IF(inputs_ok,IF(s_bar/2+41*s_bar&lt;1000,(s_bar/2+41*s_bar)+(phi/2)*0.309017,NA()),NA())</f>
        <v/>
      </c>
      <c r="EA5">
        <f>IF(s_bar/2+41*s_bar&lt;1000,(IF(hog,h_sec-c_nom-phi/2,c_nom+phi/2))+(phi/2)*0.951057,NA())</f>
        <v/>
      </c>
      <c r="EC5">
        <f>IF(inputs_ok,IF(s_bar/2+42*s_bar&lt;1000,(s_bar/2+42*s_bar)+(phi/2)*0.309017,NA()),NA())</f>
        <v/>
      </c>
      <c r="ED5">
        <f>IF(s_bar/2+42*s_bar&lt;1000,(IF(hog,h_sec-c_nom-phi/2,c_nom+phi/2))+(phi/2)*0.951057,NA())</f>
        <v/>
      </c>
      <c r="EF5">
        <f>IF(inputs_ok,IF(s_bar/2+43*s_bar&lt;1000,(s_bar/2+43*s_bar)+(phi/2)*0.309017,NA()),NA())</f>
        <v/>
      </c>
      <c r="EG5">
        <f>IF(s_bar/2+43*s_bar&lt;1000,(IF(hog,h_sec-c_nom-phi/2,c_nom+phi/2))+(phi/2)*0.951057,NA())</f>
        <v/>
      </c>
      <c r="EI5">
        <f>IF(inputs_ok,IF(s_bar/2+44*s_bar&lt;1000,(s_bar/2+44*s_bar)+(phi/2)*0.309017,NA()),NA())</f>
        <v/>
      </c>
      <c r="EJ5">
        <f>IF(s_bar/2+44*s_bar&lt;1000,(IF(hog,h_sec-c_nom-phi/2,c_nom+phi/2))+(phi/2)*0.951057,NA())</f>
        <v/>
      </c>
      <c r="EL5">
        <f>IF(inputs_ok,IF(s_bar/2+45*s_bar&lt;1000,(s_bar/2+45*s_bar)+(phi/2)*0.309017,NA()),NA())</f>
        <v/>
      </c>
      <c r="EM5">
        <f>IF(s_bar/2+45*s_bar&lt;1000,(IF(hog,h_sec-c_nom-phi/2,c_nom+phi/2))+(phi/2)*0.951057,NA())</f>
        <v/>
      </c>
      <c r="EO5">
        <f>IF(inputs_ok,IF(s_bar/2+46*s_bar&lt;1000,(s_bar/2+46*s_bar)+(phi/2)*0.309017,NA()),NA())</f>
        <v/>
      </c>
      <c r="EP5">
        <f>IF(s_bar/2+46*s_bar&lt;1000,(IF(hog,h_sec-c_nom-phi/2,c_nom+phi/2))+(phi/2)*0.951057,NA())</f>
        <v/>
      </c>
      <c r="ER5">
        <f>IF(inputs_ok,IF(s_bar/2+47*s_bar&lt;1000,(s_bar/2+47*s_bar)+(phi/2)*0.309017,NA()),NA())</f>
        <v/>
      </c>
      <c r="ES5">
        <f>IF(s_bar/2+47*s_bar&lt;1000,(IF(hog,h_sec-c_nom-phi/2,c_nom+phi/2))+(phi/2)*0.951057,NA())</f>
        <v/>
      </c>
      <c r="EU5">
        <f>IF(inputs_ok,IF(s_bar/2+48*s_bar&lt;1000,(s_bar/2+48*s_bar)+(phi/2)*0.309017,NA()),NA())</f>
        <v/>
      </c>
      <c r="EV5">
        <f>IF(s_bar/2+48*s_bar&lt;1000,(IF(hog,h_sec-c_nom-phi/2,c_nom+phi/2))+(phi/2)*0.951057,NA())</f>
        <v/>
      </c>
      <c r="EX5">
        <f>IF(inputs_ok,IF(s_bar/2+49*s_bar&lt;1000,(s_bar/2+49*s_bar)+(phi/2)*0.309017,NA()),NA())</f>
        <v/>
      </c>
      <c r="EY5">
        <f>IF(s_bar/2+49*s_bar&lt;1000,(IF(hog,h_sec-c_nom-phi/2,c_nom+phi/2))+(phi/2)*0.951057,NA())</f>
        <v/>
      </c>
      <c r="FA5">
        <f>IF(inputs_ok,IF(s_bar/2+50*s_bar&lt;1000,(s_bar/2+50*s_bar)+(phi/2)*0.309017,NA()),NA())</f>
        <v/>
      </c>
      <c r="FB5">
        <f>IF(s_bar/2+50*s_bar&lt;1000,(IF(hog,h_sec-c_nom-phi/2,c_nom+phi/2))+(phi/2)*0.951057,NA())</f>
        <v/>
      </c>
      <c r="FD5">
        <f>IF(inputs_ok,IF(s_bar/2+51*s_bar&lt;1000,(s_bar/2+51*s_bar)+(phi/2)*0.309017,NA()),NA())</f>
        <v/>
      </c>
      <c r="FE5">
        <f>IF(s_bar/2+51*s_bar&lt;1000,(IF(hog,h_sec-c_nom-phi/2,c_nom+phi/2))+(phi/2)*0.951057,NA())</f>
        <v/>
      </c>
      <c r="FG5">
        <f>IF(inputs_ok,IF(s_bar/2+52*s_bar&lt;1000,(s_bar/2+52*s_bar)+(phi/2)*0.309017,NA()),NA())</f>
        <v/>
      </c>
      <c r="FH5">
        <f>IF(s_bar/2+52*s_bar&lt;1000,(IF(hog,h_sec-c_nom-phi/2,c_nom+phi/2))+(phi/2)*0.951057,NA())</f>
        <v/>
      </c>
      <c r="FJ5">
        <f>IF(inputs_ok,IF(s_bar/2+53*s_bar&lt;1000,(s_bar/2+53*s_bar)+(phi/2)*0.309017,NA()),NA())</f>
        <v/>
      </c>
      <c r="FK5">
        <f>IF(s_bar/2+53*s_bar&lt;1000,(IF(hog,h_sec-c_nom-phi/2,c_nom+phi/2))+(phi/2)*0.951057,NA())</f>
        <v/>
      </c>
      <c r="FM5">
        <f>IF(inputs_ok,IF(s_bar/2+54*s_bar&lt;1000,(s_bar/2+54*s_bar)+(phi/2)*0.309017,NA()),NA())</f>
        <v/>
      </c>
      <c r="FN5">
        <f>IF(s_bar/2+54*s_bar&lt;1000,(IF(hog,h_sec-c_nom-phi/2,c_nom+phi/2))+(phi/2)*0.951057,NA())</f>
        <v/>
      </c>
      <c r="FP5">
        <f>IF(inputs_ok,IF(s_bar/2+55*s_bar&lt;1000,(s_bar/2+55*s_bar)+(phi/2)*0.309017,NA()),NA())</f>
        <v/>
      </c>
      <c r="FQ5">
        <f>IF(s_bar/2+55*s_bar&lt;1000,(IF(hog,h_sec-c_nom-phi/2,c_nom+phi/2))+(phi/2)*0.951057,NA())</f>
        <v/>
      </c>
      <c r="FS5">
        <f>IF(inputs_ok,IF(s_bar/2+56*s_bar&lt;1000,(s_bar/2+56*s_bar)+(phi/2)*0.309017,NA()),NA())</f>
        <v/>
      </c>
      <c r="FT5">
        <f>IF(s_bar/2+56*s_bar&lt;1000,(IF(hog,h_sec-c_nom-phi/2,c_nom+phi/2))+(phi/2)*0.951057,NA())</f>
        <v/>
      </c>
      <c r="FV5">
        <f>IF(inputs_ok,IF(s_bar/2+57*s_bar&lt;1000,(s_bar/2+57*s_bar)+(phi/2)*0.309017,NA()),NA())</f>
        <v/>
      </c>
      <c r="FW5">
        <f>IF(s_bar/2+57*s_bar&lt;1000,(IF(hog,h_sec-c_nom-phi/2,c_nom+phi/2))+(phi/2)*0.951057,NA())</f>
        <v/>
      </c>
      <c r="FY5">
        <f>IF(inputs_ok,IF(s_bar/2+58*s_bar&lt;1000,(s_bar/2+58*s_bar)+(phi/2)*0.309017,NA()),NA())</f>
        <v/>
      </c>
      <c r="FZ5">
        <f>IF(s_bar/2+58*s_bar&lt;1000,(IF(hog,h_sec-c_nom-phi/2,c_nom+phi/2))+(phi/2)*0.951057,NA())</f>
        <v/>
      </c>
      <c r="GB5">
        <f>IF(inputs_ok,IF(s_bar/2+59*s_bar&lt;1000,(s_bar/2+59*s_bar)+(phi/2)*0.309017,NA()),NA())</f>
        <v/>
      </c>
      <c r="GC5">
        <f>IF(s_bar/2+59*s_bar&lt;1000,(IF(hog,h_sec-c_nom-phi/2,c_nom+phi/2))+(phi/2)*0.951057,NA())</f>
        <v/>
      </c>
    </row>
    <row r="6">
      <c r="D6">
        <f>IF(inputs_ok,0,NA())</f>
        <v/>
      </c>
      <c r="E6">
        <f>h_sec</f>
        <v/>
      </c>
      <c r="G6">
        <f>IF(inputs_ok,IF(s_bar/2+0*s_bar&lt;1000,(s_bar/2+0*s_bar)+(phi/2)*-0.309017,NA()),NA())</f>
        <v/>
      </c>
      <c r="H6">
        <f>IF(s_bar/2+0*s_bar&lt;1000,(IF(hog,h_sec-c_nom-phi/2,c_nom+phi/2))+(phi/2)*0.951057,NA())</f>
        <v/>
      </c>
      <c r="J6">
        <f>IF(inputs_ok,IF(s_bar/2+1*s_bar&lt;1000,(s_bar/2+1*s_bar)+(phi/2)*-0.309017,NA()),NA())</f>
        <v/>
      </c>
      <c r="K6">
        <f>IF(s_bar/2+1*s_bar&lt;1000,(IF(hog,h_sec-c_nom-phi/2,c_nom+phi/2))+(phi/2)*0.951057,NA())</f>
        <v/>
      </c>
      <c r="M6">
        <f>IF(inputs_ok,IF(s_bar/2+2*s_bar&lt;1000,(s_bar/2+2*s_bar)+(phi/2)*-0.309017,NA()),NA())</f>
        <v/>
      </c>
      <c r="N6">
        <f>IF(s_bar/2+2*s_bar&lt;1000,(IF(hog,h_sec-c_nom-phi/2,c_nom+phi/2))+(phi/2)*0.951057,NA())</f>
        <v/>
      </c>
      <c r="P6">
        <f>IF(inputs_ok,IF(s_bar/2+3*s_bar&lt;1000,(s_bar/2+3*s_bar)+(phi/2)*-0.309017,NA()),NA())</f>
        <v/>
      </c>
      <c r="Q6">
        <f>IF(s_bar/2+3*s_bar&lt;1000,(IF(hog,h_sec-c_nom-phi/2,c_nom+phi/2))+(phi/2)*0.951057,NA())</f>
        <v/>
      </c>
      <c r="S6">
        <f>IF(inputs_ok,IF(s_bar/2+4*s_bar&lt;1000,(s_bar/2+4*s_bar)+(phi/2)*-0.309017,NA()),NA())</f>
        <v/>
      </c>
      <c r="T6">
        <f>IF(s_bar/2+4*s_bar&lt;1000,(IF(hog,h_sec-c_nom-phi/2,c_nom+phi/2))+(phi/2)*0.951057,NA())</f>
        <v/>
      </c>
      <c r="V6">
        <f>IF(inputs_ok,IF(s_bar/2+5*s_bar&lt;1000,(s_bar/2+5*s_bar)+(phi/2)*-0.309017,NA()),NA())</f>
        <v/>
      </c>
      <c r="W6">
        <f>IF(s_bar/2+5*s_bar&lt;1000,(IF(hog,h_sec-c_nom-phi/2,c_nom+phi/2))+(phi/2)*0.951057,NA())</f>
        <v/>
      </c>
      <c r="Y6">
        <f>IF(inputs_ok,IF(s_bar/2+6*s_bar&lt;1000,(s_bar/2+6*s_bar)+(phi/2)*-0.309017,NA()),NA())</f>
        <v/>
      </c>
      <c r="Z6">
        <f>IF(s_bar/2+6*s_bar&lt;1000,(IF(hog,h_sec-c_nom-phi/2,c_nom+phi/2))+(phi/2)*0.951057,NA())</f>
        <v/>
      </c>
      <c r="AB6">
        <f>IF(inputs_ok,IF(s_bar/2+7*s_bar&lt;1000,(s_bar/2+7*s_bar)+(phi/2)*-0.309017,NA()),NA())</f>
        <v/>
      </c>
      <c r="AC6">
        <f>IF(s_bar/2+7*s_bar&lt;1000,(IF(hog,h_sec-c_nom-phi/2,c_nom+phi/2))+(phi/2)*0.951057,NA())</f>
        <v/>
      </c>
      <c r="AE6">
        <f>IF(inputs_ok,IF(s_bar/2+8*s_bar&lt;1000,(s_bar/2+8*s_bar)+(phi/2)*-0.309017,NA()),NA())</f>
        <v/>
      </c>
      <c r="AF6">
        <f>IF(s_bar/2+8*s_bar&lt;1000,(IF(hog,h_sec-c_nom-phi/2,c_nom+phi/2))+(phi/2)*0.951057,NA())</f>
        <v/>
      </c>
      <c r="AH6">
        <f>IF(inputs_ok,IF(s_bar/2+9*s_bar&lt;1000,(s_bar/2+9*s_bar)+(phi/2)*-0.309017,NA()),NA())</f>
        <v/>
      </c>
      <c r="AI6">
        <f>IF(s_bar/2+9*s_bar&lt;1000,(IF(hog,h_sec-c_nom-phi/2,c_nom+phi/2))+(phi/2)*0.951057,NA())</f>
        <v/>
      </c>
      <c r="AK6">
        <f>IF(inputs_ok,IF(s_bar/2+10*s_bar&lt;1000,(s_bar/2+10*s_bar)+(phi/2)*-0.309017,NA()),NA())</f>
        <v/>
      </c>
      <c r="AL6">
        <f>IF(s_bar/2+10*s_bar&lt;1000,(IF(hog,h_sec-c_nom-phi/2,c_nom+phi/2))+(phi/2)*0.951057,NA())</f>
        <v/>
      </c>
      <c r="AN6">
        <f>IF(inputs_ok,IF(s_bar/2+11*s_bar&lt;1000,(s_bar/2+11*s_bar)+(phi/2)*-0.309017,NA()),NA())</f>
        <v/>
      </c>
      <c r="AO6">
        <f>IF(s_bar/2+11*s_bar&lt;1000,(IF(hog,h_sec-c_nom-phi/2,c_nom+phi/2))+(phi/2)*0.951057,NA())</f>
        <v/>
      </c>
      <c r="AQ6">
        <f>IF(inputs_ok,IF(s_bar/2+12*s_bar&lt;1000,(s_bar/2+12*s_bar)+(phi/2)*-0.309017,NA()),NA())</f>
        <v/>
      </c>
      <c r="AR6">
        <f>IF(s_bar/2+12*s_bar&lt;1000,(IF(hog,h_sec-c_nom-phi/2,c_nom+phi/2))+(phi/2)*0.951057,NA())</f>
        <v/>
      </c>
      <c r="AT6">
        <f>IF(inputs_ok,IF(s_bar/2+13*s_bar&lt;1000,(s_bar/2+13*s_bar)+(phi/2)*-0.309017,NA()),NA())</f>
        <v/>
      </c>
      <c r="AU6">
        <f>IF(s_bar/2+13*s_bar&lt;1000,(IF(hog,h_sec-c_nom-phi/2,c_nom+phi/2))+(phi/2)*0.951057,NA())</f>
        <v/>
      </c>
      <c r="AW6">
        <f>IF(inputs_ok,IF(s_bar/2+14*s_bar&lt;1000,(s_bar/2+14*s_bar)+(phi/2)*-0.309017,NA()),NA())</f>
        <v/>
      </c>
      <c r="AX6">
        <f>IF(s_bar/2+14*s_bar&lt;1000,(IF(hog,h_sec-c_nom-phi/2,c_nom+phi/2))+(phi/2)*0.951057,NA())</f>
        <v/>
      </c>
      <c r="AZ6">
        <f>IF(inputs_ok,IF(s_bar/2+15*s_bar&lt;1000,(s_bar/2+15*s_bar)+(phi/2)*-0.309017,NA()),NA())</f>
        <v/>
      </c>
      <c r="BA6">
        <f>IF(s_bar/2+15*s_bar&lt;1000,(IF(hog,h_sec-c_nom-phi/2,c_nom+phi/2))+(phi/2)*0.951057,NA())</f>
        <v/>
      </c>
      <c r="BC6">
        <f>IF(inputs_ok,IF(s_bar/2+16*s_bar&lt;1000,(s_bar/2+16*s_bar)+(phi/2)*-0.309017,NA()),NA())</f>
        <v/>
      </c>
      <c r="BD6">
        <f>IF(s_bar/2+16*s_bar&lt;1000,(IF(hog,h_sec-c_nom-phi/2,c_nom+phi/2))+(phi/2)*0.951057,NA())</f>
        <v/>
      </c>
      <c r="BF6">
        <f>IF(inputs_ok,IF(s_bar/2+17*s_bar&lt;1000,(s_bar/2+17*s_bar)+(phi/2)*-0.309017,NA()),NA())</f>
        <v/>
      </c>
      <c r="BG6">
        <f>IF(s_bar/2+17*s_bar&lt;1000,(IF(hog,h_sec-c_nom-phi/2,c_nom+phi/2))+(phi/2)*0.951057,NA())</f>
        <v/>
      </c>
      <c r="BI6">
        <f>IF(inputs_ok,IF(s_bar/2+18*s_bar&lt;1000,(s_bar/2+18*s_bar)+(phi/2)*-0.309017,NA()),NA())</f>
        <v/>
      </c>
      <c r="BJ6">
        <f>IF(s_bar/2+18*s_bar&lt;1000,(IF(hog,h_sec-c_nom-phi/2,c_nom+phi/2))+(phi/2)*0.951057,NA())</f>
        <v/>
      </c>
      <c r="BL6">
        <f>IF(inputs_ok,IF(s_bar/2+19*s_bar&lt;1000,(s_bar/2+19*s_bar)+(phi/2)*-0.309017,NA()),NA())</f>
        <v/>
      </c>
      <c r="BM6">
        <f>IF(s_bar/2+19*s_bar&lt;1000,(IF(hog,h_sec-c_nom-phi/2,c_nom+phi/2))+(phi/2)*0.951057,NA())</f>
        <v/>
      </c>
      <c r="BO6">
        <f>IF(inputs_ok,IF(s_bar/2+20*s_bar&lt;1000,(s_bar/2+20*s_bar)+(phi/2)*-0.309017,NA()),NA())</f>
        <v/>
      </c>
      <c r="BP6">
        <f>IF(s_bar/2+20*s_bar&lt;1000,(IF(hog,h_sec-c_nom-phi/2,c_nom+phi/2))+(phi/2)*0.951057,NA())</f>
        <v/>
      </c>
      <c r="BR6">
        <f>IF(inputs_ok,IF(s_bar/2+21*s_bar&lt;1000,(s_bar/2+21*s_bar)+(phi/2)*-0.309017,NA()),NA())</f>
        <v/>
      </c>
      <c r="BS6">
        <f>IF(s_bar/2+21*s_bar&lt;1000,(IF(hog,h_sec-c_nom-phi/2,c_nom+phi/2))+(phi/2)*0.951057,NA())</f>
        <v/>
      </c>
      <c r="BU6">
        <f>IF(inputs_ok,IF(s_bar/2+22*s_bar&lt;1000,(s_bar/2+22*s_bar)+(phi/2)*-0.309017,NA()),NA())</f>
        <v/>
      </c>
      <c r="BV6">
        <f>IF(s_bar/2+22*s_bar&lt;1000,(IF(hog,h_sec-c_nom-phi/2,c_nom+phi/2))+(phi/2)*0.951057,NA())</f>
        <v/>
      </c>
      <c r="BX6">
        <f>IF(inputs_ok,IF(s_bar/2+23*s_bar&lt;1000,(s_bar/2+23*s_bar)+(phi/2)*-0.309017,NA()),NA())</f>
        <v/>
      </c>
      <c r="BY6">
        <f>IF(s_bar/2+23*s_bar&lt;1000,(IF(hog,h_sec-c_nom-phi/2,c_nom+phi/2))+(phi/2)*0.951057,NA())</f>
        <v/>
      </c>
      <c r="CA6">
        <f>IF(inputs_ok,IF(s_bar/2+24*s_bar&lt;1000,(s_bar/2+24*s_bar)+(phi/2)*-0.309017,NA()),NA())</f>
        <v/>
      </c>
      <c r="CB6">
        <f>IF(s_bar/2+24*s_bar&lt;1000,(IF(hog,h_sec-c_nom-phi/2,c_nom+phi/2))+(phi/2)*0.951057,NA())</f>
        <v/>
      </c>
      <c r="CD6">
        <f>IF(inputs_ok,IF(s_bar/2+25*s_bar&lt;1000,(s_bar/2+25*s_bar)+(phi/2)*-0.309017,NA()),NA())</f>
        <v/>
      </c>
      <c r="CE6">
        <f>IF(s_bar/2+25*s_bar&lt;1000,(IF(hog,h_sec-c_nom-phi/2,c_nom+phi/2))+(phi/2)*0.951057,NA())</f>
        <v/>
      </c>
      <c r="CG6">
        <f>IF(inputs_ok,IF(s_bar/2+26*s_bar&lt;1000,(s_bar/2+26*s_bar)+(phi/2)*-0.309017,NA()),NA())</f>
        <v/>
      </c>
      <c r="CH6">
        <f>IF(s_bar/2+26*s_bar&lt;1000,(IF(hog,h_sec-c_nom-phi/2,c_nom+phi/2))+(phi/2)*0.951057,NA())</f>
        <v/>
      </c>
      <c r="CJ6">
        <f>IF(inputs_ok,IF(s_bar/2+27*s_bar&lt;1000,(s_bar/2+27*s_bar)+(phi/2)*-0.309017,NA()),NA())</f>
        <v/>
      </c>
      <c r="CK6">
        <f>IF(s_bar/2+27*s_bar&lt;1000,(IF(hog,h_sec-c_nom-phi/2,c_nom+phi/2))+(phi/2)*0.951057,NA())</f>
        <v/>
      </c>
      <c r="CM6">
        <f>IF(inputs_ok,IF(s_bar/2+28*s_bar&lt;1000,(s_bar/2+28*s_bar)+(phi/2)*-0.309017,NA()),NA())</f>
        <v/>
      </c>
      <c r="CN6">
        <f>IF(s_bar/2+28*s_bar&lt;1000,(IF(hog,h_sec-c_nom-phi/2,c_nom+phi/2))+(phi/2)*0.951057,NA())</f>
        <v/>
      </c>
      <c r="CP6">
        <f>IF(inputs_ok,IF(s_bar/2+29*s_bar&lt;1000,(s_bar/2+29*s_bar)+(phi/2)*-0.309017,NA()),NA())</f>
        <v/>
      </c>
      <c r="CQ6">
        <f>IF(s_bar/2+29*s_bar&lt;1000,(IF(hog,h_sec-c_nom-phi/2,c_nom+phi/2))+(phi/2)*0.951057,NA())</f>
        <v/>
      </c>
      <c r="CS6">
        <f>IF(inputs_ok,IF(s_bar/2+30*s_bar&lt;1000,(s_bar/2+30*s_bar)+(phi/2)*-0.309017,NA()),NA())</f>
        <v/>
      </c>
      <c r="CT6">
        <f>IF(s_bar/2+30*s_bar&lt;1000,(IF(hog,h_sec-c_nom-phi/2,c_nom+phi/2))+(phi/2)*0.951057,NA())</f>
        <v/>
      </c>
      <c r="CV6">
        <f>IF(inputs_ok,IF(s_bar/2+31*s_bar&lt;1000,(s_bar/2+31*s_bar)+(phi/2)*-0.309017,NA()),NA())</f>
        <v/>
      </c>
      <c r="CW6">
        <f>IF(s_bar/2+31*s_bar&lt;1000,(IF(hog,h_sec-c_nom-phi/2,c_nom+phi/2))+(phi/2)*0.951057,NA())</f>
        <v/>
      </c>
      <c r="CY6">
        <f>IF(inputs_ok,IF(s_bar/2+32*s_bar&lt;1000,(s_bar/2+32*s_bar)+(phi/2)*-0.309017,NA()),NA())</f>
        <v/>
      </c>
      <c r="CZ6">
        <f>IF(s_bar/2+32*s_bar&lt;1000,(IF(hog,h_sec-c_nom-phi/2,c_nom+phi/2))+(phi/2)*0.951057,NA())</f>
        <v/>
      </c>
      <c r="DB6">
        <f>IF(inputs_ok,IF(s_bar/2+33*s_bar&lt;1000,(s_bar/2+33*s_bar)+(phi/2)*-0.309017,NA()),NA())</f>
        <v/>
      </c>
      <c r="DC6">
        <f>IF(s_bar/2+33*s_bar&lt;1000,(IF(hog,h_sec-c_nom-phi/2,c_nom+phi/2))+(phi/2)*0.951057,NA())</f>
        <v/>
      </c>
      <c r="DE6">
        <f>IF(inputs_ok,IF(s_bar/2+34*s_bar&lt;1000,(s_bar/2+34*s_bar)+(phi/2)*-0.309017,NA()),NA())</f>
        <v/>
      </c>
      <c r="DF6">
        <f>IF(s_bar/2+34*s_bar&lt;1000,(IF(hog,h_sec-c_nom-phi/2,c_nom+phi/2))+(phi/2)*0.951057,NA())</f>
        <v/>
      </c>
      <c r="DH6">
        <f>IF(inputs_ok,IF(s_bar/2+35*s_bar&lt;1000,(s_bar/2+35*s_bar)+(phi/2)*-0.309017,NA()),NA())</f>
        <v/>
      </c>
      <c r="DI6">
        <f>IF(s_bar/2+35*s_bar&lt;1000,(IF(hog,h_sec-c_nom-phi/2,c_nom+phi/2))+(phi/2)*0.951057,NA())</f>
        <v/>
      </c>
      <c r="DK6">
        <f>IF(inputs_ok,IF(s_bar/2+36*s_bar&lt;1000,(s_bar/2+36*s_bar)+(phi/2)*-0.309017,NA()),NA())</f>
        <v/>
      </c>
      <c r="DL6">
        <f>IF(s_bar/2+36*s_bar&lt;1000,(IF(hog,h_sec-c_nom-phi/2,c_nom+phi/2))+(phi/2)*0.951057,NA())</f>
        <v/>
      </c>
      <c r="DN6">
        <f>IF(inputs_ok,IF(s_bar/2+37*s_bar&lt;1000,(s_bar/2+37*s_bar)+(phi/2)*-0.309017,NA()),NA())</f>
        <v/>
      </c>
      <c r="DO6">
        <f>IF(s_bar/2+37*s_bar&lt;1000,(IF(hog,h_sec-c_nom-phi/2,c_nom+phi/2))+(phi/2)*0.951057,NA())</f>
        <v/>
      </c>
      <c r="DQ6">
        <f>IF(inputs_ok,IF(s_bar/2+38*s_bar&lt;1000,(s_bar/2+38*s_bar)+(phi/2)*-0.309017,NA()),NA())</f>
        <v/>
      </c>
      <c r="DR6">
        <f>IF(s_bar/2+38*s_bar&lt;1000,(IF(hog,h_sec-c_nom-phi/2,c_nom+phi/2))+(phi/2)*0.951057,NA())</f>
        <v/>
      </c>
      <c r="DT6">
        <f>IF(inputs_ok,IF(s_bar/2+39*s_bar&lt;1000,(s_bar/2+39*s_bar)+(phi/2)*-0.309017,NA()),NA())</f>
        <v/>
      </c>
      <c r="DU6">
        <f>IF(s_bar/2+39*s_bar&lt;1000,(IF(hog,h_sec-c_nom-phi/2,c_nom+phi/2))+(phi/2)*0.951057,NA())</f>
        <v/>
      </c>
      <c r="DW6">
        <f>IF(inputs_ok,IF(s_bar/2+40*s_bar&lt;1000,(s_bar/2+40*s_bar)+(phi/2)*-0.309017,NA()),NA())</f>
        <v/>
      </c>
      <c r="DX6">
        <f>IF(s_bar/2+40*s_bar&lt;1000,(IF(hog,h_sec-c_nom-phi/2,c_nom+phi/2))+(phi/2)*0.951057,NA())</f>
        <v/>
      </c>
      <c r="DZ6">
        <f>IF(inputs_ok,IF(s_bar/2+41*s_bar&lt;1000,(s_bar/2+41*s_bar)+(phi/2)*-0.309017,NA()),NA())</f>
        <v/>
      </c>
      <c r="EA6">
        <f>IF(s_bar/2+41*s_bar&lt;1000,(IF(hog,h_sec-c_nom-phi/2,c_nom+phi/2))+(phi/2)*0.951057,NA())</f>
        <v/>
      </c>
      <c r="EC6">
        <f>IF(inputs_ok,IF(s_bar/2+42*s_bar&lt;1000,(s_bar/2+42*s_bar)+(phi/2)*-0.309017,NA()),NA())</f>
        <v/>
      </c>
      <c r="ED6">
        <f>IF(s_bar/2+42*s_bar&lt;1000,(IF(hog,h_sec-c_nom-phi/2,c_nom+phi/2))+(phi/2)*0.951057,NA())</f>
        <v/>
      </c>
      <c r="EF6">
        <f>IF(inputs_ok,IF(s_bar/2+43*s_bar&lt;1000,(s_bar/2+43*s_bar)+(phi/2)*-0.309017,NA()),NA())</f>
        <v/>
      </c>
      <c r="EG6">
        <f>IF(s_bar/2+43*s_bar&lt;1000,(IF(hog,h_sec-c_nom-phi/2,c_nom+phi/2))+(phi/2)*0.951057,NA())</f>
        <v/>
      </c>
      <c r="EI6">
        <f>IF(inputs_ok,IF(s_bar/2+44*s_bar&lt;1000,(s_bar/2+44*s_bar)+(phi/2)*-0.309017,NA()),NA())</f>
        <v/>
      </c>
      <c r="EJ6">
        <f>IF(s_bar/2+44*s_bar&lt;1000,(IF(hog,h_sec-c_nom-phi/2,c_nom+phi/2))+(phi/2)*0.951057,NA())</f>
        <v/>
      </c>
      <c r="EL6">
        <f>IF(inputs_ok,IF(s_bar/2+45*s_bar&lt;1000,(s_bar/2+45*s_bar)+(phi/2)*-0.309017,NA()),NA())</f>
        <v/>
      </c>
      <c r="EM6">
        <f>IF(s_bar/2+45*s_bar&lt;1000,(IF(hog,h_sec-c_nom-phi/2,c_nom+phi/2))+(phi/2)*0.951057,NA())</f>
        <v/>
      </c>
      <c r="EO6">
        <f>IF(inputs_ok,IF(s_bar/2+46*s_bar&lt;1000,(s_bar/2+46*s_bar)+(phi/2)*-0.309017,NA()),NA())</f>
        <v/>
      </c>
      <c r="EP6">
        <f>IF(s_bar/2+46*s_bar&lt;1000,(IF(hog,h_sec-c_nom-phi/2,c_nom+phi/2))+(phi/2)*0.951057,NA())</f>
        <v/>
      </c>
      <c r="ER6">
        <f>IF(inputs_ok,IF(s_bar/2+47*s_bar&lt;1000,(s_bar/2+47*s_bar)+(phi/2)*-0.309017,NA()),NA())</f>
        <v/>
      </c>
      <c r="ES6">
        <f>IF(s_bar/2+47*s_bar&lt;1000,(IF(hog,h_sec-c_nom-phi/2,c_nom+phi/2))+(phi/2)*0.951057,NA())</f>
        <v/>
      </c>
      <c r="EU6">
        <f>IF(inputs_ok,IF(s_bar/2+48*s_bar&lt;1000,(s_bar/2+48*s_bar)+(phi/2)*-0.309017,NA()),NA())</f>
        <v/>
      </c>
      <c r="EV6">
        <f>IF(s_bar/2+48*s_bar&lt;1000,(IF(hog,h_sec-c_nom-phi/2,c_nom+phi/2))+(phi/2)*0.951057,NA())</f>
        <v/>
      </c>
      <c r="EX6">
        <f>IF(inputs_ok,IF(s_bar/2+49*s_bar&lt;1000,(s_bar/2+49*s_bar)+(phi/2)*-0.309017,NA()),NA())</f>
        <v/>
      </c>
      <c r="EY6">
        <f>IF(s_bar/2+49*s_bar&lt;1000,(IF(hog,h_sec-c_nom-phi/2,c_nom+phi/2))+(phi/2)*0.951057,NA())</f>
        <v/>
      </c>
      <c r="FA6">
        <f>IF(inputs_ok,IF(s_bar/2+50*s_bar&lt;1000,(s_bar/2+50*s_bar)+(phi/2)*-0.309017,NA()),NA())</f>
        <v/>
      </c>
      <c r="FB6">
        <f>IF(s_bar/2+50*s_bar&lt;1000,(IF(hog,h_sec-c_nom-phi/2,c_nom+phi/2))+(phi/2)*0.951057,NA())</f>
        <v/>
      </c>
      <c r="FD6">
        <f>IF(inputs_ok,IF(s_bar/2+51*s_bar&lt;1000,(s_bar/2+51*s_bar)+(phi/2)*-0.309017,NA()),NA())</f>
        <v/>
      </c>
      <c r="FE6">
        <f>IF(s_bar/2+51*s_bar&lt;1000,(IF(hog,h_sec-c_nom-phi/2,c_nom+phi/2))+(phi/2)*0.951057,NA())</f>
        <v/>
      </c>
      <c r="FG6">
        <f>IF(inputs_ok,IF(s_bar/2+52*s_bar&lt;1000,(s_bar/2+52*s_bar)+(phi/2)*-0.309017,NA()),NA())</f>
        <v/>
      </c>
      <c r="FH6">
        <f>IF(s_bar/2+52*s_bar&lt;1000,(IF(hog,h_sec-c_nom-phi/2,c_nom+phi/2))+(phi/2)*0.951057,NA())</f>
        <v/>
      </c>
      <c r="FJ6">
        <f>IF(inputs_ok,IF(s_bar/2+53*s_bar&lt;1000,(s_bar/2+53*s_bar)+(phi/2)*-0.309017,NA()),NA())</f>
        <v/>
      </c>
      <c r="FK6">
        <f>IF(s_bar/2+53*s_bar&lt;1000,(IF(hog,h_sec-c_nom-phi/2,c_nom+phi/2))+(phi/2)*0.951057,NA())</f>
        <v/>
      </c>
      <c r="FM6">
        <f>IF(inputs_ok,IF(s_bar/2+54*s_bar&lt;1000,(s_bar/2+54*s_bar)+(phi/2)*-0.309017,NA()),NA())</f>
        <v/>
      </c>
      <c r="FN6">
        <f>IF(s_bar/2+54*s_bar&lt;1000,(IF(hog,h_sec-c_nom-phi/2,c_nom+phi/2))+(phi/2)*0.951057,NA())</f>
        <v/>
      </c>
      <c r="FP6">
        <f>IF(inputs_ok,IF(s_bar/2+55*s_bar&lt;1000,(s_bar/2+55*s_bar)+(phi/2)*-0.309017,NA()),NA())</f>
        <v/>
      </c>
      <c r="FQ6">
        <f>IF(s_bar/2+55*s_bar&lt;1000,(IF(hog,h_sec-c_nom-phi/2,c_nom+phi/2))+(phi/2)*0.951057,NA())</f>
        <v/>
      </c>
      <c r="FS6">
        <f>IF(inputs_ok,IF(s_bar/2+56*s_bar&lt;1000,(s_bar/2+56*s_bar)+(phi/2)*-0.309017,NA()),NA())</f>
        <v/>
      </c>
      <c r="FT6">
        <f>IF(s_bar/2+56*s_bar&lt;1000,(IF(hog,h_sec-c_nom-phi/2,c_nom+phi/2))+(phi/2)*0.951057,NA())</f>
        <v/>
      </c>
      <c r="FV6">
        <f>IF(inputs_ok,IF(s_bar/2+57*s_bar&lt;1000,(s_bar/2+57*s_bar)+(phi/2)*-0.309017,NA()),NA())</f>
        <v/>
      </c>
      <c r="FW6">
        <f>IF(s_bar/2+57*s_bar&lt;1000,(IF(hog,h_sec-c_nom-phi/2,c_nom+phi/2))+(phi/2)*0.951057,NA())</f>
        <v/>
      </c>
      <c r="FY6">
        <f>IF(inputs_ok,IF(s_bar/2+58*s_bar&lt;1000,(s_bar/2+58*s_bar)+(phi/2)*-0.309017,NA()),NA())</f>
        <v/>
      </c>
      <c r="FZ6">
        <f>IF(s_bar/2+58*s_bar&lt;1000,(IF(hog,h_sec-c_nom-phi/2,c_nom+phi/2))+(phi/2)*0.951057,NA())</f>
        <v/>
      </c>
      <c r="GB6">
        <f>IF(inputs_ok,IF(s_bar/2+59*s_bar&lt;1000,(s_bar/2+59*s_bar)+(phi/2)*-0.309017,NA()),NA())</f>
        <v/>
      </c>
      <c r="GC6">
        <f>IF(s_bar/2+59*s_bar&lt;1000,(IF(hog,h_sec-c_nom-phi/2,c_nom+phi/2))+(phi/2)*0.951057,NA())</f>
        <v/>
      </c>
    </row>
    <row r="7">
      <c r="D7">
        <f>IF(inputs_ok,0,NA())</f>
        <v/>
      </c>
      <c r="E7">
        <f>0</f>
        <v/>
      </c>
      <c r="G7">
        <f>IF(inputs_ok,IF(s_bar/2+0*s_bar&lt;1000,(s_bar/2+0*s_bar)+(phi/2)*-0.809017,NA()),NA())</f>
        <v/>
      </c>
      <c r="H7">
        <f>IF(s_bar/2+0*s_bar&lt;1000,(IF(hog,h_sec-c_nom-phi/2,c_nom+phi/2))+(phi/2)*0.587785,NA())</f>
        <v/>
      </c>
      <c r="J7">
        <f>IF(inputs_ok,IF(s_bar/2+1*s_bar&lt;1000,(s_bar/2+1*s_bar)+(phi/2)*-0.809017,NA()),NA())</f>
        <v/>
      </c>
      <c r="K7">
        <f>IF(s_bar/2+1*s_bar&lt;1000,(IF(hog,h_sec-c_nom-phi/2,c_nom+phi/2))+(phi/2)*0.587785,NA())</f>
        <v/>
      </c>
      <c r="M7">
        <f>IF(inputs_ok,IF(s_bar/2+2*s_bar&lt;1000,(s_bar/2+2*s_bar)+(phi/2)*-0.809017,NA()),NA())</f>
        <v/>
      </c>
      <c r="N7">
        <f>IF(s_bar/2+2*s_bar&lt;1000,(IF(hog,h_sec-c_nom-phi/2,c_nom+phi/2))+(phi/2)*0.587785,NA())</f>
        <v/>
      </c>
      <c r="P7">
        <f>IF(inputs_ok,IF(s_bar/2+3*s_bar&lt;1000,(s_bar/2+3*s_bar)+(phi/2)*-0.809017,NA()),NA())</f>
        <v/>
      </c>
      <c r="Q7">
        <f>IF(s_bar/2+3*s_bar&lt;1000,(IF(hog,h_sec-c_nom-phi/2,c_nom+phi/2))+(phi/2)*0.587785,NA())</f>
        <v/>
      </c>
      <c r="S7">
        <f>IF(inputs_ok,IF(s_bar/2+4*s_bar&lt;1000,(s_bar/2+4*s_bar)+(phi/2)*-0.809017,NA()),NA())</f>
        <v/>
      </c>
      <c r="T7">
        <f>IF(s_bar/2+4*s_bar&lt;1000,(IF(hog,h_sec-c_nom-phi/2,c_nom+phi/2))+(phi/2)*0.587785,NA())</f>
        <v/>
      </c>
      <c r="V7">
        <f>IF(inputs_ok,IF(s_bar/2+5*s_bar&lt;1000,(s_bar/2+5*s_bar)+(phi/2)*-0.809017,NA()),NA())</f>
        <v/>
      </c>
      <c r="W7">
        <f>IF(s_bar/2+5*s_bar&lt;1000,(IF(hog,h_sec-c_nom-phi/2,c_nom+phi/2))+(phi/2)*0.587785,NA())</f>
        <v/>
      </c>
      <c r="Y7">
        <f>IF(inputs_ok,IF(s_bar/2+6*s_bar&lt;1000,(s_bar/2+6*s_bar)+(phi/2)*-0.809017,NA()),NA())</f>
        <v/>
      </c>
      <c r="Z7">
        <f>IF(s_bar/2+6*s_bar&lt;1000,(IF(hog,h_sec-c_nom-phi/2,c_nom+phi/2))+(phi/2)*0.587785,NA())</f>
        <v/>
      </c>
      <c r="AB7">
        <f>IF(inputs_ok,IF(s_bar/2+7*s_bar&lt;1000,(s_bar/2+7*s_bar)+(phi/2)*-0.809017,NA()),NA())</f>
        <v/>
      </c>
      <c r="AC7">
        <f>IF(s_bar/2+7*s_bar&lt;1000,(IF(hog,h_sec-c_nom-phi/2,c_nom+phi/2))+(phi/2)*0.587785,NA())</f>
        <v/>
      </c>
      <c r="AE7">
        <f>IF(inputs_ok,IF(s_bar/2+8*s_bar&lt;1000,(s_bar/2+8*s_bar)+(phi/2)*-0.809017,NA()),NA())</f>
        <v/>
      </c>
      <c r="AF7">
        <f>IF(s_bar/2+8*s_bar&lt;1000,(IF(hog,h_sec-c_nom-phi/2,c_nom+phi/2))+(phi/2)*0.587785,NA())</f>
        <v/>
      </c>
      <c r="AH7">
        <f>IF(inputs_ok,IF(s_bar/2+9*s_bar&lt;1000,(s_bar/2+9*s_bar)+(phi/2)*-0.809017,NA()),NA())</f>
        <v/>
      </c>
      <c r="AI7">
        <f>IF(s_bar/2+9*s_bar&lt;1000,(IF(hog,h_sec-c_nom-phi/2,c_nom+phi/2))+(phi/2)*0.587785,NA())</f>
        <v/>
      </c>
      <c r="AK7">
        <f>IF(inputs_ok,IF(s_bar/2+10*s_bar&lt;1000,(s_bar/2+10*s_bar)+(phi/2)*-0.809017,NA()),NA())</f>
        <v/>
      </c>
      <c r="AL7">
        <f>IF(s_bar/2+10*s_bar&lt;1000,(IF(hog,h_sec-c_nom-phi/2,c_nom+phi/2))+(phi/2)*0.587785,NA())</f>
        <v/>
      </c>
      <c r="AN7">
        <f>IF(inputs_ok,IF(s_bar/2+11*s_bar&lt;1000,(s_bar/2+11*s_bar)+(phi/2)*-0.809017,NA()),NA())</f>
        <v/>
      </c>
      <c r="AO7">
        <f>IF(s_bar/2+11*s_bar&lt;1000,(IF(hog,h_sec-c_nom-phi/2,c_nom+phi/2))+(phi/2)*0.587785,NA())</f>
        <v/>
      </c>
      <c r="AQ7">
        <f>IF(inputs_ok,IF(s_bar/2+12*s_bar&lt;1000,(s_bar/2+12*s_bar)+(phi/2)*-0.809017,NA()),NA())</f>
        <v/>
      </c>
      <c r="AR7">
        <f>IF(s_bar/2+12*s_bar&lt;1000,(IF(hog,h_sec-c_nom-phi/2,c_nom+phi/2))+(phi/2)*0.587785,NA())</f>
        <v/>
      </c>
      <c r="AT7">
        <f>IF(inputs_ok,IF(s_bar/2+13*s_bar&lt;1000,(s_bar/2+13*s_bar)+(phi/2)*-0.809017,NA()),NA())</f>
        <v/>
      </c>
      <c r="AU7">
        <f>IF(s_bar/2+13*s_bar&lt;1000,(IF(hog,h_sec-c_nom-phi/2,c_nom+phi/2))+(phi/2)*0.587785,NA())</f>
        <v/>
      </c>
      <c r="AW7">
        <f>IF(inputs_ok,IF(s_bar/2+14*s_bar&lt;1000,(s_bar/2+14*s_bar)+(phi/2)*-0.809017,NA()),NA())</f>
        <v/>
      </c>
      <c r="AX7">
        <f>IF(s_bar/2+14*s_bar&lt;1000,(IF(hog,h_sec-c_nom-phi/2,c_nom+phi/2))+(phi/2)*0.587785,NA())</f>
        <v/>
      </c>
      <c r="AZ7">
        <f>IF(inputs_ok,IF(s_bar/2+15*s_bar&lt;1000,(s_bar/2+15*s_bar)+(phi/2)*-0.809017,NA()),NA())</f>
        <v/>
      </c>
      <c r="BA7">
        <f>IF(s_bar/2+15*s_bar&lt;1000,(IF(hog,h_sec-c_nom-phi/2,c_nom+phi/2))+(phi/2)*0.587785,NA())</f>
        <v/>
      </c>
      <c r="BC7">
        <f>IF(inputs_ok,IF(s_bar/2+16*s_bar&lt;1000,(s_bar/2+16*s_bar)+(phi/2)*-0.809017,NA()),NA())</f>
        <v/>
      </c>
      <c r="BD7">
        <f>IF(s_bar/2+16*s_bar&lt;1000,(IF(hog,h_sec-c_nom-phi/2,c_nom+phi/2))+(phi/2)*0.587785,NA())</f>
        <v/>
      </c>
      <c r="BF7">
        <f>IF(inputs_ok,IF(s_bar/2+17*s_bar&lt;1000,(s_bar/2+17*s_bar)+(phi/2)*-0.809017,NA()),NA())</f>
        <v/>
      </c>
      <c r="BG7">
        <f>IF(s_bar/2+17*s_bar&lt;1000,(IF(hog,h_sec-c_nom-phi/2,c_nom+phi/2))+(phi/2)*0.587785,NA())</f>
        <v/>
      </c>
      <c r="BI7">
        <f>IF(inputs_ok,IF(s_bar/2+18*s_bar&lt;1000,(s_bar/2+18*s_bar)+(phi/2)*-0.809017,NA()),NA())</f>
        <v/>
      </c>
      <c r="BJ7">
        <f>IF(s_bar/2+18*s_bar&lt;1000,(IF(hog,h_sec-c_nom-phi/2,c_nom+phi/2))+(phi/2)*0.587785,NA())</f>
        <v/>
      </c>
      <c r="BL7">
        <f>IF(inputs_ok,IF(s_bar/2+19*s_bar&lt;1000,(s_bar/2+19*s_bar)+(phi/2)*-0.809017,NA()),NA())</f>
        <v/>
      </c>
      <c r="BM7">
        <f>IF(s_bar/2+19*s_bar&lt;1000,(IF(hog,h_sec-c_nom-phi/2,c_nom+phi/2))+(phi/2)*0.587785,NA())</f>
        <v/>
      </c>
      <c r="BO7">
        <f>IF(inputs_ok,IF(s_bar/2+20*s_bar&lt;1000,(s_bar/2+20*s_bar)+(phi/2)*-0.809017,NA()),NA())</f>
        <v/>
      </c>
      <c r="BP7">
        <f>IF(s_bar/2+20*s_bar&lt;1000,(IF(hog,h_sec-c_nom-phi/2,c_nom+phi/2))+(phi/2)*0.587785,NA())</f>
        <v/>
      </c>
      <c r="BR7">
        <f>IF(inputs_ok,IF(s_bar/2+21*s_bar&lt;1000,(s_bar/2+21*s_bar)+(phi/2)*-0.809017,NA()),NA())</f>
        <v/>
      </c>
      <c r="BS7">
        <f>IF(s_bar/2+21*s_bar&lt;1000,(IF(hog,h_sec-c_nom-phi/2,c_nom+phi/2))+(phi/2)*0.587785,NA())</f>
        <v/>
      </c>
      <c r="BU7">
        <f>IF(inputs_ok,IF(s_bar/2+22*s_bar&lt;1000,(s_bar/2+22*s_bar)+(phi/2)*-0.809017,NA()),NA())</f>
        <v/>
      </c>
      <c r="BV7">
        <f>IF(s_bar/2+22*s_bar&lt;1000,(IF(hog,h_sec-c_nom-phi/2,c_nom+phi/2))+(phi/2)*0.587785,NA())</f>
        <v/>
      </c>
      <c r="BX7">
        <f>IF(inputs_ok,IF(s_bar/2+23*s_bar&lt;1000,(s_bar/2+23*s_bar)+(phi/2)*-0.809017,NA()),NA())</f>
        <v/>
      </c>
      <c r="BY7">
        <f>IF(s_bar/2+23*s_bar&lt;1000,(IF(hog,h_sec-c_nom-phi/2,c_nom+phi/2))+(phi/2)*0.587785,NA())</f>
        <v/>
      </c>
      <c r="CA7">
        <f>IF(inputs_ok,IF(s_bar/2+24*s_bar&lt;1000,(s_bar/2+24*s_bar)+(phi/2)*-0.809017,NA()),NA())</f>
        <v/>
      </c>
      <c r="CB7">
        <f>IF(s_bar/2+24*s_bar&lt;1000,(IF(hog,h_sec-c_nom-phi/2,c_nom+phi/2))+(phi/2)*0.587785,NA())</f>
        <v/>
      </c>
      <c r="CD7">
        <f>IF(inputs_ok,IF(s_bar/2+25*s_bar&lt;1000,(s_bar/2+25*s_bar)+(phi/2)*-0.809017,NA()),NA())</f>
        <v/>
      </c>
      <c r="CE7">
        <f>IF(s_bar/2+25*s_bar&lt;1000,(IF(hog,h_sec-c_nom-phi/2,c_nom+phi/2))+(phi/2)*0.587785,NA())</f>
        <v/>
      </c>
      <c r="CG7">
        <f>IF(inputs_ok,IF(s_bar/2+26*s_bar&lt;1000,(s_bar/2+26*s_bar)+(phi/2)*-0.809017,NA()),NA())</f>
        <v/>
      </c>
      <c r="CH7">
        <f>IF(s_bar/2+26*s_bar&lt;1000,(IF(hog,h_sec-c_nom-phi/2,c_nom+phi/2))+(phi/2)*0.587785,NA())</f>
        <v/>
      </c>
      <c r="CJ7">
        <f>IF(inputs_ok,IF(s_bar/2+27*s_bar&lt;1000,(s_bar/2+27*s_bar)+(phi/2)*-0.809017,NA()),NA())</f>
        <v/>
      </c>
      <c r="CK7">
        <f>IF(s_bar/2+27*s_bar&lt;1000,(IF(hog,h_sec-c_nom-phi/2,c_nom+phi/2))+(phi/2)*0.587785,NA())</f>
        <v/>
      </c>
      <c r="CM7">
        <f>IF(inputs_ok,IF(s_bar/2+28*s_bar&lt;1000,(s_bar/2+28*s_bar)+(phi/2)*-0.809017,NA()),NA())</f>
        <v/>
      </c>
      <c r="CN7">
        <f>IF(s_bar/2+28*s_bar&lt;1000,(IF(hog,h_sec-c_nom-phi/2,c_nom+phi/2))+(phi/2)*0.587785,NA())</f>
        <v/>
      </c>
      <c r="CP7">
        <f>IF(inputs_ok,IF(s_bar/2+29*s_bar&lt;1000,(s_bar/2+29*s_bar)+(phi/2)*-0.809017,NA()),NA())</f>
        <v/>
      </c>
      <c r="CQ7">
        <f>IF(s_bar/2+29*s_bar&lt;1000,(IF(hog,h_sec-c_nom-phi/2,c_nom+phi/2))+(phi/2)*0.587785,NA())</f>
        <v/>
      </c>
      <c r="CS7">
        <f>IF(inputs_ok,IF(s_bar/2+30*s_bar&lt;1000,(s_bar/2+30*s_bar)+(phi/2)*-0.809017,NA()),NA())</f>
        <v/>
      </c>
      <c r="CT7">
        <f>IF(s_bar/2+30*s_bar&lt;1000,(IF(hog,h_sec-c_nom-phi/2,c_nom+phi/2))+(phi/2)*0.587785,NA())</f>
        <v/>
      </c>
      <c r="CV7">
        <f>IF(inputs_ok,IF(s_bar/2+31*s_bar&lt;1000,(s_bar/2+31*s_bar)+(phi/2)*-0.809017,NA()),NA())</f>
        <v/>
      </c>
      <c r="CW7">
        <f>IF(s_bar/2+31*s_bar&lt;1000,(IF(hog,h_sec-c_nom-phi/2,c_nom+phi/2))+(phi/2)*0.587785,NA())</f>
        <v/>
      </c>
      <c r="CY7">
        <f>IF(inputs_ok,IF(s_bar/2+32*s_bar&lt;1000,(s_bar/2+32*s_bar)+(phi/2)*-0.809017,NA()),NA())</f>
        <v/>
      </c>
      <c r="CZ7">
        <f>IF(s_bar/2+32*s_bar&lt;1000,(IF(hog,h_sec-c_nom-phi/2,c_nom+phi/2))+(phi/2)*0.587785,NA())</f>
        <v/>
      </c>
      <c r="DB7">
        <f>IF(inputs_ok,IF(s_bar/2+33*s_bar&lt;1000,(s_bar/2+33*s_bar)+(phi/2)*-0.809017,NA()),NA())</f>
        <v/>
      </c>
      <c r="DC7">
        <f>IF(s_bar/2+33*s_bar&lt;1000,(IF(hog,h_sec-c_nom-phi/2,c_nom+phi/2))+(phi/2)*0.587785,NA())</f>
        <v/>
      </c>
      <c r="DE7">
        <f>IF(inputs_ok,IF(s_bar/2+34*s_bar&lt;1000,(s_bar/2+34*s_bar)+(phi/2)*-0.809017,NA()),NA())</f>
        <v/>
      </c>
      <c r="DF7">
        <f>IF(s_bar/2+34*s_bar&lt;1000,(IF(hog,h_sec-c_nom-phi/2,c_nom+phi/2))+(phi/2)*0.587785,NA())</f>
        <v/>
      </c>
      <c r="DH7">
        <f>IF(inputs_ok,IF(s_bar/2+35*s_bar&lt;1000,(s_bar/2+35*s_bar)+(phi/2)*-0.809017,NA()),NA())</f>
        <v/>
      </c>
      <c r="DI7">
        <f>IF(s_bar/2+35*s_bar&lt;1000,(IF(hog,h_sec-c_nom-phi/2,c_nom+phi/2))+(phi/2)*0.587785,NA())</f>
        <v/>
      </c>
      <c r="DK7">
        <f>IF(inputs_ok,IF(s_bar/2+36*s_bar&lt;1000,(s_bar/2+36*s_bar)+(phi/2)*-0.809017,NA()),NA())</f>
        <v/>
      </c>
      <c r="DL7">
        <f>IF(s_bar/2+36*s_bar&lt;1000,(IF(hog,h_sec-c_nom-phi/2,c_nom+phi/2))+(phi/2)*0.587785,NA())</f>
        <v/>
      </c>
      <c r="DN7">
        <f>IF(inputs_ok,IF(s_bar/2+37*s_bar&lt;1000,(s_bar/2+37*s_bar)+(phi/2)*-0.809017,NA()),NA())</f>
        <v/>
      </c>
      <c r="DO7">
        <f>IF(s_bar/2+37*s_bar&lt;1000,(IF(hog,h_sec-c_nom-phi/2,c_nom+phi/2))+(phi/2)*0.587785,NA())</f>
        <v/>
      </c>
      <c r="DQ7">
        <f>IF(inputs_ok,IF(s_bar/2+38*s_bar&lt;1000,(s_bar/2+38*s_bar)+(phi/2)*-0.809017,NA()),NA())</f>
        <v/>
      </c>
      <c r="DR7">
        <f>IF(s_bar/2+38*s_bar&lt;1000,(IF(hog,h_sec-c_nom-phi/2,c_nom+phi/2))+(phi/2)*0.587785,NA())</f>
        <v/>
      </c>
      <c r="DT7">
        <f>IF(inputs_ok,IF(s_bar/2+39*s_bar&lt;1000,(s_bar/2+39*s_bar)+(phi/2)*-0.809017,NA()),NA())</f>
        <v/>
      </c>
      <c r="DU7">
        <f>IF(s_bar/2+39*s_bar&lt;1000,(IF(hog,h_sec-c_nom-phi/2,c_nom+phi/2))+(phi/2)*0.587785,NA())</f>
        <v/>
      </c>
      <c r="DW7">
        <f>IF(inputs_ok,IF(s_bar/2+40*s_bar&lt;1000,(s_bar/2+40*s_bar)+(phi/2)*-0.809017,NA()),NA())</f>
        <v/>
      </c>
      <c r="DX7">
        <f>IF(s_bar/2+40*s_bar&lt;1000,(IF(hog,h_sec-c_nom-phi/2,c_nom+phi/2))+(phi/2)*0.587785,NA())</f>
        <v/>
      </c>
      <c r="DZ7">
        <f>IF(inputs_ok,IF(s_bar/2+41*s_bar&lt;1000,(s_bar/2+41*s_bar)+(phi/2)*-0.809017,NA()),NA())</f>
        <v/>
      </c>
      <c r="EA7">
        <f>IF(s_bar/2+41*s_bar&lt;1000,(IF(hog,h_sec-c_nom-phi/2,c_nom+phi/2))+(phi/2)*0.587785,NA())</f>
        <v/>
      </c>
      <c r="EC7">
        <f>IF(inputs_ok,IF(s_bar/2+42*s_bar&lt;1000,(s_bar/2+42*s_bar)+(phi/2)*-0.809017,NA()),NA())</f>
        <v/>
      </c>
      <c r="ED7">
        <f>IF(s_bar/2+42*s_bar&lt;1000,(IF(hog,h_sec-c_nom-phi/2,c_nom+phi/2))+(phi/2)*0.587785,NA())</f>
        <v/>
      </c>
      <c r="EF7">
        <f>IF(inputs_ok,IF(s_bar/2+43*s_bar&lt;1000,(s_bar/2+43*s_bar)+(phi/2)*-0.809017,NA()),NA())</f>
        <v/>
      </c>
      <c r="EG7">
        <f>IF(s_bar/2+43*s_bar&lt;1000,(IF(hog,h_sec-c_nom-phi/2,c_nom+phi/2))+(phi/2)*0.587785,NA())</f>
        <v/>
      </c>
      <c r="EI7">
        <f>IF(inputs_ok,IF(s_bar/2+44*s_bar&lt;1000,(s_bar/2+44*s_bar)+(phi/2)*-0.809017,NA()),NA())</f>
        <v/>
      </c>
      <c r="EJ7">
        <f>IF(s_bar/2+44*s_bar&lt;1000,(IF(hog,h_sec-c_nom-phi/2,c_nom+phi/2))+(phi/2)*0.587785,NA())</f>
        <v/>
      </c>
      <c r="EL7">
        <f>IF(inputs_ok,IF(s_bar/2+45*s_bar&lt;1000,(s_bar/2+45*s_bar)+(phi/2)*-0.809017,NA()),NA())</f>
        <v/>
      </c>
      <c r="EM7">
        <f>IF(s_bar/2+45*s_bar&lt;1000,(IF(hog,h_sec-c_nom-phi/2,c_nom+phi/2))+(phi/2)*0.587785,NA())</f>
        <v/>
      </c>
      <c r="EO7">
        <f>IF(inputs_ok,IF(s_bar/2+46*s_bar&lt;1000,(s_bar/2+46*s_bar)+(phi/2)*-0.809017,NA()),NA())</f>
        <v/>
      </c>
      <c r="EP7">
        <f>IF(s_bar/2+46*s_bar&lt;1000,(IF(hog,h_sec-c_nom-phi/2,c_nom+phi/2))+(phi/2)*0.587785,NA())</f>
        <v/>
      </c>
      <c r="ER7">
        <f>IF(inputs_ok,IF(s_bar/2+47*s_bar&lt;1000,(s_bar/2+47*s_bar)+(phi/2)*-0.809017,NA()),NA())</f>
        <v/>
      </c>
      <c r="ES7">
        <f>IF(s_bar/2+47*s_bar&lt;1000,(IF(hog,h_sec-c_nom-phi/2,c_nom+phi/2))+(phi/2)*0.587785,NA())</f>
        <v/>
      </c>
      <c r="EU7">
        <f>IF(inputs_ok,IF(s_bar/2+48*s_bar&lt;1000,(s_bar/2+48*s_bar)+(phi/2)*-0.809017,NA()),NA())</f>
        <v/>
      </c>
      <c r="EV7">
        <f>IF(s_bar/2+48*s_bar&lt;1000,(IF(hog,h_sec-c_nom-phi/2,c_nom+phi/2))+(phi/2)*0.587785,NA())</f>
        <v/>
      </c>
      <c r="EX7">
        <f>IF(inputs_ok,IF(s_bar/2+49*s_bar&lt;1000,(s_bar/2+49*s_bar)+(phi/2)*-0.809017,NA()),NA())</f>
        <v/>
      </c>
      <c r="EY7">
        <f>IF(s_bar/2+49*s_bar&lt;1000,(IF(hog,h_sec-c_nom-phi/2,c_nom+phi/2))+(phi/2)*0.587785,NA())</f>
        <v/>
      </c>
      <c r="FA7">
        <f>IF(inputs_ok,IF(s_bar/2+50*s_bar&lt;1000,(s_bar/2+50*s_bar)+(phi/2)*-0.809017,NA()),NA())</f>
        <v/>
      </c>
      <c r="FB7">
        <f>IF(s_bar/2+50*s_bar&lt;1000,(IF(hog,h_sec-c_nom-phi/2,c_nom+phi/2))+(phi/2)*0.587785,NA())</f>
        <v/>
      </c>
      <c r="FD7">
        <f>IF(inputs_ok,IF(s_bar/2+51*s_bar&lt;1000,(s_bar/2+51*s_bar)+(phi/2)*-0.809017,NA()),NA())</f>
        <v/>
      </c>
      <c r="FE7">
        <f>IF(s_bar/2+51*s_bar&lt;1000,(IF(hog,h_sec-c_nom-phi/2,c_nom+phi/2))+(phi/2)*0.587785,NA())</f>
        <v/>
      </c>
      <c r="FG7">
        <f>IF(inputs_ok,IF(s_bar/2+52*s_bar&lt;1000,(s_bar/2+52*s_bar)+(phi/2)*-0.809017,NA()),NA())</f>
        <v/>
      </c>
      <c r="FH7">
        <f>IF(s_bar/2+52*s_bar&lt;1000,(IF(hog,h_sec-c_nom-phi/2,c_nom+phi/2))+(phi/2)*0.587785,NA())</f>
        <v/>
      </c>
      <c r="FJ7">
        <f>IF(inputs_ok,IF(s_bar/2+53*s_bar&lt;1000,(s_bar/2+53*s_bar)+(phi/2)*-0.809017,NA()),NA())</f>
        <v/>
      </c>
      <c r="FK7">
        <f>IF(s_bar/2+53*s_bar&lt;1000,(IF(hog,h_sec-c_nom-phi/2,c_nom+phi/2))+(phi/2)*0.587785,NA())</f>
        <v/>
      </c>
      <c r="FM7">
        <f>IF(inputs_ok,IF(s_bar/2+54*s_bar&lt;1000,(s_bar/2+54*s_bar)+(phi/2)*-0.809017,NA()),NA())</f>
        <v/>
      </c>
      <c r="FN7">
        <f>IF(s_bar/2+54*s_bar&lt;1000,(IF(hog,h_sec-c_nom-phi/2,c_nom+phi/2))+(phi/2)*0.587785,NA())</f>
        <v/>
      </c>
      <c r="FP7">
        <f>IF(inputs_ok,IF(s_bar/2+55*s_bar&lt;1000,(s_bar/2+55*s_bar)+(phi/2)*-0.809017,NA()),NA())</f>
        <v/>
      </c>
      <c r="FQ7">
        <f>IF(s_bar/2+55*s_bar&lt;1000,(IF(hog,h_sec-c_nom-phi/2,c_nom+phi/2))+(phi/2)*0.587785,NA())</f>
        <v/>
      </c>
      <c r="FS7">
        <f>IF(inputs_ok,IF(s_bar/2+56*s_bar&lt;1000,(s_bar/2+56*s_bar)+(phi/2)*-0.809017,NA()),NA())</f>
        <v/>
      </c>
      <c r="FT7">
        <f>IF(s_bar/2+56*s_bar&lt;1000,(IF(hog,h_sec-c_nom-phi/2,c_nom+phi/2))+(phi/2)*0.587785,NA())</f>
        <v/>
      </c>
      <c r="FV7">
        <f>IF(inputs_ok,IF(s_bar/2+57*s_bar&lt;1000,(s_bar/2+57*s_bar)+(phi/2)*-0.809017,NA()),NA())</f>
        <v/>
      </c>
      <c r="FW7">
        <f>IF(s_bar/2+57*s_bar&lt;1000,(IF(hog,h_sec-c_nom-phi/2,c_nom+phi/2))+(phi/2)*0.587785,NA())</f>
        <v/>
      </c>
      <c r="FY7">
        <f>IF(inputs_ok,IF(s_bar/2+58*s_bar&lt;1000,(s_bar/2+58*s_bar)+(phi/2)*-0.809017,NA()),NA())</f>
        <v/>
      </c>
      <c r="FZ7">
        <f>IF(s_bar/2+58*s_bar&lt;1000,(IF(hog,h_sec-c_nom-phi/2,c_nom+phi/2))+(phi/2)*0.587785,NA())</f>
        <v/>
      </c>
      <c r="GB7">
        <f>IF(inputs_ok,IF(s_bar/2+59*s_bar&lt;1000,(s_bar/2+59*s_bar)+(phi/2)*-0.809017,NA()),NA())</f>
        <v/>
      </c>
      <c r="GC7">
        <f>IF(s_bar/2+59*s_bar&lt;1000,(IF(hog,h_sec-c_nom-phi/2,c_nom+phi/2))+(phi/2)*0.587785,NA())</f>
        <v/>
      </c>
    </row>
    <row r="8">
      <c r="G8">
        <f>IF(inputs_ok,IF(s_bar/2+0*s_bar&lt;1000,(s_bar/2+0*s_bar)+(phi/2)*-1.000000,NA()),NA())</f>
        <v/>
      </c>
      <c r="H8">
        <f>IF(s_bar/2+0*s_bar&lt;1000,(IF(hog,h_sec-c_nom-phi/2,c_nom+phi/2))+(phi/2)*0.000000,NA())</f>
        <v/>
      </c>
      <c r="J8">
        <f>IF(inputs_ok,IF(s_bar/2+1*s_bar&lt;1000,(s_bar/2+1*s_bar)+(phi/2)*-1.000000,NA()),NA())</f>
        <v/>
      </c>
      <c r="K8">
        <f>IF(s_bar/2+1*s_bar&lt;1000,(IF(hog,h_sec-c_nom-phi/2,c_nom+phi/2))+(phi/2)*0.000000,NA())</f>
        <v/>
      </c>
      <c r="M8">
        <f>IF(inputs_ok,IF(s_bar/2+2*s_bar&lt;1000,(s_bar/2+2*s_bar)+(phi/2)*-1.000000,NA()),NA())</f>
        <v/>
      </c>
      <c r="N8">
        <f>IF(s_bar/2+2*s_bar&lt;1000,(IF(hog,h_sec-c_nom-phi/2,c_nom+phi/2))+(phi/2)*0.000000,NA())</f>
        <v/>
      </c>
      <c r="P8">
        <f>IF(inputs_ok,IF(s_bar/2+3*s_bar&lt;1000,(s_bar/2+3*s_bar)+(phi/2)*-1.000000,NA()),NA())</f>
        <v/>
      </c>
      <c r="Q8">
        <f>IF(s_bar/2+3*s_bar&lt;1000,(IF(hog,h_sec-c_nom-phi/2,c_nom+phi/2))+(phi/2)*0.000000,NA())</f>
        <v/>
      </c>
      <c r="S8">
        <f>IF(inputs_ok,IF(s_bar/2+4*s_bar&lt;1000,(s_bar/2+4*s_bar)+(phi/2)*-1.000000,NA()),NA())</f>
        <v/>
      </c>
      <c r="T8">
        <f>IF(s_bar/2+4*s_bar&lt;1000,(IF(hog,h_sec-c_nom-phi/2,c_nom+phi/2))+(phi/2)*0.000000,NA())</f>
        <v/>
      </c>
      <c r="V8">
        <f>IF(inputs_ok,IF(s_bar/2+5*s_bar&lt;1000,(s_bar/2+5*s_bar)+(phi/2)*-1.000000,NA()),NA())</f>
        <v/>
      </c>
      <c r="W8">
        <f>IF(s_bar/2+5*s_bar&lt;1000,(IF(hog,h_sec-c_nom-phi/2,c_nom+phi/2))+(phi/2)*0.000000,NA())</f>
        <v/>
      </c>
      <c r="Y8">
        <f>IF(inputs_ok,IF(s_bar/2+6*s_bar&lt;1000,(s_bar/2+6*s_bar)+(phi/2)*-1.000000,NA()),NA())</f>
        <v/>
      </c>
      <c r="Z8">
        <f>IF(s_bar/2+6*s_bar&lt;1000,(IF(hog,h_sec-c_nom-phi/2,c_nom+phi/2))+(phi/2)*0.000000,NA())</f>
        <v/>
      </c>
      <c r="AB8">
        <f>IF(inputs_ok,IF(s_bar/2+7*s_bar&lt;1000,(s_bar/2+7*s_bar)+(phi/2)*-1.000000,NA()),NA())</f>
        <v/>
      </c>
      <c r="AC8">
        <f>IF(s_bar/2+7*s_bar&lt;1000,(IF(hog,h_sec-c_nom-phi/2,c_nom+phi/2))+(phi/2)*0.000000,NA())</f>
        <v/>
      </c>
      <c r="AE8">
        <f>IF(inputs_ok,IF(s_bar/2+8*s_bar&lt;1000,(s_bar/2+8*s_bar)+(phi/2)*-1.000000,NA()),NA())</f>
        <v/>
      </c>
      <c r="AF8">
        <f>IF(s_bar/2+8*s_bar&lt;1000,(IF(hog,h_sec-c_nom-phi/2,c_nom+phi/2))+(phi/2)*0.000000,NA())</f>
        <v/>
      </c>
      <c r="AH8">
        <f>IF(inputs_ok,IF(s_bar/2+9*s_bar&lt;1000,(s_bar/2+9*s_bar)+(phi/2)*-1.000000,NA()),NA())</f>
        <v/>
      </c>
      <c r="AI8">
        <f>IF(s_bar/2+9*s_bar&lt;1000,(IF(hog,h_sec-c_nom-phi/2,c_nom+phi/2))+(phi/2)*0.000000,NA())</f>
        <v/>
      </c>
      <c r="AK8">
        <f>IF(inputs_ok,IF(s_bar/2+10*s_bar&lt;1000,(s_bar/2+10*s_bar)+(phi/2)*-1.000000,NA()),NA())</f>
        <v/>
      </c>
      <c r="AL8">
        <f>IF(s_bar/2+10*s_bar&lt;1000,(IF(hog,h_sec-c_nom-phi/2,c_nom+phi/2))+(phi/2)*0.000000,NA())</f>
        <v/>
      </c>
      <c r="AN8">
        <f>IF(inputs_ok,IF(s_bar/2+11*s_bar&lt;1000,(s_bar/2+11*s_bar)+(phi/2)*-1.000000,NA()),NA())</f>
        <v/>
      </c>
      <c r="AO8">
        <f>IF(s_bar/2+11*s_bar&lt;1000,(IF(hog,h_sec-c_nom-phi/2,c_nom+phi/2))+(phi/2)*0.000000,NA())</f>
        <v/>
      </c>
      <c r="AQ8">
        <f>IF(inputs_ok,IF(s_bar/2+12*s_bar&lt;1000,(s_bar/2+12*s_bar)+(phi/2)*-1.000000,NA()),NA())</f>
        <v/>
      </c>
      <c r="AR8">
        <f>IF(s_bar/2+12*s_bar&lt;1000,(IF(hog,h_sec-c_nom-phi/2,c_nom+phi/2))+(phi/2)*0.000000,NA())</f>
        <v/>
      </c>
      <c r="AT8">
        <f>IF(inputs_ok,IF(s_bar/2+13*s_bar&lt;1000,(s_bar/2+13*s_bar)+(phi/2)*-1.000000,NA()),NA())</f>
        <v/>
      </c>
      <c r="AU8">
        <f>IF(s_bar/2+13*s_bar&lt;1000,(IF(hog,h_sec-c_nom-phi/2,c_nom+phi/2))+(phi/2)*0.000000,NA())</f>
        <v/>
      </c>
      <c r="AW8">
        <f>IF(inputs_ok,IF(s_bar/2+14*s_bar&lt;1000,(s_bar/2+14*s_bar)+(phi/2)*-1.000000,NA()),NA())</f>
        <v/>
      </c>
      <c r="AX8">
        <f>IF(s_bar/2+14*s_bar&lt;1000,(IF(hog,h_sec-c_nom-phi/2,c_nom+phi/2))+(phi/2)*0.000000,NA())</f>
        <v/>
      </c>
      <c r="AZ8">
        <f>IF(inputs_ok,IF(s_bar/2+15*s_bar&lt;1000,(s_bar/2+15*s_bar)+(phi/2)*-1.000000,NA()),NA())</f>
        <v/>
      </c>
      <c r="BA8">
        <f>IF(s_bar/2+15*s_bar&lt;1000,(IF(hog,h_sec-c_nom-phi/2,c_nom+phi/2))+(phi/2)*0.000000,NA())</f>
        <v/>
      </c>
      <c r="BC8">
        <f>IF(inputs_ok,IF(s_bar/2+16*s_bar&lt;1000,(s_bar/2+16*s_bar)+(phi/2)*-1.000000,NA()),NA())</f>
        <v/>
      </c>
      <c r="BD8">
        <f>IF(s_bar/2+16*s_bar&lt;1000,(IF(hog,h_sec-c_nom-phi/2,c_nom+phi/2))+(phi/2)*0.000000,NA())</f>
        <v/>
      </c>
      <c r="BF8">
        <f>IF(inputs_ok,IF(s_bar/2+17*s_bar&lt;1000,(s_bar/2+17*s_bar)+(phi/2)*-1.000000,NA()),NA())</f>
        <v/>
      </c>
      <c r="BG8">
        <f>IF(s_bar/2+17*s_bar&lt;1000,(IF(hog,h_sec-c_nom-phi/2,c_nom+phi/2))+(phi/2)*0.000000,NA())</f>
        <v/>
      </c>
      <c r="BI8">
        <f>IF(inputs_ok,IF(s_bar/2+18*s_bar&lt;1000,(s_bar/2+18*s_bar)+(phi/2)*-1.000000,NA()),NA())</f>
        <v/>
      </c>
      <c r="BJ8">
        <f>IF(s_bar/2+18*s_bar&lt;1000,(IF(hog,h_sec-c_nom-phi/2,c_nom+phi/2))+(phi/2)*0.000000,NA())</f>
        <v/>
      </c>
      <c r="BL8">
        <f>IF(inputs_ok,IF(s_bar/2+19*s_bar&lt;1000,(s_bar/2+19*s_bar)+(phi/2)*-1.000000,NA()),NA())</f>
        <v/>
      </c>
      <c r="BM8">
        <f>IF(s_bar/2+19*s_bar&lt;1000,(IF(hog,h_sec-c_nom-phi/2,c_nom+phi/2))+(phi/2)*0.000000,NA())</f>
        <v/>
      </c>
      <c r="BO8">
        <f>IF(inputs_ok,IF(s_bar/2+20*s_bar&lt;1000,(s_bar/2+20*s_bar)+(phi/2)*-1.000000,NA()),NA())</f>
        <v/>
      </c>
      <c r="BP8">
        <f>IF(s_bar/2+20*s_bar&lt;1000,(IF(hog,h_sec-c_nom-phi/2,c_nom+phi/2))+(phi/2)*0.000000,NA())</f>
        <v/>
      </c>
      <c r="BR8">
        <f>IF(inputs_ok,IF(s_bar/2+21*s_bar&lt;1000,(s_bar/2+21*s_bar)+(phi/2)*-1.000000,NA()),NA())</f>
        <v/>
      </c>
      <c r="BS8">
        <f>IF(s_bar/2+21*s_bar&lt;1000,(IF(hog,h_sec-c_nom-phi/2,c_nom+phi/2))+(phi/2)*0.000000,NA())</f>
        <v/>
      </c>
      <c r="BU8">
        <f>IF(inputs_ok,IF(s_bar/2+22*s_bar&lt;1000,(s_bar/2+22*s_bar)+(phi/2)*-1.000000,NA()),NA())</f>
        <v/>
      </c>
      <c r="BV8">
        <f>IF(s_bar/2+22*s_bar&lt;1000,(IF(hog,h_sec-c_nom-phi/2,c_nom+phi/2))+(phi/2)*0.000000,NA())</f>
        <v/>
      </c>
      <c r="BX8">
        <f>IF(inputs_ok,IF(s_bar/2+23*s_bar&lt;1000,(s_bar/2+23*s_bar)+(phi/2)*-1.000000,NA()),NA())</f>
        <v/>
      </c>
      <c r="BY8">
        <f>IF(s_bar/2+23*s_bar&lt;1000,(IF(hog,h_sec-c_nom-phi/2,c_nom+phi/2))+(phi/2)*0.000000,NA())</f>
        <v/>
      </c>
      <c r="CA8">
        <f>IF(inputs_ok,IF(s_bar/2+24*s_bar&lt;1000,(s_bar/2+24*s_bar)+(phi/2)*-1.000000,NA()),NA())</f>
        <v/>
      </c>
      <c r="CB8">
        <f>IF(s_bar/2+24*s_bar&lt;1000,(IF(hog,h_sec-c_nom-phi/2,c_nom+phi/2))+(phi/2)*0.000000,NA())</f>
        <v/>
      </c>
      <c r="CD8">
        <f>IF(inputs_ok,IF(s_bar/2+25*s_bar&lt;1000,(s_bar/2+25*s_bar)+(phi/2)*-1.000000,NA()),NA())</f>
        <v/>
      </c>
      <c r="CE8">
        <f>IF(s_bar/2+25*s_bar&lt;1000,(IF(hog,h_sec-c_nom-phi/2,c_nom+phi/2))+(phi/2)*0.000000,NA())</f>
        <v/>
      </c>
      <c r="CG8">
        <f>IF(inputs_ok,IF(s_bar/2+26*s_bar&lt;1000,(s_bar/2+26*s_bar)+(phi/2)*-1.000000,NA()),NA())</f>
        <v/>
      </c>
      <c r="CH8">
        <f>IF(s_bar/2+26*s_bar&lt;1000,(IF(hog,h_sec-c_nom-phi/2,c_nom+phi/2))+(phi/2)*0.000000,NA())</f>
        <v/>
      </c>
      <c r="CJ8">
        <f>IF(inputs_ok,IF(s_bar/2+27*s_bar&lt;1000,(s_bar/2+27*s_bar)+(phi/2)*-1.000000,NA()),NA())</f>
        <v/>
      </c>
      <c r="CK8">
        <f>IF(s_bar/2+27*s_bar&lt;1000,(IF(hog,h_sec-c_nom-phi/2,c_nom+phi/2))+(phi/2)*0.000000,NA())</f>
        <v/>
      </c>
      <c r="CM8">
        <f>IF(inputs_ok,IF(s_bar/2+28*s_bar&lt;1000,(s_bar/2+28*s_bar)+(phi/2)*-1.000000,NA()),NA())</f>
        <v/>
      </c>
      <c r="CN8">
        <f>IF(s_bar/2+28*s_bar&lt;1000,(IF(hog,h_sec-c_nom-phi/2,c_nom+phi/2))+(phi/2)*0.000000,NA())</f>
        <v/>
      </c>
      <c r="CP8">
        <f>IF(inputs_ok,IF(s_bar/2+29*s_bar&lt;1000,(s_bar/2+29*s_bar)+(phi/2)*-1.000000,NA()),NA())</f>
        <v/>
      </c>
      <c r="CQ8">
        <f>IF(s_bar/2+29*s_bar&lt;1000,(IF(hog,h_sec-c_nom-phi/2,c_nom+phi/2))+(phi/2)*0.000000,NA())</f>
        <v/>
      </c>
      <c r="CS8">
        <f>IF(inputs_ok,IF(s_bar/2+30*s_bar&lt;1000,(s_bar/2+30*s_bar)+(phi/2)*-1.000000,NA()),NA())</f>
        <v/>
      </c>
      <c r="CT8">
        <f>IF(s_bar/2+30*s_bar&lt;1000,(IF(hog,h_sec-c_nom-phi/2,c_nom+phi/2))+(phi/2)*0.000000,NA())</f>
        <v/>
      </c>
      <c r="CV8">
        <f>IF(inputs_ok,IF(s_bar/2+31*s_bar&lt;1000,(s_bar/2+31*s_bar)+(phi/2)*-1.000000,NA()),NA())</f>
        <v/>
      </c>
      <c r="CW8">
        <f>IF(s_bar/2+31*s_bar&lt;1000,(IF(hog,h_sec-c_nom-phi/2,c_nom+phi/2))+(phi/2)*0.000000,NA())</f>
        <v/>
      </c>
      <c r="CY8">
        <f>IF(inputs_ok,IF(s_bar/2+32*s_bar&lt;1000,(s_bar/2+32*s_bar)+(phi/2)*-1.000000,NA()),NA())</f>
        <v/>
      </c>
      <c r="CZ8">
        <f>IF(s_bar/2+32*s_bar&lt;1000,(IF(hog,h_sec-c_nom-phi/2,c_nom+phi/2))+(phi/2)*0.000000,NA())</f>
        <v/>
      </c>
      <c r="DB8">
        <f>IF(inputs_ok,IF(s_bar/2+33*s_bar&lt;1000,(s_bar/2+33*s_bar)+(phi/2)*-1.000000,NA()),NA())</f>
        <v/>
      </c>
      <c r="DC8">
        <f>IF(s_bar/2+33*s_bar&lt;1000,(IF(hog,h_sec-c_nom-phi/2,c_nom+phi/2))+(phi/2)*0.000000,NA())</f>
        <v/>
      </c>
      <c r="DE8">
        <f>IF(inputs_ok,IF(s_bar/2+34*s_bar&lt;1000,(s_bar/2+34*s_bar)+(phi/2)*-1.000000,NA()),NA())</f>
        <v/>
      </c>
      <c r="DF8">
        <f>IF(s_bar/2+34*s_bar&lt;1000,(IF(hog,h_sec-c_nom-phi/2,c_nom+phi/2))+(phi/2)*0.000000,NA())</f>
        <v/>
      </c>
      <c r="DH8">
        <f>IF(inputs_ok,IF(s_bar/2+35*s_bar&lt;1000,(s_bar/2+35*s_bar)+(phi/2)*-1.000000,NA()),NA())</f>
        <v/>
      </c>
      <c r="DI8">
        <f>IF(s_bar/2+35*s_bar&lt;1000,(IF(hog,h_sec-c_nom-phi/2,c_nom+phi/2))+(phi/2)*0.000000,NA())</f>
        <v/>
      </c>
      <c r="DK8">
        <f>IF(inputs_ok,IF(s_bar/2+36*s_bar&lt;1000,(s_bar/2+36*s_bar)+(phi/2)*-1.000000,NA()),NA())</f>
        <v/>
      </c>
      <c r="DL8">
        <f>IF(s_bar/2+36*s_bar&lt;1000,(IF(hog,h_sec-c_nom-phi/2,c_nom+phi/2))+(phi/2)*0.000000,NA())</f>
        <v/>
      </c>
      <c r="DN8">
        <f>IF(inputs_ok,IF(s_bar/2+37*s_bar&lt;1000,(s_bar/2+37*s_bar)+(phi/2)*-1.000000,NA()),NA())</f>
        <v/>
      </c>
      <c r="DO8">
        <f>IF(s_bar/2+37*s_bar&lt;1000,(IF(hog,h_sec-c_nom-phi/2,c_nom+phi/2))+(phi/2)*0.000000,NA())</f>
        <v/>
      </c>
      <c r="DQ8">
        <f>IF(inputs_ok,IF(s_bar/2+38*s_bar&lt;1000,(s_bar/2+38*s_bar)+(phi/2)*-1.000000,NA()),NA())</f>
        <v/>
      </c>
      <c r="DR8">
        <f>IF(s_bar/2+38*s_bar&lt;1000,(IF(hog,h_sec-c_nom-phi/2,c_nom+phi/2))+(phi/2)*0.000000,NA())</f>
        <v/>
      </c>
      <c r="DT8">
        <f>IF(inputs_ok,IF(s_bar/2+39*s_bar&lt;1000,(s_bar/2+39*s_bar)+(phi/2)*-1.000000,NA()),NA())</f>
        <v/>
      </c>
      <c r="DU8">
        <f>IF(s_bar/2+39*s_bar&lt;1000,(IF(hog,h_sec-c_nom-phi/2,c_nom+phi/2))+(phi/2)*0.000000,NA())</f>
        <v/>
      </c>
      <c r="DW8">
        <f>IF(inputs_ok,IF(s_bar/2+40*s_bar&lt;1000,(s_bar/2+40*s_bar)+(phi/2)*-1.000000,NA()),NA())</f>
        <v/>
      </c>
      <c r="DX8">
        <f>IF(s_bar/2+40*s_bar&lt;1000,(IF(hog,h_sec-c_nom-phi/2,c_nom+phi/2))+(phi/2)*0.000000,NA())</f>
        <v/>
      </c>
      <c r="DZ8">
        <f>IF(inputs_ok,IF(s_bar/2+41*s_bar&lt;1000,(s_bar/2+41*s_bar)+(phi/2)*-1.000000,NA()),NA())</f>
        <v/>
      </c>
      <c r="EA8">
        <f>IF(s_bar/2+41*s_bar&lt;1000,(IF(hog,h_sec-c_nom-phi/2,c_nom+phi/2))+(phi/2)*0.000000,NA())</f>
        <v/>
      </c>
      <c r="EC8">
        <f>IF(inputs_ok,IF(s_bar/2+42*s_bar&lt;1000,(s_bar/2+42*s_bar)+(phi/2)*-1.000000,NA()),NA())</f>
        <v/>
      </c>
      <c r="ED8">
        <f>IF(s_bar/2+42*s_bar&lt;1000,(IF(hog,h_sec-c_nom-phi/2,c_nom+phi/2))+(phi/2)*0.000000,NA())</f>
        <v/>
      </c>
      <c r="EF8">
        <f>IF(inputs_ok,IF(s_bar/2+43*s_bar&lt;1000,(s_bar/2+43*s_bar)+(phi/2)*-1.000000,NA()),NA())</f>
        <v/>
      </c>
      <c r="EG8">
        <f>IF(s_bar/2+43*s_bar&lt;1000,(IF(hog,h_sec-c_nom-phi/2,c_nom+phi/2))+(phi/2)*0.000000,NA())</f>
        <v/>
      </c>
      <c r="EI8">
        <f>IF(inputs_ok,IF(s_bar/2+44*s_bar&lt;1000,(s_bar/2+44*s_bar)+(phi/2)*-1.000000,NA()),NA())</f>
        <v/>
      </c>
      <c r="EJ8">
        <f>IF(s_bar/2+44*s_bar&lt;1000,(IF(hog,h_sec-c_nom-phi/2,c_nom+phi/2))+(phi/2)*0.000000,NA())</f>
        <v/>
      </c>
      <c r="EL8">
        <f>IF(inputs_ok,IF(s_bar/2+45*s_bar&lt;1000,(s_bar/2+45*s_bar)+(phi/2)*-1.000000,NA()),NA())</f>
        <v/>
      </c>
      <c r="EM8">
        <f>IF(s_bar/2+45*s_bar&lt;1000,(IF(hog,h_sec-c_nom-phi/2,c_nom+phi/2))+(phi/2)*0.000000,NA())</f>
        <v/>
      </c>
      <c r="EO8">
        <f>IF(inputs_ok,IF(s_bar/2+46*s_bar&lt;1000,(s_bar/2+46*s_bar)+(phi/2)*-1.000000,NA()),NA())</f>
        <v/>
      </c>
      <c r="EP8">
        <f>IF(s_bar/2+46*s_bar&lt;1000,(IF(hog,h_sec-c_nom-phi/2,c_nom+phi/2))+(phi/2)*0.000000,NA())</f>
        <v/>
      </c>
      <c r="ER8">
        <f>IF(inputs_ok,IF(s_bar/2+47*s_bar&lt;1000,(s_bar/2+47*s_bar)+(phi/2)*-1.000000,NA()),NA())</f>
        <v/>
      </c>
      <c r="ES8">
        <f>IF(s_bar/2+47*s_bar&lt;1000,(IF(hog,h_sec-c_nom-phi/2,c_nom+phi/2))+(phi/2)*0.000000,NA())</f>
        <v/>
      </c>
      <c r="EU8">
        <f>IF(inputs_ok,IF(s_bar/2+48*s_bar&lt;1000,(s_bar/2+48*s_bar)+(phi/2)*-1.000000,NA()),NA())</f>
        <v/>
      </c>
      <c r="EV8">
        <f>IF(s_bar/2+48*s_bar&lt;1000,(IF(hog,h_sec-c_nom-phi/2,c_nom+phi/2))+(phi/2)*0.000000,NA())</f>
        <v/>
      </c>
      <c r="EX8">
        <f>IF(inputs_ok,IF(s_bar/2+49*s_bar&lt;1000,(s_bar/2+49*s_bar)+(phi/2)*-1.000000,NA()),NA())</f>
        <v/>
      </c>
      <c r="EY8">
        <f>IF(s_bar/2+49*s_bar&lt;1000,(IF(hog,h_sec-c_nom-phi/2,c_nom+phi/2))+(phi/2)*0.000000,NA())</f>
        <v/>
      </c>
      <c r="FA8">
        <f>IF(inputs_ok,IF(s_bar/2+50*s_bar&lt;1000,(s_bar/2+50*s_bar)+(phi/2)*-1.000000,NA()),NA())</f>
        <v/>
      </c>
      <c r="FB8">
        <f>IF(s_bar/2+50*s_bar&lt;1000,(IF(hog,h_sec-c_nom-phi/2,c_nom+phi/2))+(phi/2)*0.000000,NA())</f>
        <v/>
      </c>
      <c r="FD8">
        <f>IF(inputs_ok,IF(s_bar/2+51*s_bar&lt;1000,(s_bar/2+51*s_bar)+(phi/2)*-1.000000,NA()),NA())</f>
        <v/>
      </c>
      <c r="FE8">
        <f>IF(s_bar/2+51*s_bar&lt;1000,(IF(hog,h_sec-c_nom-phi/2,c_nom+phi/2))+(phi/2)*0.000000,NA())</f>
        <v/>
      </c>
      <c r="FG8">
        <f>IF(inputs_ok,IF(s_bar/2+52*s_bar&lt;1000,(s_bar/2+52*s_bar)+(phi/2)*-1.000000,NA()),NA())</f>
        <v/>
      </c>
      <c r="FH8">
        <f>IF(s_bar/2+52*s_bar&lt;1000,(IF(hog,h_sec-c_nom-phi/2,c_nom+phi/2))+(phi/2)*0.000000,NA())</f>
        <v/>
      </c>
      <c r="FJ8">
        <f>IF(inputs_ok,IF(s_bar/2+53*s_bar&lt;1000,(s_bar/2+53*s_bar)+(phi/2)*-1.000000,NA()),NA())</f>
        <v/>
      </c>
      <c r="FK8">
        <f>IF(s_bar/2+53*s_bar&lt;1000,(IF(hog,h_sec-c_nom-phi/2,c_nom+phi/2))+(phi/2)*0.000000,NA())</f>
        <v/>
      </c>
      <c r="FM8">
        <f>IF(inputs_ok,IF(s_bar/2+54*s_bar&lt;1000,(s_bar/2+54*s_bar)+(phi/2)*-1.000000,NA()),NA())</f>
        <v/>
      </c>
      <c r="FN8">
        <f>IF(s_bar/2+54*s_bar&lt;1000,(IF(hog,h_sec-c_nom-phi/2,c_nom+phi/2))+(phi/2)*0.000000,NA())</f>
        <v/>
      </c>
      <c r="FP8">
        <f>IF(inputs_ok,IF(s_bar/2+55*s_bar&lt;1000,(s_bar/2+55*s_bar)+(phi/2)*-1.000000,NA()),NA())</f>
        <v/>
      </c>
      <c r="FQ8">
        <f>IF(s_bar/2+55*s_bar&lt;1000,(IF(hog,h_sec-c_nom-phi/2,c_nom+phi/2))+(phi/2)*0.000000,NA())</f>
        <v/>
      </c>
      <c r="FS8">
        <f>IF(inputs_ok,IF(s_bar/2+56*s_bar&lt;1000,(s_bar/2+56*s_bar)+(phi/2)*-1.000000,NA()),NA())</f>
        <v/>
      </c>
      <c r="FT8">
        <f>IF(s_bar/2+56*s_bar&lt;1000,(IF(hog,h_sec-c_nom-phi/2,c_nom+phi/2))+(phi/2)*0.000000,NA())</f>
        <v/>
      </c>
      <c r="FV8">
        <f>IF(inputs_ok,IF(s_bar/2+57*s_bar&lt;1000,(s_bar/2+57*s_bar)+(phi/2)*-1.000000,NA()),NA())</f>
        <v/>
      </c>
      <c r="FW8">
        <f>IF(s_bar/2+57*s_bar&lt;1000,(IF(hog,h_sec-c_nom-phi/2,c_nom+phi/2))+(phi/2)*0.000000,NA())</f>
        <v/>
      </c>
      <c r="FY8">
        <f>IF(inputs_ok,IF(s_bar/2+58*s_bar&lt;1000,(s_bar/2+58*s_bar)+(phi/2)*-1.000000,NA()),NA())</f>
        <v/>
      </c>
      <c r="FZ8">
        <f>IF(s_bar/2+58*s_bar&lt;1000,(IF(hog,h_sec-c_nom-phi/2,c_nom+phi/2))+(phi/2)*0.000000,NA())</f>
        <v/>
      </c>
      <c r="GB8">
        <f>IF(inputs_ok,IF(s_bar/2+59*s_bar&lt;1000,(s_bar/2+59*s_bar)+(phi/2)*-1.000000,NA()),NA())</f>
        <v/>
      </c>
      <c r="GC8">
        <f>IF(s_bar/2+59*s_bar&lt;1000,(IF(hog,h_sec-c_nom-phi/2,c_nom+phi/2))+(phi/2)*0.000000,NA())</f>
        <v/>
      </c>
    </row>
    <row r="9">
      <c r="G9">
        <f>IF(inputs_ok,IF(s_bar/2+0*s_bar&lt;1000,(s_bar/2+0*s_bar)+(phi/2)*-0.809017,NA()),NA())</f>
        <v/>
      </c>
      <c r="H9">
        <f>IF(s_bar/2+0*s_bar&lt;1000,(IF(hog,h_sec-c_nom-phi/2,c_nom+phi/2))+(phi/2)*-0.587785,NA())</f>
        <v/>
      </c>
      <c r="J9">
        <f>IF(inputs_ok,IF(s_bar/2+1*s_bar&lt;1000,(s_bar/2+1*s_bar)+(phi/2)*-0.809017,NA()),NA())</f>
        <v/>
      </c>
      <c r="K9">
        <f>IF(s_bar/2+1*s_bar&lt;1000,(IF(hog,h_sec-c_nom-phi/2,c_nom+phi/2))+(phi/2)*-0.587785,NA())</f>
        <v/>
      </c>
      <c r="M9">
        <f>IF(inputs_ok,IF(s_bar/2+2*s_bar&lt;1000,(s_bar/2+2*s_bar)+(phi/2)*-0.809017,NA()),NA())</f>
        <v/>
      </c>
      <c r="N9">
        <f>IF(s_bar/2+2*s_bar&lt;1000,(IF(hog,h_sec-c_nom-phi/2,c_nom+phi/2))+(phi/2)*-0.587785,NA())</f>
        <v/>
      </c>
      <c r="P9">
        <f>IF(inputs_ok,IF(s_bar/2+3*s_bar&lt;1000,(s_bar/2+3*s_bar)+(phi/2)*-0.809017,NA()),NA())</f>
        <v/>
      </c>
      <c r="Q9">
        <f>IF(s_bar/2+3*s_bar&lt;1000,(IF(hog,h_sec-c_nom-phi/2,c_nom+phi/2))+(phi/2)*-0.587785,NA())</f>
        <v/>
      </c>
      <c r="S9">
        <f>IF(inputs_ok,IF(s_bar/2+4*s_bar&lt;1000,(s_bar/2+4*s_bar)+(phi/2)*-0.809017,NA()),NA())</f>
        <v/>
      </c>
      <c r="T9">
        <f>IF(s_bar/2+4*s_bar&lt;1000,(IF(hog,h_sec-c_nom-phi/2,c_nom+phi/2))+(phi/2)*-0.587785,NA())</f>
        <v/>
      </c>
      <c r="V9">
        <f>IF(inputs_ok,IF(s_bar/2+5*s_bar&lt;1000,(s_bar/2+5*s_bar)+(phi/2)*-0.809017,NA()),NA())</f>
        <v/>
      </c>
      <c r="W9">
        <f>IF(s_bar/2+5*s_bar&lt;1000,(IF(hog,h_sec-c_nom-phi/2,c_nom+phi/2))+(phi/2)*-0.587785,NA())</f>
        <v/>
      </c>
      <c r="Y9">
        <f>IF(inputs_ok,IF(s_bar/2+6*s_bar&lt;1000,(s_bar/2+6*s_bar)+(phi/2)*-0.809017,NA()),NA())</f>
        <v/>
      </c>
      <c r="Z9">
        <f>IF(s_bar/2+6*s_bar&lt;1000,(IF(hog,h_sec-c_nom-phi/2,c_nom+phi/2))+(phi/2)*-0.587785,NA())</f>
        <v/>
      </c>
      <c r="AB9">
        <f>IF(inputs_ok,IF(s_bar/2+7*s_bar&lt;1000,(s_bar/2+7*s_bar)+(phi/2)*-0.809017,NA()),NA())</f>
        <v/>
      </c>
      <c r="AC9">
        <f>IF(s_bar/2+7*s_bar&lt;1000,(IF(hog,h_sec-c_nom-phi/2,c_nom+phi/2))+(phi/2)*-0.587785,NA())</f>
        <v/>
      </c>
      <c r="AE9">
        <f>IF(inputs_ok,IF(s_bar/2+8*s_bar&lt;1000,(s_bar/2+8*s_bar)+(phi/2)*-0.809017,NA()),NA())</f>
        <v/>
      </c>
      <c r="AF9">
        <f>IF(s_bar/2+8*s_bar&lt;1000,(IF(hog,h_sec-c_nom-phi/2,c_nom+phi/2))+(phi/2)*-0.587785,NA())</f>
        <v/>
      </c>
      <c r="AH9">
        <f>IF(inputs_ok,IF(s_bar/2+9*s_bar&lt;1000,(s_bar/2+9*s_bar)+(phi/2)*-0.809017,NA()),NA())</f>
        <v/>
      </c>
      <c r="AI9">
        <f>IF(s_bar/2+9*s_bar&lt;1000,(IF(hog,h_sec-c_nom-phi/2,c_nom+phi/2))+(phi/2)*-0.587785,NA())</f>
        <v/>
      </c>
      <c r="AK9">
        <f>IF(inputs_ok,IF(s_bar/2+10*s_bar&lt;1000,(s_bar/2+10*s_bar)+(phi/2)*-0.809017,NA()),NA())</f>
        <v/>
      </c>
      <c r="AL9">
        <f>IF(s_bar/2+10*s_bar&lt;1000,(IF(hog,h_sec-c_nom-phi/2,c_nom+phi/2))+(phi/2)*-0.587785,NA())</f>
        <v/>
      </c>
      <c r="AN9">
        <f>IF(inputs_ok,IF(s_bar/2+11*s_bar&lt;1000,(s_bar/2+11*s_bar)+(phi/2)*-0.809017,NA()),NA())</f>
        <v/>
      </c>
      <c r="AO9">
        <f>IF(s_bar/2+11*s_bar&lt;1000,(IF(hog,h_sec-c_nom-phi/2,c_nom+phi/2))+(phi/2)*-0.587785,NA())</f>
        <v/>
      </c>
      <c r="AQ9">
        <f>IF(inputs_ok,IF(s_bar/2+12*s_bar&lt;1000,(s_bar/2+12*s_bar)+(phi/2)*-0.809017,NA()),NA())</f>
        <v/>
      </c>
      <c r="AR9">
        <f>IF(s_bar/2+12*s_bar&lt;1000,(IF(hog,h_sec-c_nom-phi/2,c_nom+phi/2))+(phi/2)*-0.587785,NA())</f>
        <v/>
      </c>
      <c r="AT9">
        <f>IF(inputs_ok,IF(s_bar/2+13*s_bar&lt;1000,(s_bar/2+13*s_bar)+(phi/2)*-0.809017,NA()),NA())</f>
        <v/>
      </c>
      <c r="AU9">
        <f>IF(s_bar/2+13*s_bar&lt;1000,(IF(hog,h_sec-c_nom-phi/2,c_nom+phi/2))+(phi/2)*-0.587785,NA())</f>
        <v/>
      </c>
      <c r="AW9">
        <f>IF(inputs_ok,IF(s_bar/2+14*s_bar&lt;1000,(s_bar/2+14*s_bar)+(phi/2)*-0.809017,NA()),NA())</f>
        <v/>
      </c>
      <c r="AX9">
        <f>IF(s_bar/2+14*s_bar&lt;1000,(IF(hog,h_sec-c_nom-phi/2,c_nom+phi/2))+(phi/2)*-0.587785,NA())</f>
        <v/>
      </c>
      <c r="AZ9">
        <f>IF(inputs_ok,IF(s_bar/2+15*s_bar&lt;1000,(s_bar/2+15*s_bar)+(phi/2)*-0.809017,NA()),NA())</f>
        <v/>
      </c>
      <c r="BA9">
        <f>IF(s_bar/2+15*s_bar&lt;1000,(IF(hog,h_sec-c_nom-phi/2,c_nom+phi/2))+(phi/2)*-0.587785,NA())</f>
        <v/>
      </c>
      <c r="BC9">
        <f>IF(inputs_ok,IF(s_bar/2+16*s_bar&lt;1000,(s_bar/2+16*s_bar)+(phi/2)*-0.809017,NA()),NA())</f>
        <v/>
      </c>
      <c r="BD9">
        <f>IF(s_bar/2+16*s_bar&lt;1000,(IF(hog,h_sec-c_nom-phi/2,c_nom+phi/2))+(phi/2)*-0.587785,NA())</f>
        <v/>
      </c>
      <c r="BF9">
        <f>IF(inputs_ok,IF(s_bar/2+17*s_bar&lt;1000,(s_bar/2+17*s_bar)+(phi/2)*-0.809017,NA()),NA())</f>
        <v/>
      </c>
      <c r="BG9">
        <f>IF(s_bar/2+17*s_bar&lt;1000,(IF(hog,h_sec-c_nom-phi/2,c_nom+phi/2))+(phi/2)*-0.587785,NA())</f>
        <v/>
      </c>
      <c r="BI9">
        <f>IF(inputs_ok,IF(s_bar/2+18*s_bar&lt;1000,(s_bar/2+18*s_bar)+(phi/2)*-0.809017,NA()),NA())</f>
        <v/>
      </c>
      <c r="BJ9">
        <f>IF(s_bar/2+18*s_bar&lt;1000,(IF(hog,h_sec-c_nom-phi/2,c_nom+phi/2))+(phi/2)*-0.587785,NA())</f>
        <v/>
      </c>
      <c r="BL9">
        <f>IF(inputs_ok,IF(s_bar/2+19*s_bar&lt;1000,(s_bar/2+19*s_bar)+(phi/2)*-0.809017,NA()),NA())</f>
        <v/>
      </c>
      <c r="BM9">
        <f>IF(s_bar/2+19*s_bar&lt;1000,(IF(hog,h_sec-c_nom-phi/2,c_nom+phi/2))+(phi/2)*-0.587785,NA())</f>
        <v/>
      </c>
      <c r="BO9">
        <f>IF(inputs_ok,IF(s_bar/2+20*s_bar&lt;1000,(s_bar/2+20*s_bar)+(phi/2)*-0.809017,NA()),NA())</f>
        <v/>
      </c>
      <c r="BP9">
        <f>IF(s_bar/2+20*s_bar&lt;1000,(IF(hog,h_sec-c_nom-phi/2,c_nom+phi/2))+(phi/2)*-0.587785,NA())</f>
        <v/>
      </c>
      <c r="BR9">
        <f>IF(inputs_ok,IF(s_bar/2+21*s_bar&lt;1000,(s_bar/2+21*s_bar)+(phi/2)*-0.809017,NA()),NA())</f>
        <v/>
      </c>
      <c r="BS9">
        <f>IF(s_bar/2+21*s_bar&lt;1000,(IF(hog,h_sec-c_nom-phi/2,c_nom+phi/2))+(phi/2)*-0.587785,NA())</f>
        <v/>
      </c>
      <c r="BU9">
        <f>IF(inputs_ok,IF(s_bar/2+22*s_bar&lt;1000,(s_bar/2+22*s_bar)+(phi/2)*-0.809017,NA()),NA())</f>
        <v/>
      </c>
      <c r="BV9">
        <f>IF(s_bar/2+22*s_bar&lt;1000,(IF(hog,h_sec-c_nom-phi/2,c_nom+phi/2))+(phi/2)*-0.587785,NA())</f>
        <v/>
      </c>
      <c r="BX9">
        <f>IF(inputs_ok,IF(s_bar/2+23*s_bar&lt;1000,(s_bar/2+23*s_bar)+(phi/2)*-0.809017,NA()),NA())</f>
        <v/>
      </c>
      <c r="BY9">
        <f>IF(s_bar/2+23*s_bar&lt;1000,(IF(hog,h_sec-c_nom-phi/2,c_nom+phi/2))+(phi/2)*-0.587785,NA())</f>
        <v/>
      </c>
      <c r="CA9">
        <f>IF(inputs_ok,IF(s_bar/2+24*s_bar&lt;1000,(s_bar/2+24*s_bar)+(phi/2)*-0.809017,NA()),NA())</f>
        <v/>
      </c>
      <c r="CB9">
        <f>IF(s_bar/2+24*s_bar&lt;1000,(IF(hog,h_sec-c_nom-phi/2,c_nom+phi/2))+(phi/2)*-0.587785,NA())</f>
        <v/>
      </c>
      <c r="CD9">
        <f>IF(inputs_ok,IF(s_bar/2+25*s_bar&lt;1000,(s_bar/2+25*s_bar)+(phi/2)*-0.809017,NA()),NA())</f>
        <v/>
      </c>
      <c r="CE9">
        <f>IF(s_bar/2+25*s_bar&lt;1000,(IF(hog,h_sec-c_nom-phi/2,c_nom+phi/2))+(phi/2)*-0.587785,NA())</f>
        <v/>
      </c>
      <c r="CG9">
        <f>IF(inputs_ok,IF(s_bar/2+26*s_bar&lt;1000,(s_bar/2+26*s_bar)+(phi/2)*-0.809017,NA()),NA())</f>
        <v/>
      </c>
      <c r="CH9">
        <f>IF(s_bar/2+26*s_bar&lt;1000,(IF(hog,h_sec-c_nom-phi/2,c_nom+phi/2))+(phi/2)*-0.587785,NA())</f>
        <v/>
      </c>
      <c r="CJ9">
        <f>IF(inputs_ok,IF(s_bar/2+27*s_bar&lt;1000,(s_bar/2+27*s_bar)+(phi/2)*-0.809017,NA()),NA())</f>
        <v/>
      </c>
      <c r="CK9">
        <f>IF(s_bar/2+27*s_bar&lt;1000,(IF(hog,h_sec-c_nom-phi/2,c_nom+phi/2))+(phi/2)*-0.587785,NA())</f>
        <v/>
      </c>
      <c r="CM9">
        <f>IF(inputs_ok,IF(s_bar/2+28*s_bar&lt;1000,(s_bar/2+28*s_bar)+(phi/2)*-0.809017,NA()),NA())</f>
        <v/>
      </c>
      <c r="CN9">
        <f>IF(s_bar/2+28*s_bar&lt;1000,(IF(hog,h_sec-c_nom-phi/2,c_nom+phi/2))+(phi/2)*-0.587785,NA())</f>
        <v/>
      </c>
      <c r="CP9">
        <f>IF(inputs_ok,IF(s_bar/2+29*s_bar&lt;1000,(s_bar/2+29*s_bar)+(phi/2)*-0.809017,NA()),NA())</f>
        <v/>
      </c>
      <c r="CQ9">
        <f>IF(s_bar/2+29*s_bar&lt;1000,(IF(hog,h_sec-c_nom-phi/2,c_nom+phi/2))+(phi/2)*-0.587785,NA())</f>
        <v/>
      </c>
      <c r="CS9">
        <f>IF(inputs_ok,IF(s_bar/2+30*s_bar&lt;1000,(s_bar/2+30*s_bar)+(phi/2)*-0.809017,NA()),NA())</f>
        <v/>
      </c>
      <c r="CT9">
        <f>IF(s_bar/2+30*s_bar&lt;1000,(IF(hog,h_sec-c_nom-phi/2,c_nom+phi/2))+(phi/2)*-0.587785,NA())</f>
        <v/>
      </c>
      <c r="CV9">
        <f>IF(inputs_ok,IF(s_bar/2+31*s_bar&lt;1000,(s_bar/2+31*s_bar)+(phi/2)*-0.809017,NA()),NA())</f>
        <v/>
      </c>
      <c r="CW9">
        <f>IF(s_bar/2+31*s_bar&lt;1000,(IF(hog,h_sec-c_nom-phi/2,c_nom+phi/2))+(phi/2)*-0.587785,NA())</f>
        <v/>
      </c>
      <c r="CY9">
        <f>IF(inputs_ok,IF(s_bar/2+32*s_bar&lt;1000,(s_bar/2+32*s_bar)+(phi/2)*-0.809017,NA()),NA())</f>
        <v/>
      </c>
      <c r="CZ9">
        <f>IF(s_bar/2+32*s_bar&lt;1000,(IF(hog,h_sec-c_nom-phi/2,c_nom+phi/2))+(phi/2)*-0.587785,NA())</f>
        <v/>
      </c>
      <c r="DB9">
        <f>IF(inputs_ok,IF(s_bar/2+33*s_bar&lt;1000,(s_bar/2+33*s_bar)+(phi/2)*-0.809017,NA()),NA())</f>
        <v/>
      </c>
      <c r="DC9">
        <f>IF(s_bar/2+33*s_bar&lt;1000,(IF(hog,h_sec-c_nom-phi/2,c_nom+phi/2))+(phi/2)*-0.587785,NA())</f>
        <v/>
      </c>
      <c r="DE9">
        <f>IF(inputs_ok,IF(s_bar/2+34*s_bar&lt;1000,(s_bar/2+34*s_bar)+(phi/2)*-0.809017,NA()),NA())</f>
        <v/>
      </c>
      <c r="DF9">
        <f>IF(s_bar/2+34*s_bar&lt;1000,(IF(hog,h_sec-c_nom-phi/2,c_nom+phi/2))+(phi/2)*-0.587785,NA())</f>
        <v/>
      </c>
      <c r="DH9">
        <f>IF(inputs_ok,IF(s_bar/2+35*s_bar&lt;1000,(s_bar/2+35*s_bar)+(phi/2)*-0.809017,NA()),NA())</f>
        <v/>
      </c>
      <c r="DI9">
        <f>IF(s_bar/2+35*s_bar&lt;1000,(IF(hog,h_sec-c_nom-phi/2,c_nom+phi/2))+(phi/2)*-0.587785,NA())</f>
        <v/>
      </c>
      <c r="DK9">
        <f>IF(inputs_ok,IF(s_bar/2+36*s_bar&lt;1000,(s_bar/2+36*s_bar)+(phi/2)*-0.809017,NA()),NA())</f>
        <v/>
      </c>
      <c r="DL9">
        <f>IF(s_bar/2+36*s_bar&lt;1000,(IF(hog,h_sec-c_nom-phi/2,c_nom+phi/2))+(phi/2)*-0.587785,NA())</f>
        <v/>
      </c>
      <c r="DN9">
        <f>IF(inputs_ok,IF(s_bar/2+37*s_bar&lt;1000,(s_bar/2+37*s_bar)+(phi/2)*-0.809017,NA()),NA())</f>
        <v/>
      </c>
      <c r="DO9">
        <f>IF(s_bar/2+37*s_bar&lt;1000,(IF(hog,h_sec-c_nom-phi/2,c_nom+phi/2))+(phi/2)*-0.587785,NA())</f>
        <v/>
      </c>
      <c r="DQ9">
        <f>IF(inputs_ok,IF(s_bar/2+38*s_bar&lt;1000,(s_bar/2+38*s_bar)+(phi/2)*-0.809017,NA()),NA())</f>
        <v/>
      </c>
      <c r="DR9">
        <f>IF(s_bar/2+38*s_bar&lt;1000,(IF(hog,h_sec-c_nom-phi/2,c_nom+phi/2))+(phi/2)*-0.587785,NA())</f>
        <v/>
      </c>
      <c r="DT9">
        <f>IF(inputs_ok,IF(s_bar/2+39*s_bar&lt;1000,(s_bar/2+39*s_bar)+(phi/2)*-0.809017,NA()),NA())</f>
        <v/>
      </c>
      <c r="DU9">
        <f>IF(s_bar/2+39*s_bar&lt;1000,(IF(hog,h_sec-c_nom-phi/2,c_nom+phi/2))+(phi/2)*-0.587785,NA())</f>
        <v/>
      </c>
      <c r="DW9">
        <f>IF(inputs_ok,IF(s_bar/2+40*s_bar&lt;1000,(s_bar/2+40*s_bar)+(phi/2)*-0.809017,NA()),NA())</f>
        <v/>
      </c>
      <c r="DX9">
        <f>IF(s_bar/2+40*s_bar&lt;1000,(IF(hog,h_sec-c_nom-phi/2,c_nom+phi/2))+(phi/2)*-0.587785,NA())</f>
        <v/>
      </c>
      <c r="DZ9">
        <f>IF(inputs_ok,IF(s_bar/2+41*s_bar&lt;1000,(s_bar/2+41*s_bar)+(phi/2)*-0.809017,NA()),NA())</f>
        <v/>
      </c>
      <c r="EA9">
        <f>IF(s_bar/2+41*s_bar&lt;1000,(IF(hog,h_sec-c_nom-phi/2,c_nom+phi/2))+(phi/2)*-0.587785,NA())</f>
        <v/>
      </c>
      <c r="EC9">
        <f>IF(inputs_ok,IF(s_bar/2+42*s_bar&lt;1000,(s_bar/2+42*s_bar)+(phi/2)*-0.809017,NA()),NA())</f>
        <v/>
      </c>
      <c r="ED9">
        <f>IF(s_bar/2+42*s_bar&lt;1000,(IF(hog,h_sec-c_nom-phi/2,c_nom+phi/2))+(phi/2)*-0.587785,NA())</f>
        <v/>
      </c>
      <c r="EF9">
        <f>IF(inputs_ok,IF(s_bar/2+43*s_bar&lt;1000,(s_bar/2+43*s_bar)+(phi/2)*-0.809017,NA()),NA())</f>
        <v/>
      </c>
      <c r="EG9">
        <f>IF(s_bar/2+43*s_bar&lt;1000,(IF(hog,h_sec-c_nom-phi/2,c_nom+phi/2))+(phi/2)*-0.587785,NA())</f>
        <v/>
      </c>
      <c r="EI9">
        <f>IF(inputs_ok,IF(s_bar/2+44*s_bar&lt;1000,(s_bar/2+44*s_bar)+(phi/2)*-0.809017,NA()),NA())</f>
        <v/>
      </c>
      <c r="EJ9">
        <f>IF(s_bar/2+44*s_bar&lt;1000,(IF(hog,h_sec-c_nom-phi/2,c_nom+phi/2))+(phi/2)*-0.587785,NA())</f>
        <v/>
      </c>
      <c r="EL9">
        <f>IF(inputs_ok,IF(s_bar/2+45*s_bar&lt;1000,(s_bar/2+45*s_bar)+(phi/2)*-0.809017,NA()),NA())</f>
        <v/>
      </c>
      <c r="EM9">
        <f>IF(s_bar/2+45*s_bar&lt;1000,(IF(hog,h_sec-c_nom-phi/2,c_nom+phi/2))+(phi/2)*-0.587785,NA())</f>
        <v/>
      </c>
      <c r="EO9">
        <f>IF(inputs_ok,IF(s_bar/2+46*s_bar&lt;1000,(s_bar/2+46*s_bar)+(phi/2)*-0.809017,NA()),NA())</f>
        <v/>
      </c>
      <c r="EP9">
        <f>IF(s_bar/2+46*s_bar&lt;1000,(IF(hog,h_sec-c_nom-phi/2,c_nom+phi/2))+(phi/2)*-0.587785,NA())</f>
        <v/>
      </c>
      <c r="ER9">
        <f>IF(inputs_ok,IF(s_bar/2+47*s_bar&lt;1000,(s_bar/2+47*s_bar)+(phi/2)*-0.809017,NA()),NA())</f>
        <v/>
      </c>
      <c r="ES9">
        <f>IF(s_bar/2+47*s_bar&lt;1000,(IF(hog,h_sec-c_nom-phi/2,c_nom+phi/2))+(phi/2)*-0.587785,NA())</f>
        <v/>
      </c>
      <c r="EU9">
        <f>IF(inputs_ok,IF(s_bar/2+48*s_bar&lt;1000,(s_bar/2+48*s_bar)+(phi/2)*-0.809017,NA()),NA())</f>
        <v/>
      </c>
      <c r="EV9">
        <f>IF(s_bar/2+48*s_bar&lt;1000,(IF(hog,h_sec-c_nom-phi/2,c_nom+phi/2))+(phi/2)*-0.587785,NA())</f>
        <v/>
      </c>
      <c r="EX9">
        <f>IF(inputs_ok,IF(s_bar/2+49*s_bar&lt;1000,(s_bar/2+49*s_bar)+(phi/2)*-0.809017,NA()),NA())</f>
        <v/>
      </c>
      <c r="EY9">
        <f>IF(s_bar/2+49*s_bar&lt;1000,(IF(hog,h_sec-c_nom-phi/2,c_nom+phi/2))+(phi/2)*-0.587785,NA())</f>
        <v/>
      </c>
      <c r="FA9">
        <f>IF(inputs_ok,IF(s_bar/2+50*s_bar&lt;1000,(s_bar/2+50*s_bar)+(phi/2)*-0.809017,NA()),NA())</f>
        <v/>
      </c>
      <c r="FB9">
        <f>IF(s_bar/2+50*s_bar&lt;1000,(IF(hog,h_sec-c_nom-phi/2,c_nom+phi/2))+(phi/2)*-0.587785,NA())</f>
        <v/>
      </c>
      <c r="FD9">
        <f>IF(inputs_ok,IF(s_bar/2+51*s_bar&lt;1000,(s_bar/2+51*s_bar)+(phi/2)*-0.809017,NA()),NA())</f>
        <v/>
      </c>
      <c r="FE9">
        <f>IF(s_bar/2+51*s_bar&lt;1000,(IF(hog,h_sec-c_nom-phi/2,c_nom+phi/2))+(phi/2)*-0.587785,NA())</f>
        <v/>
      </c>
      <c r="FG9">
        <f>IF(inputs_ok,IF(s_bar/2+52*s_bar&lt;1000,(s_bar/2+52*s_bar)+(phi/2)*-0.809017,NA()),NA())</f>
        <v/>
      </c>
      <c r="FH9">
        <f>IF(s_bar/2+52*s_bar&lt;1000,(IF(hog,h_sec-c_nom-phi/2,c_nom+phi/2))+(phi/2)*-0.587785,NA())</f>
        <v/>
      </c>
      <c r="FJ9">
        <f>IF(inputs_ok,IF(s_bar/2+53*s_bar&lt;1000,(s_bar/2+53*s_bar)+(phi/2)*-0.809017,NA()),NA())</f>
        <v/>
      </c>
      <c r="FK9">
        <f>IF(s_bar/2+53*s_bar&lt;1000,(IF(hog,h_sec-c_nom-phi/2,c_nom+phi/2))+(phi/2)*-0.587785,NA())</f>
        <v/>
      </c>
      <c r="FM9">
        <f>IF(inputs_ok,IF(s_bar/2+54*s_bar&lt;1000,(s_bar/2+54*s_bar)+(phi/2)*-0.809017,NA()),NA())</f>
        <v/>
      </c>
      <c r="FN9">
        <f>IF(s_bar/2+54*s_bar&lt;1000,(IF(hog,h_sec-c_nom-phi/2,c_nom+phi/2))+(phi/2)*-0.587785,NA())</f>
        <v/>
      </c>
      <c r="FP9">
        <f>IF(inputs_ok,IF(s_bar/2+55*s_bar&lt;1000,(s_bar/2+55*s_bar)+(phi/2)*-0.809017,NA()),NA())</f>
        <v/>
      </c>
      <c r="FQ9">
        <f>IF(s_bar/2+55*s_bar&lt;1000,(IF(hog,h_sec-c_nom-phi/2,c_nom+phi/2))+(phi/2)*-0.587785,NA())</f>
        <v/>
      </c>
      <c r="FS9">
        <f>IF(inputs_ok,IF(s_bar/2+56*s_bar&lt;1000,(s_bar/2+56*s_bar)+(phi/2)*-0.809017,NA()),NA())</f>
        <v/>
      </c>
      <c r="FT9">
        <f>IF(s_bar/2+56*s_bar&lt;1000,(IF(hog,h_sec-c_nom-phi/2,c_nom+phi/2))+(phi/2)*-0.587785,NA())</f>
        <v/>
      </c>
      <c r="FV9">
        <f>IF(inputs_ok,IF(s_bar/2+57*s_bar&lt;1000,(s_bar/2+57*s_bar)+(phi/2)*-0.809017,NA()),NA())</f>
        <v/>
      </c>
      <c r="FW9">
        <f>IF(s_bar/2+57*s_bar&lt;1000,(IF(hog,h_sec-c_nom-phi/2,c_nom+phi/2))+(phi/2)*-0.587785,NA())</f>
        <v/>
      </c>
      <c r="FY9">
        <f>IF(inputs_ok,IF(s_bar/2+58*s_bar&lt;1000,(s_bar/2+58*s_bar)+(phi/2)*-0.809017,NA()),NA())</f>
        <v/>
      </c>
      <c r="FZ9">
        <f>IF(s_bar/2+58*s_bar&lt;1000,(IF(hog,h_sec-c_nom-phi/2,c_nom+phi/2))+(phi/2)*-0.587785,NA())</f>
        <v/>
      </c>
      <c r="GB9">
        <f>IF(inputs_ok,IF(s_bar/2+59*s_bar&lt;1000,(s_bar/2+59*s_bar)+(phi/2)*-0.809017,NA()),NA())</f>
        <v/>
      </c>
      <c r="GC9">
        <f>IF(s_bar/2+59*s_bar&lt;1000,(IF(hog,h_sec-c_nom-phi/2,c_nom+phi/2))+(phi/2)*-0.587785,NA())</f>
        <v/>
      </c>
    </row>
    <row r="10">
      <c r="G10">
        <f>IF(inputs_ok,IF(s_bar/2+0*s_bar&lt;1000,(s_bar/2+0*s_bar)+(phi/2)*-0.309017,NA()),NA())</f>
        <v/>
      </c>
      <c r="H10">
        <f>IF(s_bar/2+0*s_bar&lt;1000,(IF(hog,h_sec-c_nom-phi/2,c_nom+phi/2))+(phi/2)*-0.951057,NA())</f>
        <v/>
      </c>
      <c r="J10">
        <f>IF(inputs_ok,IF(s_bar/2+1*s_bar&lt;1000,(s_bar/2+1*s_bar)+(phi/2)*-0.309017,NA()),NA())</f>
        <v/>
      </c>
      <c r="K10">
        <f>IF(s_bar/2+1*s_bar&lt;1000,(IF(hog,h_sec-c_nom-phi/2,c_nom+phi/2))+(phi/2)*-0.951057,NA())</f>
        <v/>
      </c>
      <c r="M10">
        <f>IF(inputs_ok,IF(s_bar/2+2*s_bar&lt;1000,(s_bar/2+2*s_bar)+(phi/2)*-0.309017,NA()),NA())</f>
        <v/>
      </c>
      <c r="N10">
        <f>IF(s_bar/2+2*s_bar&lt;1000,(IF(hog,h_sec-c_nom-phi/2,c_nom+phi/2))+(phi/2)*-0.951057,NA())</f>
        <v/>
      </c>
      <c r="P10">
        <f>IF(inputs_ok,IF(s_bar/2+3*s_bar&lt;1000,(s_bar/2+3*s_bar)+(phi/2)*-0.309017,NA()),NA())</f>
        <v/>
      </c>
      <c r="Q10">
        <f>IF(s_bar/2+3*s_bar&lt;1000,(IF(hog,h_sec-c_nom-phi/2,c_nom+phi/2))+(phi/2)*-0.951057,NA())</f>
        <v/>
      </c>
      <c r="S10">
        <f>IF(inputs_ok,IF(s_bar/2+4*s_bar&lt;1000,(s_bar/2+4*s_bar)+(phi/2)*-0.309017,NA()),NA())</f>
        <v/>
      </c>
      <c r="T10">
        <f>IF(s_bar/2+4*s_bar&lt;1000,(IF(hog,h_sec-c_nom-phi/2,c_nom+phi/2))+(phi/2)*-0.951057,NA())</f>
        <v/>
      </c>
      <c r="V10">
        <f>IF(inputs_ok,IF(s_bar/2+5*s_bar&lt;1000,(s_bar/2+5*s_bar)+(phi/2)*-0.309017,NA()),NA())</f>
        <v/>
      </c>
      <c r="W10">
        <f>IF(s_bar/2+5*s_bar&lt;1000,(IF(hog,h_sec-c_nom-phi/2,c_nom+phi/2))+(phi/2)*-0.951057,NA())</f>
        <v/>
      </c>
      <c r="Y10">
        <f>IF(inputs_ok,IF(s_bar/2+6*s_bar&lt;1000,(s_bar/2+6*s_bar)+(phi/2)*-0.309017,NA()),NA())</f>
        <v/>
      </c>
      <c r="Z10">
        <f>IF(s_bar/2+6*s_bar&lt;1000,(IF(hog,h_sec-c_nom-phi/2,c_nom+phi/2))+(phi/2)*-0.951057,NA())</f>
        <v/>
      </c>
      <c r="AB10">
        <f>IF(inputs_ok,IF(s_bar/2+7*s_bar&lt;1000,(s_bar/2+7*s_bar)+(phi/2)*-0.309017,NA()),NA())</f>
        <v/>
      </c>
      <c r="AC10">
        <f>IF(s_bar/2+7*s_bar&lt;1000,(IF(hog,h_sec-c_nom-phi/2,c_nom+phi/2))+(phi/2)*-0.951057,NA())</f>
        <v/>
      </c>
      <c r="AE10">
        <f>IF(inputs_ok,IF(s_bar/2+8*s_bar&lt;1000,(s_bar/2+8*s_bar)+(phi/2)*-0.309017,NA()),NA())</f>
        <v/>
      </c>
      <c r="AF10">
        <f>IF(s_bar/2+8*s_bar&lt;1000,(IF(hog,h_sec-c_nom-phi/2,c_nom+phi/2))+(phi/2)*-0.951057,NA())</f>
        <v/>
      </c>
      <c r="AH10">
        <f>IF(inputs_ok,IF(s_bar/2+9*s_bar&lt;1000,(s_bar/2+9*s_bar)+(phi/2)*-0.309017,NA()),NA())</f>
        <v/>
      </c>
      <c r="AI10">
        <f>IF(s_bar/2+9*s_bar&lt;1000,(IF(hog,h_sec-c_nom-phi/2,c_nom+phi/2))+(phi/2)*-0.951057,NA())</f>
        <v/>
      </c>
      <c r="AK10">
        <f>IF(inputs_ok,IF(s_bar/2+10*s_bar&lt;1000,(s_bar/2+10*s_bar)+(phi/2)*-0.309017,NA()),NA())</f>
        <v/>
      </c>
      <c r="AL10">
        <f>IF(s_bar/2+10*s_bar&lt;1000,(IF(hog,h_sec-c_nom-phi/2,c_nom+phi/2))+(phi/2)*-0.951057,NA())</f>
        <v/>
      </c>
      <c r="AN10">
        <f>IF(inputs_ok,IF(s_bar/2+11*s_bar&lt;1000,(s_bar/2+11*s_bar)+(phi/2)*-0.309017,NA()),NA())</f>
        <v/>
      </c>
      <c r="AO10">
        <f>IF(s_bar/2+11*s_bar&lt;1000,(IF(hog,h_sec-c_nom-phi/2,c_nom+phi/2))+(phi/2)*-0.951057,NA())</f>
        <v/>
      </c>
      <c r="AQ10">
        <f>IF(inputs_ok,IF(s_bar/2+12*s_bar&lt;1000,(s_bar/2+12*s_bar)+(phi/2)*-0.309017,NA()),NA())</f>
        <v/>
      </c>
      <c r="AR10">
        <f>IF(s_bar/2+12*s_bar&lt;1000,(IF(hog,h_sec-c_nom-phi/2,c_nom+phi/2))+(phi/2)*-0.951057,NA())</f>
        <v/>
      </c>
      <c r="AT10">
        <f>IF(inputs_ok,IF(s_bar/2+13*s_bar&lt;1000,(s_bar/2+13*s_bar)+(phi/2)*-0.309017,NA()),NA())</f>
        <v/>
      </c>
      <c r="AU10">
        <f>IF(s_bar/2+13*s_bar&lt;1000,(IF(hog,h_sec-c_nom-phi/2,c_nom+phi/2))+(phi/2)*-0.951057,NA())</f>
        <v/>
      </c>
      <c r="AW10">
        <f>IF(inputs_ok,IF(s_bar/2+14*s_bar&lt;1000,(s_bar/2+14*s_bar)+(phi/2)*-0.309017,NA()),NA())</f>
        <v/>
      </c>
      <c r="AX10">
        <f>IF(s_bar/2+14*s_bar&lt;1000,(IF(hog,h_sec-c_nom-phi/2,c_nom+phi/2))+(phi/2)*-0.951057,NA())</f>
        <v/>
      </c>
      <c r="AZ10">
        <f>IF(inputs_ok,IF(s_bar/2+15*s_bar&lt;1000,(s_bar/2+15*s_bar)+(phi/2)*-0.309017,NA()),NA())</f>
        <v/>
      </c>
      <c r="BA10">
        <f>IF(s_bar/2+15*s_bar&lt;1000,(IF(hog,h_sec-c_nom-phi/2,c_nom+phi/2))+(phi/2)*-0.951057,NA())</f>
        <v/>
      </c>
      <c r="BC10">
        <f>IF(inputs_ok,IF(s_bar/2+16*s_bar&lt;1000,(s_bar/2+16*s_bar)+(phi/2)*-0.309017,NA()),NA())</f>
        <v/>
      </c>
      <c r="BD10">
        <f>IF(s_bar/2+16*s_bar&lt;1000,(IF(hog,h_sec-c_nom-phi/2,c_nom+phi/2))+(phi/2)*-0.951057,NA())</f>
        <v/>
      </c>
      <c r="BF10">
        <f>IF(inputs_ok,IF(s_bar/2+17*s_bar&lt;1000,(s_bar/2+17*s_bar)+(phi/2)*-0.309017,NA()),NA())</f>
        <v/>
      </c>
      <c r="BG10">
        <f>IF(s_bar/2+17*s_bar&lt;1000,(IF(hog,h_sec-c_nom-phi/2,c_nom+phi/2))+(phi/2)*-0.951057,NA())</f>
        <v/>
      </c>
      <c r="BI10">
        <f>IF(inputs_ok,IF(s_bar/2+18*s_bar&lt;1000,(s_bar/2+18*s_bar)+(phi/2)*-0.309017,NA()),NA())</f>
        <v/>
      </c>
      <c r="BJ10">
        <f>IF(s_bar/2+18*s_bar&lt;1000,(IF(hog,h_sec-c_nom-phi/2,c_nom+phi/2))+(phi/2)*-0.951057,NA())</f>
        <v/>
      </c>
      <c r="BL10">
        <f>IF(inputs_ok,IF(s_bar/2+19*s_bar&lt;1000,(s_bar/2+19*s_bar)+(phi/2)*-0.309017,NA()),NA())</f>
        <v/>
      </c>
      <c r="BM10">
        <f>IF(s_bar/2+19*s_bar&lt;1000,(IF(hog,h_sec-c_nom-phi/2,c_nom+phi/2))+(phi/2)*-0.951057,NA())</f>
        <v/>
      </c>
      <c r="BO10">
        <f>IF(inputs_ok,IF(s_bar/2+20*s_bar&lt;1000,(s_bar/2+20*s_bar)+(phi/2)*-0.309017,NA()),NA())</f>
        <v/>
      </c>
      <c r="BP10">
        <f>IF(s_bar/2+20*s_bar&lt;1000,(IF(hog,h_sec-c_nom-phi/2,c_nom+phi/2))+(phi/2)*-0.951057,NA())</f>
        <v/>
      </c>
      <c r="BR10">
        <f>IF(inputs_ok,IF(s_bar/2+21*s_bar&lt;1000,(s_bar/2+21*s_bar)+(phi/2)*-0.309017,NA()),NA())</f>
        <v/>
      </c>
      <c r="BS10">
        <f>IF(s_bar/2+21*s_bar&lt;1000,(IF(hog,h_sec-c_nom-phi/2,c_nom+phi/2))+(phi/2)*-0.951057,NA())</f>
        <v/>
      </c>
      <c r="BU10">
        <f>IF(inputs_ok,IF(s_bar/2+22*s_bar&lt;1000,(s_bar/2+22*s_bar)+(phi/2)*-0.309017,NA()),NA())</f>
        <v/>
      </c>
      <c r="BV10">
        <f>IF(s_bar/2+22*s_bar&lt;1000,(IF(hog,h_sec-c_nom-phi/2,c_nom+phi/2))+(phi/2)*-0.951057,NA())</f>
        <v/>
      </c>
      <c r="BX10">
        <f>IF(inputs_ok,IF(s_bar/2+23*s_bar&lt;1000,(s_bar/2+23*s_bar)+(phi/2)*-0.309017,NA()),NA())</f>
        <v/>
      </c>
      <c r="BY10">
        <f>IF(s_bar/2+23*s_bar&lt;1000,(IF(hog,h_sec-c_nom-phi/2,c_nom+phi/2))+(phi/2)*-0.951057,NA())</f>
        <v/>
      </c>
      <c r="CA10">
        <f>IF(inputs_ok,IF(s_bar/2+24*s_bar&lt;1000,(s_bar/2+24*s_bar)+(phi/2)*-0.309017,NA()),NA())</f>
        <v/>
      </c>
      <c r="CB10">
        <f>IF(s_bar/2+24*s_bar&lt;1000,(IF(hog,h_sec-c_nom-phi/2,c_nom+phi/2))+(phi/2)*-0.951057,NA())</f>
        <v/>
      </c>
      <c r="CD10">
        <f>IF(inputs_ok,IF(s_bar/2+25*s_bar&lt;1000,(s_bar/2+25*s_bar)+(phi/2)*-0.309017,NA()),NA())</f>
        <v/>
      </c>
      <c r="CE10">
        <f>IF(s_bar/2+25*s_bar&lt;1000,(IF(hog,h_sec-c_nom-phi/2,c_nom+phi/2))+(phi/2)*-0.951057,NA())</f>
        <v/>
      </c>
      <c r="CG10">
        <f>IF(inputs_ok,IF(s_bar/2+26*s_bar&lt;1000,(s_bar/2+26*s_bar)+(phi/2)*-0.309017,NA()),NA())</f>
        <v/>
      </c>
      <c r="CH10">
        <f>IF(s_bar/2+26*s_bar&lt;1000,(IF(hog,h_sec-c_nom-phi/2,c_nom+phi/2))+(phi/2)*-0.951057,NA())</f>
        <v/>
      </c>
      <c r="CJ10">
        <f>IF(inputs_ok,IF(s_bar/2+27*s_bar&lt;1000,(s_bar/2+27*s_bar)+(phi/2)*-0.309017,NA()),NA())</f>
        <v/>
      </c>
      <c r="CK10">
        <f>IF(s_bar/2+27*s_bar&lt;1000,(IF(hog,h_sec-c_nom-phi/2,c_nom+phi/2))+(phi/2)*-0.951057,NA())</f>
        <v/>
      </c>
      <c r="CM10">
        <f>IF(inputs_ok,IF(s_bar/2+28*s_bar&lt;1000,(s_bar/2+28*s_bar)+(phi/2)*-0.309017,NA()),NA())</f>
        <v/>
      </c>
      <c r="CN10">
        <f>IF(s_bar/2+28*s_bar&lt;1000,(IF(hog,h_sec-c_nom-phi/2,c_nom+phi/2))+(phi/2)*-0.951057,NA())</f>
        <v/>
      </c>
      <c r="CP10">
        <f>IF(inputs_ok,IF(s_bar/2+29*s_bar&lt;1000,(s_bar/2+29*s_bar)+(phi/2)*-0.309017,NA()),NA())</f>
        <v/>
      </c>
      <c r="CQ10">
        <f>IF(s_bar/2+29*s_bar&lt;1000,(IF(hog,h_sec-c_nom-phi/2,c_nom+phi/2))+(phi/2)*-0.951057,NA())</f>
        <v/>
      </c>
      <c r="CS10">
        <f>IF(inputs_ok,IF(s_bar/2+30*s_bar&lt;1000,(s_bar/2+30*s_bar)+(phi/2)*-0.309017,NA()),NA())</f>
        <v/>
      </c>
      <c r="CT10">
        <f>IF(s_bar/2+30*s_bar&lt;1000,(IF(hog,h_sec-c_nom-phi/2,c_nom+phi/2))+(phi/2)*-0.951057,NA())</f>
        <v/>
      </c>
      <c r="CV10">
        <f>IF(inputs_ok,IF(s_bar/2+31*s_bar&lt;1000,(s_bar/2+31*s_bar)+(phi/2)*-0.309017,NA()),NA())</f>
        <v/>
      </c>
      <c r="CW10">
        <f>IF(s_bar/2+31*s_bar&lt;1000,(IF(hog,h_sec-c_nom-phi/2,c_nom+phi/2))+(phi/2)*-0.951057,NA())</f>
        <v/>
      </c>
      <c r="CY10">
        <f>IF(inputs_ok,IF(s_bar/2+32*s_bar&lt;1000,(s_bar/2+32*s_bar)+(phi/2)*-0.309017,NA()),NA())</f>
        <v/>
      </c>
      <c r="CZ10">
        <f>IF(s_bar/2+32*s_bar&lt;1000,(IF(hog,h_sec-c_nom-phi/2,c_nom+phi/2))+(phi/2)*-0.951057,NA())</f>
        <v/>
      </c>
      <c r="DB10">
        <f>IF(inputs_ok,IF(s_bar/2+33*s_bar&lt;1000,(s_bar/2+33*s_bar)+(phi/2)*-0.309017,NA()),NA())</f>
        <v/>
      </c>
      <c r="DC10">
        <f>IF(s_bar/2+33*s_bar&lt;1000,(IF(hog,h_sec-c_nom-phi/2,c_nom+phi/2))+(phi/2)*-0.951057,NA())</f>
        <v/>
      </c>
      <c r="DE10">
        <f>IF(inputs_ok,IF(s_bar/2+34*s_bar&lt;1000,(s_bar/2+34*s_bar)+(phi/2)*-0.309017,NA()),NA())</f>
        <v/>
      </c>
      <c r="DF10">
        <f>IF(s_bar/2+34*s_bar&lt;1000,(IF(hog,h_sec-c_nom-phi/2,c_nom+phi/2))+(phi/2)*-0.951057,NA())</f>
        <v/>
      </c>
      <c r="DH10">
        <f>IF(inputs_ok,IF(s_bar/2+35*s_bar&lt;1000,(s_bar/2+35*s_bar)+(phi/2)*-0.309017,NA()),NA())</f>
        <v/>
      </c>
      <c r="DI10">
        <f>IF(s_bar/2+35*s_bar&lt;1000,(IF(hog,h_sec-c_nom-phi/2,c_nom+phi/2))+(phi/2)*-0.951057,NA())</f>
        <v/>
      </c>
      <c r="DK10">
        <f>IF(inputs_ok,IF(s_bar/2+36*s_bar&lt;1000,(s_bar/2+36*s_bar)+(phi/2)*-0.309017,NA()),NA())</f>
        <v/>
      </c>
      <c r="DL10">
        <f>IF(s_bar/2+36*s_bar&lt;1000,(IF(hog,h_sec-c_nom-phi/2,c_nom+phi/2))+(phi/2)*-0.951057,NA())</f>
        <v/>
      </c>
      <c r="DN10">
        <f>IF(inputs_ok,IF(s_bar/2+37*s_bar&lt;1000,(s_bar/2+37*s_bar)+(phi/2)*-0.309017,NA()),NA())</f>
        <v/>
      </c>
      <c r="DO10">
        <f>IF(s_bar/2+37*s_bar&lt;1000,(IF(hog,h_sec-c_nom-phi/2,c_nom+phi/2))+(phi/2)*-0.951057,NA())</f>
        <v/>
      </c>
      <c r="DQ10">
        <f>IF(inputs_ok,IF(s_bar/2+38*s_bar&lt;1000,(s_bar/2+38*s_bar)+(phi/2)*-0.309017,NA()),NA())</f>
        <v/>
      </c>
      <c r="DR10">
        <f>IF(s_bar/2+38*s_bar&lt;1000,(IF(hog,h_sec-c_nom-phi/2,c_nom+phi/2))+(phi/2)*-0.951057,NA())</f>
        <v/>
      </c>
      <c r="DT10">
        <f>IF(inputs_ok,IF(s_bar/2+39*s_bar&lt;1000,(s_bar/2+39*s_bar)+(phi/2)*-0.309017,NA()),NA())</f>
        <v/>
      </c>
      <c r="DU10">
        <f>IF(s_bar/2+39*s_bar&lt;1000,(IF(hog,h_sec-c_nom-phi/2,c_nom+phi/2))+(phi/2)*-0.951057,NA())</f>
        <v/>
      </c>
      <c r="DW10">
        <f>IF(inputs_ok,IF(s_bar/2+40*s_bar&lt;1000,(s_bar/2+40*s_bar)+(phi/2)*-0.309017,NA()),NA())</f>
        <v/>
      </c>
      <c r="DX10">
        <f>IF(s_bar/2+40*s_bar&lt;1000,(IF(hog,h_sec-c_nom-phi/2,c_nom+phi/2))+(phi/2)*-0.951057,NA())</f>
        <v/>
      </c>
      <c r="DZ10">
        <f>IF(inputs_ok,IF(s_bar/2+41*s_bar&lt;1000,(s_bar/2+41*s_bar)+(phi/2)*-0.309017,NA()),NA())</f>
        <v/>
      </c>
      <c r="EA10">
        <f>IF(s_bar/2+41*s_bar&lt;1000,(IF(hog,h_sec-c_nom-phi/2,c_nom+phi/2))+(phi/2)*-0.951057,NA())</f>
        <v/>
      </c>
      <c r="EC10">
        <f>IF(inputs_ok,IF(s_bar/2+42*s_bar&lt;1000,(s_bar/2+42*s_bar)+(phi/2)*-0.309017,NA()),NA())</f>
        <v/>
      </c>
      <c r="ED10">
        <f>IF(s_bar/2+42*s_bar&lt;1000,(IF(hog,h_sec-c_nom-phi/2,c_nom+phi/2))+(phi/2)*-0.951057,NA())</f>
        <v/>
      </c>
      <c r="EF10">
        <f>IF(inputs_ok,IF(s_bar/2+43*s_bar&lt;1000,(s_bar/2+43*s_bar)+(phi/2)*-0.309017,NA()),NA())</f>
        <v/>
      </c>
      <c r="EG10">
        <f>IF(s_bar/2+43*s_bar&lt;1000,(IF(hog,h_sec-c_nom-phi/2,c_nom+phi/2))+(phi/2)*-0.951057,NA())</f>
        <v/>
      </c>
      <c r="EI10">
        <f>IF(inputs_ok,IF(s_bar/2+44*s_bar&lt;1000,(s_bar/2+44*s_bar)+(phi/2)*-0.309017,NA()),NA())</f>
        <v/>
      </c>
      <c r="EJ10">
        <f>IF(s_bar/2+44*s_bar&lt;1000,(IF(hog,h_sec-c_nom-phi/2,c_nom+phi/2))+(phi/2)*-0.951057,NA())</f>
        <v/>
      </c>
      <c r="EL10">
        <f>IF(inputs_ok,IF(s_bar/2+45*s_bar&lt;1000,(s_bar/2+45*s_bar)+(phi/2)*-0.309017,NA()),NA())</f>
        <v/>
      </c>
      <c r="EM10">
        <f>IF(s_bar/2+45*s_bar&lt;1000,(IF(hog,h_sec-c_nom-phi/2,c_nom+phi/2))+(phi/2)*-0.951057,NA())</f>
        <v/>
      </c>
      <c r="EO10">
        <f>IF(inputs_ok,IF(s_bar/2+46*s_bar&lt;1000,(s_bar/2+46*s_bar)+(phi/2)*-0.309017,NA()),NA())</f>
        <v/>
      </c>
      <c r="EP10">
        <f>IF(s_bar/2+46*s_bar&lt;1000,(IF(hog,h_sec-c_nom-phi/2,c_nom+phi/2))+(phi/2)*-0.951057,NA())</f>
        <v/>
      </c>
      <c r="ER10">
        <f>IF(inputs_ok,IF(s_bar/2+47*s_bar&lt;1000,(s_bar/2+47*s_bar)+(phi/2)*-0.309017,NA()),NA())</f>
        <v/>
      </c>
      <c r="ES10">
        <f>IF(s_bar/2+47*s_bar&lt;1000,(IF(hog,h_sec-c_nom-phi/2,c_nom+phi/2))+(phi/2)*-0.951057,NA())</f>
        <v/>
      </c>
      <c r="EU10">
        <f>IF(inputs_ok,IF(s_bar/2+48*s_bar&lt;1000,(s_bar/2+48*s_bar)+(phi/2)*-0.309017,NA()),NA())</f>
        <v/>
      </c>
      <c r="EV10">
        <f>IF(s_bar/2+48*s_bar&lt;1000,(IF(hog,h_sec-c_nom-phi/2,c_nom+phi/2))+(phi/2)*-0.951057,NA())</f>
        <v/>
      </c>
      <c r="EX10">
        <f>IF(inputs_ok,IF(s_bar/2+49*s_bar&lt;1000,(s_bar/2+49*s_bar)+(phi/2)*-0.309017,NA()),NA())</f>
        <v/>
      </c>
      <c r="EY10">
        <f>IF(s_bar/2+49*s_bar&lt;1000,(IF(hog,h_sec-c_nom-phi/2,c_nom+phi/2))+(phi/2)*-0.951057,NA())</f>
        <v/>
      </c>
      <c r="FA10">
        <f>IF(inputs_ok,IF(s_bar/2+50*s_bar&lt;1000,(s_bar/2+50*s_bar)+(phi/2)*-0.309017,NA()),NA())</f>
        <v/>
      </c>
      <c r="FB10">
        <f>IF(s_bar/2+50*s_bar&lt;1000,(IF(hog,h_sec-c_nom-phi/2,c_nom+phi/2))+(phi/2)*-0.951057,NA())</f>
        <v/>
      </c>
      <c r="FD10">
        <f>IF(inputs_ok,IF(s_bar/2+51*s_bar&lt;1000,(s_bar/2+51*s_bar)+(phi/2)*-0.309017,NA()),NA())</f>
        <v/>
      </c>
      <c r="FE10">
        <f>IF(s_bar/2+51*s_bar&lt;1000,(IF(hog,h_sec-c_nom-phi/2,c_nom+phi/2))+(phi/2)*-0.951057,NA())</f>
        <v/>
      </c>
      <c r="FG10">
        <f>IF(inputs_ok,IF(s_bar/2+52*s_bar&lt;1000,(s_bar/2+52*s_bar)+(phi/2)*-0.309017,NA()),NA())</f>
        <v/>
      </c>
      <c r="FH10">
        <f>IF(s_bar/2+52*s_bar&lt;1000,(IF(hog,h_sec-c_nom-phi/2,c_nom+phi/2))+(phi/2)*-0.951057,NA())</f>
        <v/>
      </c>
      <c r="FJ10">
        <f>IF(inputs_ok,IF(s_bar/2+53*s_bar&lt;1000,(s_bar/2+53*s_bar)+(phi/2)*-0.309017,NA()),NA())</f>
        <v/>
      </c>
      <c r="FK10">
        <f>IF(s_bar/2+53*s_bar&lt;1000,(IF(hog,h_sec-c_nom-phi/2,c_nom+phi/2))+(phi/2)*-0.951057,NA())</f>
        <v/>
      </c>
      <c r="FM10">
        <f>IF(inputs_ok,IF(s_bar/2+54*s_bar&lt;1000,(s_bar/2+54*s_bar)+(phi/2)*-0.309017,NA()),NA())</f>
        <v/>
      </c>
      <c r="FN10">
        <f>IF(s_bar/2+54*s_bar&lt;1000,(IF(hog,h_sec-c_nom-phi/2,c_nom+phi/2))+(phi/2)*-0.951057,NA())</f>
        <v/>
      </c>
      <c r="FP10">
        <f>IF(inputs_ok,IF(s_bar/2+55*s_bar&lt;1000,(s_bar/2+55*s_bar)+(phi/2)*-0.309017,NA()),NA())</f>
        <v/>
      </c>
      <c r="FQ10">
        <f>IF(s_bar/2+55*s_bar&lt;1000,(IF(hog,h_sec-c_nom-phi/2,c_nom+phi/2))+(phi/2)*-0.951057,NA())</f>
        <v/>
      </c>
      <c r="FS10">
        <f>IF(inputs_ok,IF(s_bar/2+56*s_bar&lt;1000,(s_bar/2+56*s_bar)+(phi/2)*-0.309017,NA()),NA())</f>
        <v/>
      </c>
      <c r="FT10">
        <f>IF(s_bar/2+56*s_bar&lt;1000,(IF(hog,h_sec-c_nom-phi/2,c_nom+phi/2))+(phi/2)*-0.951057,NA())</f>
        <v/>
      </c>
      <c r="FV10">
        <f>IF(inputs_ok,IF(s_bar/2+57*s_bar&lt;1000,(s_bar/2+57*s_bar)+(phi/2)*-0.309017,NA()),NA())</f>
        <v/>
      </c>
      <c r="FW10">
        <f>IF(s_bar/2+57*s_bar&lt;1000,(IF(hog,h_sec-c_nom-phi/2,c_nom+phi/2))+(phi/2)*-0.951057,NA())</f>
        <v/>
      </c>
      <c r="FY10">
        <f>IF(inputs_ok,IF(s_bar/2+58*s_bar&lt;1000,(s_bar/2+58*s_bar)+(phi/2)*-0.309017,NA()),NA())</f>
        <v/>
      </c>
      <c r="FZ10">
        <f>IF(s_bar/2+58*s_bar&lt;1000,(IF(hog,h_sec-c_nom-phi/2,c_nom+phi/2))+(phi/2)*-0.951057,NA())</f>
        <v/>
      </c>
      <c r="GB10">
        <f>IF(inputs_ok,IF(s_bar/2+59*s_bar&lt;1000,(s_bar/2+59*s_bar)+(phi/2)*-0.309017,NA()),NA())</f>
        <v/>
      </c>
      <c r="GC10">
        <f>IF(s_bar/2+59*s_bar&lt;1000,(IF(hog,h_sec-c_nom-phi/2,c_nom+phi/2))+(phi/2)*-0.951057,NA())</f>
        <v/>
      </c>
    </row>
    <row r="11">
      <c r="G11">
        <f>IF(inputs_ok,IF(s_bar/2+0*s_bar&lt;1000,(s_bar/2+0*s_bar)+(phi/2)*0.309017,NA()),NA())</f>
        <v/>
      </c>
      <c r="H11">
        <f>IF(s_bar/2+0*s_bar&lt;1000,(IF(hog,h_sec-c_nom-phi/2,c_nom+phi/2))+(phi/2)*-0.951057,NA())</f>
        <v/>
      </c>
      <c r="J11">
        <f>IF(inputs_ok,IF(s_bar/2+1*s_bar&lt;1000,(s_bar/2+1*s_bar)+(phi/2)*0.309017,NA()),NA())</f>
        <v/>
      </c>
      <c r="K11">
        <f>IF(s_bar/2+1*s_bar&lt;1000,(IF(hog,h_sec-c_nom-phi/2,c_nom+phi/2))+(phi/2)*-0.951057,NA())</f>
        <v/>
      </c>
      <c r="M11">
        <f>IF(inputs_ok,IF(s_bar/2+2*s_bar&lt;1000,(s_bar/2+2*s_bar)+(phi/2)*0.309017,NA()),NA())</f>
        <v/>
      </c>
      <c r="N11">
        <f>IF(s_bar/2+2*s_bar&lt;1000,(IF(hog,h_sec-c_nom-phi/2,c_nom+phi/2))+(phi/2)*-0.951057,NA())</f>
        <v/>
      </c>
      <c r="P11">
        <f>IF(inputs_ok,IF(s_bar/2+3*s_bar&lt;1000,(s_bar/2+3*s_bar)+(phi/2)*0.309017,NA()),NA())</f>
        <v/>
      </c>
      <c r="Q11">
        <f>IF(s_bar/2+3*s_bar&lt;1000,(IF(hog,h_sec-c_nom-phi/2,c_nom+phi/2))+(phi/2)*-0.951057,NA())</f>
        <v/>
      </c>
      <c r="S11">
        <f>IF(inputs_ok,IF(s_bar/2+4*s_bar&lt;1000,(s_bar/2+4*s_bar)+(phi/2)*0.309017,NA()),NA())</f>
        <v/>
      </c>
      <c r="T11">
        <f>IF(s_bar/2+4*s_bar&lt;1000,(IF(hog,h_sec-c_nom-phi/2,c_nom+phi/2))+(phi/2)*-0.951057,NA())</f>
        <v/>
      </c>
      <c r="V11">
        <f>IF(inputs_ok,IF(s_bar/2+5*s_bar&lt;1000,(s_bar/2+5*s_bar)+(phi/2)*0.309017,NA()),NA())</f>
        <v/>
      </c>
      <c r="W11">
        <f>IF(s_bar/2+5*s_bar&lt;1000,(IF(hog,h_sec-c_nom-phi/2,c_nom+phi/2))+(phi/2)*-0.951057,NA())</f>
        <v/>
      </c>
      <c r="Y11">
        <f>IF(inputs_ok,IF(s_bar/2+6*s_bar&lt;1000,(s_bar/2+6*s_bar)+(phi/2)*0.309017,NA()),NA())</f>
        <v/>
      </c>
      <c r="Z11">
        <f>IF(s_bar/2+6*s_bar&lt;1000,(IF(hog,h_sec-c_nom-phi/2,c_nom+phi/2))+(phi/2)*-0.951057,NA())</f>
        <v/>
      </c>
      <c r="AB11">
        <f>IF(inputs_ok,IF(s_bar/2+7*s_bar&lt;1000,(s_bar/2+7*s_bar)+(phi/2)*0.309017,NA()),NA())</f>
        <v/>
      </c>
      <c r="AC11">
        <f>IF(s_bar/2+7*s_bar&lt;1000,(IF(hog,h_sec-c_nom-phi/2,c_nom+phi/2))+(phi/2)*-0.951057,NA())</f>
        <v/>
      </c>
      <c r="AE11">
        <f>IF(inputs_ok,IF(s_bar/2+8*s_bar&lt;1000,(s_bar/2+8*s_bar)+(phi/2)*0.309017,NA()),NA())</f>
        <v/>
      </c>
      <c r="AF11">
        <f>IF(s_bar/2+8*s_bar&lt;1000,(IF(hog,h_sec-c_nom-phi/2,c_nom+phi/2))+(phi/2)*-0.951057,NA())</f>
        <v/>
      </c>
      <c r="AH11">
        <f>IF(inputs_ok,IF(s_bar/2+9*s_bar&lt;1000,(s_bar/2+9*s_bar)+(phi/2)*0.309017,NA()),NA())</f>
        <v/>
      </c>
      <c r="AI11">
        <f>IF(s_bar/2+9*s_bar&lt;1000,(IF(hog,h_sec-c_nom-phi/2,c_nom+phi/2))+(phi/2)*-0.951057,NA())</f>
        <v/>
      </c>
      <c r="AK11">
        <f>IF(inputs_ok,IF(s_bar/2+10*s_bar&lt;1000,(s_bar/2+10*s_bar)+(phi/2)*0.309017,NA()),NA())</f>
        <v/>
      </c>
      <c r="AL11">
        <f>IF(s_bar/2+10*s_bar&lt;1000,(IF(hog,h_sec-c_nom-phi/2,c_nom+phi/2))+(phi/2)*-0.951057,NA())</f>
        <v/>
      </c>
      <c r="AN11">
        <f>IF(inputs_ok,IF(s_bar/2+11*s_bar&lt;1000,(s_bar/2+11*s_bar)+(phi/2)*0.309017,NA()),NA())</f>
        <v/>
      </c>
      <c r="AO11">
        <f>IF(s_bar/2+11*s_bar&lt;1000,(IF(hog,h_sec-c_nom-phi/2,c_nom+phi/2))+(phi/2)*-0.951057,NA())</f>
        <v/>
      </c>
      <c r="AQ11">
        <f>IF(inputs_ok,IF(s_bar/2+12*s_bar&lt;1000,(s_bar/2+12*s_bar)+(phi/2)*0.309017,NA()),NA())</f>
        <v/>
      </c>
      <c r="AR11">
        <f>IF(s_bar/2+12*s_bar&lt;1000,(IF(hog,h_sec-c_nom-phi/2,c_nom+phi/2))+(phi/2)*-0.951057,NA())</f>
        <v/>
      </c>
      <c r="AT11">
        <f>IF(inputs_ok,IF(s_bar/2+13*s_bar&lt;1000,(s_bar/2+13*s_bar)+(phi/2)*0.309017,NA()),NA())</f>
        <v/>
      </c>
      <c r="AU11">
        <f>IF(s_bar/2+13*s_bar&lt;1000,(IF(hog,h_sec-c_nom-phi/2,c_nom+phi/2))+(phi/2)*-0.951057,NA())</f>
        <v/>
      </c>
      <c r="AW11">
        <f>IF(inputs_ok,IF(s_bar/2+14*s_bar&lt;1000,(s_bar/2+14*s_bar)+(phi/2)*0.309017,NA()),NA())</f>
        <v/>
      </c>
      <c r="AX11">
        <f>IF(s_bar/2+14*s_bar&lt;1000,(IF(hog,h_sec-c_nom-phi/2,c_nom+phi/2))+(phi/2)*-0.951057,NA())</f>
        <v/>
      </c>
      <c r="AZ11">
        <f>IF(inputs_ok,IF(s_bar/2+15*s_bar&lt;1000,(s_bar/2+15*s_bar)+(phi/2)*0.309017,NA()),NA())</f>
        <v/>
      </c>
      <c r="BA11">
        <f>IF(s_bar/2+15*s_bar&lt;1000,(IF(hog,h_sec-c_nom-phi/2,c_nom+phi/2))+(phi/2)*-0.951057,NA())</f>
        <v/>
      </c>
      <c r="BC11">
        <f>IF(inputs_ok,IF(s_bar/2+16*s_bar&lt;1000,(s_bar/2+16*s_bar)+(phi/2)*0.309017,NA()),NA())</f>
        <v/>
      </c>
      <c r="BD11">
        <f>IF(s_bar/2+16*s_bar&lt;1000,(IF(hog,h_sec-c_nom-phi/2,c_nom+phi/2))+(phi/2)*-0.951057,NA())</f>
        <v/>
      </c>
      <c r="BF11">
        <f>IF(inputs_ok,IF(s_bar/2+17*s_bar&lt;1000,(s_bar/2+17*s_bar)+(phi/2)*0.309017,NA()),NA())</f>
        <v/>
      </c>
      <c r="BG11">
        <f>IF(s_bar/2+17*s_bar&lt;1000,(IF(hog,h_sec-c_nom-phi/2,c_nom+phi/2))+(phi/2)*-0.951057,NA())</f>
        <v/>
      </c>
      <c r="BI11">
        <f>IF(inputs_ok,IF(s_bar/2+18*s_bar&lt;1000,(s_bar/2+18*s_bar)+(phi/2)*0.309017,NA()),NA())</f>
        <v/>
      </c>
      <c r="BJ11">
        <f>IF(s_bar/2+18*s_bar&lt;1000,(IF(hog,h_sec-c_nom-phi/2,c_nom+phi/2))+(phi/2)*-0.951057,NA())</f>
        <v/>
      </c>
      <c r="BL11">
        <f>IF(inputs_ok,IF(s_bar/2+19*s_bar&lt;1000,(s_bar/2+19*s_bar)+(phi/2)*0.309017,NA()),NA())</f>
        <v/>
      </c>
      <c r="BM11">
        <f>IF(s_bar/2+19*s_bar&lt;1000,(IF(hog,h_sec-c_nom-phi/2,c_nom+phi/2))+(phi/2)*-0.951057,NA())</f>
        <v/>
      </c>
      <c r="BO11">
        <f>IF(inputs_ok,IF(s_bar/2+20*s_bar&lt;1000,(s_bar/2+20*s_bar)+(phi/2)*0.309017,NA()),NA())</f>
        <v/>
      </c>
      <c r="BP11">
        <f>IF(s_bar/2+20*s_bar&lt;1000,(IF(hog,h_sec-c_nom-phi/2,c_nom+phi/2))+(phi/2)*-0.951057,NA())</f>
        <v/>
      </c>
      <c r="BR11">
        <f>IF(inputs_ok,IF(s_bar/2+21*s_bar&lt;1000,(s_bar/2+21*s_bar)+(phi/2)*0.309017,NA()),NA())</f>
        <v/>
      </c>
      <c r="BS11">
        <f>IF(s_bar/2+21*s_bar&lt;1000,(IF(hog,h_sec-c_nom-phi/2,c_nom+phi/2))+(phi/2)*-0.951057,NA())</f>
        <v/>
      </c>
      <c r="BU11">
        <f>IF(inputs_ok,IF(s_bar/2+22*s_bar&lt;1000,(s_bar/2+22*s_bar)+(phi/2)*0.309017,NA()),NA())</f>
        <v/>
      </c>
      <c r="BV11">
        <f>IF(s_bar/2+22*s_bar&lt;1000,(IF(hog,h_sec-c_nom-phi/2,c_nom+phi/2))+(phi/2)*-0.951057,NA())</f>
        <v/>
      </c>
      <c r="BX11">
        <f>IF(inputs_ok,IF(s_bar/2+23*s_bar&lt;1000,(s_bar/2+23*s_bar)+(phi/2)*0.309017,NA()),NA())</f>
        <v/>
      </c>
      <c r="BY11">
        <f>IF(s_bar/2+23*s_bar&lt;1000,(IF(hog,h_sec-c_nom-phi/2,c_nom+phi/2))+(phi/2)*-0.951057,NA())</f>
        <v/>
      </c>
      <c r="CA11">
        <f>IF(inputs_ok,IF(s_bar/2+24*s_bar&lt;1000,(s_bar/2+24*s_bar)+(phi/2)*0.309017,NA()),NA())</f>
        <v/>
      </c>
      <c r="CB11">
        <f>IF(s_bar/2+24*s_bar&lt;1000,(IF(hog,h_sec-c_nom-phi/2,c_nom+phi/2))+(phi/2)*-0.951057,NA())</f>
        <v/>
      </c>
      <c r="CD11">
        <f>IF(inputs_ok,IF(s_bar/2+25*s_bar&lt;1000,(s_bar/2+25*s_bar)+(phi/2)*0.309017,NA()),NA())</f>
        <v/>
      </c>
      <c r="CE11">
        <f>IF(s_bar/2+25*s_bar&lt;1000,(IF(hog,h_sec-c_nom-phi/2,c_nom+phi/2))+(phi/2)*-0.951057,NA())</f>
        <v/>
      </c>
      <c r="CG11">
        <f>IF(inputs_ok,IF(s_bar/2+26*s_bar&lt;1000,(s_bar/2+26*s_bar)+(phi/2)*0.309017,NA()),NA())</f>
        <v/>
      </c>
      <c r="CH11">
        <f>IF(s_bar/2+26*s_bar&lt;1000,(IF(hog,h_sec-c_nom-phi/2,c_nom+phi/2))+(phi/2)*-0.951057,NA())</f>
        <v/>
      </c>
      <c r="CJ11">
        <f>IF(inputs_ok,IF(s_bar/2+27*s_bar&lt;1000,(s_bar/2+27*s_bar)+(phi/2)*0.309017,NA()),NA())</f>
        <v/>
      </c>
      <c r="CK11">
        <f>IF(s_bar/2+27*s_bar&lt;1000,(IF(hog,h_sec-c_nom-phi/2,c_nom+phi/2))+(phi/2)*-0.951057,NA())</f>
        <v/>
      </c>
      <c r="CM11">
        <f>IF(inputs_ok,IF(s_bar/2+28*s_bar&lt;1000,(s_bar/2+28*s_bar)+(phi/2)*0.309017,NA()),NA())</f>
        <v/>
      </c>
      <c r="CN11">
        <f>IF(s_bar/2+28*s_bar&lt;1000,(IF(hog,h_sec-c_nom-phi/2,c_nom+phi/2))+(phi/2)*-0.951057,NA())</f>
        <v/>
      </c>
      <c r="CP11">
        <f>IF(inputs_ok,IF(s_bar/2+29*s_bar&lt;1000,(s_bar/2+29*s_bar)+(phi/2)*0.309017,NA()),NA())</f>
        <v/>
      </c>
      <c r="CQ11">
        <f>IF(s_bar/2+29*s_bar&lt;1000,(IF(hog,h_sec-c_nom-phi/2,c_nom+phi/2))+(phi/2)*-0.951057,NA())</f>
        <v/>
      </c>
      <c r="CS11">
        <f>IF(inputs_ok,IF(s_bar/2+30*s_bar&lt;1000,(s_bar/2+30*s_bar)+(phi/2)*0.309017,NA()),NA())</f>
        <v/>
      </c>
      <c r="CT11">
        <f>IF(s_bar/2+30*s_bar&lt;1000,(IF(hog,h_sec-c_nom-phi/2,c_nom+phi/2))+(phi/2)*-0.951057,NA())</f>
        <v/>
      </c>
      <c r="CV11">
        <f>IF(inputs_ok,IF(s_bar/2+31*s_bar&lt;1000,(s_bar/2+31*s_bar)+(phi/2)*0.309017,NA()),NA())</f>
        <v/>
      </c>
      <c r="CW11">
        <f>IF(s_bar/2+31*s_bar&lt;1000,(IF(hog,h_sec-c_nom-phi/2,c_nom+phi/2))+(phi/2)*-0.951057,NA())</f>
        <v/>
      </c>
      <c r="CY11">
        <f>IF(inputs_ok,IF(s_bar/2+32*s_bar&lt;1000,(s_bar/2+32*s_bar)+(phi/2)*0.309017,NA()),NA())</f>
        <v/>
      </c>
      <c r="CZ11">
        <f>IF(s_bar/2+32*s_bar&lt;1000,(IF(hog,h_sec-c_nom-phi/2,c_nom+phi/2))+(phi/2)*-0.951057,NA())</f>
        <v/>
      </c>
      <c r="DB11">
        <f>IF(inputs_ok,IF(s_bar/2+33*s_bar&lt;1000,(s_bar/2+33*s_bar)+(phi/2)*0.309017,NA()),NA())</f>
        <v/>
      </c>
      <c r="DC11">
        <f>IF(s_bar/2+33*s_bar&lt;1000,(IF(hog,h_sec-c_nom-phi/2,c_nom+phi/2))+(phi/2)*-0.951057,NA())</f>
        <v/>
      </c>
      <c r="DE11">
        <f>IF(inputs_ok,IF(s_bar/2+34*s_bar&lt;1000,(s_bar/2+34*s_bar)+(phi/2)*0.309017,NA()),NA())</f>
        <v/>
      </c>
      <c r="DF11">
        <f>IF(s_bar/2+34*s_bar&lt;1000,(IF(hog,h_sec-c_nom-phi/2,c_nom+phi/2))+(phi/2)*-0.951057,NA())</f>
        <v/>
      </c>
      <c r="DH11">
        <f>IF(inputs_ok,IF(s_bar/2+35*s_bar&lt;1000,(s_bar/2+35*s_bar)+(phi/2)*0.309017,NA()),NA())</f>
        <v/>
      </c>
      <c r="DI11">
        <f>IF(s_bar/2+35*s_bar&lt;1000,(IF(hog,h_sec-c_nom-phi/2,c_nom+phi/2))+(phi/2)*-0.951057,NA())</f>
        <v/>
      </c>
      <c r="DK11">
        <f>IF(inputs_ok,IF(s_bar/2+36*s_bar&lt;1000,(s_bar/2+36*s_bar)+(phi/2)*0.309017,NA()),NA())</f>
        <v/>
      </c>
      <c r="DL11">
        <f>IF(s_bar/2+36*s_bar&lt;1000,(IF(hog,h_sec-c_nom-phi/2,c_nom+phi/2))+(phi/2)*-0.951057,NA())</f>
        <v/>
      </c>
      <c r="DN11">
        <f>IF(inputs_ok,IF(s_bar/2+37*s_bar&lt;1000,(s_bar/2+37*s_bar)+(phi/2)*0.309017,NA()),NA())</f>
        <v/>
      </c>
      <c r="DO11">
        <f>IF(s_bar/2+37*s_bar&lt;1000,(IF(hog,h_sec-c_nom-phi/2,c_nom+phi/2))+(phi/2)*-0.951057,NA())</f>
        <v/>
      </c>
      <c r="DQ11">
        <f>IF(inputs_ok,IF(s_bar/2+38*s_bar&lt;1000,(s_bar/2+38*s_bar)+(phi/2)*0.309017,NA()),NA())</f>
        <v/>
      </c>
      <c r="DR11">
        <f>IF(s_bar/2+38*s_bar&lt;1000,(IF(hog,h_sec-c_nom-phi/2,c_nom+phi/2))+(phi/2)*-0.951057,NA())</f>
        <v/>
      </c>
      <c r="DT11">
        <f>IF(inputs_ok,IF(s_bar/2+39*s_bar&lt;1000,(s_bar/2+39*s_bar)+(phi/2)*0.309017,NA()),NA())</f>
        <v/>
      </c>
      <c r="DU11">
        <f>IF(s_bar/2+39*s_bar&lt;1000,(IF(hog,h_sec-c_nom-phi/2,c_nom+phi/2))+(phi/2)*-0.951057,NA())</f>
        <v/>
      </c>
      <c r="DW11">
        <f>IF(inputs_ok,IF(s_bar/2+40*s_bar&lt;1000,(s_bar/2+40*s_bar)+(phi/2)*0.309017,NA()),NA())</f>
        <v/>
      </c>
      <c r="DX11">
        <f>IF(s_bar/2+40*s_bar&lt;1000,(IF(hog,h_sec-c_nom-phi/2,c_nom+phi/2))+(phi/2)*-0.951057,NA())</f>
        <v/>
      </c>
      <c r="DZ11">
        <f>IF(inputs_ok,IF(s_bar/2+41*s_bar&lt;1000,(s_bar/2+41*s_bar)+(phi/2)*0.309017,NA()),NA())</f>
        <v/>
      </c>
      <c r="EA11">
        <f>IF(s_bar/2+41*s_bar&lt;1000,(IF(hog,h_sec-c_nom-phi/2,c_nom+phi/2))+(phi/2)*-0.951057,NA())</f>
        <v/>
      </c>
      <c r="EC11">
        <f>IF(inputs_ok,IF(s_bar/2+42*s_bar&lt;1000,(s_bar/2+42*s_bar)+(phi/2)*0.309017,NA()),NA())</f>
        <v/>
      </c>
      <c r="ED11">
        <f>IF(s_bar/2+42*s_bar&lt;1000,(IF(hog,h_sec-c_nom-phi/2,c_nom+phi/2))+(phi/2)*-0.951057,NA())</f>
        <v/>
      </c>
      <c r="EF11">
        <f>IF(inputs_ok,IF(s_bar/2+43*s_bar&lt;1000,(s_bar/2+43*s_bar)+(phi/2)*0.309017,NA()),NA())</f>
        <v/>
      </c>
      <c r="EG11">
        <f>IF(s_bar/2+43*s_bar&lt;1000,(IF(hog,h_sec-c_nom-phi/2,c_nom+phi/2))+(phi/2)*-0.951057,NA())</f>
        <v/>
      </c>
      <c r="EI11">
        <f>IF(inputs_ok,IF(s_bar/2+44*s_bar&lt;1000,(s_bar/2+44*s_bar)+(phi/2)*0.309017,NA()),NA())</f>
        <v/>
      </c>
      <c r="EJ11">
        <f>IF(s_bar/2+44*s_bar&lt;1000,(IF(hog,h_sec-c_nom-phi/2,c_nom+phi/2))+(phi/2)*-0.951057,NA())</f>
        <v/>
      </c>
      <c r="EL11">
        <f>IF(inputs_ok,IF(s_bar/2+45*s_bar&lt;1000,(s_bar/2+45*s_bar)+(phi/2)*0.309017,NA()),NA())</f>
        <v/>
      </c>
      <c r="EM11">
        <f>IF(s_bar/2+45*s_bar&lt;1000,(IF(hog,h_sec-c_nom-phi/2,c_nom+phi/2))+(phi/2)*-0.951057,NA())</f>
        <v/>
      </c>
      <c r="EO11">
        <f>IF(inputs_ok,IF(s_bar/2+46*s_bar&lt;1000,(s_bar/2+46*s_bar)+(phi/2)*0.309017,NA()),NA())</f>
        <v/>
      </c>
      <c r="EP11">
        <f>IF(s_bar/2+46*s_bar&lt;1000,(IF(hog,h_sec-c_nom-phi/2,c_nom+phi/2))+(phi/2)*-0.951057,NA())</f>
        <v/>
      </c>
      <c r="ER11">
        <f>IF(inputs_ok,IF(s_bar/2+47*s_bar&lt;1000,(s_bar/2+47*s_bar)+(phi/2)*0.309017,NA()),NA())</f>
        <v/>
      </c>
      <c r="ES11">
        <f>IF(s_bar/2+47*s_bar&lt;1000,(IF(hog,h_sec-c_nom-phi/2,c_nom+phi/2))+(phi/2)*-0.951057,NA())</f>
        <v/>
      </c>
      <c r="EU11">
        <f>IF(inputs_ok,IF(s_bar/2+48*s_bar&lt;1000,(s_bar/2+48*s_bar)+(phi/2)*0.309017,NA()),NA())</f>
        <v/>
      </c>
      <c r="EV11">
        <f>IF(s_bar/2+48*s_bar&lt;1000,(IF(hog,h_sec-c_nom-phi/2,c_nom+phi/2))+(phi/2)*-0.951057,NA())</f>
        <v/>
      </c>
      <c r="EX11">
        <f>IF(inputs_ok,IF(s_bar/2+49*s_bar&lt;1000,(s_bar/2+49*s_bar)+(phi/2)*0.309017,NA()),NA())</f>
        <v/>
      </c>
      <c r="EY11">
        <f>IF(s_bar/2+49*s_bar&lt;1000,(IF(hog,h_sec-c_nom-phi/2,c_nom+phi/2))+(phi/2)*-0.951057,NA())</f>
        <v/>
      </c>
      <c r="FA11">
        <f>IF(inputs_ok,IF(s_bar/2+50*s_bar&lt;1000,(s_bar/2+50*s_bar)+(phi/2)*0.309017,NA()),NA())</f>
        <v/>
      </c>
      <c r="FB11">
        <f>IF(s_bar/2+50*s_bar&lt;1000,(IF(hog,h_sec-c_nom-phi/2,c_nom+phi/2))+(phi/2)*-0.951057,NA())</f>
        <v/>
      </c>
      <c r="FD11">
        <f>IF(inputs_ok,IF(s_bar/2+51*s_bar&lt;1000,(s_bar/2+51*s_bar)+(phi/2)*0.309017,NA()),NA())</f>
        <v/>
      </c>
      <c r="FE11">
        <f>IF(s_bar/2+51*s_bar&lt;1000,(IF(hog,h_sec-c_nom-phi/2,c_nom+phi/2))+(phi/2)*-0.951057,NA())</f>
        <v/>
      </c>
      <c r="FG11">
        <f>IF(inputs_ok,IF(s_bar/2+52*s_bar&lt;1000,(s_bar/2+52*s_bar)+(phi/2)*0.309017,NA()),NA())</f>
        <v/>
      </c>
      <c r="FH11">
        <f>IF(s_bar/2+52*s_bar&lt;1000,(IF(hog,h_sec-c_nom-phi/2,c_nom+phi/2))+(phi/2)*-0.951057,NA())</f>
        <v/>
      </c>
      <c r="FJ11">
        <f>IF(inputs_ok,IF(s_bar/2+53*s_bar&lt;1000,(s_bar/2+53*s_bar)+(phi/2)*0.309017,NA()),NA())</f>
        <v/>
      </c>
      <c r="FK11">
        <f>IF(s_bar/2+53*s_bar&lt;1000,(IF(hog,h_sec-c_nom-phi/2,c_nom+phi/2))+(phi/2)*-0.951057,NA())</f>
        <v/>
      </c>
      <c r="FM11">
        <f>IF(inputs_ok,IF(s_bar/2+54*s_bar&lt;1000,(s_bar/2+54*s_bar)+(phi/2)*0.309017,NA()),NA())</f>
        <v/>
      </c>
      <c r="FN11">
        <f>IF(s_bar/2+54*s_bar&lt;1000,(IF(hog,h_sec-c_nom-phi/2,c_nom+phi/2))+(phi/2)*-0.951057,NA())</f>
        <v/>
      </c>
      <c r="FP11">
        <f>IF(inputs_ok,IF(s_bar/2+55*s_bar&lt;1000,(s_bar/2+55*s_bar)+(phi/2)*0.309017,NA()),NA())</f>
        <v/>
      </c>
      <c r="FQ11">
        <f>IF(s_bar/2+55*s_bar&lt;1000,(IF(hog,h_sec-c_nom-phi/2,c_nom+phi/2))+(phi/2)*-0.951057,NA())</f>
        <v/>
      </c>
      <c r="FS11">
        <f>IF(inputs_ok,IF(s_bar/2+56*s_bar&lt;1000,(s_bar/2+56*s_bar)+(phi/2)*0.309017,NA()),NA())</f>
        <v/>
      </c>
      <c r="FT11">
        <f>IF(s_bar/2+56*s_bar&lt;1000,(IF(hog,h_sec-c_nom-phi/2,c_nom+phi/2))+(phi/2)*-0.951057,NA())</f>
        <v/>
      </c>
      <c r="FV11">
        <f>IF(inputs_ok,IF(s_bar/2+57*s_bar&lt;1000,(s_bar/2+57*s_bar)+(phi/2)*0.309017,NA()),NA())</f>
        <v/>
      </c>
      <c r="FW11">
        <f>IF(s_bar/2+57*s_bar&lt;1000,(IF(hog,h_sec-c_nom-phi/2,c_nom+phi/2))+(phi/2)*-0.951057,NA())</f>
        <v/>
      </c>
      <c r="FY11">
        <f>IF(inputs_ok,IF(s_bar/2+58*s_bar&lt;1000,(s_bar/2+58*s_bar)+(phi/2)*0.309017,NA()),NA())</f>
        <v/>
      </c>
      <c r="FZ11">
        <f>IF(s_bar/2+58*s_bar&lt;1000,(IF(hog,h_sec-c_nom-phi/2,c_nom+phi/2))+(phi/2)*-0.951057,NA())</f>
        <v/>
      </c>
      <c r="GB11">
        <f>IF(inputs_ok,IF(s_bar/2+59*s_bar&lt;1000,(s_bar/2+59*s_bar)+(phi/2)*0.309017,NA()),NA())</f>
        <v/>
      </c>
      <c r="GC11">
        <f>IF(s_bar/2+59*s_bar&lt;1000,(IF(hog,h_sec-c_nom-phi/2,c_nom+phi/2))+(phi/2)*-0.951057,NA())</f>
        <v/>
      </c>
    </row>
    <row r="12">
      <c r="G12">
        <f>IF(inputs_ok,IF(s_bar/2+0*s_bar&lt;1000,(s_bar/2+0*s_bar)+(phi/2)*0.809017,NA()),NA())</f>
        <v/>
      </c>
      <c r="H12">
        <f>IF(s_bar/2+0*s_bar&lt;1000,(IF(hog,h_sec-c_nom-phi/2,c_nom+phi/2))+(phi/2)*-0.587785,NA())</f>
        <v/>
      </c>
      <c r="J12">
        <f>IF(inputs_ok,IF(s_bar/2+1*s_bar&lt;1000,(s_bar/2+1*s_bar)+(phi/2)*0.809017,NA()),NA())</f>
        <v/>
      </c>
      <c r="K12">
        <f>IF(s_bar/2+1*s_bar&lt;1000,(IF(hog,h_sec-c_nom-phi/2,c_nom+phi/2))+(phi/2)*-0.587785,NA())</f>
        <v/>
      </c>
      <c r="M12">
        <f>IF(inputs_ok,IF(s_bar/2+2*s_bar&lt;1000,(s_bar/2+2*s_bar)+(phi/2)*0.809017,NA()),NA())</f>
        <v/>
      </c>
      <c r="N12">
        <f>IF(s_bar/2+2*s_bar&lt;1000,(IF(hog,h_sec-c_nom-phi/2,c_nom+phi/2))+(phi/2)*-0.587785,NA())</f>
        <v/>
      </c>
      <c r="P12">
        <f>IF(inputs_ok,IF(s_bar/2+3*s_bar&lt;1000,(s_bar/2+3*s_bar)+(phi/2)*0.809017,NA()),NA())</f>
        <v/>
      </c>
      <c r="Q12">
        <f>IF(s_bar/2+3*s_bar&lt;1000,(IF(hog,h_sec-c_nom-phi/2,c_nom+phi/2))+(phi/2)*-0.587785,NA())</f>
        <v/>
      </c>
      <c r="S12">
        <f>IF(inputs_ok,IF(s_bar/2+4*s_bar&lt;1000,(s_bar/2+4*s_bar)+(phi/2)*0.809017,NA()),NA())</f>
        <v/>
      </c>
      <c r="T12">
        <f>IF(s_bar/2+4*s_bar&lt;1000,(IF(hog,h_sec-c_nom-phi/2,c_nom+phi/2))+(phi/2)*-0.587785,NA())</f>
        <v/>
      </c>
      <c r="V12">
        <f>IF(inputs_ok,IF(s_bar/2+5*s_bar&lt;1000,(s_bar/2+5*s_bar)+(phi/2)*0.809017,NA()),NA())</f>
        <v/>
      </c>
      <c r="W12">
        <f>IF(s_bar/2+5*s_bar&lt;1000,(IF(hog,h_sec-c_nom-phi/2,c_nom+phi/2))+(phi/2)*-0.587785,NA())</f>
        <v/>
      </c>
      <c r="Y12">
        <f>IF(inputs_ok,IF(s_bar/2+6*s_bar&lt;1000,(s_bar/2+6*s_bar)+(phi/2)*0.809017,NA()),NA())</f>
        <v/>
      </c>
      <c r="Z12">
        <f>IF(s_bar/2+6*s_bar&lt;1000,(IF(hog,h_sec-c_nom-phi/2,c_nom+phi/2))+(phi/2)*-0.587785,NA())</f>
        <v/>
      </c>
      <c r="AB12">
        <f>IF(inputs_ok,IF(s_bar/2+7*s_bar&lt;1000,(s_bar/2+7*s_bar)+(phi/2)*0.809017,NA()),NA())</f>
        <v/>
      </c>
      <c r="AC12">
        <f>IF(s_bar/2+7*s_bar&lt;1000,(IF(hog,h_sec-c_nom-phi/2,c_nom+phi/2))+(phi/2)*-0.587785,NA())</f>
        <v/>
      </c>
      <c r="AE12">
        <f>IF(inputs_ok,IF(s_bar/2+8*s_bar&lt;1000,(s_bar/2+8*s_bar)+(phi/2)*0.809017,NA()),NA())</f>
        <v/>
      </c>
      <c r="AF12">
        <f>IF(s_bar/2+8*s_bar&lt;1000,(IF(hog,h_sec-c_nom-phi/2,c_nom+phi/2))+(phi/2)*-0.587785,NA())</f>
        <v/>
      </c>
      <c r="AH12">
        <f>IF(inputs_ok,IF(s_bar/2+9*s_bar&lt;1000,(s_bar/2+9*s_bar)+(phi/2)*0.809017,NA()),NA())</f>
        <v/>
      </c>
      <c r="AI12">
        <f>IF(s_bar/2+9*s_bar&lt;1000,(IF(hog,h_sec-c_nom-phi/2,c_nom+phi/2))+(phi/2)*-0.587785,NA())</f>
        <v/>
      </c>
      <c r="AK12">
        <f>IF(inputs_ok,IF(s_bar/2+10*s_bar&lt;1000,(s_bar/2+10*s_bar)+(phi/2)*0.809017,NA()),NA())</f>
        <v/>
      </c>
      <c r="AL12">
        <f>IF(s_bar/2+10*s_bar&lt;1000,(IF(hog,h_sec-c_nom-phi/2,c_nom+phi/2))+(phi/2)*-0.587785,NA())</f>
        <v/>
      </c>
      <c r="AN12">
        <f>IF(inputs_ok,IF(s_bar/2+11*s_bar&lt;1000,(s_bar/2+11*s_bar)+(phi/2)*0.809017,NA()),NA())</f>
        <v/>
      </c>
      <c r="AO12">
        <f>IF(s_bar/2+11*s_bar&lt;1000,(IF(hog,h_sec-c_nom-phi/2,c_nom+phi/2))+(phi/2)*-0.587785,NA())</f>
        <v/>
      </c>
      <c r="AQ12">
        <f>IF(inputs_ok,IF(s_bar/2+12*s_bar&lt;1000,(s_bar/2+12*s_bar)+(phi/2)*0.809017,NA()),NA())</f>
        <v/>
      </c>
      <c r="AR12">
        <f>IF(s_bar/2+12*s_bar&lt;1000,(IF(hog,h_sec-c_nom-phi/2,c_nom+phi/2))+(phi/2)*-0.587785,NA())</f>
        <v/>
      </c>
      <c r="AT12">
        <f>IF(inputs_ok,IF(s_bar/2+13*s_bar&lt;1000,(s_bar/2+13*s_bar)+(phi/2)*0.809017,NA()),NA())</f>
        <v/>
      </c>
      <c r="AU12">
        <f>IF(s_bar/2+13*s_bar&lt;1000,(IF(hog,h_sec-c_nom-phi/2,c_nom+phi/2))+(phi/2)*-0.587785,NA())</f>
        <v/>
      </c>
      <c r="AW12">
        <f>IF(inputs_ok,IF(s_bar/2+14*s_bar&lt;1000,(s_bar/2+14*s_bar)+(phi/2)*0.809017,NA()),NA())</f>
        <v/>
      </c>
      <c r="AX12">
        <f>IF(s_bar/2+14*s_bar&lt;1000,(IF(hog,h_sec-c_nom-phi/2,c_nom+phi/2))+(phi/2)*-0.587785,NA())</f>
        <v/>
      </c>
      <c r="AZ12">
        <f>IF(inputs_ok,IF(s_bar/2+15*s_bar&lt;1000,(s_bar/2+15*s_bar)+(phi/2)*0.809017,NA()),NA())</f>
        <v/>
      </c>
      <c r="BA12">
        <f>IF(s_bar/2+15*s_bar&lt;1000,(IF(hog,h_sec-c_nom-phi/2,c_nom+phi/2))+(phi/2)*-0.587785,NA())</f>
        <v/>
      </c>
      <c r="BC12">
        <f>IF(inputs_ok,IF(s_bar/2+16*s_bar&lt;1000,(s_bar/2+16*s_bar)+(phi/2)*0.809017,NA()),NA())</f>
        <v/>
      </c>
      <c r="BD12">
        <f>IF(s_bar/2+16*s_bar&lt;1000,(IF(hog,h_sec-c_nom-phi/2,c_nom+phi/2))+(phi/2)*-0.587785,NA())</f>
        <v/>
      </c>
      <c r="BF12">
        <f>IF(inputs_ok,IF(s_bar/2+17*s_bar&lt;1000,(s_bar/2+17*s_bar)+(phi/2)*0.809017,NA()),NA())</f>
        <v/>
      </c>
      <c r="BG12">
        <f>IF(s_bar/2+17*s_bar&lt;1000,(IF(hog,h_sec-c_nom-phi/2,c_nom+phi/2))+(phi/2)*-0.587785,NA())</f>
        <v/>
      </c>
      <c r="BI12">
        <f>IF(inputs_ok,IF(s_bar/2+18*s_bar&lt;1000,(s_bar/2+18*s_bar)+(phi/2)*0.809017,NA()),NA())</f>
        <v/>
      </c>
      <c r="BJ12">
        <f>IF(s_bar/2+18*s_bar&lt;1000,(IF(hog,h_sec-c_nom-phi/2,c_nom+phi/2))+(phi/2)*-0.587785,NA())</f>
        <v/>
      </c>
      <c r="BL12">
        <f>IF(inputs_ok,IF(s_bar/2+19*s_bar&lt;1000,(s_bar/2+19*s_bar)+(phi/2)*0.809017,NA()),NA())</f>
        <v/>
      </c>
      <c r="BM12">
        <f>IF(s_bar/2+19*s_bar&lt;1000,(IF(hog,h_sec-c_nom-phi/2,c_nom+phi/2))+(phi/2)*-0.587785,NA())</f>
        <v/>
      </c>
      <c r="BO12">
        <f>IF(inputs_ok,IF(s_bar/2+20*s_bar&lt;1000,(s_bar/2+20*s_bar)+(phi/2)*0.809017,NA()),NA())</f>
        <v/>
      </c>
      <c r="BP12">
        <f>IF(s_bar/2+20*s_bar&lt;1000,(IF(hog,h_sec-c_nom-phi/2,c_nom+phi/2))+(phi/2)*-0.587785,NA())</f>
        <v/>
      </c>
      <c r="BR12">
        <f>IF(inputs_ok,IF(s_bar/2+21*s_bar&lt;1000,(s_bar/2+21*s_bar)+(phi/2)*0.809017,NA()),NA())</f>
        <v/>
      </c>
      <c r="BS12">
        <f>IF(s_bar/2+21*s_bar&lt;1000,(IF(hog,h_sec-c_nom-phi/2,c_nom+phi/2))+(phi/2)*-0.587785,NA())</f>
        <v/>
      </c>
      <c r="BU12">
        <f>IF(inputs_ok,IF(s_bar/2+22*s_bar&lt;1000,(s_bar/2+22*s_bar)+(phi/2)*0.809017,NA()),NA())</f>
        <v/>
      </c>
      <c r="BV12">
        <f>IF(s_bar/2+22*s_bar&lt;1000,(IF(hog,h_sec-c_nom-phi/2,c_nom+phi/2))+(phi/2)*-0.587785,NA())</f>
        <v/>
      </c>
      <c r="BX12">
        <f>IF(inputs_ok,IF(s_bar/2+23*s_bar&lt;1000,(s_bar/2+23*s_bar)+(phi/2)*0.809017,NA()),NA())</f>
        <v/>
      </c>
      <c r="BY12">
        <f>IF(s_bar/2+23*s_bar&lt;1000,(IF(hog,h_sec-c_nom-phi/2,c_nom+phi/2))+(phi/2)*-0.587785,NA())</f>
        <v/>
      </c>
      <c r="CA12">
        <f>IF(inputs_ok,IF(s_bar/2+24*s_bar&lt;1000,(s_bar/2+24*s_bar)+(phi/2)*0.809017,NA()),NA())</f>
        <v/>
      </c>
      <c r="CB12">
        <f>IF(s_bar/2+24*s_bar&lt;1000,(IF(hog,h_sec-c_nom-phi/2,c_nom+phi/2))+(phi/2)*-0.587785,NA())</f>
        <v/>
      </c>
      <c r="CD12">
        <f>IF(inputs_ok,IF(s_bar/2+25*s_bar&lt;1000,(s_bar/2+25*s_bar)+(phi/2)*0.809017,NA()),NA())</f>
        <v/>
      </c>
      <c r="CE12">
        <f>IF(s_bar/2+25*s_bar&lt;1000,(IF(hog,h_sec-c_nom-phi/2,c_nom+phi/2))+(phi/2)*-0.587785,NA())</f>
        <v/>
      </c>
      <c r="CG12">
        <f>IF(inputs_ok,IF(s_bar/2+26*s_bar&lt;1000,(s_bar/2+26*s_bar)+(phi/2)*0.809017,NA()),NA())</f>
        <v/>
      </c>
      <c r="CH12">
        <f>IF(s_bar/2+26*s_bar&lt;1000,(IF(hog,h_sec-c_nom-phi/2,c_nom+phi/2))+(phi/2)*-0.587785,NA())</f>
        <v/>
      </c>
      <c r="CJ12">
        <f>IF(inputs_ok,IF(s_bar/2+27*s_bar&lt;1000,(s_bar/2+27*s_bar)+(phi/2)*0.809017,NA()),NA())</f>
        <v/>
      </c>
      <c r="CK12">
        <f>IF(s_bar/2+27*s_bar&lt;1000,(IF(hog,h_sec-c_nom-phi/2,c_nom+phi/2))+(phi/2)*-0.587785,NA())</f>
        <v/>
      </c>
      <c r="CM12">
        <f>IF(inputs_ok,IF(s_bar/2+28*s_bar&lt;1000,(s_bar/2+28*s_bar)+(phi/2)*0.809017,NA()),NA())</f>
        <v/>
      </c>
      <c r="CN12">
        <f>IF(s_bar/2+28*s_bar&lt;1000,(IF(hog,h_sec-c_nom-phi/2,c_nom+phi/2))+(phi/2)*-0.587785,NA())</f>
        <v/>
      </c>
      <c r="CP12">
        <f>IF(inputs_ok,IF(s_bar/2+29*s_bar&lt;1000,(s_bar/2+29*s_bar)+(phi/2)*0.809017,NA()),NA())</f>
        <v/>
      </c>
      <c r="CQ12">
        <f>IF(s_bar/2+29*s_bar&lt;1000,(IF(hog,h_sec-c_nom-phi/2,c_nom+phi/2))+(phi/2)*-0.587785,NA())</f>
        <v/>
      </c>
      <c r="CS12">
        <f>IF(inputs_ok,IF(s_bar/2+30*s_bar&lt;1000,(s_bar/2+30*s_bar)+(phi/2)*0.809017,NA()),NA())</f>
        <v/>
      </c>
      <c r="CT12">
        <f>IF(s_bar/2+30*s_bar&lt;1000,(IF(hog,h_sec-c_nom-phi/2,c_nom+phi/2))+(phi/2)*-0.587785,NA())</f>
        <v/>
      </c>
      <c r="CV12">
        <f>IF(inputs_ok,IF(s_bar/2+31*s_bar&lt;1000,(s_bar/2+31*s_bar)+(phi/2)*0.809017,NA()),NA())</f>
        <v/>
      </c>
      <c r="CW12">
        <f>IF(s_bar/2+31*s_bar&lt;1000,(IF(hog,h_sec-c_nom-phi/2,c_nom+phi/2))+(phi/2)*-0.587785,NA())</f>
        <v/>
      </c>
      <c r="CY12">
        <f>IF(inputs_ok,IF(s_bar/2+32*s_bar&lt;1000,(s_bar/2+32*s_bar)+(phi/2)*0.809017,NA()),NA())</f>
        <v/>
      </c>
      <c r="CZ12">
        <f>IF(s_bar/2+32*s_bar&lt;1000,(IF(hog,h_sec-c_nom-phi/2,c_nom+phi/2))+(phi/2)*-0.587785,NA())</f>
        <v/>
      </c>
      <c r="DB12">
        <f>IF(inputs_ok,IF(s_bar/2+33*s_bar&lt;1000,(s_bar/2+33*s_bar)+(phi/2)*0.809017,NA()),NA())</f>
        <v/>
      </c>
      <c r="DC12">
        <f>IF(s_bar/2+33*s_bar&lt;1000,(IF(hog,h_sec-c_nom-phi/2,c_nom+phi/2))+(phi/2)*-0.587785,NA())</f>
        <v/>
      </c>
      <c r="DE12">
        <f>IF(inputs_ok,IF(s_bar/2+34*s_bar&lt;1000,(s_bar/2+34*s_bar)+(phi/2)*0.809017,NA()),NA())</f>
        <v/>
      </c>
      <c r="DF12">
        <f>IF(s_bar/2+34*s_bar&lt;1000,(IF(hog,h_sec-c_nom-phi/2,c_nom+phi/2))+(phi/2)*-0.587785,NA())</f>
        <v/>
      </c>
      <c r="DH12">
        <f>IF(inputs_ok,IF(s_bar/2+35*s_bar&lt;1000,(s_bar/2+35*s_bar)+(phi/2)*0.809017,NA()),NA())</f>
        <v/>
      </c>
      <c r="DI12">
        <f>IF(s_bar/2+35*s_bar&lt;1000,(IF(hog,h_sec-c_nom-phi/2,c_nom+phi/2))+(phi/2)*-0.587785,NA())</f>
        <v/>
      </c>
      <c r="DK12">
        <f>IF(inputs_ok,IF(s_bar/2+36*s_bar&lt;1000,(s_bar/2+36*s_bar)+(phi/2)*0.809017,NA()),NA())</f>
        <v/>
      </c>
      <c r="DL12">
        <f>IF(s_bar/2+36*s_bar&lt;1000,(IF(hog,h_sec-c_nom-phi/2,c_nom+phi/2))+(phi/2)*-0.587785,NA())</f>
        <v/>
      </c>
      <c r="DN12">
        <f>IF(inputs_ok,IF(s_bar/2+37*s_bar&lt;1000,(s_bar/2+37*s_bar)+(phi/2)*0.809017,NA()),NA())</f>
        <v/>
      </c>
      <c r="DO12">
        <f>IF(s_bar/2+37*s_bar&lt;1000,(IF(hog,h_sec-c_nom-phi/2,c_nom+phi/2))+(phi/2)*-0.587785,NA())</f>
        <v/>
      </c>
      <c r="DQ12">
        <f>IF(inputs_ok,IF(s_bar/2+38*s_bar&lt;1000,(s_bar/2+38*s_bar)+(phi/2)*0.809017,NA()),NA())</f>
        <v/>
      </c>
      <c r="DR12">
        <f>IF(s_bar/2+38*s_bar&lt;1000,(IF(hog,h_sec-c_nom-phi/2,c_nom+phi/2))+(phi/2)*-0.587785,NA())</f>
        <v/>
      </c>
      <c r="DT12">
        <f>IF(inputs_ok,IF(s_bar/2+39*s_bar&lt;1000,(s_bar/2+39*s_bar)+(phi/2)*0.809017,NA()),NA())</f>
        <v/>
      </c>
      <c r="DU12">
        <f>IF(s_bar/2+39*s_bar&lt;1000,(IF(hog,h_sec-c_nom-phi/2,c_nom+phi/2))+(phi/2)*-0.587785,NA())</f>
        <v/>
      </c>
      <c r="DW12">
        <f>IF(inputs_ok,IF(s_bar/2+40*s_bar&lt;1000,(s_bar/2+40*s_bar)+(phi/2)*0.809017,NA()),NA())</f>
        <v/>
      </c>
      <c r="DX12">
        <f>IF(s_bar/2+40*s_bar&lt;1000,(IF(hog,h_sec-c_nom-phi/2,c_nom+phi/2))+(phi/2)*-0.587785,NA())</f>
        <v/>
      </c>
      <c r="DZ12">
        <f>IF(inputs_ok,IF(s_bar/2+41*s_bar&lt;1000,(s_bar/2+41*s_bar)+(phi/2)*0.809017,NA()),NA())</f>
        <v/>
      </c>
      <c r="EA12">
        <f>IF(s_bar/2+41*s_bar&lt;1000,(IF(hog,h_sec-c_nom-phi/2,c_nom+phi/2))+(phi/2)*-0.587785,NA())</f>
        <v/>
      </c>
      <c r="EC12">
        <f>IF(inputs_ok,IF(s_bar/2+42*s_bar&lt;1000,(s_bar/2+42*s_bar)+(phi/2)*0.809017,NA()),NA())</f>
        <v/>
      </c>
      <c r="ED12">
        <f>IF(s_bar/2+42*s_bar&lt;1000,(IF(hog,h_sec-c_nom-phi/2,c_nom+phi/2))+(phi/2)*-0.587785,NA())</f>
        <v/>
      </c>
      <c r="EF12">
        <f>IF(inputs_ok,IF(s_bar/2+43*s_bar&lt;1000,(s_bar/2+43*s_bar)+(phi/2)*0.809017,NA()),NA())</f>
        <v/>
      </c>
      <c r="EG12">
        <f>IF(s_bar/2+43*s_bar&lt;1000,(IF(hog,h_sec-c_nom-phi/2,c_nom+phi/2))+(phi/2)*-0.587785,NA())</f>
        <v/>
      </c>
      <c r="EI12">
        <f>IF(inputs_ok,IF(s_bar/2+44*s_bar&lt;1000,(s_bar/2+44*s_bar)+(phi/2)*0.809017,NA()),NA())</f>
        <v/>
      </c>
      <c r="EJ12">
        <f>IF(s_bar/2+44*s_bar&lt;1000,(IF(hog,h_sec-c_nom-phi/2,c_nom+phi/2))+(phi/2)*-0.587785,NA())</f>
        <v/>
      </c>
      <c r="EL12">
        <f>IF(inputs_ok,IF(s_bar/2+45*s_bar&lt;1000,(s_bar/2+45*s_bar)+(phi/2)*0.809017,NA()),NA())</f>
        <v/>
      </c>
      <c r="EM12">
        <f>IF(s_bar/2+45*s_bar&lt;1000,(IF(hog,h_sec-c_nom-phi/2,c_nom+phi/2))+(phi/2)*-0.587785,NA())</f>
        <v/>
      </c>
      <c r="EO12">
        <f>IF(inputs_ok,IF(s_bar/2+46*s_bar&lt;1000,(s_bar/2+46*s_bar)+(phi/2)*0.809017,NA()),NA())</f>
        <v/>
      </c>
      <c r="EP12">
        <f>IF(s_bar/2+46*s_bar&lt;1000,(IF(hog,h_sec-c_nom-phi/2,c_nom+phi/2))+(phi/2)*-0.587785,NA())</f>
        <v/>
      </c>
      <c r="ER12">
        <f>IF(inputs_ok,IF(s_bar/2+47*s_bar&lt;1000,(s_bar/2+47*s_bar)+(phi/2)*0.809017,NA()),NA())</f>
        <v/>
      </c>
      <c r="ES12">
        <f>IF(s_bar/2+47*s_bar&lt;1000,(IF(hog,h_sec-c_nom-phi/2,c_nom+phi/2))+(phi/2)*-0.587785,NA())</f>
        <v/>
      </c>
      <c r="EU12">
        <f>IF(inputs_ok,IF(s_bar/2+48*s_bar&lt;1000,(s_bar/2+48*s_bar)+(phi/2)*0.809017,NA()),NA())</f>
        <v/>
      </c>
      <c r="EV12">
        <f>IF(s_bar/2+48*s_bar&lt;1000,(IF(hog,h_sec-c_nom-phi/2,c_nom+phi/2))+(phi/2)*-0.587785,NA())</f>
        <v/>
      </c>
      <c r="EX12">
        <f>IF(inputs_ok,IF(s_bar/2+49*s_bar&lt;1000,(s_bar/2+49*s_bar)+(phi/2)*0.809017,NA()),NA())</f>
        <v/>
      </c>
      <c r="EY12">
        <f>IF(s_bar/2+49*s_bar&lt;1000,(IF(hog,h_sec-c_nom-phi/2,c_nom+phi/2))+(phi/2)*-0.587785,NA())</f>
        <v/>
      </c>
      <c r="FA12">
        <f>IF(inputs_ok,IF(s_bar/2+50*s_bar&lt;1000,(s_bar/2+50*s_bar)+(phi/2)*0.809017,NA()),NA())</f>
        <v/>
      </c>
      <c r="FB12">
        <f>IF(s_bar/2+50*s_bar&lt;1000,(IF(hog,h_sec-c_nom-phi/2,c_nom+phi/2))+(phi/2)*-0.587785,NA())</f>
        <v/>
      </c>
      <c r="FD12">
        <f>IF(inputs_ok,IF(s_bar/2+51*s_bar&lt;1000,(s_bar/2+51*s_bar)+(phi/2)*0.809017,NA()),NA())</f>
        <v/>
      </c>
      <c r="FE12">
        <f>IF(s_bar/2+51*s_bar&lt;1000,(IF(hog,h_sec-c_nom-phi/2,c_nom+phi/2))+(phi/2)*-0.587785,NA())</f>
        <v/>
      </c>
      <c r="FG12">
        <f>IF(inputs_ok,IF(s_bar/2+52*s_bar&lt;1000,(s_bar/2+52*s_bar)+(phi/2)*0.809017,NA()),NA())</f>
        <v/>
      </c>
      <c r="FH12">
        <f>IF(s_bar/2+52*s_bar&lt;1000,(IF(hog,h_sec-c_nom-phi/2,c_nom+phi/2))+(phi/2)*-0.587785,NA())</f>
        <v/>
      </c>
      <c r="FJ12">
        <f>IF(inputs_ok,IF(s_bar/2+53*s_bar&lt;1000,(s_bar/2+53*s_bar)+(phi/2)*0.809017,NA()),NA())</f>
        <v/>
      </c>
      <c r="FK12">
        <f>IF(s_bar/2+53*s_bar&lt;1000,(IF(hog,h_sec-c_nom-phi/2,c_nom+phi/2))+(phi/2)*-0.587785,NA())</f>
        <v/>
      </c>
      <c r="FM12">
        <f>IF(inputs_ok,IF(s_bar/2+54*s_bar&lt;1000,(s_bar/2+54*s_bar)+(phi/2)*0.809017,NA()),NA())</f>
        <v/>
      </c>
      <c r="FN12">
        <f>IF(s_bar/2+54*s_bar&lt;1000,(IF(hog,h_sec-c_nom-phi/2,c_nom+phi/2))+(phi/2)*-0.587785,NA())</f>
        <v/>
      </c>
      <c r="FP12">
        <f>IF(inputs_ok,IF(s_bar/2+55*s_bar&lt;1000,(s_bar/2+55*s_bar)+(phi/2)*0.809017,NA()),NA())</f>
        <v/>
      </c>
      <c r="FQ12">
        <f>IF(s_bar/2+55*s_bar&lt;1000,(IF(hog,h_sec-c_nom-phi/2,c_nom+phi/2))+(phi/2)*-0.587785,NA())</f>
        <v/>
      </c>
      <c r="FS12">
        <f>IF(inputs_ok,IF(s_bar/2+56*s_bar&lt;1000,(s_bar/2+56*s_bar)+(phi/2)*0.809017,NA()),NA())</f>
        <v/>
      </c>
      <c r="FT12">
        <f>IF(s_bar/2+56*s_bar&lt;1000,(IF(hog,h_sec-c_nom-phi/2,c_nom+phi/2))+(phi/2)*-0.587785,NA())</f>
        <v/>
      </c>
      <c r="FV12">
        <f>IF(inputs_ok,IF(s_bar/2+57*s_bar&lt;1000,(s_bar/2+57*s_bar)+(phi/2)*0.809017,NA()),NA())</f>
        <v/>
      </c>
      <c r="FW12">
        <f>IF(s_bar/2+57*s_bar&lt;1000,(IF(hog,h_sec-c_nom-phi/2,c_nom+phi/2))+(phi/2)*-0.587785,NA())</f>
        <v/>
      </c>
      <c r="FY12">
        <f>IF(inputs_ok,IF(s_bar/2+58*s_bar&lt;1000,(s_bar/2+58*s_bar)+(phi/2)*0.809017,NA()),NA())</f>
        <v/>
      </c>
      <c r="FZ12">
        <f>IF(s_bar/2+58*s_bar&lt;1000,(IF(hog,h_sec-c_nom-phi/2,c_nom+phi/2))+(phi/2)*-0.587785,NA())</f>
        <v/>
      </c>
      <c r="GB12">
        <f>IF(inputs_ok,IF(s_bar/2+59*s_bar&lt;1000,(s_bar/2+59*s_bar)+(phi/2)*0.809017,NA()),NA())</f>
        <v/>
      </c>
      <c r="GC12">
        <f>IF(s_bar/2+59*s_bar&lt;1000,(IF(hog,h_sec-c_nom-phi/2,c_nom+phi/2))+(phi/2)*-0.587785,NA())</f>
        <v/>
      </c>
    </row>
    <row r="13">
      <c r="G13">
        <f>IF(inputs_ok,IF(s_bar/2+0*s_bar&lt;1000,(s_bar/2+0*s_bar)+(phi/2)*1.000000,NA()),NA())</f>
        <v/>
      </c>
      <c r="H13">
        <f>IF(s_bar/2+0*s_bar&lt;1000,(IF(hog,h_sec-c_nom-phi/2,c_nom+phi/2))+(phi/2)*-0.000000,NA())</f>
        <v/>
      </c>
      <c r="J13">
        <f>IF(inputs_ok,IF(s_bar/2+1*s_bar&lt;1000,(s_bar/2+1*s_bar)+(phi/2)*1.000000,NA()),NA())</f>
        <v/>
      </c>
      <c r="K13">
        <f>IF(s_bar/2+1*s_bar&lt;1000,(IF(hog,h_sec-c_nom-phi/2,c_nom+phi/2))+(phi/2)*-0.000000,NA())</f>
        <v/>
      </c>
      <c r="M13">
        <f>IF(inputs_ok,IF(s_bar/2+2*s_bar&lt;1000,(s_bar/2+2*s_bar)+(phi/2)*1.000000,NA()),NA())</f>
        <v/>
      </c>
      <c r="N13">
        <f>IF(s_bar/2+2*s_bar&lt;1000,(IF(hog,h_sec-c_nom-phi/2,c_nom+phi/2))+(phi/2)*-0.000000,NA())</f>
        <v/>
      </c>
      <c r="P13">
        <f>IF(inputs_ok,IF(s_bar/2+3*s_bar&lt;1000,(s_bar/2+3*s_bar)+(phi/2)*1.000000,NA()),NA())</f>
        <v/>
      </c>
      <c r="Q13">
        <f>IF(s_bar/2+3*s_bar&lt;1000,(IF(hog,h_sec-c_nom-phi/2,c_nom+phi/2))+(phi/2)*-0.000000,NA())</f>
        <v/>
      </c>
      <c r="S13">
        <f>IF(inputs_ok,IF(s_bar/2+4*s_bar&lt;1000,(s_bar/2+4*s_bar)+(phi/2)*1.000000,NA()),NA())</f>
        <v/>
      </c>
      <c r="T13">
        <f>IF(s_bar/2+4*s_bar&lt;1000,(IF(hog,h_sec-c_nom-phi/2,c_nom+phi/2))+(phi/2)*-0.000000,NA())</f>
        <v/>
      </c>
      <c r="V13">
        <f>IF(inputs_ok,IF(s_bar/2+5*s_bar&lt;1000,(s_bar/2+5*s_bar)+(phi/2)*1.000000,NA()),NA())</f>
        <v/>
      </c>
      <c r="W13">
        <f>IF(s_bar/2+5*s_bar&lt;1000,(IF(hog,h_sec-c_nom-phi/2,c_nom+phi/2))+(phi/2)*-0.000000,NA())</f>
        <v/>
      </c>
      <c r="Y13">
        <f>IF(inputs_ok,IF(s_bar/2+6*s_bar&lt;1000,(s_bar/2+6*s_bar)+(phi/2)*1.000000,NA()),NA())</f>
        <v/>
      </c>
      <c r="Z13">
        <f>IF(s_bar/2+6*s_bar&lt;1000,(IF(hog,h_sec-c_nom-phi/2,c_nom+phi/2))+(phi/2)*-0.000000,NA())</f>
        <v/>
      </c>
      <c r="AB13">
        <f>IF(inputs_ok,IF(s_bar/2+7*s_bar&lt;1000,(s_bar/2+7*s_bar)+(phi/2)*1.000000,NA()),NA())</f>
        <v/>
      </c>
      <c r="AC13">
        <f>IF(s_bar/2+7*s_bar&lt;1000,(IF(hog,h_sec-c_nom-phi/2,c_nom+phi/2))+(phi/2)*-0.000000,NA())</f>
        <v/>
      </c>
      <c r="AE13">
        <f>IF(inputs_ok,IF(s_bar/2+8*s_bar&lt;1000,(s_bar/2+8*s_bar)+(phi/2)*1.000000,NA()),NA())</f>
        <v/>
      </c>
      <c r="AF13">
        <f>IF(s_bar/2+8*s_bar&lt;1000,(IF(hog,h_sec-c_nom-phi/2,c_nom+phi/2))+(phi/2)*-0.000000,NA())</f>
        <v/>
      </c>
      <c r="AH13">
        <f>IF(inputs_ok,IF(s_bar/2+9*s_bar&lt;1000,(s_bar/2+9*s_bar)+(phi/2)*1.000000,NA()),NA())</f>
        <v/>
      </c>
      <c r="AI13">
        <f>IF(s_bar/2+9*s_bar&lt;1000,(IF(hog,h_sec-c_nom-phi/2,c_nom+phi/2))+(phi/2)*-0.000000,NA())</f>
        <v/>
      </c>
      <c r="AK13">
        <f>IF(inputs_ok,IF(s_bar/2+10*s_bar&lt;1000,(s_bar/2+10*s_bar)+(phi/2)*1.000000,NA()),NA())</f>
        <v/>
      </c>
      <c r="AL13">
        <f>IF(s_bar/2+10*s_bar&lt;1000,(IF(hog,h_sec-c_nom-phi/2,c_nom+phi/2))+(phi/2)*-0.000000,NA())</f>
        <v/>
      </c>
      <c r="AN13">
        <f>IF(inputs_ok,IF(s_bar/2+11*s_bar&lt;1000,(s_bar/2+11*s_bar)+(phi/2)*1.000000,NA()),NA())</f>
        <v/>
      </c>
      <c r="AO13">
        <f>IF(s_bar/2+11*s_bar&lt;1000,(IF(hog,h_sec-c_nom-phi/2,c_nom+phi/2))+(phi/2)*-0.000000,NA())</f>
        <v/>
      </c>
      <c r="AQ13">
        <f>IF(inputs_ok,IF(s_bar/2+12*s_bar&lt;1000,(s_bar/2+12*s_bar)+(phi/2)*1.000000,NA()),NA())</f>
        <v/>
      </c>
      <c r="AR13">
        <f>IF(s_bar/2+12*s_bar&lt;1000,(IF(hog,h_sec-c_nom-phi/2,c_nom+phi/2))+(phi/2)*-0.000000,NA())</f>
        <v/>
      </c>
      <c r="AT13">
        <f>IF(inputs_ok,IF(s_bar/2+13*s_bar&lt;1000,(s_bar/2+13*s_bar)+(phi/2)*1.000000,NA()),NA())</f>
        <v/>
      </c>
      <c r="AU13">
        <f>IF(s_bar/2+13*s_bar&lt;1000,(IF(hog,h_sec-c_nom-phi/2,c_nom+phi/2))+(phi/2)*-0.000000,NA())</f>
        <v/>
      </c>
      <c r="AW13">
        <f>IF(inputs_ok,IF(s_bar/2+14*s_bar&lt;1000,(s_bar/2+14*s_bar)+(phi/2)*1.000000,NA()),NA())</f>
        <v/>
      </c>
      <c r="AX13">
        <f>IF(s_bar/2+14*s_bar&lt;1000,(IF(hog,h_sec-c_nom-phi/2,c_nom+phi/2))+(phi/2)*-0.000000,NA())</f>
        <v/>
      </c>
      <c r="AZ13">
        <f>IF(inputs_ok,IF(s_bar/2+15*s_bar&lt;1000,(s_bar/2+15*s_bar)+(phi/2)*1.000000,NA()),NA())</f>
        <v/>
      </c>
      <c r="BA13">
        <f>IF(s_bar/2+15*s_bar&lt;1000,(IF(hog,h_sec-c_nom-phi/2,c_nom+phi/2))+(phi/2)*-0.000000,NA())</f>
        <v/>
      </c>
      <c r="BC13">
        <f>IF(inputs_ok,IF(s_bar/2+16*s_bar&lt;1000,(s_bar/2+16*s_bar)+(phi/2)*1.000000,NA()),NA())</f>
        <v/>
      </c>
      <c r="BD13">
        <f>IF(s_bar/2+16*s_bar&lt;1000,(IF(hog,h_sec-c_nom-phi/2,c_nom+phi/2))+(phi/2)*-0.000000,NA())</f>
        <v/>
      </c>
      <c r="BF13">
        <f>IF(inputs_ok,IF(s_bar/2+17*s_bar&lt;1000,(s_bar/2+17*s_bar)+(phi/2)*1.000000,NA()),NA())</f>
        <v/>
      </c>
      <c r="BG13">
        <f>IF(s_bar/2+17*s_bar&lt;1000,(IF(hog,h_sec-c_nom-phi/2,c_nom+phi/2))+(phi/2)*-0.000000,NA())</f>
        <v/>
      </c>
      <c r="BI13">
        <f>IF(inputs_ok,IF(s_bar/2+18*s_bar&lt;1000,(s_bar/2+18*s_bar)+(phi/2)*1.000000,NA()),NA())</f>
        <v/>
      </c>
      <c r="BJ13">
        <f>IF(s_bar/2+18*s_bar&lt;1000,(IF(hog,h_sec-c_nom-phi/2,c_nom+phi/2))+(phi/2)*-0.000000,NA())</f>
        <v/>
      </c>
      <c r="BL13">
        <f>IF(inputs_ok,IF(s_bar/2+19*s_bar&lt;1000,(s_bar/2+19*s_bar)+(phi/2)*1.000000,NA()),NA())</f>
        <v/>
      </c>
      <c r="BM13">
        <f>IF(s_bar/2+19*s_bar&lt;1000,(IF(hog,h_sec-c_nom-phi/2,c_nom+phi/2))+(phi/2)*-0.000000,NA())</f>
        <v/>
      </c>
      <c r="BO13">
        <f>IF(inputs_ok,IF(s_bar/2+20*s_bar&lt;1000,(s_bar/2+20*s_bar)+(phi/2)*1.000000,NA()),NA())</f>
        <v/>
      </c>
      <c r="BP13">
        <f>IF(s_bar/2+20*s_bar&lt;1000,(IF(hog,h_sec-c_nom-phi/2,c_nom+phi/2))+(phi/2)*-0.000000,NA())</f>
        <v/>
      </c>
      <c r="BR13">
        <f>IF(inputs_ok,IF(s_bar/2+21*s_bar&lt;1000,(s_bar/2+21*s_bar)+(phi/2)*1.000000,NA()),NA())</f>
        <v/>
      </c>
      <c r="BS13">
        <f>IF(s_bar/2+21*s_bar&lt;1000,(IF(hog,h_sec-c_nom-phi/2,c_nom+phi/2))+(phi/2)*-0.000000,NA())</f>
        <v/>
      </c>
      <c r="BU13">
        <f>IF(inputs_ok,IF(s_bar/2+22*s_bar&lt;1000,(s_bar/2+22*s_bar)+(phi/2)*1.000000,NA()),NA())</f>
        <v/>
      </c>
      <c r="BV13">
        <f>IF(s_bar/2+22*s_bar&lt;1000,(IF(hog,h_sec-c_nom-phi/2,c_nom+phi/2))+(phi/2)*-0.000000,NA())</f>
        <v/>
      </c>
      <c r="BX13">
        <f>IF(inputs_ok,IF(s_bar/2+23*s_bar&lt;1000,(s_bar/2+23*s_bar)+(phi/2)*1.000000,NA()),NA())</f>
        <v/>
      </c>
      <c r="BY13">
        <f>IF(s_bar/2+23*s_bar&lt;1000,(IF(hog,h_sec-c_nom-phi/2,c_nom+phi/2))+(phi/2)*-0.000000,NA())</f>
        <v/>
      </c>
      <c r="CA13">
        <f>IF(inputs_ok,IF(s_bar/2+24*s_bar&lt;1000,(s_bar/2+24*s_bar)+(phi/2)*1.000000,NA()),NA())</f>
        <v/>
      </c>
      <c r="CB13">
        <f>IF(s_bar/2+24*s_bar&lt;1000,(IF(hog,h_sec-c_nom-phi/2,c_nom+phi/2))+(phi/2)*-0.000000,NA())</f>
        <v/>
      </c>
      <c r="CD13">
        <f>IF(inputs_ok,IF(s_bar/2+25*s_bar&lt;1000,(s_bar/2+25*s_bar)+(phi/2)*1.000000,NA()),NA())</f>
        <v/>
      </c>
      <c r="CE13">
        <f>IF(s_bar/2+25*s_bar&lt;1000,(IF(hog,h_sec-c_nom-phi/2,c_nom+phi/2))+(phi/2)*-0.000000,NA())</f>
        <v/>
      </c>
      <c r="CG13">
        <f>IF(inputs_ok,IF(s_bar/2+26*s_bar&lt;1000,(s_bar/2+26*s_bar)+(phi/2)*1.000000,NA()),NA())</f>
        <v/>
      </c>
      <c r="CH13">
        <f>IF(s_bar/2+26*s_bar&lt;1000,(IF(hog,h_sec-c_nom-phi/2,c_nom+phi/2))+(phi/2)*-0.000000,NA())</f>
        <v/>
      </c>
      <c r="CJ13">
        <f>IF(inputs_ok,IF(s_bar/2+27*s_bar&lt;1000,(s_bar/2+27*s_bar)+(phi/2)*1.000000,NA()),NA())</f>
        <v/>
      </c>
      <c r="CK13">
        <f>IF(s_bar/2+27*s_bar&lt;1000,(IF(hog,h_sec-c_nom-phi/2,c_nom+phi/2))+(phi/2)*-0.000000,NA())</f>
        <v/>
      </c>
      <c r="CM13">
        <f>IF(inputs_ok,IF(s_bar/2+28*s_bar&lt;1000,(s_bar/2+28*s_bar)+(phi/2)*1.000000,NA()),NA())</f>
        <v/>
      </c>
      <c r="CN13">
        <f>IF(s_bar/2+28*s_bar&lt;1000,(IF(hog,h_sec-c_nom-phi/2,c_nom+phi/2))+(phi/2)*-0.000000,NA())</f>
        <v/>
      </c>
      <c r="CP13">
        <f>IF(inputs_ok,IF(s_bar/2+29*s_bar&lt;1000,(s_bar/2+29*s_bar)+(phi/2)*1.000000,NA()),NA())</f>
        <v/>
      </c>
      <c r="CQ13">
        <f>IF(s_bar/2+29*s_bar&lt;1000,(IF(hog,h_sec-c_nom-phi/2,c_nom+phi/2))+(phi/2)*-0.000000,NA())</f>
        <v/>
      </c>
      <c r="CS13">
        <f>IF(inputs_ok,IF(s_bar/2+30*s_bar&lt;1000,(s_bar/2+30*s_bar)+(phi/2)*1.000000,NA()),NA())</f>
        <v/>
      </c>
      <c r="CT13">
        <f>IF(s_bar/2+30*s_bar&lt;1000,(IF(hog,h_sec-c_nom-phi/2,c_nom+phi/2))+(phi/2)*-0.000000,NA())</f>
        <v/>
      </c>
      <c r="CV13">
        <f>IF(inputs_ok,IF(s_bar/2+31*s_bar&lt;1000,(s_bar/2+31*s_bar)+(phi/2)*1.000000,NA()),NA())</f>
        <v/>
      </c>
      <c r="CW13">
        <f>IF(s_bar/2+31*s_bar&lt;1000,(IF(hog,h_sec-c_nom-phi/2,c_nom+phi/2))+(phi/2)*-0.000000,NA())</f>
        <v/>
      </c>
      <c r="CY13">
        <f>IF(inputs_ok,IF(s_bar/2+32*s_bar&lt;1000,(s_bar/2+32*s_bar)+(phi/2)*1.000000,NA()),NA())</f>
        <v/>
      </c>
      <c r="CZ13">
        <f>IF(s_bar/2+32*s_bar&lt;1000,(IF(hog,h_sec-c_nom-phi/2,c_nom+phi/2))+(phi/2)*-0.000000,NA())</f>
        <v/>
      </c>
      <c r="DB13">
        <f>IF(inputs_ok,IF(s_bar/2+33*s_bar&lt;1000,(s_bar/2+33*s_bar)+(phi/2)*1.000000,NA()),NA())</f>
        <v/>
      </c>
      <c r="DC13">
        <f>IF(s_bar/2+33*s_bar&lt;1000,(IF(hog,h_sec-c_nom-phi/2,c_nom+phi/2))+(phi/2)*-0.000000,NA())</f>
        <v/>
      </c>
      <c r="DE13">
        <f>IF(inputs_ok,IF(s_bar/2+34*s_bar&lt;1000,(s_bar/2+34*s_bar)+(phi/2)*1.000000,NA()),NA())</f>
        <v/>
      </c>
      <c r="DF13">
        <f>IF(s_bar/2+34*s_bar&lt;1000,(IF(hog,h_sec-c_nom-phi/2,c_nom+phi/2))+(phi/2)*-0.000000,NA())</f>
        <v/>
      </c>
      <c r="DH13">
        <f>IF(inputs_ok,IF(s_bar/2+35*s_bar&lt;1000,(s_bar/2+35*s_bar)+(phi/2)*1.000000,NA()),NA())</f>
        <v/>
      </c>
      <c r="DI13">
        <f>IF(s_bar/2+35*s_bar&lt;1000,(IF(hog,h_sec-c_nom-phi/2,c_nom+phi/2))+(phi/2)*-0.000000,NA())</f>
        <v/>
      </c>
      <c r="DK13">
        <f>IF(inputs_ok,IF(s_bar/2+36*s_bar&lt;1000,(s_bar/2+36*s_bar)+(phi/2)*1.000000,NA()),NA())</f>
        <v/>
      </c>
      <c r="DL13">
        <f>IF(s_bar/2+36*s_bar&lt;1000,(IF(hog,h_sec-c_nom-phi/2,c_nom+phi/2))+(phi/2)*-0.000000,NA())</f>
        <v/>
      </c>
      <c r="DN13">
        <f>IF(inputs_ok,IF(s_bar/2+37*s_bar&lt;1000,(s_bar/2+37*s_bar)+(phi/2)*1.000000,NA()),NA())</f>
        <v/>
      </c>
      <c r="DO13">
        <f>IF(s_bar/2+37*s_bar&lt;1000,(IF(hog,h_sec-c_nom-phi/2,c_nom+phi/2))+(phi/2)*-0.000000,NA())</f>
        <v/>
      </c>
      <c r="DQ13">
        <f>IF(inputs_ok,IF(s_bar/2+38*s_bar&lt;1000,(s_bar/2+38*s_bar)+(phi/2)*1.000000,NA()),NA())</f>
        <v/>
      </c>
      <c r="DR13">
        <f>IF(s_bar/2+38*s_bar&lt;1000,(IF(hog,h_sec-c_nom-phi/2,c_nom+phi/2))+(phi/2)*-0.000000,NA())</f>
        <v/>
      </c>
      <c r="DT13">
        <f>IF(inputs_ok,IF(s_bar/2+39*s_bar&lt;1000,(s_bar/2+39*s_bar)+(phi/2)*1.000000,NA()),NA())</f>
        <v/>
      </c>
      <c r="DU13">
        <f>IF(s_bar/2+39*s_bar&lt;1000,(IF(hog,h_sec-c_nom-phi/2,c_nom+phi/2))+(phi/2)*-0.000000,NA())</f>
        <v/>
      </c>
      <c r="DW13">
        <f>IF(inputs_ok,IF(s_bar/2+40*s_bar&lt;1000,(s_bar/2+40*s_bar)+(phi/2)*1.000000,NA()),NA())</f>
        <v/>
      </c>
      <c r="DX13">
        <f>IF(s_bar/2+40*s_bar&lt;1000,(IF(hog,h_sec-c_nom-phi/2,c_nom+phi/2))+(phi/2)*-0.000000,NA())</f>
        <v/>
      </c>
      <c r="DZ13">
        <f>IF(inputs_ok,IF(s_bar/2+41*s_bar&lt;1000,(s_bar/2+41*s_bar)+(phi/2)*1.000000,NA()),NA())</f>
        <v/>
      </c>
      <c r="EA13">
        <f>IF(s_bar/2+41*s_bar&lt;1000,(IF(hog,h_sec-c_nom-phi/2,c_nom+phi/2))+(phi/2)*-0.000000,NA())</f>
        <v/>
      </c>
      <c r="EC13">
        <f>IF(inputs_ok,IF(s_bar/2+42*s_bar&lt;1000,(s_bar/2+42*s_bar)+(phi/2)*1.000000,NA()),NA())</f>
        <v/>
      </c>
      <c r="ED13">
        <f>IF(s_bar/2+42*s_bar&lt;1000,(IF(hog,h_sec-c_nom-phi/2,c_nom+phi/2))+(phi/2)*-0.000000,NA())</f>
        <v/>
      </c>
      <c r="EF13">
        <f>IF(inputs_ok,IF(s_bar/2+43*s_bar&lt;1000,(s_bar/2+43*s_bar)+(phi/2)*1.000000,NA()),NA())</f>
        <v/>
      </c>
      <c r="EG13">
        <f>IF(s_bar/2+43*s_bar&lt;1000,(IF(hog,h_sec-c_nom-phi/2,c_nom+phi/2))+(phi/2)*-0.000000,NA())</f>
        <v/>
      </c>
      <c r="EI13">
        <f>IF(inputs_ok,IF(s_bar/2+44*s_bar&lt;1000,(s_bar/2+44*s_bar)+(phi/2)*1.000000,NA()),NA())</f>
        <v/>
      </c>
      <c r="EJ13">
        <f>IF(s_bar/2+44*s_bar&lt;1000,(IF(hog,h_sec-c_nom-phi/2,c_nom+phi/2))+(phi/2)*-0.000000,NA())</f>
        <v/>
      </c>
      <c r="EL13">
        <f>IF(inputs_ok,IF(s_bar/2+45*s_bar&lt;1000,(s_bar/2+45*s_bar)+(phi/2)*1.000000,NA()),NA())</f>
        <v/>
      </c>
      <c r="EM13">
        <f>IF(s_bar/2+45*s_bar&lt;1000,(IF(hog,h_sec-c_nom-phi/2,c_nom+phi/2))+(phi/2)*-0.000000,NA())</f>
        <v/>
      </c>
      <c r="EO13">
        <f>IF(inputs_ok,IF(s_bar/2+46*s_bar&lt;1000,(s_bar/2+46*s_bar)+(phi/2)*1.000000,NA()),NA())</f>
        <v/>
      </c>
      <c r="EP13">
        <f>IF(s_bar/2+46*s_bar&lt;1000,(IF(hog,h_sec-c_nom-phi/2,c_nom+phi/2))+(phi/2)*-0.000000,NA())</f>
        <v/>
      </c>
      <c r="ER13">
        <f>IF(inputs_ok,IF(s_bar/2+47*s_bar&lt;1000,(s_bar/2+47*s_bar)+(phi/2)*1.000000,NA()),NA())</f>
        <v/>
      </c>
      <c r="ES13">
        <f>IF(s_bar/2+47*s_bar&lt;1000,(IF(hog,h_sec-c_nom-phi/2,c_nom+phi/2))+(phi/2)*-0.000000,NA())</f>
        <v/>
      </c>
      <c r="EU13">
        <f>IF(inputs_ok,IF(s_bar/2+48*s_bar&lt;1000,(s_bar/2+48*s_bar)+(phi/2)*1.000000,NA()),NA())</f>
        <v/>
      </c>
      <c r="EV13">
        <f>IF(s_bar/2+48*s_bar&lt;1000,(IF(hog,h_sec-c_nom-phi/2,c_nom+phi/2))+(phi/2)*-0.000000,NA())</f>
        <v/>
      </c>
      <c r="EX13">
        <f>IF(inputs_ok,IF(s_bar/2+49*s_bar&lt;1000,(s_bar/2+49*s_bar)+(phi/2)*1.000000,NA()),NA())</f>
        <v/>
      </c>
      <c r="EY13">
        <f>IF(s_bar/2+49*s_bar&lt;1000,(IF(hog,h_sec-c_nom-phi/2,c_nom+phi/2))+(phi/2)*-0.000000,NA())</f>
        <v/>
      </c>
      <c r="FA13">
        <f>IF(inputs_ok,IF(s_bar/2+50*s_bar&lt;1000,(s_bar/2+50*s_bar)+(phi/2)*1.000000,NA()),NA())</f>
        <v/>
      </c>
      <c r="FB13">
        <f>IF(s_bar/2+50*s_bar&lt;1000,(IF(hog,h_sec-c_nom-phi/2,c_nom+phi/2))+(phi/2)*-0.000000,NA())</f>
        <v/>
      </c>
      <c r="FD13">
        <f>IF(inputs_ok,IF(s_bar/2+51*s_bar&lt;1000,(s_bar/2+51*s_bar)+(phi/2)*1.000000,NA()),NA())</f>
        <v/>
      </c>
      <c r="FE13">
        <f>IF(s_bar/2+51*s_bar&lt;1000,(IF(hog,h_sec-c_nom-phi/2,c_nom+phi/2))+(phi/2)*-0.000000,NA())</f>
        <v/>
      </c>
      <c r="FG13">
        <f>IF(inputs_ok,IF(s_bar/2+52*s_bar&lt;1000,(s_bar/2+52*s_bar)+(phi/2)*1.000000,NA()),NA())</f>
        <v/>
      </c>
      <c r="FH13">
        <f>IF(s_bar/2+52*s_bar&lt;1000,(IF(hog,h_sec-c_nom-phi/2,c_nom+phi/2))+(phi/2)*-0.000000,NA())</f>
        <v/>
      </c>
      <c r="FJ13">
        <f>IF(inputs_ok,IF(s_bar/2+53*s_bar&lt;1000,(s_bar/2+53*s_bar)+(phi/2)*1.000000,NA()),NA())</f>
        <v/>
      </c>
      <c r="FK13">
        <f>IF(s_bar/2+53*s_bar&lt;1000,(IF(hog,h_sec-c_nom-phi/2,c_nom+phi/2))+(phi/2)*-0.000000,NA())</f>
        <v/>
      </c>
      <c r="FM13">
        <f>IF(inputs_ok,IF(s_bar/2+54*s_bar&lt;1000,(s_bar/2+54*s_bar)+(phi/2)*1.000000,NA()),NA())</f>
        <v/>
      </c>
      <c r="FN13">
        <f>IF(s_bar/2+54*s_bar&lt;1000,(IF(hog,h_sec-c_nom-phi/2,c_nom+phi/2))+(phi/2)*-0.000000,NA())</f>
        <v/>
      </c>
      <c r="FP13">
        <f>IF(inputs_ok,IF(s_bar/2+55*s_bar&lt;1000,(s_bar/2+55*s_bar)+(phi/2)*1.000000,NA()),NA())</f>
        <v/>
      </c>
      <c r="FQ13">
        <f>IF(s_bar/2+55*s_bar&lt;1000,(IF(hog,h_sec-c_nom-phi/2,c_nom+phi/2))+(phi/2)*-0.000000,NA())</f>
        <v/>
      </c>
      <c r="FS13">
        <f>IF(inputs_ok,IF(s_bar/2+56*s_bar&lt;1000,(s_bar/2+56*s_bar)+(phi/2)*1.000000,NA()),NA())</f>
        <v/>
      </c>
      <c r="FT13">
        <f>IF(s_bar/2+56*s_bar&lt;1000,(IF(hog,h_sec-c_nom-phi/2,c_nom+phi/2))+(phi/2)*-0.000000,NA())</f>
        <v/>
      </c>
      <c r="FV13">
        <f>IF(inputs_ok,IF(s_bar/2+57*s_bar&lt;1000,(s_bar/2+57*s_bar)+(phi/2)*1.000000,NA()),NA())</f>
        <v/>
      </c>
      <c r="FW13">
        <f>IF(s_bar/2+57*s_bar&lt;1000,(IF(hog,h_sec-c_nom-phi/2,c_nom+phi/2))+(phi/2)*-0.000000,NA())</f>
        <v/>
      </c>
      <c r="FY13">
        <f>IF(inputs_ok,IF(s_bar/2+58*s_bar&lt;1000,(s_bar/2+58*s_bar)+(phi/2)*1.000000,NA()),NA())</f>
        <v/>
      </c>
      <c r="FZ13">
        <f>IF(s_bar/2+58*s_bar&lt;1000,(IF(hog,h_sec-c_nom-phi/2,c_nom+phi/2))+(phi/2)*-0.000000,NA())</f>
        <v/>
      </c>
      <c r="GB13">
        <f>IF(inputs_ok,IF(s_bar/2+59*s_bar&lt;1000,(s_bar/2+59*s_bar)+(phi/2)*1.000000,NA()),NA())</f>
        <v/>
      </c>
      <c r="GC13">
        <f>IF(s_bar/2+59*s_bar&lt;1000,(IF(hog,h_sec-c_nom-phi/2,c_nom+phi/2))+(phi/2)*-0.000000,NA())</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H146"/>
  <sheetViews>
    <sheetView showGridLines="0" tabSelected="0"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Element design  ·  Rect beam</t>
        </is>
      </c>
      <c r="H2" s="1" t="n"/>
    </row>
    <row r="3" ht="16" customHeight="1">
      <c r="A3" s="1" t="n"/>
      <c r="B3" s="1" t="n"/>
      <c r="C3" s="15" t="inlineStr">
        <is>
          <t>NAE-RC-040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section</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3.2.2</t>
        </is>
      </c>
      <c r="C13" s="24" t="inlineStr">
        <is>
          <t>Reinforcement characteristic yield strength  (≤ 500 MPa)</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6" t="inlineStr">
        <is>
          <t>Annex C</t>
        </is>
      </c>
      <c r="C14" s="24" t="inlineStr">
        <is>
          <t>Reinforcement ductility class</t>
        </is>
      </c>
      <c r="D14" s="23" t="n"/>
      <c r="E14" s="25" t="inlineStr">
        <is>
          <t>B</t>
        </is>
      </c>
      <c r="F14" s="23" t="n"/>
      <c r="G14" s="26" t="inlineStr">
        <is>
          <t>δ ≥ 0.7 (B, C) / 0.8 (A)</t>
        </is>
      </c>
    </row>
    <row r="15" ht="17" customHeight="1">
      <c r="B15" s="26" t="inlineStr">
        <is>
          <t>8.2(2)</t>
        </is>
      </c>
      <c r="C15" s="24" t="inlineStr">
        <is>
          <t>Maximum aggregate size</t>
        </is>
      </c>
      <c r="D15" s="27" t="inlineStr">
        <is>
          <r>
            <rPr>
              <rFont val="Calibri"/>
              <i val="1"/>
              <color rgb="002B2B2B"/>
              <sz val="10"/>
            </rPr>
            <t>d</t>
          </r>
          <r>
            <rPr>
              <rFont val="Calibri"/>
              <i val="1"/>
              <color rgb="002B2B2B"/>
              <sz val="10"/>
              <vertAlign val="subscript"/>
            </rPr>
            <t>g</t>
          </r>
        </is>
      </c>
      <c r="E15" s="25" t="n">
        <v>20</v>
      </c>
      <c r="F15" s="28" t="inlineStr">
        <is>
          <t>mm</t>
        </is>
      </c>
      <c r="G15" s="23" t="n"/>
    </row>
    <row r="16" ht="17" customHeight="1">
      <c r="B16" s="26" t="inlineStr">
        <is>
          <t>Table 7.4N</t>
        </is>
      </c>
      <c r="C16" s="24" t="inlineStr">
        <is>
          <t>Section location</t>
        </is>
      </c>
      <c r="D16" s="23" t="n"/>
      <c r="E16" s="25" t="inlineStr">
        <is>
          <t>End span</t>
        </is>
      </c>
      <c r="F16" s="23" t="n"/>
      <c r="G16" s="26" t="inlineStr">
        <is>
          <t>Support: hogging, no l/d</t>
        </is>
      </c>
    </row>
    <row r="17" ht="17" customHeight="1">
      <c r="B17" s="23" t="n"/>
      <c r="C17" s="24" t="inlineStr">
        <is>
          <t>Section width</t>
        </is>
      </c>
      <c r="D17" s="27" t="inlineStr">
        <is>
          <r>
            <rPr>
              <rFont val="Calibri"/>
              <i val="1"/>
              <color rgb="002B2B2B"/>
              <sz val="10"/>
            </rPr>
            <t>b</t>
          </r>
        </is>
      </c>
      <c r="E17" s="25" t="n">
        <v>300</v>
      </c>
      <c r="F17" s="28" t="inlineStr">
        <is>
          <t>mm</t>
        </is>
      </c>
      <c r="G17" s="23" t="n"/>
    </row>
    <row r="18" ht="17" customHeight="1">
      <c r="B18" s="23" t="n"/>
      <c r="C18" s="24" t="inlineStr">
        <is>
          <t>Overall depth</t>
        </is>
      </c>
      <c r="D18" s="27" t="inlineStr">
        <is>
          <r>
            <rPr>
              <rFont val="Calibri"/>
              <i val="1"/>
              <color rgb="002B2B2B"/>
              <sz val="10"/>
            </rPr>
            <t>h</t>
          </r>
        </is>
      </c>
      <c r="E18" s="25" t="n">
        <v>500</v>
      </c>
      <c r="F18" s="28" t="inlineStr">
        <is>
          <t>mm</t>
        </is>
      </c>
      <c r="G18" s="23" t="n"/>
    </row>
    <row r="19" ht="17" customHeight="1">
      <c r="B19" s="26" t="inlineStr">
        <is>
          <t>4.4.1</t>
        </is>
      </c>
      <c r="C19" s="24" t="inlineStr">
        <is>
          <t>Nominal cover to links</t>
        </is>
      </c>
      <c r="D19" s="27" t="inlineStr">
        <is>
          <r>
            <rPr>
              <rFont val="Calibri"/>
              <i val="1"/>
              <color rgb="002B2B2B"/>
              <sz val="10"/>
            </rPr>
            <t>c</t>
          </r>
          <r>
            <rPr>
              <rFont val="Calibri"/>
              <i val="1"/>
              <color rgb="002B2B2B"/>
              <sz val="10"/>
              <vertAlign val="subscript"/>
            </rPr>
            <t>nom</t>
          </r>
        </is>
      </c>
      <c r="E19" s="25" t="n">
        <v>35</v>
      </c>
      <c r="F19" s="28" t="inlineStr">
        <is>
          <t>mm</t>
        </is>
      </c>
      <c r="G19" s="23" t="n"/>
    </row>
    <row r="20" ht="17" customHeight="1">
      <c r="B20" s="23" t="n"/>
      <c r="C20" s="24" t="inlineStr">
        <is>
          <t>Link diameter</t>
        </is>
      </c>
      <c r="D20" s="27" t="inlineStr">
        <is>
          <r>
            <rPr>
              <rFont val="Calibri"/>
              <i val="1"/>
              <color rgb="002B2B2B"/>
              <sz val="10"/>
            </rPr>
            <t>φ</t>
          </r>
          <r>
            <rPr>
              <rFont val="Calibri"/>
              <i val="1"/>
              <color rgb="002B2B2B"/>
              <sz val="10"/>
              <vertAlign val="subscript"/>
            </rPr>
            <t>w</t>
          </r>
        </is>
      </c>
      <c r="E20" s="25" t="n">
        <v>10</v>
      </c>
      <c r="F20" s="28" t="inlineStr">
        <is>
          <t>mm</t>
        </is>
      </c>
      <c r="G20" s="23" t="n"/>
    </row>
    <row r="21" ht="17" customHeight="1">
      <c r="B21" s="23" t="n"/>
      <c r="C21" s="24" t="inlineStr">
        <is>
          <t>Tension bars: number  (one layer, ≤ 12)</t>
        </is>
      </c>
      <c r="D21" s="27" t="inlineStr">
        <is>
          <r>
            <rPr>
              <rFont val="Calibri"/>
              <i val="1"/>
              <color rgb="002B2B2B"/>
              <sz val="10"/>
            </rPr>
            <t>n</t>
          </r>
        </is>
      </c>
      <c r="E21" s="49" t="n">
        <v>4</v>
      </c>
      <c r="F21" s="23" t="n"/>
      <c r="G21" s="23" t="n"/>
    </row>
    <row r="22" ht="17" customHeight="1">
      <c r="B22" s="23" t="n"/>
      <c r="C22" s="24" t="inlineStr">
        <is>
          <t>Tension bars: diameter</t>
        </is>
      </c>
      <c r="D22" s="27" t="inlineStr">
        <is>
          <r>
            <rPr>
              <rFont val="Calibri"/>
              <i val="1"/>
              <color rgb="002B2B2B"/>
              <sz val="10"/>
            </rPr>
            <t>φ</t>
          </r>
        </is>
      </c>
      <c r="E22" s="25" t="n">
        <v>20</v>
      </c>
      <c r="F22" s="28" t="inlineStr">
        <is>
          <t>mm</t>
        </is>
      </c>
      <c r="G22" s="23" t="n"/>
    </row>
    <row r="23" ht="17" customHeight="1">
      <c r="B23" s="23" t="n"/>
      <c r="C23" s="24" t="inlineStr">
        <is>
          <t>Compression bars: number  (0 = none, ≤ 12)</t>
        </is>
      </c>
      <c r="D23" s="27" t="inlineStr">
        <is>
          <r>
            <rPr>
              <rFont val="Calibri"/>
              <i val="1"/>
              <color rgb="002B2B2B"/>
              <sz val="10"/>
            </rPr>
            <t>n</t>
          </r>
          <r>
            <rPr>
              <rFont val="Calibri"/>
              <i val="1"/>
              <color rgb="002B2B2B"/>
              <sz val="10"/>
              <vertAlign val="subscript"/>
            </rPr>
            <t>2</t>
          </r>
        </is>
      </c>
      <c r="E23" s="49" t="n">
        <v>2</v>
      </c>
      <c r="F23" s="23" t="n"/>
      <c r="G23" s="23" t="n"/>
    </row>
    <row r="24" ht="17" customHeight="1">
      <c r="B24" s="23" t="n"/>
      <c r="C24" s="24" t="inlineStr">
        <is>
          <t>Compression bars: diameter</t>
        </is>
      </c>
      <c r="D24" s="27" t="inlineStr">
        <is>
          <r>
            <rPr>
              <rFont val="Calibri"/>
              <i val="1"/>
              <color rgb="002B2B2B"/>
              <sz val="10"/>
            </rPr>
            <t>φ</t>
          </r>
          <r>
            <rPr>
              <rFont val="Calibri"/>
              <i val="1"/>
              <color rgb="002B2B2B"/>
              <sz val="10"/>
              <vertAlign val="subscript"/>
            </rPr>
            <t>2</t>
          </r>
        </is>
      </c>
      <c r="E24" s="25" t="n">
        <v>16</v>
      </c>
      <c r="F24" s="28" t="inlineStr">
        <is>
          <t>mm</t>
        </is>
      </c>
      <c r="G24" s="23" t="n"/>
    </row>
    <row r="26" ht="22" customHeight="1">
      <c r="B26" s="20" t="inlineStr">
        <is>
          <t>Inputs  ·  actions and serviceability</t>
        </is>
      </c>
      <c r="C26" s="21" t="n"/>
      <c r="D26" s="21" t="n"/>
      <c r="E26" s="21" t="n"/>
      <c r="F26" s="21" t="n"/>
      <c r="G26" s="22" t="inlineStr">
        <is>
          <t>ULS moment;  characteristic loads for σs</t>
        </is>
      </c>
    </row>
    <row r="27" ht="17" customHeight="1">
      <c r="B27" s="23" t="n"/>
      <c r="C27" s="24" t="inlineStr">
        <is>
          <t>Design moment at the section  (support, cantilever: hogging)</t>
        </is>
      </c>
      <c r="D27" s="27" t="inlineStr">
        <is>
          <r>
            <rPr>
              <rFont val="Calibri"/>
              <i val="1"/>
              <color rgb="002B2B2B"/>
              <sz val="10"/>
            </rPr>
            <t>M</t>
          </r>
          <r>
            <rPr>
              <rFont val="Calibri"/>
              <i val="1"/>
              <color rgb="002B2B2B"/>
              <sz val="10"/>
              <vertAlign val="subscript"/>
            </rPr>
            <t>Ed</t>
          </r>
        </is>
      </c>
      <c r="E27" s="29" t="n">
        <v>180</v>
      </c>
      <c r="F27" s="28" t="inlineStr">
        <is>
          <t>kNm</t>
        </is>
      </c>
      <c r="G27" s="23" t="n"/>
    </row>
    <row r="28" ht="17" customHeight="1">
      <c r="B28" s="26" t="inlineStr">
        <is>
          <t>5.5(4)</t>
        </is>
      </c>
      <c r="C28" s="24" t="inlineStr">
        <is>
          <t>Moment redistribution ratio  (1.0 = none)</t>
        </is>
      </c>
      <c r="D28" s="27" t="inlineStr">
        <is>
          <r>
            <rPr>
              <rFont val="Calibri"/>
              <i val="1"/>
              <color rgb="002B2B2B"/>
              <sz val="10"/>
            </rPr>
            <t>δ</t>
          </r>
        </is>
      </c>
      <c r="E28" s="30" t="n">
        <v>1</v>
      </c>
      <c r="F28" s="23" t="n"/>
      <c r="G28" s="23" t="n"/>
    </row>
    <row r="29" ht="17" customHeight="1">
      <c r="B29" s="26" t="inlineStr">
        <is>
          <t>7.4.2</t>
        </is>
      </c>
      <c r="C29" s="24" t="inlineStr">
        <is>
          <t>Span for l/d  (cantilever: its length;  flat slab: the longer span)</t>
        </is>
      </c>
      <c r="D29" s="27" t="inlineStr">
        <is>
          <r>
            <rPr>
              <rFont val="Calibri"/>
              <i val="1"/>
              <color rgb="002B2B2B"/>
              <sz val="10"/>
            </rPr>
            <t>l</t>
          </r>
        </is>
      </c>
      <c r="E29" s="30" t="n">
        <v>7</v>
      </c>
      <c r="F29" s="28" t="inlineStr">
        <is>
          <t>m</t>
        </is>
      </c>
      <c r="G29" s="23" t="n"/>
    </row>
    <row r="30" ht="17" customHeight="1">
      <c r="B30" s="23" t="n"/>
      <c r="C30" s="24" t="inlineStr">
        <is>
          <t>Characteristic permanent load  (any unit: only the ratio is used)</t>
        </is>
      </c>
      <c r="D30" s="27" t="inlineStr">
        <is>
          <r>
            <rPr>
              <rFont val="Calibri"/>
              <i val="1"/>
              <color rgb="002B2B2B"/>
              <sz val="10"/>
            </rPr>
            <t>g</t>
          </r>
          <r>
            <rPr>
              <rFont val="Calibri"/>
              <i val="1"/>
              <color rgb="002B2B2B"/>
              <sz val="10"/>
              <vertAlign val="subscript"/>
            </rPr>
            <t>k</t>
          </r>
        </is>
      </c>
      <c r="E30" s="30" t="n">
        <v>25</v>
      </c>
      <c r="F30" s="23" t="n"/>
      <c r="G30" s="23" t="n"/>
    </row>
    <row r="31" ht="17" customHeight="1">
      <c r="B31" s="23" t="n"/>
      <c r="C31" s="24" t="inlineStr">
        <is>
          <t>Characteristic variable load</t>
        </is>
      </c>
      <c r="D31" s="27" t="inlineStr">
        <is>
          <r>
            <rPr>
              <rFont val="Calibri"/>
              <i val="1"/>
              <color rgb="002B2B2B"/>
              <sz val="10"/>
            </rPr>
            <t>q</t>
          </r>
          <r>
            <rPr>
              <rFont val="Calibri"/>
              <i val="1"/>
              <color rgb="002B2B2B"/>
              <sz val="10"/>
              <vertAlign val="subscript"/>
            </rPr>
            <t>k</t>
          </r>
        </is>
      </c>
      <c r="E31" s="30" t="n">
        <v>15</v>
      </c>
      <c r="F31" s="23" t="n"/>
      <c r="G31" s="23" t="n"/>
    </row>
    <row r="32" ht="17" customHeight="1">
      <c r="B32" s="26" t="inlineStr">
        <is>
          <t>EN 1990 A1.2(B)</t>
        </is>
      </c>
      <c r="C32" s="24" t="inlineStr">
        <is>
          <t>Partial factor, permanent</t>
        </is>
      </c>
      <c r="D32" s="27" t="inlineStr">
        <is>
          <r>
            <rPr>
              <rFont val="Calibri"/>
              <i val="1"/>
              <color rgb="002B2B2B"/>
              <sz val="10"/>
            </rPr>
            <t>γ</t>
          </r>
          <r>
            <rPr>
              <rFont val="Calibri"/>
              <i val="1"/>
              <color rgb="002B2B2B"/>
              <sz val="10"/>
              <vertAlign val="subscript"/>
            </rPr>
            <t>G</t>
          </r>
        </is>
      </c>
      <c r="E32" s="30" t="n">
        <v>1.35</v>
      </c>
      <c r="F32" s="23" t="n"/>
      <c r="G32" s="23" t="n"/>
    </row>
    <row r="33" ht="17" customHeight="1">
      <c r="B33" s="26" t="inlineStr">
        <is>
          <t>EN 1990 A1.2(B)</t>
        </is>
      </c>
      <c r="C33" s="24" t="inlineStr">
        <is>
          <t>Partial factor, variable</t>
        </is>
      </c>
      <c r="D33" s="27" t="inlineStr">
        <is>
          <r>
            <rPr>
              <rFont val="Calibri"/>
              <i val="1"/>
              <color rgb="002B2B2B"/>
              <sz val="10"/>
            </rPr>
            <t>γ</t>
          </r>
          <r>
            <rPr>
              <rFont val="Calibri"/>
              <i val="1"/>
              <color rgb="002B2B2B"/>
              <sz val="10"/>
              <vertAlign val="subscript"/>
            </rPr>
            <t>Q</t>
          </r>
        </is>
      </c>
      <c r="E33" s="30" t="n">
        <v>1.5</v>
      </c>
      <c r="F33" s="23" t="n"/>
      <c r="G33" s="23" t="n"/>
    </row>
    <row r="34" ht="17" customHeight="1">
      <c r="B34" s="26" t="inlineStr">
        <is>
          <t>EN 1990 A1.1</t>
        </is>
      </c>
      <c r="C34" s="24" t="inlineStr">
        <is>
          <t>Category of use  (gives ψ2)</t>
        </is>
      </c>
      <c r="D34" s="23" t="n"/>
      <c r="E34" s="25" t="inlineStr">
        <is>
          <t>B  office</t>
        </is>
      </c>
      <c r="F34" s="23" t="n"/>
      <c r="G34" s="23" t="n"/>
    </row>
    <row r="35" ht="17" customHeight="1">
      <c r="B35" s="23" t="n"/>
      <c r="C35" s="24" t="inlineStr">
        <is>
          <t>ψ2  (category Other only)</t>
        </is>
      </c>
      <c r="D35" s="27" t="inlineStr">
        <is>
          <r>
            <rPr>
              <rFont val="Calibri"/>
              <i val="1"/>
              <color rgb="002B2B2B"/>
              <sz val="10"/>
            </rPr>
            <t>ψ</t>
          </r>
          <r>
            <rPr>
              <rFont val="Calibri"/>
              <i val="1"/>
              <color rgb="002B2B2B"/>
              <sz val="10"/>
              <vertAlign val="subscript"/>
            </rPr>
            <t>2</t>
          </r>
        </is>
      </c>
      <c r="E35" s="30" t="n">
        <v>0.3</v>
      </c>
      <c r="F35" s="23" t="n"/>
      <c r="G35" s="23" t="n"/>
    </row>
    <row r="36" ht="17" customHeight="1">
      <c r="B36" s="26" t="inlineStr">
        <is>
          <t>7.4.2(2)</t>
        </is>
      </c>
      <c r="C36" s="24" t="inlineStr">
        <is>
          <t>Brittle partitions supported?</t>
        </is>
      </c>
      <c r="D36" s="23" t="n"/>
      <c r="E36" s="25" t="inlineStr">
        <is>
          <t>No</t>
        </is>
      </c>
      <c r="F36" s="23" t="n"/>
      <c r="G36" s="23" t="n"/>
    </row>
    <row r="37" ht="17" customHeight="1">
      <c r="B37" s="26" t="inlineStr">
        <is>
          <t>7.3.1(5)</t>
        </is>
      </c>
      <c r="C37" s="24" t="inlineStr">
        <is>
          <t>Limiting crack width</t>
        </is>
      </c>
      <c r="D37" s="27" t="inlineStr">
        <is>
          <r>
            <rPr>
              <rFont val="Calibri"/>
              <i val="1"/>
              <color rgb="002B2B2B"/>
              <sz val="10"/>
            </rPr>
            <t>w</t>
          </r>
          <r>
            <rPr>
              <rFont val="Calibri"/>
              <i val="1"/>
              <color rgb="002B2B2B"/>
              <sz val="10"/>
              <vertAlign val="subscript"/>
            </rPr>
            <t>max</t>
          </r>
        </is>
      </c>
      <c r="E37" s="25" t="n">
        <v>0.3</v>
      </c>
      <c r="F37" s="28" t="inlineStr">
        <is>
          <t>mm</t>
        </is>
      </c>
      <c r="G37" s="26" t="inlineStr">
        <is>
          <t>UK NA Table NA.4; Table 7.1N</t>
        </is>
      </c>
    </row>
    <row r="38" ht="17" customHeight="1">
      <c r="B38" s="23" t="n"/>
      <c r="C38" s="24" t="inlineStr">
        <is>
          <t>Inputs valid and consistent</t>
        </is>
      </c>
      <c r="D38" s="23" t="n"/>
      <c r="E38" s="9" t="n"/>
      <c r="F38" s="23" t="n"/>
      <c r="G38" s="31">
        <f>IF(inputs_ok,"OK","FAIL")</f>
        <v/>
      </c>
    </row>
    <row r="40" ht="22" customHeight="1">
      <c r="B40" s="20" t="inlineStr">
        <is>
          <t>Results</t>
        </is>
      </c>
      <c r="C40" s="21" t="n"/>
      <c r="D40" s="21" t="n"/>
      <c r="E40" s="21" t="n"/>
      <c r="F40" s="21" t="n"/>
      <c r="G40" s="21" t="n"/>
    </row>
    <row r="41" ht="26" customHeight="1">
      <c r="B41" s="32" t="n"/>
      <c r="C41" s="33" t="inlineStr">
        <is>
          <t>Bending  max(As,req; As,min) / As,prov</t>
        </is>
      </c>
      <c r="D41" s="34" t="inlineStr">
        <is>
          <r>
            <rPr>
              <rFont val="Calibri"/>
              <i val="1"/>
              <color rgb="002B2B2B"/>
              <sz val="11"/>
            </rPr>
            <t>A</t>
          </r>
          <r>
            <rPr>
              <rFont val="Calibri"/>
              <i val="1"/>
              <color rgb="002B2B2B"/>
              <sz val="11"/>
              <vertAlign val="subscript"/>
            </rPr>
            <t>s</t>
          </r>
        </is>
      </c>
      <c r="E41" s="35">
        <f>IF(inputs_ok,IFERROR(MAX(A_s1req,A_smin)/A_s1prov,"K &gt; K′"),"–")</f>
        <v/>
      </c>
      <c r="F41" s="36" t="inlineStr"/>
      <c r="G41" s="37">
        <f>IF(NOT(inputs_ok),"FAIL",IF(bend_ok,"OK","FAIL"))</f>
        <v/>
      </c>
    </row>
    <row r="42" ht="26" customHeight="1">
      <c r="B42" s="32" t="n"/>
      <c r="C42" s="33" t="inlineStr">
        <is>
          <t>Compression reinforcement  required / provided</t>
        </is>
      </c>
      <c r="D42" s="34" t="inlineStr">
        <is>
          <r>
            <rPr>
              <rFont val="Calibri"/>
              <i val="1"/>
              <color rgb="002B2B2B"/>
              <sz val="11"/>
            </rPr>
            <t>A</t>
          </r>
          <r>
            <rPr>
              <rFont val="Calibri"/>
              <i val="1"/>
              <color rgb="002B2B2B"/>
              <sz val="11"/>
              <vertAlign val="subscript"/>
            </rPr>
            <t>s2</t>
          </r>
        </is>
      </c>
      <c r="E42" s="39">
        <f>IF(inputs_ok,IFERROR(TEXT(A_s2req,"0")&amp;" / "&amp;TEXT(A_s2prov,"0"),"–"),"–")</f>
        <v/>
      </c>
      <c r="F42" s="36" t="inlineStr">
        <is>
          <t>mm²</t>
        </is>
      </c>
      <c r="G42" s="37">
        <f>IF(NOT(inputs_ok),"FAIL",IF(NOT(dbl),"Not needed",IF(comp_bad,"FAIL","! Needed")))</f>
        <v/>
      </c>
    </row>
    <row r="43" ht="26" customHeight="1">
      <c r="B43" s="32" t="n"/>
      <c r="C43" s="33" t="inlineStr">
        <is>
          <t>Deflection  actual l/d ÷ limiting l/d</t>
        </is>
      </c>
      <c r="D43" s="32" t="n"/>
      <c r="E43" s="35">
        <f>IF(inputs_ok,IF(span,IFERROR(ld_act/ld_lim,"–"),"n/a"),"–")</f>
        <v/>
      </c>
      <c r="F43" s="36" t="inlineStr"/>
      <c r="G43" s="37">
        <f>IF(NOT(inputs_ok),"FAIL",IF(NOT(span),"n/a",IF(defl_ok,"OK","FAIL")))</f>
        <v/>
      </c>
    </row>
    <row r="44" ht="26" customHeight="1">
      <c r="B44" s="32" t="n"/>
      <c r="C44" s="33" t="inlineStr">
        <is>
          <t>Cracking  (Table 7.2N bar size or Table 7.3N spacing)</t>
        </is>
      </c>
      <c r="D44" s="34" t="inlineStr">
        <is>
          <r>
            <rPr>
              <rFont val="Calibri"/>
              <i val="1"/>
              <color rgb="002B2B2B"/>
              <sz val="11"/>
            </rPr>
            <t>σ</t>
          </r>
          <r>
            <rPr>
              <rFont val="Calibri"/>
              <i val="1"/>
              <color rgb="002B2B2B"/>
              <sz val="11"/>
              <vertAlign val="subscript"/>
            </rPr>
            <t>s</t>
          </r>
        </is>
      </c>
      <c r="E44" s="38">
        <f>IF(inputs_ok,IFERROR(sig_cr,"–"),"–")</f>
        <v/>
      </c>
      <c r="F44" s="36" t="inlineStr">
        <is>
          <t>MPa</t>
        </is>
      </c>
      <c r="G44" s="37">
        <f>IF(NOT(inputs_ok),"FAIL",IF(cr_exempt,"OK",IF(OR(size_ok,spac_ok),"OK","FAIL")))</f>
        <v/>
      </c>
    </row>
    <row r="45" ht="26" customHeight="1">
      <c r="B45" s="32" t="n"/>
      <c r="C45" s="33" t="inlineStr">
        <is>
          <t>Detailing  (clear gaps, layers)</t>
        </is>
      </c>
      <c r="D45" s="32" t="n"/>
      <c r="E45" s="38">
        <f>IF(inputs_ok,gap_1,"–")</f>
        <v/>
      </c>
      <c r="F45" s="36" t="inlineStr">
        <is>
          <t>mm</t>
        </is>
      </c>
      <c r="G45" s="37">
        <f>IF(NOT(inputs_ok),"FAIL",IF(det_ok,"OK","FAIL"))</f>
        <v/>
      </c>
    </row>
    <row r="46" ht="26" customHeight="1">
      <c r="B46" s="32" t="n"/>
      <c r="C46" s="33" t="inlineStr">
        <is>
          <t>Tension reinforcement  required / provided</t>
        </is>
      </c>
      <c r="D46" s="32" t="n"/>
      <c r="E46" s="39">
        <f>IF(inputs_ok,IFERROR(TEXT(MAX(A_s1req,A_smin),"0")&amp;" / "&amp;TEXT(A_s1prov,"0"),"–"),"–")</f>
        <v/>
      </c>
      <c r="F46" s="36" t="inlineStr">
        <is>
          <t>mm²</t>
        </is>
      </c>
      <c r="G46" s="32" t="n"/>
    </row>
    <row r="47"/>
    <row r="48">
      <c r="B48" s="40" t="inlineStr">
        <is>
          <t>Your section, to scale  ·  tension face at the bottom in a span, at the top at a support or cantilever  ·  neutral axis (dashed)</t>
        </is>
      </c>
    </row>
    <row r="49"/>
    <row r="50"/>
    <row r="51"/>
    <row r="52"/>
    <row r="53"/>
    <row r="54"/>
    <row r="55"/>
    <row r="56"/>
    <row r="57"/>
    <row r="58"/>
    <row r="59"/>
    <row r="60"/>
    <row r="61"/>
    <row r="62"/>
    <row r="63"/>
    <row r="64"/>
    <row r="65"/>
    <row r="66"/>
    <row r="67"/>
    <row r="68"/>
    <row r="69" ht="22" customHeight="1">
      <c r="B69" s="20" t="inlineStr">
        <is>
          <t>Calculation  ·  materials and section</t>
        </is>
      </c>
      <c r="C69" s="21" t="n"/>
      <c r="D69" s="21" t="n"/>
      <c r="E69" s="21" t="n"/>
      <c r="F69" s="21" t="n"/>
      <c r="G69" s="21" t="n"/>
    </row>
    <row r="70" ht="17" customHeight="1">
      <c r="B70" s="26" t="inlineStr">
        <is>
          <t>2.4.2.4(1)</t>
        </is>
      </c>
      <c r="C70" s="24" t="inlineStr">
        <is>
          <t>Partial factor, concrete</t>
        </is>
      </c>
      <c r="D70" s="27" t="inlineStr">
        <is>
          <r>
            <rPr>
              <rFont val="Calibri"/>
              <i val="1"/>
              <color rgb="002B2B2B"/>
              <sz val="10"/>
            </rPr>
            <t>γ</t>
          </r>
          <r>
            <rPr>
              <rFont val="Calibri"/>
              <i val="1"/>
              <color rgb="002B2B2B"/>
              <sz val="10"/>
              <vertAlign val="subscript"/>
            </rPr>
            <t>c</t>
          </r>
        </is>
      </c>
      <c r="E70" s="41">
        <f>IF(inputs_ok,ndp_gamma_c,NA())</f>
        <v/>
      </c>
      <c r="F70" s="23" t="n"/>
      <c r="G70" s="26" t="inlineStr">
        <is>
          <t>NDP sheet</t>
        </is>
      </c>
    </row>
    <row r="71" ht="17" customHeight="1">
      <c r="B71" s="26" t="inlineStr">
        <is>
          <t>2.4.2.4(1)</t>
        </is>
      </c>
      <c r="C71" s="24" t="inlineStr">
        <is>
          <t>Partial factor, reinforcement</t>
        </is>
      </c>
      <c r="D71" s="27" t="inlineStr">
        <is>
          <r>
            <rPr>
              <rFont val="Calibri"/>
              <i val="1"/>
              <color rgb="002B2B2B"/>
              <sz val="10"/>
            </rPr>
            <t>γ</t>
          </r>
          <r>
            <rPr>
              <rFont val="Calibri"/>
              <i val="1"/>
              <color rgb="002B2B2B"/>
              <sz val="10"/>
              <vertAlign val="subscript"/>
            </rPr>
            <t>s</t>
          </r>
        </is>
      </c>
      <c r="E71" s="41">
        <f>IF(inputs_ok,ndp_gamma_s,NA())</f>
        <v/>
      </c>
      <c r="F71" s="23" t="n"/>
      <c r="G71" s="26" t="inlineStr">
        <is>
          <t>NDP sheet</t>
        </is>
      </c>
    </row>
    <row r="72" ht="17" customHeight="1">
      <c r="B72" s="26" t="inlineStr">
        <is>
          <t>3.1.6(1)</t>
        </is>
      </c>
      <c r="C72" s="24" t="inlineStr">
        <is>
          <t>Coefficient on compressive strength (flexure)</t>
        </is>
      </c>
      <c r="D72" s="27" t="inlineStr">
        <is>
          <r>
            <rPr>
              <rFont val="Calibri"/>
              <i val="1"/>
              <color rgb="002B2B2B"/>
              <sz val="10"/>
            </rPr>
            <t>α</t>
          </r>
          <r>
            <rPr>
              <rFont val="Calibri"/>
              <i val="1"/>
              <color rgb="002B2B2B"/>
              <sz val="10"/>
              <vertAlign val="subscript"/>
            </rPr>
            <t>cc</t>
          </r>
        </is>
      </c>
      <c r="E72" s="41">
        <f>IF(inputs_ok,ndp_alpha_cc,NA())</f>
        <v/>
      </c>
      <c r="F72" s="23" t="n"/>
      <c r="G72" s="26" t="inlineStr">
        <is>
          <t>NDP sheet</t>
        </is>
      </c>
    </row>
    <row r="73" ht="17" customHeight="1">
      <c r="B73" s="26" t="inlineStr">
        <is>
          <t>5.5(4)</t>
        </is>
      </c>
      <c r="C73" s="24" t="inlineStr">
        <is>
          <t>Coefficient for x/d limit</t>
        </is>
      </c>
      <c r="D73" s="27" t="inlineStr">
        <is>
          <r>
            <rPr>
              <rFont val="Calibri"/>
              <i val="1"/>
              <color rgb="002B2B2B"/>
              <sz val="10"/>
            </rPr>
            <t>k</t>
          </r>
          <r>
            <rPr>
              <rFont val="Calibri"/>
              <i val="1"/>
              <color rgb="002B2B2B"/>
              <sz val="10"/>
              <vertAlign val="subscript"/>
            </rPr>
            <t>1</t>
          </r>
        </is>
      </c>
      <c r="E73" s="41">
        <f>IF(inputs_ok,ndp_k1_red,NA())</f>
        <v/>
      </c>
      <c r="F73" s="23" t="n"/>
      <c r="G73" s="26" t="inlineStr">
        <is>
          <t>NDP sheet</t>
        </is>
      </c>
    </row>
    <row r="74" ht="17" customHeight="1">
      <c r="B74" s="26" t="inlineStr">
        <is>
          <t>5.5(4)</t>
        </is>
      </c>
      <c r="C74" s="24" t="inlineStr">
        <is>
          <t>Coefficient for x/d limit</t>
        </is>
      </c>
      <c r="D74" s="27" t="inlineStr">
        <is>
          <r>
            <rPr>
              <rFont val="Calibri"/>
              <i val="1"/>
              <color rgb="002B2B2B"/>
              <sz val="10"/>
            </rPr>
            <t>k</t>
          </r>
          <r>
            <rPr>
              <rFont val="Calibri"/>
              <i val="1"/>
              <color rgb="002B2B2B"/>
              <sz val="10"/>
              <vertAlign val="subscript"/>
            </rPr>
            <t>2</t>
          </r>
        </is>
      </c>
      <c r="E74" s="41">
        <f>IF(inputs_ok,ndp_k2_red,NA())</f>
        <v/>
      </c>
      <c r="F74" s="23" t="n"/>
      <c r="G74" s="26" t="inlineStr">
        <is>
          <t>NDP sheet</t>
        </is>
      </c>
    </row>
    <row r="75" ht="17" customHeight="1">
      <c r="B75" s="26" t="inlineStr">
        <is>
          <t>7.4.2(2)</t>
        </is>
      </c>
      <c r="C75" s="24" t="inlineStr">
        <is>
          <t>Upper limit on the stress / area factor</t>
        </is>
      </c>
      <c r="D75" s="23" t="n"/>
      <c r="E75" s="41">
        <f>IF(inputs_ok,ndp_ld_mod_max,NA())</f>
        <v/>
      </c>
      <c r="F75" s="23" t="n"/>
      <c r="G75" s="26" t="inlineStr">
        <is>
          <t>NDP sheet</t>
        </is>
      </c>
    </row>
    <row r="76" ht="17" customHeight="1">
      <c r="B76" s="26" t="inlineStr">
        <is>
          <t>7.4.2(2)</t>
        </is>
      </c>
      <c r="C76" s="24" t="inlineStr">
        <is>
          <t>L/d ≤ 40K applies (1 = yes)</t>
        </is>
      </c>
      <c r="D76" s="23" t="n"/>
      <c r="E76" s="41">
        <f>IF(inputs_ok,ndp_ld_cap_40K,NA())</f>
        <v/>
      </c>
      <c r="F76" s="23" t="n"/>
      <c r="G76" s="26" t="inlineStr">
        <is>
          <t>NDP sheet</t>
        </is>
      </c>
    </row>
    <row r="77" ht="17" customHeight="1">
      <c r="B77" s="26" t="inlineStr">
        <is>
          <t>Table 3.1</t>
        </is>
      </c>
      <c r="C77" s="24" t="inlineStr">
        <is>
          <t>Characteristic cylinder strength</t>
        </is>
      </c>
      <c r="D77" s="27" t="inlineStr">
        <is>
          <r>
            <rPr>
              <rFont val="Calibri"/>
              <i val="1"/>
              <color rgb="002B2B2B"/>
              <sz val="10"/>
            </rPr>
            <t>f</t>
          </r>
          <r>
            <rPr>
              <rFont val="Calibri"/>
              <i val="1"/>
              <color rgb="002B2B2B"/>
              <sz val="10"/>
              <vertAlign val="subscript"/>
            </rPr>
            <t>ck</t>
          </r>
        </is>
      </c>
      <c r="E77" s="42">
        <f>IF(inputs_ok,VALUE(MID(conc_class,2,FIND("/",conc_class)-2)),NA())</f>
        <v/>
      </c>
      <c r="F77" s="28" t="inlineStr">
        <is>
          <t>MPa</t>
        </is>
      </c>
      <c r="G77" s="23" t="n"/>
    </row>
    <row r="78" ht="17" customHeight="1">
      <c r="B78" s="26" t="inlineStr">
        <is>
          <t>Table 3.1</t>
        </is>
      </c>
      <c r="C78" s="24" t="inlineStr">
        <is>
          <t>Mean tensile strength</t>
        </is>
      </c>
      <c r="D78" s="27" t="inlineStr">
        <is>
          <r>
            <rPr>
              <rFont val="Calibri"/>
              <i val="1"/>
              <color rgb="002B2B2B"/>
              <sz val="10"/>
            </rPr>
            <t>f</t>
          </r>
          <r>
            <rPr>
              <rFont val="Calibri"/>
              <i val="1"/>
              <color rgb="002B2B2B"/>
              <sz val="10"/>
              <vertAlign val="subscript"/>
            </rPr>
            <t>ctm</t>
          </r>
        </is>
      </c>
      <c r="E78" s="41">
        <f>IF(inputs_ok,IF(f_ck&lt;=50,0.3*f_ck^(2/3),2.12*LN(1+(f_ck+8)/10)),NA())</f>
        <v/>
      </c>
      <c r="F78" s="28" t="inlineStr">
        <is>
          <t>MPa</t>
        </is>
      </c>
      <c r="G78" s="23" t="n"/>
    </row>
    <row r="79" ht="17" customHeight="1">
      <c r="B79" s="26" t="inlineStr">
        <is>
          <t>3.1.6(1)</t>
        </is>
      </c>
      <c r="C79" s="24" t="inlineStr">
        <is>
          <t>Design compressive strength  αcc fck / γc</t>
        </is>
      </c>
      <c r="D79" s="27" t="inlineStr">
        <is>
          <r>
            <rPr>
              <rFont val="Calibri"/>
              <i val="1"/>
              <color rgb="002B2B2B"/>
              <sz val="10"/>
            </rPr>
            <t>f</t>
          </r>
          <r>
            <rPr>
              <rFont val="Calibri"/>
              <i val="1"/>
              <color rgb="002B2B2B"/>
              <sz val="10"/>
              <vertAlign val="subscript"/>
            </rPr>
            <t>cd</t>
          </r>
        </is>
      </c>
      <c r="E79" s="41">
        <f>IF(inputs_ok,alpha_cc*f_ck/gamma_c,NA())</f>
        <v/>
      </c>
      <c r="F79" s="28" t="inlineStr">
        <is>
          <t>MPa</t>
        </is>
      </c>
      <c r="G79" s="23" t="n"/>
    </row>
    <row r="80" ht="17" customHeight="1">
      <c r="B80" s="26" t="inlineStr">
        <is>
          <t>3.2.7</t>
        </is>
      </c>
      <c r="C80" s="24" t="inlineStr">
        <is>
          <t>Design yield strength  fyk / γs</t>
        </is>
      </c>
      <c r="D80" s="27" t="inlineStr">
        <is>
          <r>
            <rPr>
              <rFont val="Calibri"/>
              <i val="1"/>
              <color rgb="002B2B2B"/>
              <sz val="10"/>
            </rPr>
            <t>f</t>
          </r>
          <r>
            <rPr>
              <rFont val="Calibri"/>
              <i val="1"/>
              <color rgb="002B2B2B"/>
              <sz val="10"/>
              <vertAlign val="subscript"/>
            </rPr>
            <t>yd</t>
          </r>
        </is>
      </c>
      <c r="E80" s="43">
        <f>IF(inputs_ok,f_yk/gamma_s,NA())</f>
        <v/>
      </c>
      <c r="F80" s="28" t="inlineStr">
        <is>
          <t>MPa</t>
        </is>
      </c>
      <c r="G80" s="23" t="n"/>
    </row>
    <row r="81" ht="17" customHeight="1">
      <c r="B81" s="23" t="n"/>
      <c r="C81" s="24" t="inlineStr">
        <is>
          <t>Effective depth  h − c − φw − φ/2</t>
        </is>
      </c>
      <c r="D81" s="27" t="inlineStr">
        <is>
          <r>
            <rPr>
              <rFont val="Calibri"/>
              <i val="1"/>
              <color rgb="002B2B2B"/>
              <sz val="10"/>
            </rPr>
            <t>d</t>
          </r>
        </is>
      </c>
      <c r="E81" s="42">
        <f>IF(inputs_ok,h_sec-c_nom-phi_w-phi/2,NA())</f>
        <v/>
      </c>
      <c r="F81" s="28" t="inlineStr">
        <is>
          <t>mm</t>
        </is>
      </c>
      <c r="G81" s="23" t="n"/>
    </row>
    <row r="82" ht="17" customHeight="1">
      <c r="B82" s="23" t="n"/>
      <c r="C82" s="24" t="inlineStr">
        <is>
          <t>Depth to the compression bars  c + φw + φ2/2</t>
        </is>
      </c>
      <c r="D82" s="27" t="inlineStr">
        <is>
          <r>
            <rPr>
              <rFont val="Calibri"/>
              <i val="1"/>
              <color rgb="002B2B2B"/>
              <sz val="10"/>
            </rPr>
            <t>d</t>
          </r>
          <r>
            <rPr>
              <rFont val="Calibri"/>
              <i val="1"/>
              <color rgb="002B2B2B"/>
              <sz val="10"/>
              <vertAlign val="subscript"/>
            </rPr>
            <t>2</t>
          </r>
        </is>
      </c>
      <c r="E82" s="42">
        <f>IF(inputs_ok,c_nom+phi_w+phi_2/2,NA())</f>
        <v/>
      </c>
      <c r="F82" s="28" t="inlineStr">
        <is>
          <t>mm</t>
        </is>
      </c>
      <c r="G82" s="23" t="n"/>
    </row>
    <row r="83"/>
    <row r="84" ht="22" customHeight="1">
      <c r="B84" s="20" t="inlineStr">
        <is>
          <t>Calculation  ·  bending  (rectangular block λ = 0.8, η = 1)</t>
        </is>
      </c>
      <c r="C84" s="21" t="n"/>
      <c r="D84" s="21" t="n"/>
      <c r="E84" s="21" t="n"/>
      <c r="F84" s="21" t="n"/>
      <c r="G84" s="21" t="n"/>
    </row>
    <row r="85" ht="17" customHeight="1">
      <c r="B85" s="26" t="inlineStr">
        <is>
          <t>3.2.7</t>
        </is>
      </c>
      <c r="C85" s="24" t="inlineStr">
        <is>
          <t>Neutral axis depth at first yield  εcu2 / (εcu2 + fyd/Es)</t>
        </is>
      </c>
      <c r="D85" s="27" t="inlineStr">
        <is>
          <r>
            <rPr>
              <rFont val="Calibri"/>
              <i val="1"/>
              <color rgb="002B2B2B"/>
              <sz val="10"/>
            </rPr>
            <t>ξ</t>
          </r>
          <r>
            <rPr>
              <rFont val="Calibri"/>
              <i val="1"/>
              <color rgb="002B2B2B"/>
              <sz val="10"/>
              <vertAlign val="subscript"/>
            </rPr>
            <t>y</t>
          </r>
        </is>
      </c>
      <c r="E85" s="44">
        <f>IF(inputs_ok,0.0035/(0.0035+f_yd/200000),NA())</f>
        <v/>
      </c>
      <c r="F85" s="23" t="n"/>
      <c r="G85" s="23" t="n"/>
    </row>
    <row r="86" ht="17" customHeight="1">
      <c r="B86" s="26" t="inlineStr">
        <is>
          <t>5.5(4)</t>
        </is>
      </c>
      <c r="C86" s="24" t="inlineStr">
        <is>
          <t>Limiting neutral axis depth  min((δ − k1) / k2; ξy)</t>
        </is>
      </c>
      <c r="D86" s="27" t="inlineStr">
        <is>
          <r>
            <rPr>
              <rFont val="Calibri"/>
              <i val="1"/>
              <color rgb="002B2B2B"/>
              <sz val="10"/>
            </rPr>
            <t>x</t>
          </r>
          <r>
            <rPr>
              <rFont val="Calibri"/>
              <i val="1"/>
              <color rgb="002B2B2B"/>
              <sz val="10"/>
              <vertAlign val="subscript"/>
            </rPr>
            <t>u/d</t>
          </r>
        </is>
      </c>
      <c r="E86" s="44">
        <f>IF(inputs_ok,MIN(xi_y,(delta_r-k1_red)/k2_red),NA())</f>
        <v/>
      </c>
      <c r="F86" s="23" t="n"/>
      <c r="G86" s="23" t="n"/>
    </row>
    <row r="87" ht="17" customHeight="1">
      <c r="B87" s="26" t="inlineStr">
        <is>
          <t>3.1.7(3)</t>
        </is>
      </c>
      <c r="C87" s="24" t="inlineStr">
        <is>
          <t>Limiting K  (αcc/γc) 0.8 ξ (1 − 0.4 ξ)</t>
        </is>
      </c>
      <c r="D87" s="27" t="inlineStr">
        <is>
          <r>
            <rPr>
              <rFont val="Calibri"/>
              <i val="1"/>
              <color rgb="002B2B2B"/>
              <sz val="10"/>
            </rPr>
            <t>K'</t>
          </r>
        </is>
      </c>
      <c r="E87" s="44">
        <f>IF(inputs_ok,alpha_cc/gamma_c*0.8*xi_lim*(1-0.4*xi_lim),NA())</f>
        <v/>
      </c>
      <c r="F87" s="23" t="n"/>
      <c r="G87" s="23" t="n"/>
    </row>
    <row r="88" ht="17" customHeight="1">
      <c r="B88" s="23" t="n"/>
      <c r="C88" s="24" t="inlineStr">
        <is>
          <t>Limiting neutral axis depth</t>
        </is>
      </c>
      <c r="D88" s="27" t="inlineStr">
        <is>
          <r>
            <rPr>
              <rFont val="Calibri"/>
              <i val="1"/>
              <color rgb="002B2B2B"/>
              <sz val="10"/>
            </rPr>
            <t>x</t>
          </r>
          <r>
            <rPr>
              <rFont val="Calibri"/>
              <i val="1"/>
              <color rgb="002B2B2B"/>
              <sz val="10"/>
              <vertAlign val="subscript"/>
            </rPr>
            <t>lim</t>
          </r>
        </is>
      </c>
      <c r="E88" s="42">
        <f>IF(inputs_ok,xi_lim*d_eff,NA())</f>
        <v/>
      </c>
      <c r="F88" s="28" t="inlineStr">
        <is>
          <t>mm</t>
        </is>
      </c>
      <c r="G88" s="23" t="n"/>
    </row>
    <row r="89" ht="17" customHeight="1">
      <c r="B89" s="23" t="n"/>
      <c r="C89" s="24" t="inlineStr">
        <is>
          <t>Concrete force at x_lim  fcd b 0.8 x_lim</t>
        </is>
      </c>
      <c r="D89" s="27" t="inlineStr">
        <is>
          <r>
            <rPr>
              <rFont val="Calibri"/>
              <i val="1"/>
              <color rgb="002B2B2B"/>
              <sz val="10"/>
            </rPr>
            <t>C</t>
          </r>
          <r>
            <rPr>
              <rFont val="Calibri"/>
              <i val="1"/>
              <color rgb="002B2B2B"/>
              <sz val="10"/>
              <vertAlign val="subscript"/>
            </rPr>
            <t>lim</t>
          </r>
        </is>
      </c>
      <c r="E89" s="43">
        <f>IF(inputs_ok,f_cd*b_web*0.8*x_lim/1000,NA())</f>
        <v/>
      </c>
      <c r="F89" s="28" t="inlineStr">
        <is>
          <t>kN</t>
        </is>
      </c>
      <c r="G89" s="23" t="n"/>
    </row>
    <row r="90" ht="17" customHeight="1">
      <c r="B90" s="26" t="inlineStr">
        <is>
          <t>3.1.7(3)</t>
        </is>
      </c>
      <c r="C90" s="24" t="inlineStr">
        <is>
          <t>Moment of the concrete at x_lim  K′ fck b d²</t>
        </is>
      </c>
      <c r="D90" s="27" t="inlineStr">
        <is>
          <r>
            <rPr>
              <rFont val="Calibri"/>
              <i val="1"/>
              <color rgb="002B2B2B"/>
              <sz val="10"/>
            </rPr>
            <t>M</t>
          </r>
          <r>
            <rPr>
              <rFont val="Calibri"/>
              <i val="1"/>
              <color rgb="002B2B2B"/>
              <sz val="10"/>
              <vertAlign val="subscript"/>
            </rPr>
            <t>lim</t>
          </r>
        </is>
      </c>
      <c r="E90" s="43">
        <f>IF(inputs_ok,K_lim*f_ck*b_web*d_eff^2/1E6,NA())</f>
        <v/>
      </c>
      <c r="F90" s="28" t="inlineStr">
        <is>
          <t>kNm</t>
        </is>
      </c>
      <c r="G90" s="23" t="n"/>
    </row>
    <row r="91" ht="17" customHeight="1">
      <c r="B91" s="26" t="inlineStr">
        <is>
          <t>3.1.7(3)</t>
        </is>
      </c>
      <c r="C91" s="24" t="inlineStr">
        <is>
          <t>K = MEd / (b d² fck)</t>
        </is>
      </c>
      <c r="D91" s="27" t="inlineStr">
        <is>
          <r>
            <rPr>
              <rFont val="Calibri"/>
              <i val="1"/>
              <color rgb="002B2B2B"/>
              <sz val="10"/>
            </rPr>
            <t>K</t>
          </r>
        </is>
      </c>
      <c r="E91" s="44">
        <f>IF(inputs_ok,M_Ed*1E6/(b_web*d_eff^2*f_ck),NA())</f>
        <v/>
      </c>
      <c r="F91" s="23" t="n"/>
      <c r="G91" s="23" t="n"/>
    </row>
    <row r="92" ht="17" customHeight="1">
      <c r="B92" s="26" t="inlineStr">
        <is>
          <t>3.1.7(3)</t>
        </is>
      </c>
      <c r="C92" s="24" t="inlineStr">
        <is>
          <t>Neutral axis  x/d = (1 − √(1 − 2K/(αcc/γc)))/0.8;  x_lim if MEd &gt; Mlim</t>
        </is>
      </c>
      <c r="D92" s="27" t="inlineStr">
        <is>
          <r>
            <rPr>
              <rFont val="Calibri"/>
              <i val="1"/>
              <color rgb="002B2B2B"/>
              <sz val="10"/>
            </rPr>
            <t>x/d</t>
          </r>
        </is>
      </c>
      <c r="E92" s="44">
        <f>IF(inputs_ok,IF(dbl,xi_lim,(1-SQRT(1-2*K_m/(alpha_cc/gamma_c)))/0.8),NA())</f>
        <v/>
      </c>
      <c r="F92" s="23" t="n"/>
      <c r="G92" s="23" t="n"/>
    </row>
    <row r="93" ht="17" customHeight="1">
      <c r="B93" s="23" t="n"/>
      <c r="C93" s="24" t="inlineStr">
        <is>
          <t>Neutral axis depth</t>
        </is>
      </c>
      <c r="D93" s="27" t="inlineStr">
        <is>
          <r>
            <rPr>
              <rFont val="Calibri"/>
              <i val="1"/>
              <color rgb="002B2B2B"/>
              <sz val="10"/>
            </rPr>
            <t>x</t>
          </r>
        </is>
      </c>
      <c r="E93" s="42">
        <f>IF(inputs_ok,xi*d_eff,NA())</f>
        <v/>
      </c>
      <c r="F93" s="28" t="inlineStr">
        <is>
          <t>mm</t>
        </is>
      </c>
      <c r="G93" s="23" t="n"/>
    </row>
    <row r="94" ht="17" customHeight="1">
      <c r="B94" s="23" t="n"/>
      <c r="C94" s="24" t="inlineStr">
        <is>
          <t>Lever arm  d (1 − 0.4 x/d) ≤ 0.95 d</t>
        </is>
      </c>
      <c r="D94" s="27" t="inlineStr">
        <is>
          <r>
            <rPr>
              <rFont val="Calibri"/>
              <i val="1"/>
              <color rgb="002B2B2B"/>
              <sz val="10"/>
            </rPr>
            <t>z</t>
          </r>
        </is>
      </c>
      <c r="E94" s="42">
        <f>IF(inputs_ok,MIN(0.95*d_eff,d_eff*(1-0.4*xi)),NA())</f>
        <v/>
      </c>
      <c r="F94" s="28" t="inlineStr">
        <is>
          <t>mm</t>
        </is>
      </c>
      <c r="G94" s="26" t="inlineStr">
        <is>
          <t>0.95 d: common practice</t>
        </is>
      </c>
    </row>
    <row r="95" ht="17" customHeight="1">
      <c r="B95" s="26" t="inlineStr">
        <is>
          <t>3.2.7</t>
        </is>
      </c>
      <c r="C95" s="24" t="inlineStr">
        <is>
          <t>Compression bar stress at x_lim  Es εcu2 (x − d2)/x, |σ| ≤ fyd</t>
        </is>
      </c>
      <c r="D95" s="27" t="inlineStr">
        <is>
          <r>
            <rPr>
              <rFont val="Calibri"/>
              <i val="1"/>
              <color rgb="002B2B2B"/>
              <sz val="10"/>
            </rPr>
            <t>f</t>
          </r>
          <r>
            <rPr>
              <rFont val="Calibri"/>
              <i val="1"/>
              <color rgb="002B2B2B"/>
              <sz val="10"/>
              <vertAlign val="subscript"/>
            </rPr>
            <t>sc</t>
          </r>
        </is>
      </c>
      <c r="E95" s="43">
        <f>IF(inputs_ok,MAX(-f_yd,MIN(f_yd,200000*0.0035*(x_lim-d_2)/x_lim)),NA())</f>
        <v/>
      </c>
      <c r="F95" s="28" t="inlineStr">
        <is>
          <t>MPa</t>
        </is>
      </c>
      <c r="G95" s="23" t="n"/>
    </row>
    <row r="96" ht="17" customHeight="1">
      <c r="B96" s="23" t="n"/>
      <c r="C96" s="24" t="inlineStr">
        <is>
          <t>Net of the concrete displaced  (bars inside the block: − fcd)</t>
        </is>
      </c>
      <c r="D96" s="27" t="inlineStr">
        <is>
          <r>
            <rPr>
              <rFont val="Calibri"/>
              <i val="1"/>
              <color rgb="002B2B2B"/>
              <sz val="10"/>
            </rPr>
            <t>f</t>
          </r>
          <r>
            <rPr>
              <rFont val="Calibri"/>
              <i val="1"/>
              <color rgb="002B2B2B"/>
              <sz val="10"/>
              <vertAlign val="subscript"/>
            </rPr>
            <t>sc,net</t>
          </r>
        </is>
      </c>
      <c r="E96" s="43">
        <f>IF(inputs_ok,f_sc-IF(d_2&lt;0.8*x_lim,f_cd,0),NA())</f>
        <v/>
      </c>
      <c r="F96" s="28" t="inlineStr">
        <is>
          <t>MPa</t>
        </is>
      </c>
      <c r="G96" s="23" t="n"/>
    </row>
    <row r="97" ht="17" customHeight="1">
      <c r="B97" s="23" t="n"/>
      <c r="C97" s="24" t="inlineStr">
        <is>
          <t>Compression reinforcement  (MEd − Mlim) / (fsc,net (d − d2))</t>
        </is>
      </c>
      <c r="D97" s="27" t="inlineStr">
        <is>
          <r>
            <rPr>
              <rFont val="Calibri"/>
              <i val="1"/>
              <color rgb="002B2B2B"/>
              <sz val="10"/>
            </rPr>
            <t>A</t>
          </r>
          <r>
            <rPr>
              <rFont val="Calibri"/>
              <i val="1"/>
              <color rgb="002B2B2B"/>
              <sz val="10"/>
              <vertAlign val="subscript"/>
            </rPr>
            <t>s2,req</t>
          </r>
        </is>
      </c>
      <c r="E97" s="45">
        <f>IF(inputs_ok,IF(comp_bad,NA(),IF(dbl,(M_Ed-M_lim)*1E6/(fsc_net*(d_eff-d_2)),0)),NA())</f>
        <v/>
      </c>
      <c r="F97" s="28" t="inlineStr">
        <is>
          <t>mm²</t>
        </is>
      </c>
      <c r="G97" s="23" t="n"/>
    </row>
    <row r="98" ht="17" customHeight="1">
      <c r="B98" s="23" t="n"/>
      <c r="C98" s="24" t="inlineStr">
        <is>
          <t>Tension reinforcement  Fout/fyd + Mr/(fyd z);  doubly: (C_lim + As2 fsc,net)/fyd</t>
        </is>
      </c>
      <c r="D98" s="27" t="inlineStr">
        <is>
          <r>
            <rPr>
              <rFont val="Calibri"/>
              <i val="1"/>
              <color rgb="002B2B2B"/>
              <sz val="10"/>
            </rPr>
            <t>A</t>
          </r>
          <r>
            <rPr>
              <rFont val="Calibri"/>
              <i val="1"/>
              <color rgb="002B2B2B"/>
              <sz val="10"/>
              <vertAlign val="subscript"/>
            </rPr>
            <t>s1,req</t>
          </r>
        </is>
      </c>
      <c r="E98" s="45">
        <f>IF(inputs_ok,IF(comp_bad,NA(),IF(dbl,(C_lim*1000+A_s2req*fsc_net)/f_yd,F_out*1000/f_yd+M_Ed*1E6/(f_yd*z_b))),NA())</f>
        <v/>
      </c>
      <c r="F98" s="28" t="inlineStr">
        <is>
          <t>mm²</t>
        </is>
      </c>
      <c r="G98" s="23" t="n"/>
    </row>
    <row r="99" ht="17" customHeight="1">
      <c r="B99" s="23" t="n"/>
      <c r="C99" s="24" t="inlineStr">
        <is>
          <t>Gross area  b h</t>
        </is>
      </c>
      <c r="D99" s="27" t="inlineStr">
        <is>
          <r>
            <rPr>
              <rFont val="Calibri"/>
              <i val="1"/>
              <color rgb="002B2B2B"/>
              <sz val="10"/>
            </rPr>
            <t>A</t>
          </r>
          <r>
            <rPr>
              <rFont val="Calibri"/>
              <i val="1"/>
              <color rgb="002B2B2B"/>
              <sz val="10"/>
              <vertAlign val="subscript"/>
            </rPr>
            <t>c</t>
          </r>
        </is>
      </c>
      <c r="E99" s="42">
        <f>IF(inputs_ok,b_web*h_sec,NA())</f>
        <v/>
      </c>
      <c r="F99" s="28" t="inlineStr">
        <is>
          <t>mm²</t>
        </is>
      </c>
      <c r="G99" s="23" t="n"/>
    </row>
    <row r="100" ht="17" customHeight="1">
      <c r="B100" s="26" t="inlineStr">
        <is>
          <t>(9.1N)</t>
        </is>
      </c>
      <c r="C100" s="24" t="inlineStr">
        <is>
          <t>Minimum tension reinforcement  max(0.26 fctm/fyk; 0.0013) bt d</t>
        </is>
      </c>
      <c r="D100" s="27" t="inlineStr">
        <is>
          <r>
            <rPr>
              <rFont val="Calibri"/>
              <i val="1"/>
              <color rgb="002B2B2B"/>
              <sz val="10"/>
            </rPr>
            <t>A</t>
          </r>
          <r>
            <rPr>
              <rFont val="Calibri"/>
              <i val="1"/>
              <color rgb="002B2B2B"/>
              <sz val="10"/>
              <vertAlign val="subscript"/>
            </rPr>
            <t>s,min</t>
          </r>
        </is>
      </c>
      <c r="E100" s="42">
        <f>IF(inputs_ok,MAX(0.26*f_ctm/f_yk,0.0013)*b_t*d_eff,NA())</f>
        <v/>
      </c>
      <c r="F100" s="28" t="inlineStr">
        <is>
          <t>mm²</t>
        </is>
      </c>
      <c r="G100" s="23" t="n"/>
    </row>
    <row r="101" ht="17" customHeight="1">
      <c r="B101" s="26" t="inlineStr">
        <is>
          <t>9.2.1.1(3)</t>
        </is>
      </c>
      <c r="C101" s="24" t="inlineStr">
        <is>
          <t>Maximum reinforcement  0.04 Ac</t>
        </is>
      </c>
      <c r="D101" s="27" t="inlineStr">
        <is>
          <r>
            <rPr>
              <rFont val="Calibri"/>
              <i val="1"/>
              <color rgb="002B2B2B"/>
              <sz val="10"/>
            </rPr>
            <t>A</t>
          </r>
          <r>
            <rPr>
              <rFont val="Calibri"/>
              <i val="1"/>
              <color rgb="002B2B2B"/>
              <sz val="10"/>
              <vertAlign val="subscript"/>
            </rPr>
            <t>s,max</t>
          </r>
        </is>
      </c>
      <c r="E101" s="42">
        <f>IF(inputs_ok,0.04*A_c,NA())</f>
        <v/>
      </c>
      <c r="F101" s="28" t="inlineStr">
        <is>
          <t>mm²</t>
        </is>
      </c>
      <c r="G101" s="26" t="inlineStr">
        <is>
          <t>Outside lap locations</t>
        </is>
      </c>
    </row>
    <row r="102" ht="17" customHeight="1">
      <c r="B102" s="23" t="n"/>
      <c r="C102" s="24" t="inlineStr">
        <is>
          <t>Tension bars provided  n π φ² / 4</t>
        </is>
      </c>
      <c r="D102" s="27" t="inlineStr">
        <is>
          <r>
            <rPr>
              <rFont val="Calibri"/>
              <i val="1"/>
              <color rgb="002B2B2B"/>
              <sz val="10"/>
            </rPr>
            <t>A</t>
          </r>
          <r>
            <rPr>
              <rFont val="Calibri"/>
              <i val="1"/>
              <color rgb="002B2B2B"/>
              <sz val="10"/>
              <vertAlign val="subscript"/>
            </rPr>
            <t>s1,prov</t>
          </r>
        </is>
      </c>
      <c r="E102" s="42">
        <f>IF(inputs_ok,n_bars*PI()*phi^2/4,NA())</f>
        <v/>
      </c>
      <c r="F102" s="28" t="inlineStr">
        <is>
          <t>mm²</t>
        </is>
      </c>
      <c r="G102" s="23" t="n"/>
    </row>
    <row r="103" ht="17" customHeight="1">
      <c r="B103" s="23" t="n"/>
      <c r="C103" s="24" t="inlineStr">
        <is>
          <t>Compression bars provided  n2 π φ2² / 4</t>
        </is>
      </c>
      <c r="D103" s="27" t="inlineStr">
        <is>
          <r>
            <rPr>
              <rFont val="Calibri"/>
              <i val="1"/>
              <color rgb="002B2B2B"/>
              <sz val="10"/>
            </rPr>
            <t>A</t>
          </r>
          <r>
            <rPr>
              <rFont val="Calibri"/>
              <i val="1"/>
              <color rgb="002B2B2B"/>
              <sz val="10"/>
              <vertAlign val="subscript"/>
            </rPr>
            <t>s2,prov</t>
          </r>
        </is>
      </c>
      <c r="E103" s="42">
        <f>IF(inputs_ok,n_2*PI()*phi_2^2/4,NA())</f>
        <v/>
      </c>
      <c r="F103" s="28" t="inlineStr">
        <is>
          <t>mm²</t>
        </is>
      </c>
      <c r="G103" s="23" t="n"/>
    </row>
    <row r="104" ht="17" customHeight="1">
      <c r="B104" s="26" t="inlineStr">
        <is>
          <t>5.5(4)</t>
        </is>
      </c>
      <c r="C104" s="24" t="inlineStr">
        <is>
          <t>Bars provided, tension force  As,prov fyd</t>
        </is>
      </c>
      <c r="D104" s="27" t="inlineStr">
        <is>
          <r>
            <rPr>
              <rFont val="Calibri"/>
              <i val="1"/>
              <color rgb="002B2B2B"/>
              <sz val="10"/>
            </rPr>
            <t>T</t>
          </r>
        </is>
      </c>
      <c r="E104" s="43">
        <f>IF(inputs_ok,A_s1prov*f_yd/1000,NA())</f>
        <v/>
      </c>
      <c r="F104" s="28" t="inlineStr">
        <is>
          <t>kN</t>
        </is>
      </c>
      <c r="G104" s="23" t="n"/>
    </row>
    <row r="105" ht="17" customHeight="1">
      <c r="B105" s="26" t="inlineStr">
        <is>
          <t>5.5(4)</t>
        </is>
      </c>
      <c r="C105" s="24" t="inlineStr">
        <is>
          <t>Compression at x_lim  C_lim + As2,prov fsc,net  (T ≤ this: x ≤ x_lim)</t>
        </is>
      </c>
      <c r="D105" s="27" t="inlineStr">
        <is>
          <r>
            <rPr>
              <rFont val="Calibri"/>
              <i val="1"/>
              <color rgb="002B2B2B"/>
              <sz val="10"/>
            </rPr>
            <t>C</t>
          </r>
        </is>
      </c>
      <c r="E105" s="43">
        <f>IF(inputs_ok,C_lim+A_s2prov*fsc_net/1000,NA())</f>
        <v/>
      </c>
      <c r="F105" s="28" t="inlineStr">
        <is>
          <t>kN</t>
        </is>
      </c>
      <c r="G105" s="26" t="inlineStr">
        <is>
          <t>Checked when δ &lt; 1</t>
        </is>
      </c>
    </row>
    <row r="106" ht="17" customHeight="1">
      <c r="B106" s="26" t="inlineStr">
        <is>
          <t>6.1, 9.2.1.1</t>
        </is>
      </c>
      <c r="C106" s="24" t="inlineStr">
        <is>
          <t>As,prov ≥ max(As,req; As,min), ≤ As,max, As2 ≥ As2,req; δ &lt; 1: x ≤ x_lim</t>
        </is>
      </c>
      <c r="D106" s="23" t="n"/>
      <c r="E106" s="42">
        <f>IF(inputs_ok,A_s1prov,NA())</f>
        <v/>
      </c>
      <c r="F106" s="28" t="inlineStr">
        <is>
          <t>mm²</t>
        </is>
      </c>
      <c r="G106" s="31">
        <f>IF(NOT(inputs_ok),"FAIL",IF(bend_ok,"OK","FAIL"))</f>
        <v/>
      </c>
    </row>
    <row r="107"/>
    <row r="108" ht="22" customHeight="1">
      <c r="B108" s="20" t="inlineStr">
        <is>
          <t>Calculation  ·  detailing</t>
        </is>
      </c>
      <c r="C108" s="21" t="n"/>
      <c r="D108" s="21" t="n"/>
      <c r="E108" s="21" t="n"/>
      <c r="F108" s="21" t="n"/>
      <c r="G108" s="21" t="n"/>
    </row>
    <row r="109" ht="17" customHeight="1">
      <c r="B109" s="26" t="inlineStr">
        <is>
          <t>8.2(2)</t>
        </is>
      </c>
      <c r="C109" s="24" t="inlineStr">
        <is>
          <t>Minimum clear gap, tension bars  max(φ; dg + 5; 20)</t>
        </is>
      </c>
      <c r="D109" s="27" t="inlineStr">
        <is>
          <r>
            <rPr>
              <rFont val="Calibri"/>
              <i val="1"/>
              <color rgb="002B2B2B"/>
              <sz val="10"/>
            </rPr>
            <t>a</t>
          </r>
          <r>
            <rPr>
              <rFont val="Calibri"/>
              <i val="1"/>
              <color rgb="002B2B2B"/>
              <sz val="10"/>
              <vertAlign val="subscript"/>
            </rPr>
            <t>min,1</t>
          </r>
        </is>
      </c>
      <c r="E109" s="42">
        <f>IF(inputs_ok,MAX(phi,d_g+5,20),NA())</f>
        <v/>
      </c>
      <c r="F109" s="28" t="inlineStr">
        <is>
          <t>mm</t>
        </is>
      </c>
      <c r="G109" s="23" t="n"/>
    </row>
    <row r="110" ht="17" customHeight="1">
      <c r="B110" s="26" t="inlineStr">
        <is>
          <t>8.2(2)</t>
        </is>
      </c>
      <c r="C110" s="24" t="inlineStr">
        <is>
          <t>Minimum clear gap, compression bars  max(φ2; dg + 5; 20)</t>
        </is>
      </c>
      <c r="D110" s="27" t="inlineStr">
        <is>
          <r>
            <rPr>
              <rFont val="Calibri"/>
              <i val="1"/>
              <color rgb="002B2B2B"/>
              <sz val="10"/>
            </rPr>
            <t>a</t>
          </r>
          <r>
            <rPr>
              <rFont val="Calibri"/>
              <i val="1"/>
              <color rgb="002B2B2B"/>
              <sz val="10"/>
              <vertAlign val="subscript"/>
            </rPr>
            <t>min,2</t>
          </r>
        </is>
      </c>
      <c r="E110" s="42">
        <f>IF(inputs_ok,MAX(phi_2,d_g+5,20),NA())</f>
        <v/>
      </c>
      <c r="F110" s="28" t="inlineStr">
        <is>
          <t>mm</t>
        </is>
      </c>
      <c r="G110" s="23" t="n"/>
    </row>
    <row r="111" ht="17" customHeight="1">
      <c r="B111" s="23" t="n"/>
      <c r="C111" s="24" t="inlineStr">
        <is>
          <t>Clear gap, tension bars  (bw − 2c − 2φw − nφ)/(n − 1)</t>
        </is>
      </c>
      <c r="D111" s="27" t="inlineStr">
        <is>
          <r>
            <rPr>
              <rFont val="Calibri"/>
              <i val="1"/>
              <color rgb="002B2B2B"/>
              <sz val="10"/>
            </rPr>
            <t>a</t>
          </r>
          <r>
            <rPr>
              <rFont val="Calibri"/>
              <i val="1"/>
              <color rgb="002B2B2B"/>
              <sz val="10"/>
              <vertAlign val="subscript"/>
            </rPr>
            <t>1</t>
          </r>
        </is>
      </c>
      <c r="E111" s="42">
        <f>IF(inputs_ok,(b_w-2*c_nom-2*phi_w-n_bars*phi)/(n_bars-1),NA())</f>
        <v/>
      </c>
      <c r="F111" s="28" t="inlineStr">
        <is>
          <t>mm</t>
        </is>
      </c>
      <c r="G111" s="23" t="n"/>
    </row>
    <row r="112" ht="17" customHeight="1">
      <c r="B112" s="23" t="n"/>
      <c r="C112" s="24" t="inlineStr">
        <is>
          <t>Clear gap, compression bars</t>
        </is>
      </c>
      <c r="D112" s="27" t="inlineStr">
        <is>
          <r>
            <rPr>
              <rFont val="Calibri"/>
              <i val="1"/>
              <color rgb="002B2B2B"/>
              <sz val="10"/>
            </rPr>
            <t>a</t>
          </r>
          <r>
            <rPr>
              <rFont val="Calibri"/>
              <i val="1"/>
              <color rgb="002B2B2B"/>
              <sz val="10"/>
              <vertAlign val="subscript"/>
            </rPr>
            <t>2</t>
          </r>
        </is>
      </c>
      <c r="E112" s="42">
        <f>IF(inputs_ok,IF(n_2&gt;=2,(b_w-2*c_nom-2*phi_w-n_2*phi_2)/(n_2-1),0),NA())</f>
        <v/>
      </c>
      <c r="F112" s="28" t="inlineStr">
        <is>
          <t>mm</t>
        </is>
      </c>
      <c r="G112" s="23" t="n"/>
    </row>
    <row r="113" ht="17" customHeight="1">
      <c r="B113" s="26" t="inlineStr">
        <is>
          <t>8.2(2)</t>
        </is>
      </c>
      <c r="C113" s="24" t="inlineStr">
        <is>
          <t>Vertical clear distance between layers  h − 2c − 2φw − φ − φ2</t>
        </is>
      </c>
      <c r="D113" s="27" t="inlineStr">
        <is>
          <r>
            <rPr>
              <rFont val="Calibri"/>
              <i val="1"/>
              <color rgb="002B2B2B"/>
              <sz val="10"/>
            </rPr>
            <t>a</t>
          </r>
          <r>
            <rPr>
              <rFont val="Calibri"/>
              <i val="1"/>
              <color rgb="002B2B2B"/>
              <sz val="10"/>
              <vertAlign val="subscript"/>
            </rPr>
            <t>v</t>
          </r>
        </is>
      </c>
      <c r="E113" s="42">
        <f>IF(inputs_ok,h_sec-2*c_nom-2*phi_w-phi-phi_2,NA())</f>
        <v/>
      </c>
      <c r="F113" s="28" t="inlineStr">
        <is>
          <t>mm</t>
        </is>
      </c>
      <c r="G113" s="23" t="n"/>
    </row>
    <row r="114" ht="17" customHeight="1">
      <c r="B114" s="26" t="inlineStr">
        <is>
          <t>8.2(2)</t>
        </is>
      </c>
      <c r="C114" s="24" t="inlineStr">
        <is>
          <t>Minimum vertical clear distance  max(φ; φ2; dg + 5; 20)</t>
        </is>
      </c>
      <c r="D114" s="27" t="inlineStr">
        <is>
          <r>
            <rPr>
              <rFont val="Calibri"/>
              <i val="1"/>
              <color rgb="002B2B2B"/>
              <sz val="10"/>
            </rPr>
            <t>a</t>
          </r>
          <r>
            <rPr>
              <rFont val="Calibri"/>
              <i val="1"/>
              <color rgb="002B2B2B"/>
              <sz val="10"/>
              <vertAlign val="subscript"/>
            </rPr>
            <t>min,v</t>
          </r>
        </is>
      </c>
      <c r="E114" s="42">
        <f>IF(inputs_ok,MAX(phi,phi_2,d_g+5,20),NA())</f>
        <v/>
      </c>
      <c r="F114" s="28" t="inlineStr">
        <is>
          <t>mm</t>
        </is>
      </c>
      <c r="G114" s="23" t="n"/>
    </row>
    <row r="115" ht="17" customHeight="1">
      <c r="B115" s="26" t="inlineStr">
        <is>
          <t>8.2(2)</t>
        </is>
      </c>
      <c r="C115" s="24" t="inlineStr">
        <is>
          <t>Bars fit in one layer each, layers apart</t>
        </is>
      </c>
      <c r="D115" s="27" t="inlineStr">
        <is>
          <r>
            <rPr>
              <rFont val="Calibri"/>
              <i val="1"/>
              <color rgb="002B2B2B"/>
              <sz val="10"/>
            </rPr>
            <t>a</t>
          </r>
          <r>
            <rPr>
              <rFont val="Calibri"/>
              <i val="1"/>
              <color rgb="002B2B2B"/>
              <sz val="10"/>
              <vertAlign val="subscript"/>
            </rPr>
            <t>1</t>
          </r>
        </is>
      </c>
      <c r="E115" s="42">
        <f>IF(inputs_ok,gap_1,NA())</f>
        <v/>
      </c>
      <c r="F115" s="28" t="inlineStr">
        <is>
          <t>mm</t>
        </is>
      </c>
      <c r="G115" s="31">
        <f>IF(NOT(inputs_ok),"FAIL",IF(det_ok,"OK","FAIL"))</f>
        <v/>
      </c>
    </row>
    <row r="116"/>
    <row r="117" ht="22" customHeight="1">
      <c r="B117" s="20" t="inlineStr">
        <is>
          <t>Calculation  ·  serviceability stress and deflection  (7.4.2)</t>
        </is>
      </c>
      <c r="C117" s="21" t="n"/>
      <c r="D117" s="21" t="n"/>
      <c r="E117" s="21" t="n"/>
      <c r="F117" s="21" t="n"/>
      <c r="G117" s="21" t="n"/>
    </row>
    <row r="118" ht="17" customHeight="1">
      <c r="B118" s="26" t="inlineStr">
        <is>
          <t>EN 1990 A1.1</t>
        </is>
      </c>
      <c r="C118" s="24" t="inlineStr">
        <is>
          <t>ψ2 for the category of use</t>
        </is>
      </c>
      <c r="D118" s="27" t="inlineStr">
        <is>
          <r>
            <rPr>
              <rFont val="Calibri"/>
              <i val="1"/>
              <color rgb="002B2B2B"/>
              <sz val="10"/>
            </rPr>
            <t>ψ</t>
          </r>
          <r>
            <rPr>
              <rFont val="Calibri"/>
              <i val="1"/>
              <color rgb="002B2B2B"/>
              <sz val="10"/>
              <vertAlign val="subscript"/>
            </rPr>
            <t>2</t>
          </r>
        </is>
      </c>
      <c r="E118" s="41">
        <f>IF(inputs_ok,IF(usage="Other  (enter ψ2)",psi2_in,CHOOSE(usage_i,0.3,0.3,0.6,0.6,0.8,0.6,0.3,0.0)),NA())</f>
        <v/>
      </c>
      <c r="F118" s="23" t="n"/>
      <c r="G118" s="23" t="n"/>
    </row>
    <row r="119" ht="17" customHeight="1">
      <c r="B119" s="26" t="inlineStr">
        <is>
          <t>7.4.2(2)</t>
        </is>
      </c>
      <c r="C119" s="24" t="inlineStr">
        <is>
          <t>Quasi-permanent / ULS load  (gk + ψ2 qk)/(γG gk + γQ qk)</t>
        </is>
      </c>
      <c r="D119" s="23" t="n"/>
      <c r="E119" s="44">
        <f>IF(inputs_ok,(g_k+psi_2c*q_k)/(gamma_G*g_k+gamma_Q*q_k),NA())</f>
        <v/>
      </c>
      <c r="F119" s="23" t="n"/>
      <c r="G119" s="23" t="n"/>
    </row>
    <row r="120" ht="17" customHeight="1">
      <c r="B120" s="23" t="n"/>
      <c r="C120" s="24" t="inlineStr">
        <is>
          <t>Tension steel for the ratios  max(As,req; As,min)</t>
        </is>
      </c>
      <c r="D120" s="27" t="inlineStr">
        <is>
          <r>
            <rPr>
              <rFont val="Calibri"/>
              <i val="1"/>
              <color rgb="002B2B2B"/>
              <sz val="10"/>
            </rPr>
            <t>A</t>
          </r>
          <r>
            <rPr>
              <rFont val="Calibri"/>
              <i val="1"/>
              <color rgb="002B2B2B"/>
              <sz val="10"/>
              <vertAlign val="subscript"/>
            </rPr>
            <t>s,req</t>
          </r>
        </is>
      </c>
      <c r="E120" s="42">
        <f>IF(inputs_ok,MAX(A_s1req,A_smin),NA())</f>
        <v/>
      </c>
      <c r="F120" s="28" t="inlineStr">
        <is>
          <t>mm²</t>
        </is>
      </c>
      <c r="G120" s="23" t="n"/>
    </row>
    <row r="121" ht="17" customHeight="1">
      <c r="B121" s="26" t="inlineStr">
        <is>
          <t>7.4.2(2), 7.3.3</t>
        </is>
      </c>
      <c r="C121" s="24" t="inlineStr">
        <is>
          <t>Steel stress, quasi-permanent  fyd × ratio × As,req / As,prov / δ</t>
        </is>
      </c>
      <c r="D121" s="27" t="inlineStr">
        <is>
          <r>
            <rPr>
              <rFont val="Calibri"/>
              <i val="1"/>
              <color rgb="002B2B2B"/>
              <sz val="10"/>
            </rPr>
            <t>σ</t>
          </r>
          <r>
            <rPr>
              <rFont val="Calibri"/>
              <i val="1"/>
              <color rgb="002B2B2B"/>
              <sz val="10"/>
              <vertAlign val="subscript"/>
            </rPr>
            <t>s</t>
          </r>
        </is>
      </c>
      <c r="E121" s="46">
        <f>IF(inputs_ok,f_yd*qp*As_d/A_s1prov/delta_r,NA())</f>
        <v/>
      </c>
      <c r="F121" s="28" t="inlineStr">
        <is>
          <t>MPa</t>
        </is>
      </c>
      <c r="G121" s="23" t="n"/>
    </row>
    <row r="122" ht="17" customHeight="1">
      <c r="B122" s="26" t="inlineStr">
        <is>
          <t>Table 7.4N</t>
        </is>
      </c>
      <c r="C122" s="24" t="inlineStr">
        <is>
          <t>K for the section location</t>
        </is>
      </c>
      <c r="D122" s="27" t="inlineStr">
        <is>
          <r>
            <rPr>
              <rFont val="Calibri"/>
              <i val="1"/>
              <color rgb="002B2B2B"/>
              <sz val="10"/>
            </rPr>
            <t>K</t>
          </r>
        </is>
      </c>
      <c r="E122" s="43">
        <f>IF(inputs_ok,IF(span,CHOOSE(loc_i,1.0,1.3,1.5,0.4),"n/a"),NA())</f>
        <v/>
      </c>
      <c r="F122" s="23" t="n"/>
      <c r="G122" s="23" t="n"/>
    </row>
    <row r="123" ht="17" customHeight="1">
      <c r="B123" s="26" t="inlineStr">
        <is>
          <t>(7.16)</t>
        </is>
      </c>
      <c r="C123" s="24" t="inlineStr">
        <is>
          <t>Reference ratio  ρ0 = √fck · 10⁻³</t>
        </is>
      </c>
      <c r="D123" s="27" t="inlineStr">
        <is>
          <r>
            <rPr>
              <rFont val="Calibri"/>
              <i val="1"/>
              <color rgb="002B2B2B"/>
              <sz val="10"/>
            </rPr>
            <t>ρ</t>
          </r>
          <r>
            <rPr>
              <rFont val="Calibri"/>
              <i val="1"/>
              <color rgb="002B2B2B"/>
              <sz val="10"/>
              <vertAlign val="subscript"/>
            </rPr>
            <t>0</t>
          </r>
        </is>
      </c>
      <c r="E123" s="47">
        <f>IF(inputs_ok,SQRT(f_ck)/1000,NA())</f>
        <v/>
      </c>
      <c r="F123" s="23" t="n"/>
      <c r="G123" s="23" t="n"/>
    </row>
    <row r="124" ht="17" customHeight="1">
      <c r="B124" s="26" t="inlineStr">
        <is>
          <t>(7.16)</t>
        </is>
      </c>
      <c r="C124" s="24" t="inlineStr">
        <is>
          <t>Tension reinforcement ratio  As,req / (b d)</t>
        </is>
      </c>
      <c r="D124" s="27" t="inlineStr">
        <is>
          <r>
            <rPr>
              <rFont val="Calibri"/>
              <i val="1"/>
              <color rgb="002B2B2B"/>
              <sz val="10"/>
            </rPr>
            <t>ρ</t>
          </r>
        </is>
      </c>
      <c r="E124" s="47">
        <f>IF(inputs_ok,As_d/A_rho,NA())</f>
        <v/>
      </c>
      <c r="F124" s="23" t="n"/>
      <c r="G124" s="23" t="n"/>
    </row>
    <row r="125" ht="17" customHeight="1">
      <c r="B125" s="26" t="inlineStr">
        <is>
          <t>(7.16b)</t>
        </is>
      </c>
      <c r="C125" s="24" t="inlineStr">
        <is>
          <t>Compression reinforcement ratio  As2,req / (b d)</t>
        </is>
      </c>
      <c r="D125" s="27" t="inlineStr">
        <is>
          <r>
            <rPr>
              <rFont val="Calibri"/>
              <i val="1"/>
              <color rgb="002B2B2B"/>
              <sz val="10"/>
            </rPr>
            <t>ρ'</t>
          </r>
        </is>
      </c>
      <c r="E125" s="47">
        <f>IF(inputs_ok,A_s2req/A_rho,NA())</f>
        <v/>
      </c>
      <c r="F125" s="23" t="n"/>
      <c r="G125" s="23" t="n"/>
    </row>
    <row r="126" ht="17" customHeight="1">
      <c r="B126" s="26" t="inlineStr">
        <is>
          <t>(7.16a), (7.16b)</t>
        </is>
      </c>
      <c r="C126" s="24" t="inlineStr">
        <is>
          <t>Basic span / effective depth ratio</t>
        </is>
      </c>
      <c r="D126" s="27" t="inlineStr">
        <is>
          <r>
            <rPr>
              <rFont val="Calibri"/>
              <i val="1"/>
              <color rgb="002B2B2B"/>
              <sz val="10"/>
            </rPr>
            <t>l/d</t>
          </r>
        </is>
      </c>
      <c r="E126" s="43">
        <f>IF(inputs_ok,IF(span,K_d*IF(rho_t&lt;=rho_0,11+1.5*SQRT(f_ck)*rho_0/rho_t+3.2*SQRT(f_ck)*(rho_0/rho_t-1)^1.5,11+1.5*SQRT(f_ck)*rho_0/(rho_t-rho_c)+SQRT(f_ck)/12*SQRT(rho_c/rho_0)),"n/a"),NA())</f>
        <v/>
      </c>
      <c r="F126" s="23" t="n"/>
      <c r="G126" s="23" t="n"/>
    </row>
    <row r="127" ht="17" customHeight="1">
      <c r="B127" s="26" t="inlineStr">
        <is>
          <t>7.4.2(2)</t>
        </is>
      </c>
      <c r="C127" s="24" t="inlineStr">
        <is>
          <t>Brittle partitions: 7 / l over 7 m  (flat slab: 8.5 / l over 8.5 m)</t>
        </is>
      </c>
      <c r="D127" s="27" t="inlineStr">
        <is>
          <r>
            <rPr>
              <rFont val="Calibri"/>
              <i val="1"/>
              <color rgb="002B2B2B"/>
              <sz val="10"/>
            </rPr>
            <t>F</t>
          </r>
          <r>
            <rPr>
              <rFont val="Calibri"/>
              <i val="1"/>
              <color rgb="002B2B2B"/>
              <sz val="10"/>
              <vertAlign val="subscript"/>
            </rPr>
            <t>2</t>
          </r>
        </is>
      </c>
      <c r="E127" s="44">
        <f>IF(inputs_ok,IF(span,IF(partitions="No",1,IF(loc="Flat slab span",IF(L_span&gt;8.5,8.5/L_span,1),IF(L_span&gt;7,7/L_span,1))),"n/a"),NA())</f>
        <v/>
      </c>
      <c r="F127" s="23" t="n"/>
      <c r="G127" s="23" t="n"/>
    </row>
    <row r="128" ht="17" customHeight="1">
      <c r="B128" s="26" t="inlineStr">
        <is>
          <t>(7.17)</t>
        </is>
      </c>
      <c r="C128" s="24" t="inlineStr">
        <is>
          <t>Steel stress factor  310 / σs  (σs ≥ 1 MPa;  UK NA: ≤ 1.5)</t>
        </is>
      </c>
      <c r="D128" s="27" t="inlineStr">
        <is>
          <r>
            <rPr>
              <rFont val="Calibri"/>
              <i val="1"/>
              <color rgb="002B2B2B"/>
              <sz val="10"/>
            </rPr>
            <t>F</t>
          </r>
          <r>
            <rPr>
              <rFont val="Calibri"/>
              <i val="1"/>
              <color rgb="002B2B2B"/>
              <sz val="10"/>
              <vertAlign val="subscript"/>
            </rPr>
            <t>3</t>
          </r>
        </is>
      </c>
      <c r="E128" s="44">
        <f>IF(inputs_ok,IF(ld_mod_max&gt;0,MIN(ld_mod_max,310/MAX(1,sig_cr)),310/MAX(1,sig_cr)),NA())</f>
        <v/>
      </c>
      <c r="F128" s="23" t="n"/>
      <c r="G128" s="23" t="n"/>
    </row>
    <row r="129" ht="17" customHeight="1">
      <c r="B129" s="26" t="inlineStr">
        <is>
          <t>7.4.2</t>
        </is>
      </c>
      <c r="C129" s="24" t="inlineStr">
        <is>
          <t>Limiting span / effective depth  (UK NA: ≤ 40 K)</t>
        </is>
      </c>
      <c r="D129" s="27" t="inlineStr">
        <is>
          <r>
            <rPr>
              <rFont val="Calibri"/>
              <i val="1"/>
              <color rgb="002B2B2B"/>
              <sz val="10"/>
            </rPr>
            <t>l/d</t>
          </r>
          <r>
            <rPr>
              <rFont val="Calibri"/>
              <i val="1"/>
              <color rgb="002B2B2B"/>
              <sz val="10"/>
              <vertAlign val="subscript"/>
            </rPr>
            <t>lim</t>
          </r>
        </is>
      </c>
      <c r="E129" s="46">
        <f>IF(inputs_ok,IF(span,IF(ld_cap_40K=1,MIN(40*K_d,ld_basic*F_1*F_2*F_3),ld_basic*F_1*F_2*F_3),"n/a"),NA())</f>
        <v/>
      </c>
      <c r="F129" s="23" t="n"/>
      <c r="G129" s="23" t="n"/>
    </row>
    <row r="130" ht="17" customHeight="1">
      <c r="B130" s="23" t="n"/>
      <c r="C130" s="24" t="inlineStr">
        <is>
          <t>Actual span / effective depth</t>
        </is>
      </c>
      <c r="D130" s="27" t="inlineStr">
        <is>
          <r>
            <rPr>
              <rFont val="Calibri"/>
              <i val="1"/>
              <color rgb="002B2B2B"/>
              <sz val="10"/>
            </rPr>
            <t>l/d</t>
          </r>
        </is>
      </c>
      <c r="E130" s="46">
        <f>IF(inputs_ok,IF(span,L_span*1000/d_eff,"n/a"),NA())</f>
        <v/>
      </c>
      <c r="F130" s="23" t="n"/>
      <c r="G130" s="23" t="n"/>
    </row>
    <row r="131" ht="17" customHeight="1">
      <c r="B131" s="26" t="inlineStr">
        <is>
          <t>7.4.2</t>
        </is>
      </c>
      <c r="C131" s="24" t="inlineStr">
        <is>
          <t>Deflection  l/d ≤ limiting l/d  (support: not checked)</t>
        </is>
      </c>
      <c r="D131" s="27" t="inlineStr">
        <is>
          <r>
            <rPr>
              <rFont val="Calibri"/>
              <i val="1"/>
              <color rgb="002B2B2B"/>
              <sz val="10"/>
            </rPr>
            <t>l/d</t>
          </r>
        </is>
      </c>
      <c r="E131" s="43">
        <f>IF(inputs_ok,ld_act,NA())</f>
        <v/>
      </c>
      <c r="F131" s="23" t="n"/>
      <c r="G131" s="31">
        <f>IF(NOT(inputs_ok),"FAIL",IF(defl_ok,"OK","FAIL"))</f>
        <v/>
      </c>
    </row>
    <row r="132"/>
    <row r="133" ht="22" customHeight="1">
      <c r="B133" s="20" t="inlineStr">
        <is>
          <t>Calculation  ·  cracking without direct calculation  (7.3.3)</t>
        </is>
      </c>
      <c r="C133" s="21" t="n"/>
      <c r="D133" s="21" t="n"/>
      <c r="E133" s="21" t="n"/>
      <c r="F133" s="21" t="n"/>
      <c r="G133" s="21" t="n"/>
    </row>
    <row r="134" ht="17" customHeight="1">
      <c r="B134" s="26" t="inlineStr">
        <is>
          <t>7.3.2(2)</t>
        </is>
      </c>
      <c r="C134" s="24" t="inlineStr">
        <is>
          <t>Tensile strength when the cracks form  fct,eff = fctm</t>
        </is>
      </c>
      <c r="D134" s="27" t="inlineStr">
        <is>
          <r>
            <rPr>
              <rFont val="Calibri"/>
              <i val="1"/>
              <color rgb="002B2B2B"/>
              <sz val="10"/>
            </rPr>
            <t>f</t>
          </r>
          <r>
            <rPr>
              <rFont val="Calibri"/>
              <i val="1"/>
              <color rgb="002B2B2B"/>
              <sz val="10"/>
              <vertAlign val="subscript"/>
            </rPr>
            <t>ct,eff</t>
          </r>
        </is>
      </c>
      <c r="E134" s="41">
        <f>IF(inputs_ok,f_ctm,NA())</f>
        <v/>
      </c>
      <c r="F134" s="28" t="inlineStr">
        <is>
          <t>MPa</t>
        </is>
      </c>
      <c r="G134" s="23" t="n"/>
    </row>
    <row r="135" ht="17" customHeight="1">
      <c r="B135" s="26" t="inlineStr">
        <is>
          <t>(7.6N)</t>
        </is>
      </c>
      <c r="C135" s="24" t="inlineStr">
        <is>
          <t>Tension zone before cracking  h/2</t>
        </is>
      </c>
      <c r="D135" s="27" t="inlineStr">
        <is>
          <r>
            <rPr>
              <rFont val="Calibri"/>
              <i val="1"/>
              <color rgb="002B2B2B"/>
              <sz val="10"/>
            </rPr>
            <t>h</t>
          </r>
          <r>
            <rPr>
              <rFont val="Calibri"/>
              <i val="1"/>
              <color rgb="002B2B2B"/>
              <sz val="10"/>
              <vertAlign val="subscript"/>
            </rPr>
            <t>cr</t>
          </r>
        </is>
      </c>
      <c r="E135" s="42">
        <f>IF(inputs_ok,h_sec/2,NA())</f>
        <v/>
      </c>
      <c r="F135" s="28" t="inlineStr">
        <is>
          <t>mm</t>
        </is>
      </c>
      <c r="G135" s="23" t="n"/>
    </row>
    <row r="136" ht="17" customHeight="1">
      <c r="B136" s="26" t="inlineStr">
        <is>
          <t>(7.6N)</t>
        </is>
      </c>
      <c r="C136" s="24" t="inlineStr">
        <is>
          <t>Bar size factor  (fct,eff / 2.9) kc hcr / (2 (h − d)),  kc = 0.4</t>
        </is>
      </c>
      <c r="D136" s="23" t="n"/>
      <c r="E136" s="44">
        <f>IF(inputs_ok,fct_eff/2.9*0.4*h_cr/(2*(h_sec-d_eff)),NA())</f>
        <v/>
      </c>
      <c r="F136" s="23" t="n"/>
      <c r="G136" s="23" t="n"/>
    </row>
    <row r="137" ht="17" customHeight="1">
      <c r="B137" s="26" t="inlineStr">
        <is>
          <t>Table 7.2N</t>
        </is>
      </c>
      <c r="C137" s="24" t="inlineStr">
        <is>
          <t>Maximum bar size from the table at σs  φs*</t>
        </is>
      </c>
      <c r="D137" s="27" t="inlineStr">
        <is>
          <r>
            <rPr>
              <rFont val="Calibri"/>
              <i val="1"/>
              <color rgb="002B2B2B"/>
              <sz val="10"/>
            </rPr>
            <t>φ</t>
          </r>
          <r>
            <rPr>
              <rFont val="Calibri"/>
              <i val="1"/>
              <color rgb="002B2B2B"/>
              <sz val="10"/>
              <vertAlign val="subscript"/>
            </rPr>
            <t>s*</t>
          </r>
        </is>
      </c>
      <c r="E137" s="43">
        <f>IF(inputs_ok,IF(sig_cr&gt;450,0,IF(OR(INDEX(cr_phi,MATCH(MAX(160,sig_cr),cr_s,1))=0,AND(sig_cr&gt;INDEX(cr_s,MATCH(MAX(160,sig_cr),cr_s,1)),INDEX(cr_phi,MIN(MATCH(MAX(160,sig_cr),cr_s,1)+1,8))=0)),0,IF(INDEX(cr_s,MIN(MATCH(MAX(160,sig_cr),cr_s,1)+1,8))=INDEX(cr_s,MATCH(MAX(160,sig_cr),cr_s,1)),INDEX(cr_phi,MATCH(MAX(160,sig_cr),cr_s,1)),INDEX(cr_phi,MATCH(MAX(160,sig_cr),cr_s,1))+(INDEX(cr_phi,MIN(MATCH(MAX(160,sig_cr),cr_s,1)+1,8))-INDEX(cr_phi,MATCH(MAX(160,sig_cr),cr_s,1)))*(MAX(160,sig_cr)-INDEX(cr_s,MATCH(MAX(160,sig_cr),cr_s,1)))/(INDEX(cr_s,MIN(MATCH(MAX(160,sig_cr),cr_s,1)+1,8))-INDEX(cr_s,MATCH(MAX(160,sig_cr),cr_s,1)))))),NA())</f>
        <v/>
      </c>
      <c r="F137" s="28" t="inlineStr">
        <is>
          <t>mm</t>
        </is>
      </c>
      <c r="G137" s="26" t="inlineStr">
        <is>
          <t>0: no value in the table</t>
        </is>
      </c>
    </row>
    <row r="138" ht="17" customHeight="1">
      <c r="B138" s="26" t="inlineStr">
        <is>
          <t>(7.6N)</t>
        </is>
      </c>
      <c r="C138" s="24" t="inlineStr">
        <is>
          <t>Adjusted maximum bar size  φs* × factor</t>
        </is>
      </c>
      <c r="D138" s="27" t="inlineStr">
        <is>
          <r>
            <rPr>
              <rFont val="Calibri"/>
              <i val="1"/>
              <color rgb="002B2B2B"/>
              <sz val="10"/>
            </rPr>
            <t>φ</t>
          </r>
          <r>
            <rPr>
              <rFont val="Calibri"/>
              <i val="1"/>
              <color rgb="002B2B2B"/>
              <sz val="10"/>
              <vertAlign val="subscript"/>
            </rPr>
            <t>s</t>
          </r>
        </is>
      </c>
      <c r="E138" s="46">
        <f>IF(inputs_ok,phit_cr*cr_adj,NA())</f>
        <v/>
      </c>
      <c r="F138" s="28" t="inlineStr">
        <is>
          <t>mm</t>
        </is>
      </c>
      <c r="G138" s="23" t="n"/>
    </row>
    <row r="139" ht="17" customHeight="1">
      <c r="B139" s="26" t="inlineStr">
        <is>
          <t>Table 7.3N</t>
        </is>
      </c>
      <c r="C139" s="24" t="inlineStr">
        <is>
          <t>Maximum bar spacing at σs</t>
        </is>
      </c>
      <c r="D139" s="27" t="inlineStr">
        <is>
          <r>
            <rPr>
              <rFont val="Calibri"/>
              <i val="1"/>
              <color rgb="002B2B2B"/>
              <sz val="10"/>
            </rPr>
            <t>s</t>
          </r>
          <r>
            <rPr>
              <rFont val="Calibri"/>
              <i val="1"/>
              <color rgb="002B2B2B"/>
              <sz val="10"/>
              <vertAlign val="subscript"/>
            </rPr>
            <t>max</t>
          </r>
        </is>
      </c>
      <c r="E139" s="45">
        <f>IF(inputs_ok,IF(sig_cr&gt;450,0,IF(OR(INDEX(cr_sp,MATCH(MAX(160,sig_cr),cr_s,1))=0,AND(sig_cr&gt;INDEX(cr_s,MATCH(MAX(160,sig_cr),cr_s,1)),INDEX(cr_sp,MIN(MATCH(MAX(160,sig_cr),cr_s,1)+1,8))=0)),0,IF(INDEX(cr_s,MIN(MATCH(MAX(160,sig_cr),cr_s,1)+1,8))=INDEX(cr_s,MATCH(MAX(160,sig_cr),cr_s,1)),INDEX(cr_sp,MATCH(MAX(160,sig_cr),cr_s,1)),INDEX(cr_sp,MATCH(MAX(160,sig_cr),cr_s,1))+(INDEX(cr_sp,MIN(MATCH(MAX(160,sig_cr),cr_s,1)+1,8))-INDEX(cr_sp,MATCH(MAX(160,sig_cr),cr_s,1)))*(MAX(160,sig_cr)-INDEX(cr_s,MATCH(MAX(160,sig_cr),cr_s,1)))/(INDEX(cr_s,MIN(MATCH(MAX(160,sig_cr),cr_s,1)+1,8))-INDEX(cr_s,MATCH(MAX(160,sig_cr),cr_s,1)))))),NA())</f>
        <v/>
      </c>
      <c r="F139" s="28" t="inlineStr">
        <is>
          <t>mm</t>
        </is>
      </c>
      <c r="G139" s="26" t="inlineStr">
        <is>
          <t>0: no value in the table</t>
        </is>
      </c>
    </row>
    <row r="140" ht="17" customHeight="1">
      <c r="B140" s="23" t="n"/>
      <c r="C140" s="24" t="inlineStr">
        <is>
          <t>Bar spacing  (centres, one layer)</t>
        </is>
      </c>
      <c r="D140" s="27" t="inlineStr">
        <is>
          <r>
            <rPr>
              <rFont val="Calibri"/>
              <i val="1"/>
              <color rgb="002B2B2B"/>
              <sz val="10"/>
            </rPr>
            <t>s</t>
          </r>
        </is>
      </c>
      <c r="E140" s="42">
        <f>IF(inputs_ok,s_cr,NA())</f>
        <v/>
      </c>
      <c r="F140" s="28" t="inlineStr">
        <is>
          <t>mm</t>
        </is>
      </c>
      <c r="G140" s="23" t="n"/>
    </row>
    <row r="141" ht="17" customHeight="1">
      <c r="B141" s="26" t="inlineStr">
        <is>
          <t>Table 7.2N</t>
        </is>
      </c>
      <c r="C141" s="24" t="inlineStr">
        <is>
          <t>Bar size  φ ≤ φs</t>
        </is>
      </c>
      <c r="D141" s="27" t="inlineStr">
        <is>
          <r>
            <rPr>
              <rFont val="Calibri"/>
              <i val="1"/>
              <color rgb="002B2B2B"/>
              <sz val="10"/>
            </rPr>
            <t>φ</t>
          </r>
        </is>
      </c>
      <c r="E141" s="42">
        <f>IF(inputs_ok,phi,NA())</f>
        <v/>
      </c>
      <c r="F141" s="28" t="inlineStr">
        <is>
          <t>mm</t>
        </is>
      </c>
      <c r="G141" s="31">
        <f>IF(NOT(inputs_ok),"FAIL",IF(size_ok,"OK","FAIL"))</f>
        <v/>
      </c>
    </row>
    <row r="142" ht="17" customHeight="1">
      <c r="B142" s="26" t="inlineStr">
        <is>
          <t>Table 7.3N</t>
        </is>
      </c>
      <c r="C142" s="24" t="inlineStr">
        <is>
          <t>Bar spacing  s ≤ s_max</t>
        </is>
      </c>
      <c r="D142" s="27" t="inlineStr">
        <is>
          <r>
            <rPr>
              <rFont val="Calibri"/>
              <i val="1"/>
              <color rgb="002B2B2B"/>
              <sz val="10"/>
            </rPr>
            <t>s</t>
          </r>
        </is>
      </c>
      <c r="E142" s="42">
        <f>IF(inputs_ok,s_cr,NA())</f>
        <v/>
      </c>
      <c r="F142" s="28" t="inlineStr">
        <is>
          <t>mm</t>
        </is>
      </c>
      <c r="G142" s="31">
        <f>IF(NOT(inputs_ok),"FAIL",IF(spac_ok,"OK","FAIL"))</f>
        <v/>
      </c>
    </row>
    <row r="143" ht="17" customHeight="1">
      <c r="B143" s="26" t="inlineStr">
        <is>
          <t>7.3.3(3)</t>
        </is>
      </c>
      <c r="C143" s="24" t="inlineStr">
        <is>
          <t>Beams deeper than 1 m: skin reinforcement  (Annex J)</t>
        </is>
      </c>
      <c r="D143" s="23" t="n"/>
      <c r="E143" s="9" t="n"/>
      <c r="F143" s="23" t="n"/>
      <c r="G143" s="31">
        <f>IF(NOT(inputs_ok),"FAIL",IF(h_sec&gt;1000,"! Provide","n/a"))</f>
        <v/>
      </c>
    </row>
    <row r="144" ht="41.5" customHeight="1">
      <c r="B144" s="48" t="inlineStr">
        <is>
          <t>Either table is enough for cracking caused mainly by loading (7.3.3(2)). Beams deeper than 1 m need skin reinforcement (7.3.3(3), Annex J). The minimum reinforcement for crack control (7.3.2) and restraint cracking (RC-022) are separate checks. σs uses As,req / As,prov and 1/δ (TCC How to); the same stress gives 310/σs for the deflection check.</t>
        </is>
      </c>
    </row>
    <row r="145"/>
    <row r="146" ht="29" customHeight="1">
      <c r="B146" s="48"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7">
    <mergeCell ref="E5:G5"/>
    <mergeCell ref="B146:G146"/>
    <mergeCell ref="B144:G144"/>
    <mergeCell ref="D2:G2"/>
    <mergeCell ref="E7:G7"/>
    <mergeCell ref="E6:G6"/>
    <mergeCell ref="C3:G3"/>
  </mergeCells>
  <conditionalFormatting sqref="G9:G147">
    <cfRule type="expression" priority="1" dxfId="0">
      <formula>G9="OK"</formula>
    </cfRule>
    <cfRule type="expression" priority="2" dxfId="1">
      <formula>G9="FAIL"</formula>
    </cfRule>
    <cfRule type="expression" priority="3" dxfId="2">
      <formula>LEFT(G9,1)="!"</formula>
    </cfRule>
  </conditionalFormatting>
  <dataValidations count="24">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Pick a value from the list." type="list" errorStyle="stop">
      <formula1>"A,B,C"</formula1>
    </dataValidation>
    <dataValidation sqref="E15" showDropDown="0" showInputMessage="0" showErrorMessage="1" allowBlank="0" errorTitle="NA Engineering" error="Enter a number greater than 0." type="decimal" errorStyle="stop" operator="greaterThan">
      <formula1>0</formula1>
    </dataValidation>
    <dataValidation sqref="E16" showDropDown="0" showInputMessage="0" showErrorMessage="1" allowBlank="0" errorTitle="NA Engineering" error="Pick a value from the list." type="list" errorStyle="stop">
      <formula1>"Simply supported span,End span,Interior span,Cantilever,Support"</formula1>
    </dataValidation>
    <dataValidation sqref="E17" showDropDown="0" showInputMessage="0" showErrorMessage="1" allowBlank="0" errorTitle="NA Engineering" error="Enter a number greater than 0." type="decimal" errorStyle="stop" operator="greaterThan">
      <formula1>0</formula1>
    </dataValidation>
    <dataValidation sqref="E18" showDropDown="0" showInputMessage="0" showErrorMessage="1" allowBlank="0" errorTitle="NA Engineering" error="Enter a number greater than 0." type="decimal" errorStyle="stop" operator="greaterThan">
      <formula1>0</formula1>
    </dataValidation>
    <dataValidation sqref="E19" showDropDown="0" showInputMessage="0" showErrorMessage="1" allowBlank="0" errorTitle="NA Engineering" error="Enter a number greater than 0." type="decimal" errorStyle="stop" operator="greaterThan">
      <formula1>0</formula1>
    </dataValidation>
    <dataValidation sqref="E20" showDropDown="0" showInputMessage="0" showErrorMessage="1" allowBlank="0" errorTitle="NA Engineering" error="Pick a value from the list." type="list" errorStyle="stop">
      <formula1>"6,8,10,12,16"</formula1>
    </dataValidation>
    <dataValidation sqref="E21" showDropDown="0" showInputMessage="0" showErrorMessage="1" allowBlank="0" errorTitle="NA Engineering" error="Enter a number greater than 0." type="decimal" errorStyle="stop" operator="greaterThan">
      <formula1>0</formula1>
    </dataValidation>
    <dataValidation sqref="E22 E24" showDropDown="0" showInputMessage="0" showErrorMessage="1" allowBlank="0" errorTitle="NA Engineering" error="Pick a value from the list." type="list" errorStyle="stop">
      <formula1>"8,10,12,16,20,25,32,40"</formula1>
    </dataValidation>
    <dataValidation sqref="E23" showDropDown="0" showInputMessage="0" showErrorMessage="1" allowBlank="0" errorTitle="NA Engineering" error="Enter a number ≥ 0." type="decimal" errorStyle="stop" operator="greaterThanOrEqual">
      <formula1>0</formula1>
    </dataValidation>
    <dataValidation sqref="E27" showDropDown="0" showInputMessage="0" showErrorMessage="1" allowBlank="0" errorTitle="NA Engineering" error="Enter a number ≥ 0." type="decimal" errorStyle="stop" operator="greaterThanOrEqual">
      <formula1>0</formula1>
    </dataValidation>
    <dataValidation sqref="E28" showDropDown="0" showInputMessage="0" showErrorMessage="1" allowBlank="0" errorTitle="NA Engineering" error="Enter a number greater than 0." type="decimal" errorStyle="stop" operator="greaterThan">
      <formula1>0</formula1>
    </dataValidation>
    <dataValidation sqref="E29" showDropDown="0" showInputMessage="0" showErrorMessage="1" allowBlank="1" errorTitle="NA Engineering" error="Enter a number greater than 0." type="custom" errorStyle="stop">
      <formula1>IF(loc&lt;&gt;"Support",AND(ISNUMBER(E29),E29&gt;0),TRUE)</formula1>
    </dataValidation>
    <dataValidation sqref="E30" showDropDown="0" showInputMessage="0" showErrorMessage="1" allowBlank="0" errorTitle="NA Engineering" error="Enter a number ≥ 0." type="decimal" errorStyle="stop" operator="greaterThanOrEqual">
      <formula1>0</formula1>
    </dataValidation>
    <dataValidation sqref="E31" showDropDown="0" showInputMessage="0" showErrorMessage="1" allowBlank="0" errorTitle="NA Engineering" error="Enter a number ≥ 0." type="decimal" errorStyle="stop" operator="greaterThanOrEqual">
      <formula1>0</formula1>
    </dataValidation>
    <dataValidation sqref="E32" showDropDown="0" showInputMessage="0" showErrorMessage="1" allowBlank="0" errorTitle="NA Engineering" error="Enter a number greater than 0." type="decimal" errorStyle="stop" operator="greaterThan">
      <formula1>0</formula1>
    </dataValidation>
    <dataValidation sqref="E33" showDropDown="0" showInputMessage="0" showErrorMessage="1" allowBlank="0" errorTitle="NA Engineering" error="Enter a number greater than 0." type="decimal" errorStyle="stop" operator="greaterThan">
      <formula1>0</formula1>
    </dataValidation>
    <dataValidation sqref="E34" showDropDown="0" showInputMessage="0" showErrorMessage="1" allowBlank="0" errorTitle="NA Engineering" error="Pick a value from the list." type="list" errorStyle="stop">
      <formula1>"A  domestic or residential,B  office,C  congregation  (crowds),D  shopping,E  storage,F  traffic  (vehicles ≤ 30 kN),G  traffic  (30 – 160 kN),H  roof,Other  (enter ψ2)"</formula1>
    </dataValidation>
    <dataValidation sqref="E35" showDropDown="0" showInputMessage="0" showErrorMessage="1" allowBlank="1" errorTitle="NA Engineering" error="Enter a number ≥ 0." type="custom" errorStyle="stop">
      <formula1>IF(usage="Other  (enter ψ2)",AND(ISNUMBER(E35),E35&gt;=0),TRUE)</formula1>
    </dataValidation>
    <dataValidation sqref="E36" showDropDown="0" showInputMessage="0" showErrorMessage="1" allowBlank="0" errorTitle="NA Engineering" error="Pick a value from the list." type="list" errorStyle="stop">
      <formula1>"No,Yes"</formula1>
    </dataValidation>
    <dataValidation sqref="E37" showDropDown="0" showInputMessage="0" showErrorMessage="1" allowBlank="0" errorTitle="NA Engineering" error="Pick a value from the list." type="list" errorStyle="stop">
      <formula1>"0.4,0.3,0.2"</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&amp;K8A8A8ANAE-RC-040  v1.0</oddFooter>
    <evenHeader/>
    <evenFooter/>
    <firstHeader/>
    <firstFooter/>
  </headerFooter>
  <rowBreaks count="1" manualBreakCount="1">
    <brk id="39" min="0" max="16383" man="1"/>
  </rowBreaks>
  <drawing xmlns:r="http://schemas.openxmlformats.org/officeDocument/2006/relationships" r:id="rId1"/>
</worksheet>
</file>

<file path=xl/worksheets/sheet5.xml><?xml version="1.0" encoding="utf-8"?>
<worksheet xmlns="http://schemas.openxmlformats.org/spreadsheetml/2006/main">
  <sheetPr>
    <outlinePr summaryBelow="1" summaryRight="1"/>
    <pageSetUpPr/>
  </sheetPr>
  <dimension ref="A1:DL19"/>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section</t>
        </is>
      </c>
      <c r="G2" t="inlineStr">
        <is>
          <t>link</t>
        </is>
      </c>
      <c r="J2" t="inlineStr">
        <is>
          <t>bar t0</t>
        </is>
      </c>
      <c r="M2" t="inlineStr">
        <is>
          <t>bar c0</t>
        </is>
      </c>
      <c r="P2" t="inlineStr">
        <is>
          <t>bar t1</t>
        </is>
      </c>
      <c r="S2" t="inlineStr">
        <is>
          <t>bar c1</t>
        </is>
      </c>
      <c r="V2" t="inlineStr">
        <is>
          <t>bar t2</t>
        </is>
      </c>
      <c r="Y2" t="inlineStr">
        <is>
          <t>bar c2</t>
        </is>
      </c>
      <c r="AB2" t="inlineStr">
        <is>
          <t>bar t3</t>
        </is>
      </c>
      <c r="AE2" t="inlineStr">
        <is>
          <t>bar c3</t>
        </is>
      </c>
      <c r="AH2" t="inlineStr">
        <is>
          <t>bar t4</t>
        </is>
      </c>
      <c r="AK2" t="inlineStr">
        <is>
          <t>bar c4</t>
        </is>
      </c>
      <c r="AN2" t="inlineStr">
        <is>
          <t>bar t5</t>
        </is>
      </c>
      <c r="AQ2" t="inlineStr">
        <is>
          <t>bar c5</t>
        </is>
      </c>
      <c r="AT2" t="inlineStr">
        <is>
          <t>bar t6</t>
        </is>
      </c>
      <c r="AW2" t="inlineStr">
        <is>
          <t>bar c6</t>
        </is>
      </c>
      <c r="AZ2" t="inlineStr">
        <is>
          <t>bar t7</t>
        </is>
      </c>
      <c r="BC2" t="inlineStr">
        <is>
          <t>bar c7</t>
        </is>
      </c>
      <c r="BF2" t="inlineStr">
        <is>
          <t>bar t8</t>
        </is>
      </c>
      <c r="BI2" t="inlineStr">
        <is>
          <t>bar c8</t>
        </is>
      </c>
      <c r="BL2" t="inlineStr">
        <is>
          <t>bar t9</t>
        </is>
      </c>
      <c r="BO2" t="inlineStr">
        <is>
          <t>bar c9</t>
        </is>
      </c>
      <c r="BR2" t="inlineStr">
        <is>
          <t>bar t10</t>
        </is>
      </c>
      <c r="BU2" t="inlineStr">
        <is>
          <t>bar c10</t>
        </is>
      </c>
      <c r="BX2" t="inlineStr">
        <is>
          <t>bar t11</t>
        </is>
      </c>
      <c r="CA2" t="inlineStr">
        <is>
          <t>bar c11</t>
        </is>
      </c>
      <c r="CD2" t="inlineStr">
        <is>
          <t>neutral axis</t>
        </is>
      </c>
      <c r="CG2" t="inlineStr">
        <is>
          <t>dim</t>
        </is>
      </c>
      <c r="CJ2">
        <f>IF(inputs_ok,"h "&amp;TEXT(h_sec,"0"),"")</f>
        <v/>
      </c>
      <c r="CM2" t="inlineStr">
        <is>
          <t>dim</t>
        </is>
      </c>
      <c r="CP2">
        <f>IF(inputs_ok,"d "&amp;TEXT(d_eff,"0"),"")</f>
        <v/>
      </c>
      <c r="CS2" t="inlineStr">
        <is>
          <t>dim</t>
        </is>
      </c>
      <c r="CV2">
        <f>IF(inputs_ok,"b_w "&amp;TEXT(b_w,"0"),"")</f>
        <v/>
      </c>
      <c r="CY2">
        <f>IF(inputs_ok,n_bars&amp;" × φ"&amp;phi,"")</f>
        <v/>
      </c>
      <c r="DB2">
        <f>IF(inputs_ok,IF(n_2&gt;0,n_2&amp;" × φ"&amp;phi_2,""),"")</f>
        <v/>
      </c>
      <c r="DE2">
        <f>IF(inputs_ok,IF(M_Ed&gt;0,"x "&amp;TEXT(x_na,"0"),""),"")</f>
        <v/>
      </c>
      <c r="DH2">
        <f>IF(inputs_ok,IF(hog,"hogging: tension at the top","sagging: tension at the bottom"),"")</f>
        <v/>
      </c>
      <c r="DK2" t="inlineStr">
        <is>
          <t>frame</t>
        </is>
      </c>
    </row>
    <row r="3">
      <c r="A3">
        <f>0</f>
        <v/>
      </c>
      <c r="B3">
        <f>0</f>
        <v/>
      </c>
      <c r="D3">
        <f>IF(inputs_ok,0,NA())</f>
        <v/>
      </c>
      <c r="E3">
        <f>0</f>
        <v/>
      </c>
      <c r="G3">
        <f>IF(inputs_ok,(c_nom+phi_w/2),NA())</f>
        <v/>
      </c>
      <c r="H3">
        <f>(c_nom+phi_w/2)</f>
        <v/>
      </c>
      <c r="J3">
        <f>IF(inputs_ok,IF(0&lt;n_bars,(c_nom+phi_w+phi/2+0*(b_w-2*c_nom-2*phi_w-phi)/MAX(n_bars-1,1))+(phi/2)*1.000000,NA()),NA())</f>
        <v/>
      </c>
      <c r="K3">
        <f>IF(0&lt;n_bars,(IF(hog,h_sec-c_nom-phi_w-phi/2,c_nom+phi_w+phi/2))+(phi/2)*0.000000,NA())</f>
        <v/>
      </c>
      <c r="M3">
        <f>IF(inputs_ok,IF(0&lt;n_2,(c_nom+phi_w+phi_2/2+0*(b_w-2*c_nom-2*phi_w-phi_2)/MAX(n_2-1,1))+(phi_2/2)*1.000000,NA()),NA())</f>
        <v/>
      </c>
      <c r="N3">
        <f>IF(0&lt;n_2,(IF(hog,c_nom+phi_w+phi_2/2,h_sec-c_nom-phi_w-phi_2/2))+(phi_2/2)*0.000000,NA())</f>
        <v/>
      </c>
      <c r="P3">
        <f>IF(inputs_ok,IF(1&lt;n_bars,(c_nom+phi_w+phi/2+1*(b_w-2*c_nom-2*phi_w-phi)/MAX(n_bars-1,1))+(phi/2)*1.000000,NA()),NA())</f>
        <v/>
      </c>
      <c r="Q3">
        <f>IF(1&lt;n_bars,(IF(hog,h_sec-c_nom-phi_w-phi/2,c_nom+phi_w+phi/2))+(phi/2)*0.000000,NA())</f>
        <v/>
      </c>
      <c r="S3">
        <f>IF(inputs_ok,IF(1&lt;n_2,(c_nom+phi_w+phi_2/2+1*(b_w-2*c_nom-2*phi_w-phi_2)/MAX(n_2-1,1))+(phi_2/2)*1.000000,NA()),NA())</f>
        <v/>
      </c>
      <c r="T3">
        <f>IF(1&lt;n_2,(IF(hog,c_nom+phi_w+phi_2/2,h_sec-c_nom-phi_w-phi_2/2))+(phi_2/2)*0.000000,NA())</f>
        <v/>
      </c>
      <c r="V3">
        <f>IF(inputs_ok,IF(2&lt;n_bars,(c_nom+phi_w+phi/2+2*(b_w-2*c_nom-2*phi_w-phi)/MAX(n_bars-1,1))+(phi/2)*1.000000,NA()),NA())</f>
        <v/>
      </c>
      <c r="W3">
        <f>IF(2&lt;n_bars,(IF(hog,h_sec-c_nom-phi_w-phi/2,c_nom+phi_w+phi/2))+(phi/2)*0.000000,NA())</f>
        <v/>
      </c>
      <c r="Y3">
        <f>IF(inputs_ok,IF(2&lt;n_2,(c_nom+phi_w+phi_2/2+2*(b_w-2*c_nom-2*phi_w-phi_2)/MAX(n_2-1,1))+(phi_2/2)*1.000000,NA()),NA())</f>
        <v/>
      </c>
      <c r="Z3">
        <f>IF(2&lt;n_2,(IF(hog,c_nom+phi_w+phi_2/2,h_sec-c_nom-phi_w-phi_2/2))+(phi_2/2)*0.000000,NA())</f>
        <v/>
      </c>
      <c r="AB3">
        <f>IF(inputs_ok,IF(3&lt;n_bars,(c_nom+phi_w+phi/2+3*(b_w-2*c_nom-2*phi_w-phi)/MAX(n_bars-1,1))+(phi/2)*1.000000,NA()),NA())</f>
        <v/>
      </c>
      <c r="AC3">
        <f>IF(3&lt;n_bars,(IF(hog,h_sec-c_nom-phi_w-phi/2,c_nom+phi_w+phi/2))+(phi/2)*0.000000,NA())</f>
        <v/>
      </c>
      <c r="AE3">
        <f>IF(inputs_ok,IF(3&lt;n_2,(c_nom+phi_w+phi_2/2+3*(b_w-2*c_nom-2*phi_w-phi_2)/MAX(n_2-1,1))+(phi_2/2)*1.000000,NA()),NA())</f>
        <v/>
      </c>
      <c r="AF3">
        <f>IF(3&lt;n_2,(IF(hog,c_nom+phi_w+phi_2/2,h_sec-c_nom-phi_w-phi_2/2))+(phi_2/2)*0.000000,NA())</f>
        <v/>
      </c>
      <c r="AH3">
        <f>IF(inputs_ok,IF(4&lt;n_bars,(c_nom+phi_w+phi/2+4*(b_w-2*c_nom-2*phi_w-phi)/MAX(n_bars-1,1))+(phi/2)*1.000000,NA()),NA())</f>
        <v/>
      </c>
      <c r="AI3">
        <f>IF(4&lt;n_bars,(IF(hog,h_sec-c_nom-phi_w-phi/2,c_nom+phi_w+phi/2))+(phi/2)*0.000000,NA())</f>
        <v/>
      </c>
      <c r="AK3">
        <f>IF(inputs_ok,IF(4&lt;n_2,(c_nom+phi_w+phi_2/2+4*(b_w-2*c_nom-2*phi_w-phi_2)/MAX(n_2-1,1))+(phi_2/2)*1.000000,NA()),NA())</f>
        <v/>
      </c>
      <c r="AL3">
        <f>IF(4&lt;n_2,(IF(hog,c_nom+phi_w+phi_2/2,h_sec-c_nom-phi_w-phi_2/2))+(phi_2/2)*0.000000,NA())</f>
        <v/>
      </c>
      <c r="AN3">
        <f>IF(inputs_ok,IF(5&lt;n_bars,(c_nom+phi_w+phi/2+5*(b_w-2*c_nom-2*phi_w-phi)/MAX(n_bars-1,1))+(phi/2)*1.000000,NA()),NA())</f>
        <v/>
      </c>
      <c r="AO3">
        <f>IF(5&lt;n_bars,(IF(hog,h_sec-c_nom-phi_w-phi/2,c_nom+phi_w+phi/2))+(phi/2)*0.000000,NA())</f>
        <v/>
      </c>
      <c r="AQ3">
        <f>IF(inputs_ok,IF(5&lt;n_2,(c_nom+phi_w+phi_2/2+5*(b_w-2*c_nom-2*phi_w-phi_2)/MAX(n_2-1,1))+(phi_2/2)*1.000000,NA()),NA())</f>
        <v/>
      </c>
      <c r="AR3">
        <f>IF(5&lt;n_2,(IF(hog,c_nom+phi_w+phi_2/2,h_sec-c_nom-phi_w-phi_2/2))+(phi_2/2)*0.000000,NA())</f>
        <v/>
      </c>
      <c r="AT3">
        <f>IF(inputs_ok,IF(6&lt;n_bars,(c_nom+phi_w+phi/2+6*(b_w-2*c_nom-2*phi_w-phi)/MAX(n_bars-1,1))+(phi/2)*1.000000,NA()),NA())</f>
        <v/>
      </c>
      <c r="AU3">
        <f>IF(6&lt;n_bars,(IF(hog,h_sec-c_nom-phi_w-phi/2,c_nom+phi_w+phi/2))+(phi/2)*0.000000,NA())</f>
        <v/>
      </c>
      <c r="AW3">
        <f>IF(inputs_ok,IF(6&lt;n_2,(c_nom+phi_w+phi_2/2+6*(b_w-2*c_nom-2*phi_w-phi_2)/MAX(n_2-1,1))+(phi_2/2)*1.000000,NA()),NA())</f>
        <v/>
      </c>
      <c r="AX3">
        <f>IF(6&lt;n_2,(IF(hog,c_nom+phi_w+phi_2/2,h_sec-c_nom-phi_w-phi_2/2))+(phi_2/2)*0.000000,NA())</f>
        <v/>
      </c>
      <c r="AZ3">
        <f>IF(inputs_ok,IF(7&lt;n_bars,(c_nom+phi_w+phi/2+7*(b_w-2*c_nom-2*phi_w-phi)/MAX(n_bars-1,1))+(phi/2)*1.000000,NA()),NA())</f>
        <v/>
      </c>
      <c r="BA3">
        <f>IF(7&lt;n_bars,(IF(hog,h_sec-c_nom-phi_w-phi/2,c_nom+phi_w+phi/2))+(phi/2)*0.000000,NA())</f>
        <v/>
      </c>
      <c r="BC3">
        <f>IF(inputs_ok,IF(7&lt;n_2,(c_nom+phi_w+phi_2/2+7*(b_w-2*c_nom-2*phi_w-phi_2)/MAX(n_2-1,1))+(phi_2/2)*1.000000,NA()),NA())</f>
        <v/>
      </c>
      <c r="BD3">
        <f>IF(7&lt;n_2,(IF(hog,c_nom+phi_w+phi_2/2,h_sec-c_nom-phi_w-phi_2/2))+(phi_2/2)*0.000000,NA())</f>
        <v/>
      </c>
      <c r="BF3">
        <f>IF(inputs_ok,IF(8&lt;n_bars,(c_nom+phi_w+phi/2+8*(b_w-2*c_nom-2*phi_w-phi)/MAX(n_bars-1,1))+(phi/2)*1.000000,NA()),NA())</f>
        <v/>
      </c>
      <c r="BG3">
        <f>IF(8&lt;n_bars,(IF(hog,h_sec-c_nom-phi_w-phi/2,c_nom+phi_w+phi/2))+(phi/2)*0.000000,NA())</f>
        <v/>
      </c>
      <c r="BI3">
        <f>IF(inputs_ok,IF(8&lt;n_2,(c_nom+phi_w+phi_2/2+8*(b_w-2*c_nom-2*phi_w-phi_2)/MAX(n_2-1,1))+(phi_2/2)*1.000000,NA()),NA())</f>
        <v/>
      </c>
      <c r="BJ3">
        <f>IF(8&lt;n_2,(IF(hog,c_nom+phi_w+phi_2/2,h_sec-c_nom-phi_w-phi_2/2))+(phi_2/2)*0.000000,NA())</f>
        <v/>
      </c>
      <c r="BL3">
        <f>IF(inputs_ok,IF(9&lt;n_bars,(c_nom+phi_w+phi/2+9*(b_w-2*c_nom-2*phi_w-phi)/MAX(n_bars-1,1))+(phi/2)*1.000000,NA()),NA())</f>
        <v/>
      </c>
      <c r="BM3">
        <f>IF(9&lt;n_bars,(IF(hog,h_sec-c_nom-phi_w-phi/2,c_nom+phi_w+phi/2))+(phi/2)*0.000000,NA())</f>
        <v/>
      </c>
      <c r="BO3">
        <f>IF(inputs_ok,IF(9&lt;n_2,(c_nom+phi_w+phi_2/2+9*(b_w-2*c_nom-2*phi_w-phi_2)/MAX(n_2-1,1))+(phi_2/2)*1.000000,NA()),NA())</f>
        <v/>
      </c>
      <c r="BP3">
        <f>IF(9&lt;n_2,(IF(hog,c_nom+phi_w+phi_2/2,h_sec-c_nom-phi_w-phi_2/2))+(phi_2/2)*0.000000,NA())</f>
        <v/>
      </c>
      <c r="BR3">
        <f>IF(inputs_ok,IF(10&lt;n_bars,(c_nom+phi_w+phi/2+10*(b_w-2*c_nom-2*phi_w-phi)/MAX(n_bars-1,1))+(phi/2)*1.000000,NA()),NA())</f>
        <v/>
      </c>
      <c r="BS3">
        <f>IF(10&lt;n_bars,(IF(hog,h_sec-c_nom-phi_w-phi/2,c_nom+phi_w+phi/2))+(phi/2)*0.000000,NA())</f>
        <v/>
      </c>
      <c r="BU3">
        <f>IF(inputs_ok,IF(10&lt;n_2,(c_nom+phi_w+phi_2/2+10*(b_w-2*c_nom-2*phi_w-phi_2)/MAX(n_2-1,1))+(phi_2/2)*1.000000,NA()),NA())</f>
        <v/>
      </c>
      <c r="BV3">
        <f>IF(10&lt;n_2,(IF(hog,c_nom+phi_w+phi_2/2,h_sec-c_nom-phi_w-phi_2/2))+(phi_2/2)*0.000000,NA())</f>
        <v/>
      </c>
      <c r="BX3">
        <f>IF(inputs_ok,IF(11&lt;n_bars,(c_nom+phi_w+phi/2+11*(b_w-2*c_nom-2*phi_w-phi)/MAX(n_bars-1,1))+(phi/2)*1.000000,NA()),NA())</f>
        <v/>
      </c>
      <c r="BY3">
        <f>IF(11&lt;n_bars,(IF(hog,h_sec-c_nom-phi_w-phi/2,c_nom+phi_w+phi/2))+(phi/2)*0.000000,NA())</f>
        <v/>
      </c>
      <c r="CA3">
        <f>IF(inputs_ok,IF(11&lt;n_2,(c_nom+phi_w+phi_2/2+11*(b_w-2*c_nom-2*phi_w-phi_2)/MAX(n_2-1,1))+(phi_2/2)*1.000000,NA()),NA())</f>
        <v/>
      </c>
      <c r="CB3">
        <f>IF(11&lt;n_2,(IF(hog,c_nom+phi_w+phi_2/2,h_sec-c_nom-phi_w-phi_2/2))+(phi_2/2)*0.000000,NA())</f>
        <v/>
      </c>
      <c r="CD3">
        <f>IF(inputs_ok,IF(AND(M_Ed&gt;0,ISNUMBER(x_na)),0-0.04*h_sec,NA()),NA())</f>
        <v/>
      </c>
      <c r="CE3">
        <f>IF(AND(M_Ed&gt;0,ISNUMBER(x_na)),IF(hog,x_na,h_sec-x_na),NA())</f>
        <v/>
      </c>
      <c r="CG3">
        <f>IF(inputs_ok,IF(TRUE,0-0.08*h_sec,NA()),NA())</f>
        <v/>
      </c>
      <c r="CH3">
        <f>IF(TRUE,0,NA())</f>
        <v/>
      </c>
      <c r="CJ3">
        <f>IF(inputs_ok,IF(TRUE,((0-0.08*h_sec)+(0-0.08*h_sec))/2,NA()),NA())</f>
        <v/>
      </c>
      <c r="CK3">
        <f>IF(TRUE,((0)+(h_sec))/2,NA())</f>
        <v/>
      </c>
      <c r="CM3">
        <f>IF(inputs_ok,IF(TRUE,b_w+0.08*h_sec,NA()),NA())</f>
        <v/>
      </c>
      <c r="CN3">
        <f>IF(TRUE,IF(hog,0,h_sec),NA())</f>
        <v/>
      </c>
      <c r="CP3">
        <f>IF(inputs_ok,IF(TRUE,((b_w+0.08*h_sec)+(b_w+0.08*h_sec))/2,NA()),NA())</f>
        <v/>
      </c>
      <c r="CQ3">
        <f>IF(TRUE,((IF(hog,0,h_sec))+(IF(hog,d_eff,h_sec-d_eff)))/2,NA())</f>
        <v/>
      </c>
      <c r="CS3">
        <f>IF(inputs_ok,IF(TRUE,0,NA()),NA())</f>
        <v/>
      </c>
      <c r="CT3">
        <f>IF(TRUE,-0.08*h_sec,NA())</f>
        <v/>
      </c>
      <c r="CV3">
        <f>IF(inputs_ok,IF(TRUE,((0)+(b_w))/2,NA()),NA())</f>
        <v/>
      </c>
      <c r="CW3">
        <f>IF(TRUE,((-0.08*h_sec)+(-0.08*h_sec))/2,NA())</f>
        <v/>
      </c>
      <c r="CY3">
        <f>IF(inputs_ok,b_w+2.6*0.08*h_sec,NA())</f>
        <v/>
      </c>
      <c r="CZ3">
        <f>IF(hog,d_eff,h_sec-d_eff)</f>
        <v/>
      </c>
      <c r="DB3">
        <f>IF(inputs_ok,b_w+2.6*0.08*h_sec,NA())</f>
        <v/>
      </c>
      <c r="DC3">
        <f>IF(hog,c_nom+phi_w+phi_2/2,h_sec-c_nom-phi_w-phi_2/2)</f>
        <v/>
      </c>
      <c r="DE3">
        <f>IF(inputs_ok,0,NA())</f>
        <v/>
      </c>
      <c r="DF3">
        <f>IF(hog,x_na,h_sec-x_na)</f>
        <v/>
      </c>
      <c r="DH3">
        <f>IF(inputs_ok,(0+b_w)/2,NA())</f>
        <v/>
      </c>
      <c r="DI3">
        <f>-1.8*0.08*h_sec</f>
        <v/>
      </c>
      <c r="DK3">
        <f>(((0+b_w)/2-0.75*MAX(b_w-0,h_sec))+((0+b_w)/2+0.75*MAX(b_w-0,h_sec)))/2-MAX((h_sec+2*0.08*h_sec)-(-3*0.08*h_sec),(((0+b_w)/2+0.75*MAX(b_w-0,h_sec))-((0+b_w)/2-0.75*MAX(b_w-0,h_sec)))/1.55)*0.53*1.55</f>
        <v/>
      </c>
      <c r="DL3">
        <f>((-3*0.08*h_sec)+(h_sec+2*0.08*h_sec))/2-MAX((h_sec+2*0.08*h_sec)-(-3*0.08*h_sec),(((0+b_w)/2+0.75*MAX(b_w-0,h_sec))-((0+b_w)/2-0.75*MAX(b_w-0,h_sec)))/1.55)*0.53</f>
        <v/>
      </c>
    </row>
    <row r="4">
      <c r="D4">
        <f>IF(inputs_ok,b_w,NA())</f>
        <v/>
      </c>
      <c r="E4">
        <f>0</f>
        <v/>
      </c>
      <c r="G4">
        <f>IF(inputs_ok,b_w-(c_nom+phi_w/2),NA())</f>
        <v/>
      </c>
      <c r="H4">
        <f>(c_nom+phi_w/2)</f>
        <v/>
      </c>
      <c r="J4">
        <f>IF(inputs_ok,IF(0&lt;n_bars,(c_nom+phi_w+phi/2+0*(b_w-2*c_nom-2*phi_w-phi)/MAX(n_bars-1,1))+(phi/2)*0.923880,NA()),NA())</f>
        <v/>
      </c>
      <c r="K4">
        <f>IF(0&lt;n_bars,(IF(hog,h_sec-c_nom-phi_w-phi/2,c_nom+phi_w+phi/2))+(phi/2)*0.382683,NA())</f>
        <v/>
      </c>
      <c r="M4">
        <f>IF(inputs_ok,IF(0&lt;n_2,(c_nom+phi_w+phi_2/2+0*(b_w-2*c_nom-2*phi_w-phi_2)/MAX(n_2-1,1))+(phi_2/2)*0.923880,NA()),NA())</f>
        <v/>
      </c>
      <c r="N4">
        <f>IF(0&lt;n_2,(IF(hog,c_nom+phi_w+phi_2/2,h_sec-c_nom-phi_w-phi_2/2))+(phi_2/2)*0.382683,NA())</f>
        <v/>
      </c>
      <c r="P4">
        <f>IF(inputs_ok,IF(1&lt;n_bars,(c_nom+phi_w+phi/2+1*(b_w-2*c_nom-2*phi_w-phi)/MAX(n_bars-1,1))+(phi/2)*0.923880,NA()),NA())</f>
        <v/>
      </c>
      <c r="Q4">
        <f>IF(1&lt;n_bars,(IF(hog,h_sec-c_nom-phi_w-phi/2,c_nom+phi_w+phi/2))+(phi/2)*0.382683,NA())</f>
        <v/>
      </c>
      <c r="S4">
        <f>IF(inputs_ok,IF(1&lt;n_2,(c_nom+phi_w+phi_2/2+1*(b_w-2*c_nom-2*phi_w-phi_2)/MAX(n_2-1,1))+(phi_2/2)*0.923880,NA()),NA())</f>
        <v/>
      </c>
      <c r="T4">
        <f>IF(1&lt;n_2,(IF(hog,c_nom+phi_w+phi_2/2,h_sec-c_nom-phi_w-phi_2/2))+(phi_2/2)*0.382683,NA())</f>
        <v/>
      </c>
      <c r="V4">
        <f>IF(inputs_ok,IF(2&lt;n_bars,(c_nom+phi_w+phi/2+2*(b_w-2*c_nom-2*phi_w-phi)/MAX(n_bars-1,1))+(phi/2)*0.923880,NA()),NA())</f>
        <v/>
      </c>
      <c r="W4">
        <f>IF(2&lt;n_bars,(IF(hog,h_sec-c_nom-phi_w-phi/2,c_nom+phi_w+phi/2))+(phi/2)*0.382683,NA())</f>
        <v/>
      </c>
      <c r="Y4">
        <f>IF(inputs_ok,IF(2&lt;n_2,(c_nom+phi_w+phi_2/2+2*(b_w-2*c_nom-2*phi_w-phi_2)/MAX(n_2-1,1))+(phi_2/2)*0.923880,NA()),NA())</f>
        <v/>
      </c>
      <c r="Z4">
        <f>IF(2&lt;n_2,(IF(hog,c_nom+phi_w+phi_2/2,h_sec-c_nom-phi_w-phi_2/2))+(phi_2/2)*0.382683,NA())</f>
        <v/>
      </c>
      <c r="AB4">
        <f>IF(inputs_ok,IF(3&lt;n_bars,(c_nom+phi_w+phi/2+3*(b_w-2*c_nom-2*phi_w-phi)/MAX(n_bars-1,1))+(phi/2)*0.923880,NA()),NA())</f>
        <v/>
      </c>
      <c r="AC4">
        <f>IF(3&lt;n_bars,(IF(hog,h_sec-c_nom-phi_w-phi/2,c_nom+phi_w+phi/2))+(phi/2)*0.382683,NA())</f>
        <v/>
      </c>
      <c r="AE4">
        <f>IF(inputs_ok,IF(3&lt;n_2,(c_nom+phi_w+phi_2/2+3*(b_w-2*c_nom-2*phi_w-phi_2)/MAX(n_2-1,1))+(phi_2/2)*0.923880,NA()),NA())</f>
        <v/>
      </c>
      <c r="AF4">
        <f>IF(3&lt;n_2,(IF(hog,c_nom+phi_w+phi_2/2,h_sec-c_nom-phi_w-phi_2/2))+(phi_2/2)*0.382683,NA())</f>
        <v/>
      </c>
      <c r="AH4">
        <f>IF(inputs_ok,IF(4&lt;n_bars,(c_nom+phi_w+phi/2+4*(b_w-2*c_nom-2*phi_w-phi)/MAX(n_bars-1,1))+(phi/2)*0.923880,NA()),NA())</f>
        <v/>
      </c>
      <c r="AI4">
        <f>IF(4&lt;n_bars,(IF(hog,h_sec-c_nom-phi_w-phi/2,c_nom+phi_w+phi/2))+(phi/2)*0.382683,NA())</f>
        <v/>
      </c>
      <c r="AK4">
        <f>IF(inputs_ok,IF(4&lt;n_2,(c_nom+phi_w+phi_2/2+4*(b_w-2*c_nom-2*phi_w-phi_2)/MAX(n_2-1,1))+(phi_2/2)*0.923880,NA()),NA())</f>
        <v/>
      </c>
      <c r="AL4">
        <f>IF(4&lt;n_2,(IF(hog,c_nom+phi_w+phi_2/2,h_sec-c_nom-phi_w-phi_2/2))+(phi_2/2)*0.382683,NA())</f>
        <v/>
      </c>
      <c r="AN4">
        <f>IF(inputs_ok,IF(5&lt;n_bars,(c_nom+phi_w+phi/2+5*(b_w-2*c_nom-2*phi_w-phi)/MAX(n_bars-1,1))+(phi/2)*0.923880,NA()),NA())</f>
        <v/>
      </c>
      <c r="AO4">
        <f>IF(5&lt;n_bars,(IF(hog,h_sec-c_nom-phi_w-phi/2,c_nom+phi_w+phi/2))+(phi/2)*0.382683,NA())</f>
        <v/>
      </c>
      <c r="AQ4">
        <f>IF(inputs_ok,IF(5&lt;n_2,(c_nom+phi_w+phi_2/2+5*(b_w-2*c_nom-2*phi_w-phi_2)/MAX(n_2-1,1))+(phi_2/2)*0.923880,NA()),NA())</f>
        <v/>
      </c>
      <c r="AR4">
        <f>IF(5&lt;n_2,(IF(hog,c_nom+phi_w+phi_2/2,h_sec-c_nom-phi_w-phi_2/2))+(phi_2/2)*0.382683,NA())</f>
        <v/>
      </c>
      <c r="AT4">
        <f>IF(inputs_ok,IF(6&lt;n_bars,(c_nom+phi_w+phi/2+6*(b_w-2*c_nom-2*phi_w-phi)/MAX(n_bars-1,1))+(phi/2)*0.923880,NA()),NA())</f>
        <v/>
      </c>
      <c r="AU4">
        <f>IF(6&lt;n_bars,(IF(hog,h_sec-c_nom-phi_w-phi/2,c_nom+phi_w+phi/2))+(phi/2)*0.382683,NA())</f>
        <v/>
      </c>
      <c r="AW4">
        <f>IF(inputs_ok,IF(6&lt;n_2,(c_nom+phi_w+phi_2/2+6*(b_w-2*c_nom-2*phi_w-phi_2)/MAX(n_2-1,1))+(phi_2/2)*0.923880,NA()),NA())</f>
        <v/>
      </c>
      <c r="AX4">
        <f>IF(6&lt;n_2,(IF(hog,c_nom+phi_w+phi_2/2,h_sec-c_nom-phi_w-phi_2/2))+(phi_2/2)*0.382683,NA())</f>
        <v/>
      </c>
      <c r="AZ4">
        <f>IF(inputs_ok,IF(7&lt;n_bars,(c_nom+phi_w+phi/2+7*(b_w-2*c_nom-2*phi_w-phi)/MAX(n_bars-1,1))+(phi/2)*0.923880,NA()),NA())</f>
        <v/>
      </c>
      <c r="BA4">
        <f>IF(7&lt;n_bars,(IF(hog,h_sec-c_nom-phi_w-phi/2,c_nom+phi_w+phi/2))+(phi/2)*0.382683,NA())</f>
        <v/>
      </c>
      <c r="BC4">
        <f>IF(inputs_ok,IF(7&lt;n_2,(c_nom+phi_w+phi_2/2+7*(b_w-2*c_nom-2*phi_w-phi_2)/MAX(n_2-1,1))+(phi_2/2)*0.923880,NA()),NA())</f>
        <v/>
      </c>
      <c r="BD4">
        <f>IF(7&lt;n_2,(IF(hog,c_nom+phi_w+phi_2/2,h_sec-c_nom-phi_w-phi_2/2))+(phi_2/2)*0.382683,NA())</f>
        <v/>
      </c>
      <c r="BF4">
        <f>IF(inputs_ok,IF(8&lt;n_bars,(c_nom+phi_w+phi/2+8*(b_w-2*c_nom-2*phi_w-phi)/MAX(n_bars-1,1))+(phi/2)*0.923880,NA()),NA())</f>
        <v/>
      </c>
      <c r="BG4">
        <f>IF(8&lt;n_bars,(IF(hog,h_sec-c_nom-phi_w-phi/2,c_nom+phi_w+phi/2))+(phi/2)*0.382683,NA())</f>
        <v/>
      </c>
      <c r="BI4">
        <f>IF(inputs_ok,IF(8&lt;n_2,(c_nom+phi_w+phi_2/2+8*(b_w-2*c_nom-2*phi_w-phi_2)/MAX(n_2-1,1))+(phi_2/2)*0.923880,NA()),NA())</f>
        <v/>
      </c>
      <c r="BJ4">
        <f>IF(8&lt;n_2,(IF(hog,c_nom+phi_w+phi_2/2,h_sec-c_nom-phi_w-phi_2/2))+(phi_2/2)*0.382683,NA())</f>
        <v/>
      </c>
      <c r="BL4">
        <f>IF(inputs_ok,IF(9&lt;n_bars,(c_nom+phi_w+phi/2+9*(b_w-2*c_nom-2*phi_w-phi)/MAX(n_bars-1,1))+(phi/2)*0.923880,NA()),NA())</f>
        <v/>
      </c>
      <c r="BM4">
        <f>IF(9&lt;n_bars,(IF(hog,h_sec-c_nom-phi_w-phi/2,c_nom+phi_w+phi/2))+(phi/2)*0.382683,NA())</f>
        <v/>
      </c>
      <c r="BO4">
        <f>IF(inputs_ok,IF(9&lt;n_2,(c_nom+phi_w+phi_2/2+9*(b_w-2*c_nom-2*phi_w-phi_2)/MAX(n_2-1,1))+(phi_2/2)*0.923880,NA()),NA())</f>
        <v/>
      </c>
      <c r="BP4">
        <f>IF(9&lt;n_2,(IF(hog,c_nom+phi_w+phi_2/2,h_sec-c_nom-phi_w-phi_2/2))+(phi_2/2)*0.382683,NA())</f>
        <v/>
      </c>
      <c r="BR4">
        <f>IF(inputs_ok,IF(10&lt;n_bars,(c_nom+phi_w+phi/2+10*(b_w-2*c_nom-2*phi_w-phi)/MAX(n_bars-1,1))+(phi/2)*0.923880,NA()),NA())</f>
        <v/>
      </c>
      <c r="BS4">
        <f>IF(10&lt;n_bars,(IF(hog,h_sec-c_nom-phi_w-phi/2,c_nom+phi_w+phi/2))+(phi/2)*0.382683,NA())</f>
        <v/>
      </c>
      <c r="BU4">
        <f>IF(inputs_ok,IF(10&lt;n_2,(c_nom+phi_w+phi_2/2+10*(b_w-2*c_nom-2*phi_w-phi_2)/MAX(n_2-1,1))+(phi_2/2)*0.923880,NA()),NA())</f>
        <v/>
      </c>
      <c r="BV4">
        <f>IF(10&lt;n_2,(IF(hog,c_nom+phi_w+phi_2/2,h_sec-c_nom-phi_w-phi_2/2))+(phi_2/2)*0.382683,NA())</f>
        <v/>
      </c>
      <c r="BX4">
        <f>IF(inputs_ok,IF(11&lt;n_bars,(c_nom+phi_w+phi/2+11*(b_w-2*c_nom-2*phi_w-phi)/MAX(n_bars-1,1))+(phi/2)*0.923880,NA()),NA())</f>
        <v/>
      </c>
      <c r="BY4">
        <f>IF(11&lt;n_bars,(IF(hog,h_sec-c_nom-phi_w-phi/2,c_nom+phi_w+phi/2))+(phi/2)*0.382683,NA())</f>
        <v/>
      </c>
      <c r="CA4">
        <f>IF(inputs_ok,IF(11&lt;n_2,(c_nom+phi_w+phi_2/2+11*(b_w-2*c_nom-2*phi_w-phi_2)/MAX(n_2-1,1))+(phi_2/2)*0.923880,NA()),NA())</f>
        <v/>
      </c>
      <c r="CB4">
        <f>IF(11&lt;n_2,(IF(hog,c_nom+phi_w+phi_2/2,h_sec-c_nom-phi_w-phi_2/2))+(phi_2/2)*0.382683,NA())</f>
        <v/>
      </c>
      <c r="CD4">
        <f>IF(inputs_ok,IF(AND(M_Ed&gt;0,ISNUMBER(x_na)),b_w+0.04*h_sec,NA()),NA())</f>
        <v/>
      </c>
      <c r="CE4">
        <f>IF(AND(M_Ed&gt;0,ISNUMBER(x_na)),IF(hog,x_na,h_sec-x_na),NA())</f>
        <v/>
      </c>
      <c r="CG4">
        <f>IF(inputs_ok,IF(TRUE,0-0.08*h_sec,NA()),NA())</f>
        <v/>
      </c>
      <c r="CH4">
        <f>IF(TRUE,h_sec,NA())</f>
        <v/>
      </c>
      <c r="CM4">
        <f>IF(inputs_ok,IF(TRUE,b_w+0.08*h_sec,NA()),NA())</f>
        <v/>
      </c>
      <c r="CN4">
        <f>IF(TRUE,IF(hog,d_eff,h_sec-d_eff),NA())</f>
        <v/>
      </c>
      <c r="CS4">
        <f>IF(inputs_ok,IF(TRUE,b_w,NA()),NA())</f>
        <v/>
      </c>
      <c r="CT4">
        <f>IF(TRUE,-0.08*h_sec,NA())</f>
        <v/>
      </c>
      <c r="DK4">
        <f>(((0+b_w)/2-0.75*MAX(b_w-0,h_sec))+((0+b_w)/2+0.75*MAX(b_w-0,h_sec)))/2+MAX((h_sec+2*0.08*h_sec)-(-3*0.08*h_sec),(((0+b_w)/2+0.75*MAX(b_w-0,h_sec))-((0+b_w)/2-0.75*MAX(b_w-0,h_sec)))/1.55)*0.53*1.55</f>
        <v/>
      </c>
      <c r="DL4">
        <f>((-3*0.08*h_sec)+(h_sec+2*0.08*h_sec))/2+MAX((h_sec+2*0.08*h_sec)-(-3*0.08*h_sec),(((0+b_w)/2+0.75*MAX(b_w-0,h_sec))-((0+b_w)/2-0.75*MAX(b_w-0,h_sec)))/1.55)*0.53</f>
        <v/>
      </c>
    </row>
    <row r="5">
      <c r="D5">
        <f>IF(inputs_ok,b_w,NA())</f>
        <v/>
      </c>
      <c r="E5">
        <f>h_sec</f>
        <v/>
      </c>
      <c r="G5">
        <f>IF(inputs_ok,b_w-(c_nom+phi_w/2),NA())</f>
        <v/>
      </c>
      <c r="H5">
        <f>h_sec-(c_nom+phi_w/2)</f>
        <v/>
      </c>
      <c r="J5">
        <f>IF(inputs_ok,IF(0&lt;n_bars,(c_nom+phi_w+phi/2+0*(b_w-2*c_nom-2*phi_w-phi)/MAX(n_bars-1,1))+(phi/2)*0.707107,NA()),NA())</f>
        <v/>
      </c>
      <c r="K5">
        <f>IF(0&lt;n_bars,(IF(hog,h_sec-c_nom-phi_w-phi/2,c_nom+phi_w+phi/2))+(phi/2)*0.707107,NA())</f>
        <v/>
      </c>
      <c r="M5">
        <f>IF(inputs_ok,IF(0&lt;n_2,(c_nom+phi_w+phi_2/2+0*(b_w-2*c_nom-2*phi_w-phi_2)/MAX(n_2-1,1))+(phi_2/2)*0.707107,NA()),NA())</f>
        <v/>
      </c>
      <c r="N5">
        <f>IF(0&lt;n_2,(IF(hog,c_nom+phi_w+phi_2/2,h_sec-c_nom-phi_w-phi_2/2))+(phi_2/2)*0.707107,NA())</f>
        <v/>
      </c>
      <c r="P5">
        <f>IF(inputs_ok,IF(1&lt;n_bars,(c_nom+phi_w+phi/2+1*(b_w-2*c_nom-2*phi_w-phi)/MAX(n_bars-1,1))+(phi/2)*0.707107,NA()),NA())</f>
        <v/>
      </c>
      <c r="Q5">
        <f>IF(1&lt;n_bars,(IF(hog,h_sec-c_nom-phi_w-phi/2,c_nom+phi_w+phi/2))+(phi/2)*0.707107,NA())</f>
        <v/>
      </c>
      <c r="S5">
        <f>IF(inputs_ok,IF(1&lt;n_2,(c_nom+phi_w+phi_2/2+1*(b_w-2*c_nom-2*phi_w-phi_2)/MAX(n_2-1,1))+(phi_2/2)*0.707107,NA()),NA())</f>
        <v/>
      </c>
      <c r="T5">
        <f>IF(1&lt;n_2,(IF(hog,c_nom+phi_w+phi_2/2,h_sec-c_nom-phi_w-phi_2/2))+(phi_2/2)*0.707107,NA())</f>
        <v/>
      </c>
      <c r="V5">
        <f>IF(inputs_ok,IF(2&lt;n_bars,(c_nom+phi_w+phi/2+2*(b_w-2*c_nom-2*phi_w-phi)/MAX(n_bars-1,1))+(phi/2)*0.707107,NA()),NA())</f>
        <v/>
      </c>
      <c r="W5">
        <f>IF(2&lt;n_bars,(IF(hog,h_sec-c_nom-phi_w-phi/2,c_nom+phi_w+phi/2))+(phi/2)*0.707107,NA())</f>
        <v/>
      </c>
      <c r="Y5">
        <f>IF(inputs_ok,IF(2&lt;n_2,(c_nom+phi_w+phi_2/2+2*(b_w-2*c_nom-2*phi_w-phi_2)/MAX(n_2-1,1))+(phi_2/2)*0.707107,NA()),NA())</f>
        <v/>
      </c>
      <c r="Z5">
        <f>IF(2&lt;n_2,(IF(hog,c_nom+phi_w+phi_2/2,h_sec-c_nom-phi_w-phi_2/2))+(phi_2/2)*0.707107,NA())</f>
        <v/>
      </c>
      <c r="AB5">
        <f>IF(inputs_ok,IF(3&lt;n_bars,(c_nom+phi_w+phi/2+3*(b_w-2*c_nom-2*phi_w-phi)/MAX(n_bars-1,1))+(phi/2)*0.707107,NA()),NA())</f>
        <v/>
      </c>
      <c r="AC5">
        <f>IF(3&lt;n_bars,(IF(hog,h_sec-c_nom-phi_w-phi/2,c_nom+phi_w+phi/2))+(phi/2)*0.707107,NA())</f>
        <v/>
      </c>
      <c r="AE5">
        <f>IF(inputs_ok,IF(3&lt;n_2,(c_nom+phi_w+phi_2/2+3*(b_w-2*c_nom-2*phi_w-phi_2)/MAX(n_2-1,1))+(phi_2/2)*0.707107,NA()),NA())</f>
        <v/>
      </c>
      <c r="AF5">
        <f>IF(3&lt;n_2,(IF(hog,c_nom+phi_w+phi_2/2,h_sec-c_nom-phi_w-phi_2/2))+(phi_2/2)*0.707107,NA())</f>
        <v/>
      </c>
      <c r="AH5">
        <f>IF(inputs_ok,IF(4&lt;n_bars,(c_nom+phi_w+phi/2+4*(b_w-2*c_nom-2*phi_w-phi)/MAX(n_bars-1,1))+(phi/2)*0.707107,NA()),NA())</f>
        <v/>
      </c>
      <c r="AI5">
        <f>IF(4&lt;n_bars,(IF(hog,h_sec-c_nom-phi_w-phi/2,c_nom+phi_w+phi/2))+(phi/2)*0.707107,NA())</f>
        <v/>
      </c>
      <c r="AK5">
        <f>IF(inputs_ok,IF(4&lt;n_2,(c_nom+phi_w+phi_2/2+4*(b_w-2*c_nom-2*phi_w-phi_2)/MAX(n_2-1,1))+(phi_2/2)*0.707107,NA()),NA())</f>
        <v/>
      </c>
      <c r="AL5">
        <f>IF(4&lt;n_2,(IF(hog,c_nom+phi_w+phi_2/2,h_sec-c_nom-phi_w-phi_2/2))+(phi_2/2)*0.707107,NA())</f>
        <v/>
      </c>
      <c r="AN5">
        <f>IF(inputs_ok,IF(5&lt;n_bars,(c_nom+phi_w+phi/2+5*(b_w-2*c_nom-2*phi_w-phi)/MAX(n_bars-1,1))+(phi/2)*0.707107,NA()),NA())</f>
        <v/>
      </c>
      <c r="AO5">
        <f>IF(5&lt;n_bars,(IF(hog,h_sec-c_nom-phi_w-phi/2,c_nom+phi_w+phi/2))+(phi/2)*0.707107,NA())</f>
        <v/>
      </c>
      <c r="AQ5">
        <f>IF(inputs_ok,IF(5&lt;n_2,(c_nom+phi_w+phi_2/2+5*(b_w-2*c_nom-2*phi_w-phi_2)/MAX(n_2-1,1))+(phi_2/2)*0.707107,NA()),NA())</f>
        <v/>
      </c>
      <c r="AR5">
        <f>IF(5&lt;n_2,(IF(hog,c_nom+phi_w+phi_2/2,h_sec-c_nom-phi_w-phi_2/2))+(phi_2/2)*0.707107,NA())</f>
        <v/>
      </c>
      <c r="AT5">
        <f>IF(inputs_ok,IF(6&lt;n_bars,(c_nom+phi_w+phi/2+6*(b_w-2*c_nom-2*phi_w-phi)/MAX(n_bars-1,1))+(phi/2)*0.707107,NA()),NA())</f>
        <v/>
      </c>
      <c r="AU5">
        <f>IF(6&lt;n_bars,(IF(hog,h_sec-c_nom-phi_w-phi/2,c_nom+phi_w+phi/2))+(phi/2)*0.707107,NA())</f>
        <v/>
      </c>
      <c r="AW5">
        <f>IF(inputs_ok,IF(6&lt;n_2,(c_nom+phi_w+phi_2/2+6*(b_w-2*c_nom-2*phi_w-phi_2)/MAX(n_2-1,1))+(phi_2/2)*0.707107,NA()),NA())</f>
        <v/>
      </c>
      <c r="AX5">
        <f>IF(6&lt;n_2,(IF(hog,c_nom+phi_w+phi_2/2,h_sec-c_nom-phi_w-phi_2/2))+(phi_2/2)*0.707107,NA())</f>
        <v/>
      </c>
      <c r="AZ5">
        <f>IF(inputs_ok,IF(7&lt;n_bars,(c_nom+phi_w+phi/2+7*(b_w-2*c_nom-2*phi_w-phi)/MAX(n_bars-1,1))+(phi/2)*0.707107,NA()),NA())</f>
        <v/>
      </c>
      <c r="BA5">
        <f>IF(7&lt;n_bars,(IF(hog,h_sec-c_nom-phi_w-phi/2,c_nom+phi_w+phi/2))+(phi/2)*0.707107,NA())</f>
        <v/>
      </c>
      <c r="BC5">
        <f>IF(inputs_ok,IF(7&lt;n_2,(c_nom+phi_w+phi_2/2+7*(b_w-2*c_nom-2*phi_w-phi_2)/MAX(n_2-1,1))+(phi_2/2)*0.707107,NA()),NA())</f>
        <v/>
      </c>
      <c r="BD5">
        <f>IF(7&lt;n_2,(IF(hog,c_nom+phi_w+phi_2/2,h_sec-c_nom-phi_w-phi_2/2))+(phi_2/2)*0.707107,NA())</f>
        <v/>
      </c>
      <c r="BF5">
        <f>IF(inputs_ok,IF(8&lt;n_bars,(c_nom+phi_w+phi/2+8*(b_w-2*c_nom-2*phi_w-phi)/MAX(n_bars-1,1))+(phi/2)*0.707107,NA()),NA())</f>
        <v/>
      </c>
      <c r="BG5">
        <f>IF(8&lt;n_bars,(IF(hog,h_sec-c_nom-phi_w-phi/2,c_nom+phi_w+phi/2))+(phi/2)*0.707107,NA())</f>
        <v/>
      </c>
      <c r="BI5">
        <f>IF(inputs_ok,IF(8&lt;n_2,(c_nom+phi_w+phi_2/2+8*(b_w-2*c_nom-2*phi_w-phi_2)/MAX(n_2-1,1))+(phi_2/2)*0.707107,NA()),NA())</f>
        <v/>
      </c>
      <c r="BJ5">
        <f>IF(8&lt;n_2,(IF(hog,c_nom+phi_w+phi_2/2,h_sec-c_nom-phi_w-phi_2/2))+(phi_2/2)*0.707107,NA())</f>
        <v/>
      </c>
      <c r="BL5">
        <f>IF(inputs_ok,IF(9&lt;n_bars,(c_nom+phi_w+phi/2+9*(b_w-2*c_nom-2*phi_w-phi)/MAX(n_bars-1,1))+(phi/2)*0.707107,NA()),NA())</f>
        <v/>
      </c>
      <c r="BM5">
        <f>IF(9&lt;n_bars,(IF(hog,h_sec-c_nom-phi_w-phi/2,c_nom+phi_w+phi/2))+(phi/2)*0.707107,NA())</f>
        <v/>
      </c>
      <c r="BO5">
        <f>IF(inputs_ok,IF(9&lt;n_2,(c_nom+phi_w+phi_2/2+9*(b_w-2*c_nom-2*phi_w-phi_2)/MAX(n_2-1,1))+(phi_2/2)*0.707107,NA()),NA())</f>
        <v/>
      </c>
      <c r="BP5">
        <f>IF(9&lt;n_2,(IF(hog,c_nom+phi_w+phi_2/2,h_sec-c_nom-phi_w-phi_2/2))+(phi_2/2)*0.707107,NA())</f>
        <v/>
      </c>
      <c r="BR5">
        <f>IF(inputs_ok,IF(10&lt;n_bars,(c_nom+phi_w+phi/2+10*(b_w-2*c_nom-2*phi_w-phi)/MAX(n_bars-1,1))+(phi/2)*0.707107,NA()),NA())</f>
        <v/>
      </c>
      <c r="BS5">
        <f>IF(10&lt;n_bars,(IF(hog,h_sec-c_nom-phi_w-phi/2,c_nom+phi_w+phi/2))+(phi/2)*0.707107,NA())</f>
        <v/>
      </c>
      <c r="BU5">
        <f>IF(inputs_ok,IF(10&lt;n_2,(c_nom+phi_w+phi_2/2+10*(b_w-2*c_nom-2*phi_w-phi_2)/MAX(n_2-1,1))+(phi_2/2)*0.707107,NA()),NA())</f>
        <v/>
      </c>
      <c r="BV5">
        <f>IF(10&lt;n_2,(IF(hog,c_nom+phi_w+phi_2/2,h_sec-c_nom-phi_w-phi_2/2))+(phi_2/2)*0.707107,NA())</f>
        <v/>
      </c>
      <c r="BX5">
        <f>IF(inputs_ok,IF(11&lt;n_bars,(c_nom+phi_w+phi/2+11*(b_w-2*c_nom-2*phi_w-phi)/MAX(n_bars-1,1))+(phi/2)*0.707107,NA()),NA())</f>
        <v/>
      </c>
      <c r="BY5">
        <f>IF(11&lt;n_bars,(IF(hog,h_sec-c_nom-phi_w-phi/2,c_nom+phi_w+phi/2))+(phi/2)*0.707107,NA())</f>
        <v/>
      </c>
      <c r="CA5">
        <f>IF(inputs_ok,IF(11&lt;n_2,(c_nom+phi_w+phi_2/2+11*(b_w-2*c_nom-2*phi_w-phi_2)/MAX(n_2-1,1))+(phi_2/2)*0.707107,NA()),NA())</f>
        <v/>
      </c>
      <c r="CB5">
        <f>IF(11&lt;n_2,(IF(hog,c_nom+phi_w+phi_2/2,h_sec-c_nom-phi_w-phi_2/2))+(phi_2/2)*0.707107,NA())</f>
        <v/>
      </c>
    </row>
    <row r="6">
      <c r="D6">
        <f>IF(inputs_ok,0,NA())</f>
        <v/>
      </c>
      <c r="E6">
        <f>h_sec</f>
        <v/>
      </c>
      <c r="G6">
        <f>IF(inputs_ok,(c_nom+phi_w/2),NA())</f>
        <v/>
      </c>
      <c r="H6">
        <f>h_sec-(c_nom+phi_w/2)</f>
        <v/>
      </c>
      <c r="J6">
        <f>IF(inputs_ok,IF(0&lt;n_bars,(c_nom+phi_w+phi/2+0*(b_w-2*c_nom-2*phi_w-phi)/MAX(n_bars-1,1))+(phi/2)*0.382683,NA()),NA())</f>
        <v/>
      </c>
      <c r="K6">
        <f>IF(0&lt;n_bars,(IF(hog,h_sec-c_nom-phi_w-phi/2,c_nom+phi_w+phi/2))+(phi/2)*0.923880,NA())</f>
        <v/>
      </c>
      <c r="M6">
        <f>IF(inputs_ok,IF(0&lt;n_2,(c_nom+phi_w+phi_2/2+0*(b_w-2*c_nom-2*phi_w-phi_2)/MAX(n_2-1,1))+(phi_2/2)*0.382683,NA()),NA())</f>
        <v/>
      </c>
      <c r="N6">
        <f>IF(0&lt;n_2,(IF(hog,c_nom+phi_w+phi_2/2,h_sec-c_nom-phi_w-phi_2/2))+(phi_2/2)*0.923880,NA())</f>
        <v/>
      </c>
      <c r="P6">
        <f>IF(inputs_ok,IF(1&lt;n_bars,(c_nom+phi_w+phi/2+1*(b_w-2*c_nom-2*phi_w-phi)/MAX(n_bars-1,1))+(phi/2)*0.382683,NA()),NA())</f>
        <v/>
      </c>
      <c r="Q6">
        <f>IF(1&lt;n_bars,(IF(hog,h_sec-c_nom-phi_w-phi/2,c_nom+phi_w+phi/2))+(phi/2)*0.923880,NA())</f>
        <v/>
      </c>
      <c r="S6">
        <f>IF(inputs_ok,IF(1&lt;n_2,(c_nom+phi_w+phi_2/2+1*(b_w-2*c_nom-2*phi_w-phi_2)/MAX(n_2-1,1))+(phi_2/2)*0.382683,NA()),NA())</f>
        <v/>
      </c>
      <c r="T6">
        <f>IF(1&lt;n_2,(IF(hog,c_nom+phi_w+phi_2/2,h_sec-c_nom-phi_w-phi_2/2))+(phi_2/2)*0.923880,NA())</f>
        <v/>
      </c>
      <c r="V6">
        <f>IF(inputs_ok,IF(2&lt;n_bars,(c_nom+phi_w+phi/2+2*(b_w-2*c_nom-2*phi_w-phi)/MAX(n_bars-1,1))+(phi/2)*0.382683,NA()),NA())</f>
        <v/>
      </c>
      <c r="W6">
        <f>IF(2&lt;n_bars,(IF(hog,h_sec-c_nom-phi_w-phi/2,c_nom+phi_w+phi/2))+(phi/2)*0.923880,NA())</f>
        <v/>
      </c>
      <c r="Y6">
        <f>IF(inputs_ok,IF(2&lt;n_2,(c_nom+phi_w+phi_2/2+2*(b_w-2*c_nom-2*phi_w-phi_2)/MAX(n_2-1,1))+(phi_2/2)*0.382683,NA()),NA())</f>
        <v/>
      </c>
      <c r="Z6">
        <f>IF(2&lt;n_2,(IF(hog,c_nom+phi_w+phi_2/2,h_sec-c_nom-phi_w-phi_2/2))+(phi_2/2)*0.923880,NA())</f>
        <v/>
      </c>
      <c r="AB6">
        <f>IF(inputs_ok,IF(3&lt;n_bars,(c_nom+phi_w+phi/2+3*(b_w-2*c_nom-2*phi_w-phi)/MAX(n_bars-1,1))+(phi/2)*0.382683,NA()),NA())</f>
        <v/>
      </c>
      <c r="AC6">
        <f>IF(3&lt;n_bars,(IF(hog,h_sec-c_nom-phi_w-phi/2,c_nom+phi_w+phi/2))+(phi/2)*0.923880,NA())</f>
        <v/>
      </c>
      <c r="AE6">
        <f>IF(inputs_ok,IF(3&lt;n_2,(c_nom+phi_w+phi_2/2+3*(b_w-2*c_nom-2*phi_w-phi_2)/MAX(n_2-1,1))+(phi_2/2)*0.382683,NA()),NA())</f>
        <v/>
      </c>
      <c r="AF6">
        <f>IF(3&lt;n_2,(IF(hog,c_nom+phi_w+phi_2/2,h_sec-c_nom-phi_w-phi_2/2))+(phi_2/2)*0.923880,NA())</f>
        <v/>
      </c>
      <c r="AH6">
        <f>IF(inputs_ok,IF(4&lt;n_bars,(c_nom+phi_w+phi/2+4*(b_w-2*c_nom-2*phi_w-phi)/MAX(n_bars-1,1))+(phi/2)*0.382683,NA()),NA())</f>
        <v/>
      </c>
      <c r="AI6">
        <f>IF(4&lt;n_bars,(IF(hog,h_sec-c_nom-phi_w-phi/2,c_nom+phi_w+phi/2))+(phi/2)*0.923880,NA())</f>
        <v/>
      </c>
      <c r="AK6">
        <f>IF(inputs_ok,IF(4&lt;n_2,(c_nom+phi_w+phi_2/2+4*(b_w-2*c_nom-2*phi_w-phi_2)/MAX(n_2-1,1))+(phi_2/2)*0.382683,NA()),NA())</f>
        <v/>
      </c>
      <c r="AL6">
        <f>IF(4&lt;n_2,(IF(hog,c_nom+phi_w+phi_2/2,h_sec-c_nom-phi_w-phi_2/2))+(phi_2/2)*0.923880,NA())</f>
        <v/>
      </c>
      <c r="AN6">
        <f>IF(inputs_ok,IF(5&lt;n_bars,(c_nom+phi_w+phi/2+5*(b_w-2*c_nom-2*phi_w-phi)/MAX(n_bars-1,1))+(phi/2)*0.382683,NA()),NA())</f>
        <v/>
      </c>
      <c r="AO6">
        <f>IF(5&lt;n_bars,(IF(hog,h_sec-c_nom-phi_w-phi/2,c_nom+phi_w+phi/2))+(phi/2)*0.923880,NA())</f>
        <v/>
      </c>
      <c r="AQ6">
        <f>IF(inputs_ok,IF(5&lt;n_2,(c_nom+phi_w+phi_2/2+5*(b_w-2*c_nom-2*phi_w-phi_2)/MAX(n_2-1,1))+(phi_2/2)*0.382683,NA()),NA())</f>
        <v/>
      </c>
      <c r="AR6">
        <f>IF(5&lt;n_2,(IF(hog,c_nom+phi_w+phi_2/2,h_sec-c_nom-phi_w-phi_2/2))+(phi_2/2)*0.923880,NA())</f>
        <v/>
      </c>
      <c r="AT6">
        <f>IF(inputs_ok,IF(6&lt;n_bars,(c_nom+phi_w+phi/2+6*(b_w-2*c_nom-2*phi_w-phi)/MAX(n_bars-1,1))+(phi/2)*0.382683,NA()),NA())</f>
        <v/>
      </c>
      <c r="AU6">
        <f>IF(6&lt;n_bars,(IF(hog,h_sec-c_nom-phi_w-phi/2,c_nom+phi_w+phi/2))+(phi/2)*0.923880,NA())</f>
        <v/>
      </c>
      <c r="AW6">
        <f>IF(inputs_ok,IF(6&lt;n_2,(c_nom+phi_w+phi_2/2+6*(b_w-2*c_nom-2*phi_w-phi_2)/MAX(n_2-1,1))+(phi_2/2)*0.382683,NA()),NA())</f>
        <v/>
      </c>
      <c r="AX6">
        <f>IF(6&lt;n_2,(IF(hog,c_nom+phi_w+phi_2/2,h_sec-c_nom-phi_w-phi_2/2))+(phi_2/2)*0.923880,NA())</f>
        <v/>
      </c>
      <c r="AZ6">
        <f>IF(inputs_ok,IF(7&lt;n_bars,(c_nom+phi_w+phi/2+7*(b_w-2*c_nom-2*phi_w-phi)/MAX(n_bars-1,1))+(phi/2)*0.382683,NA()),NA())</f>
        <v/>
      </c>
      <c r="BA6">
        <f>IF(7&lt;n_bars,(IF(hog,h_sec-c_nom-phi_w-phi/2,c_nom+phi_w+phi/2))+(phi/2)*0.923880,NA())</f>
        <v/>
      </c>
      <c r="BC6">
        <f>IF(inputs_ok,IF(7&lt;n_2,(c_nom+phi_w+phi_2/2+7*(b_w-2*c_nom-2*phi_w-phi_2)/MAX(n_2-1,1))+(phi_2/2)*0.382683,NA()),NA())</f>
        <v/>
      </c>
      <c r="BD6">
        <f>IF(7&lt;n_2,(IF(hog,c_nom+phi_w+phi_2/2,h_sec-c_nom-phi_w-phi_2/2))+(phi_2/2)*0.923880,NA())</f>
        <v/>
      </c>
      <c r="BF6">
        <f>IF(inputs_ok,IF(8&lt;n_bars,(c_nom+phi_w+phi/2+8*(b_w-2*c_nom-2*phi_w-phi)/MAX(n_bars-1,1))+(phi/2)*0.382683,NA()),NA())</f>
        <v/>
      </c>
      <c r="BG6">
        <f>IF(8&lt;n_bars,(IF(hog,h_sec-c_nom-phi_w-phi/2,c_nom+phi_w+phi/2))+(phi/2)*0.923880,NA())</f>
        <v/>
      </c>
      <c r="BI6">
        <f>IF(inputs_ok,IF(8&lt;n_2,(c_nom+phi_w+phi_2/2+8*(b_w-2*c_nom-2*phi_w-phi_2)/MAX(n_2-1,1))+(phi_2/2)*0.382683,NA()),NA())</f>
        <v/>
      </c>
      <c r="BJ6">
        <f>IF(8&lt;n_2,(IF(hog,c_nom+phi_w+phi_2/2,h_sec-c_nom-phi_w-phi_2/2))+(phi_2/2)*0.923880,NA())</f>
        <v/>
      </c>
      <c r="BL6">
        <f>IF(inputs_ok,IF(9&lt;n_bars,(c_nom+phi_w+phi/2+9*(b_w-2*c_nom-2*phi_w-phi)/MAX(n_bars-1,1))+(phi/2)*0.382683,NA()),NA())</f>
        <v/>
      </c>
      <c r="BM6">
        <f>IF(9&lt;n_bars,(IF(hog,h_sec-c_nom-phi_w-phi/2,c_nom+phi_w+phi/2))+(phi/2)*0.923880,NA())</f>
        <v/>
      </c>
      <c r="BO6">
        <f>IF(inputs_ok,IF(9&lt;n_2,(c_nom+phi_w+phi_2/2+9*(b_w-2*c_nom-2*phi_w-phi_2)/MAX(n_2-1,1))+(phi_2/2)*0.382683,NA()),NA())</f>
        <v/>
      </c>
      <c r="BP6">
        <f>IF(9&lt;n_2,(IF(hog,c_nom+phi_w+phi_2/2,h_sec-c_nom-phi_w-phi_2/2))+(phi_2/2)*0.923880,NA())</f>
        <v/>
      </c>
      <c r="BR6">
        <f>IF(inputs_ok,IF(10&lt;n_bars,(c_nom+phi_w+phi/2+10*(b_w-2*c_nom-2*phi_w-phi)/MAX(n_bars-1,1))+(phi/2)*0.382683,NA()),NA())</f>
        <v/>
      </c>
      <c r="BS6">
        <f>IF(10&lt;n_bars,(IF(hog,h_sec-c_nom-phi_w-phi/2,c_nom+phi_w+phi/2))+(phi/2)*0.923880,NA())</f>
        <v/>
      </c>
      <c r="BU6">
        <f>IF(inputs_ok,IF(10&lt;n_2,(c_nom+phi_w+phi_2/2+10*(b_w-2*c_nom-2*phi_w-phi_2)/MAX(n_2-1,1))+(phi_2/2)*0.382683,NA()),NA())</f>
        <v/>
      </c>
      <c r="BV6">
        <f>IF(10&lt;n_2,(IF(hog,c_nom+phi_w+phi_2/2,h_sec-c_nom-phi_w-phi_2/2))+(phi_2/2)*0.923880,NA())</f>
        <v/>
      </c>
      <c r="BX6">
        <f>IF(inputs_ok,IF(11&lt;n_bars,(c_nom+phi_w+phi/2+11*(b_w-2*c_nom-2*phi_w-phi)/MAX(n_bars-1,1))+(phi/2)*0.382683,NA()),NA())</f>
        <v/>
      </c>
      <c r="BY6">
        <f>IF(11&lt;n_bars,(IF(hog,h_sec-c_nom-phi_w-phi/2,c_nom+phi_w+phi/2))+(phi/2)*0.923880,NA())</f>
        <v/>
      </c>
      <c r="CA6">
        <f>IF(inputs_ok,IF(11&lt;n_2,(c_nom+phi_w+phi_2/2+11*(b_w-2*c_nom-2*phi_w-phi_2)/MAX(n_2-1,1))+(phi_2/2)*0.382683,NA()),NA())</f>
        <v/>
      </c>
      <c r="CB6">
        <f>IF(11&lt;n_2,(IF(hog,c_nom+phi_w+phi_2/2,h_sec-c_nom-phi_w-phi_2/2))+(phi_2/2)*0.923880,NA())</f>
        <v/>
      </c>
    </row>
    <row r="7">
      <c r="D7">
        <f>IF(inputs_ok,0,NA())</f>
        <v/>
      </c>
      <c r="E7">
        <f>0</f>
        <v/>
      </c>
      <c r="G7">
        <f>IF(inputs_ok,(c_nom+phi_w/2),NA())</f>
        <v/>
      </c>
      <c r="H7">
        <f>(c_nom+phi_w/2)</f>
        <v/>
      </c>
      <c r="J7">
        <f>IF(inputs_ok,IF(0&lt;n_bars,(c_nom+phi_w+phi/2+0*(b_w-2*c_nom-2*phi_w-phi)/MAX(n_bars-1,1))+(phi/2)*0.000000,NA()),NA())</f>
        <v/>
      </c>
      <c r="K7">
        <f>IF(0&lt;n_bars,(IF(hog,h_sec-c_nom-phi_w-phi/2,c_nom+phi_w+phi/2))+(phi/2)*1.000000,NA())</f>
        <v/>
      </c>
      <c r="M7">
        <f>IF(inputs_ok,IF(0&lt;n_2,(c_nom+phi_w+phi_2/2+0*(b_w-2*c_nom-2*phi_w-phi_2)/MAX(n_2-1,1))+(phi_2/2)*0.000000,NA()),NA())</f>
        <v/>
      </c>
      <c r="N7">
        <f>IF(0&lt;n_2,(IF(hog,c_nom+phi_w+phi_2/2,h_sec-c_nom-phi_w-phi_2/2))+(phi_2/2)*1.000000,NA())</f>
        <v/>
      </c>
      <c r="P7">
        <f>IF(inputs_ok,IF(1&lt;n_bars,(c_nom+phi_w+phi/2+1*(b_w-2*c_nom-2*phi_w-phi)/MAX(n_bars-1,1))+(phi/2)*0.000000,NA()),NA())</f>
        <v/>
      </c>
      <c r="Q7">
        <f>IF(1&lt;n_bars,(IF(hog,h_sec-c_nom-phi_w-phi/2,c_nom+phi_w+phi/2))+(phi/2)*1.000000,NA())</f>
        <v/>
      </c>
      <c r="S7">
        <f>IF(inputs_ok,IF(1&lt;n_2,(c_nom+phi_w+phi_2/2+1*(b_w-2*c_nom-2*phi_w-phi_2)/MAX(n_2-1,1))+(phi_2/2)*0.000000,NA()),NA())</f>
        <v/>
      </c>
      <c r="T7">
        <f>IF(1&lt;n_2,(IF(hog,c_nom+phi_w+phi_2/2,h_sec-c_nom-phi_w-phi_2/2))+(phi_2/2)*1.000000,NA())</f>
        <v/>
      </c>
      <c r="V7">
        <f>IF(inputs_ok,IF(2&lt;n_bars,(c_nom+phi_w+phi/2+2*(b_w-2*c_nom-2*phi_w-phi)/MAX(n_bars-1,1))+(phi/2)*0.000000,NA()),NA())</f>
        <v/>
      </c>
      <c r="W7">
        <f>IF(2&lt;n_bars,(IF(hog,h_sec-c_nom-phi_w-phi/2,c_nom+phi_w+phi/2))+(phi/2)*1.000000,NA())</f>
        <v/>
      </c>
      <c r="Y7">
        <f>IF(inputs_ok,IF(2&lt;n_2,(c_nom+phi_w+phi_2/2+2*(b_w-2*c_nom-2*phi_w-phi_2)/MAX(n_2-1,1))+(phi_2/2)*0.000000,NA()),NA())</f>
        <v/>
      </c>
      <c r="Z7">
        <f>IF(2&lt;n_2,(IF(hog,c_nom+phi_w+phi_2/2,h_sec-c_nom-phi_w-phi_2/2))+(phi_2/2)*1.000000,NA())</f>
        <v/>
      </c>
      <c r="AB7">
        <f>IF(inputs_ok,IF(3&lt;n_bars,(c_nom+phi_w+phi/2+3*(b_w-2*c_nom-2*phi_w-phi)/MAX(n_bars-1,1))+(phi/2)*0.000000,NA()),NA())</f>
        <v/>
      </c>
      <c r="AC7">
        <f>IF(3&lt;n_bars,(IF(hog,h_sec-c_nom-phi_w-phi/2,c_nom+phi_w+phi/2))+(phi/2)*1.000000,NA())</f>
        <v/>
      </c>
      <c r="AE7">
        <f>IF(inputs_ok,IF(3&lt;n_2,(c_nom+phi_w+phi_2/2+3*(b_w-2*c_nom-2*phi_w-phi_2)/MAX(n_2-1,1))+(phi_2/2)*0.000000,NA()),NA())</f>
        <v/>
      </c>
      <c r="AF7">
        <f>IF(3&lt;n_2,(IF(hog,c_nom+phi_w+phi_2/2,h_sec-c_nom-phi_w-phi_2/2))+(phi_2/2)*1.000000,NA())</f>
        <v/>
      </c>
      <c r="AH7">
        <f>IF(inputs_ok,IF(4&lt;n_bars,(c_nom+phi_w+phi/2+4*(b_w-2*c_nom-2*phi_w-phi)/MAX(n_bars-1,1))+(phi/2)*0.000000,NA()),NA())</f>
        <v/>
      </c>
      <c r="AI7">
        <f>IF(4&lt;n_bars,(IF(hog,h_sec-c_nom-phi_w-phi/2,c_nom+phi_w+phi/2))+(phi/2)*1.000000,NA())</f>
        <v/>
      </c>
      <c r="AK7">
        <f>IF(inputs_ok,IF(4&lt;n_2,(c_nom+phi_w+phi_2/2+4*(b_w-2*c_nom-2*phi_w-phi_2)/MAX(n_2-1,1))+(phi_2/2)*0.000000,NA()),NA())</f>
        <v/>
      </c>
      <c r="AL7">
        <f>IF(4&lt;n_2,(IF(hog,c_nom+phi_w+phi_2/2,h_sec-c_nom-phi_w-phi_2/2))+(phi_2/2)*1.000000,NA())</f>
        <v/>
      </c>
      <c r="AN7">
        <f>IF(inputs_ok,IF(5&lt;n_bars,(c_nom+phi_w+phi/2+5*(b_w-2*c_nom-2*phi_w-phi)/MAX(n_bars-1,1))+(phi/2)*0.000000,NA()),NA())</f>
        <v/>
      </c>
      <c r="AO7">
        <f>IF(5&lt;n_bars,(IF(hog,h_sec-c_nom-phi_w-phi/2,c_nom+phi_w+phi/2))+(phi/2)*1.000000,NA())</f>
        <v/>
      </c>
      <c r="AQ7">
        <f>IF(inputs_ok,IF(5&lt;n_2,(c_nom+phi_w+phi_2/2+5*(b_w-2*c_nom-2*phi_w-phi_2)/MAX(n_2-1,1))+(phi_2/2)*0.000000,NA()),NA())</f>
        <v/>
      </c>
      <c r="AR7">
        <f>IF(5&lt;n_2,(IF(hog,c_nom+phi_w+phi_2/2,h_sec-c_nom-phi_w-phi_2/2))+(phi_2/2)*1.000000,NA())</f>
        <v/>
      </c>
      <c r="AT7">
        <f>IF(inputs_ok,IF(6&lt;n_bars,(c_nom+phi_w+phi/2+6*(b_w-2*c_nom-2*phi_w-phi)/MAX(n_bars-1,1))+(phi/2)*0.000000,NA()),NA())</f>
        <v/>
      </c>
      <c r="AU7">
        <f>IF(6&lt;n_bars,(IF(hog,h_sec-c_nom-phi_w-phi/2,c_nom+phi_w+phi/2))+(phi/2)*1.000000,NA())</f>
        <v/>
      </c>
      <c r="AW7">
        <f>IF(inputs_ok,IF(6&lt;n_2,(c_nom+phi_w+phi_2/2+6*(b_w-2*c_nom-2*phi_w-phi_2)/MAX(n_2-1,1))+(phi_2/2)*0.000000,NA()),NA())</f>
        <v/>
      </c>
      <c r="AX7">
        <f>IF(6&lt;n_2,(IF(hog,c_nom+phi_w+phi_2/2,h_sec-c_nom-phi_w-phi_2/2))+(phi_2/2)*1.000000,NA())</f>
        <v/>
      </c>
      <c r="AZ7">
        <f>IF(inputs_ok,IF(7&lt;n_bars,(c_nom+phi_w+phi/2+7*(b_w-2*c_nom-2*phi_w-phi)/MAX(n_bars-1,1))+(phi/2)*0.000000,NA()),NA())</f>
        <v/>
      </c>
      <c r="BA7">
        <f>IF(7&lt;n_bars,(IF(hog,h_sec-c_nom-phi_w-phi/2,c_nom+phi_w+phi/2))+(phi/2)*1.000000,NA())</f>
        <v/>
      </c>
      <c r="BC7">
        <f>IF(inputs_ok,IF(7&lt;n_2,(c_nom+phi_w+phi_2/2+7*(b_w-2*c_nom-2*phi_w-phi_2)/MAX(n_2-1,1))+(phi_2/2)*0.000000,NA()),NA())</f>
        <v/>
      </c>
      <c r="BD7">
        <f>IF(7&lt;n_2,(IF(hog,c_nom+phi_w+phi_2/2,h_sec-c_nom-phi_w-phi_2/2))+(phi_2/2)*1.000000,NA())</f>
        <v/>
      </c>
      <c r="BF7">
        <f>IF(inputs_ok,IF(8&lt;n_bars,(c_nom+phi_w+phi/2+8*(b_w-2*c_nom-2*phi_w-phi)/MAX(n_bars-1,1))+(phi/2)*0.000000,NA()),NA())</f>
        <v/>
      </c>
      <c r="BG7">
        <f>IF(8&lt;n_bars,(IF(hog,h_sec-c_nom-phi_w-phi/2,c_nom+phi_w+phi/2))+(phi/2)*1.000000,NA())</f>
        <v/>
      </c>
      <c r="BI7">
        <f>IF(inputs_ok,IF(8&lt;n_2,(c_nom+phi_w+phi_2/2+8*(b_w-2*c_nom-2*phi_w-phi_2)/MAX(n_2-1,1))+(phi_2/2)*0.000000,NA()),NA())</f>
        <v/>
      </c>
      <c r="BJ7">
        <f>IF(8&lt;n_2,(IF(hog,c_nom+phi_w+phi_2/2,h_sec-c_nom-phi_w-phi_2/2))+(phi_2/2)*1.000000,NA())</f>
        <v/>
      </c>
      <c r="BL7">
        <f>IF(inputs_ok,IF(9&lt;n_bars,(c_nom+phi_w+phi/2+9*(b_w-2*c_nom-2*phi_w-phi)/MAX(n_bars-1,1))+(phi/2)*0.000000,NA()),NA())</f>
        <v/>
      </c>
      <c r="BM7">
        <f>IF(9&lt;n_bars,(IF(hog,h_sec-c_nom-phi_w-phi/2,c_nom+phi_w+phi/2))+(phi/2)*1.000000,NA())</f>
        <v/>
      </c>
      <c r="BO7">
        <f>IF(inputs_ok,IF(9&lt;n_2,(c_nom+phi_w+phi_2/2+9*(b_w-2*c_nom-2*phi_w-phi_2)/MAX(n_2-1,1))+(phi_2/2)*0.000000,NA()),NA())</f>
        <v/>
      </c>
      <c r="BP7">
        <f>IF(9&lt;n_2,(IF(hog,c_nom+phi_w+phi_2/2,h_sec-c_nom-phi_w-phi_2/2))+(phi_2/2)*1.000000,NA())</f>
        <v/>
      </c>
      <c r="BR7">
        <f>IF(inputs_ok,IF(10&lt;n_bars,(c_nom+phi_w+phi/2+10*(b_w-2*c_nom-2*phi_w-phi)/MAX(n_bars-1,1))+(phi/2)*0.000000,NA()),NA())</f>
        <v/>
      </c>
      <c r="BS7">
        <f>IF(10&lt;n_bars,(IF(hog,h_sec-c_nom-phi_w-phi/2,c_nom+phi_w+phi/2))+(phi/2)*1.000000,NA())</f>
        <v/>
      </c>
      <c r="BU7">
        <f>IF(inputs_ok,IF(10&lt;n_2,(c_nom+phi_w+phi_2/2+10*(b_w-2*c_nom-2*phi_w-phi_2)/MAX(n_2-1,1))+(phi_2/2)*0.000000,NA()),NA())</f>
        <v/>
      </c>
      <c r="BV7">
        <f>IF(10&lt;n_2,(IF(hog,c_nom+phi_w+phi_2/2,h_sec-c_nom-phi_w-phi_2/2))+(phi_2/2)*1.000000,NA())</f>
        <v/>
      </c>
      <c r="BX7">
        <f>IF(inputs_ok,IF(11&lt;n_bars,(c_nom+phi_w+phi/2+11*(b_w-2*c_nom-2*phi_w-phi)/MAX(n_bars-1,1))+(phi/2)*0.000000,NA()),NA())</f>
        <v/>
      </c>
      <c r="BY7">
        <f>IF(11&lt;n_bars,(IF(hog,h_sec-c_nom-phi_w-phi/2,c_nom+phi_w+phi/2))+(phi/2)*1.000000,NA())</f>
        <v/>
      </c>
      <c r="CA7">
        <f>IF(inputs_ok,IF(11&lt;n_2,(c_nom+phi_w+phi_2/2+11*(b_w-2*c_nom-2*phi_w-phi_2)/MAX(n_2-1,1))+(phi_2/2)*0.000000,NA()),NA())</f>
        <v/>
      </c>
      <c r="CB7">
        <f>IF(11&lt;n_2,(IF(hog,c_nom+phi_w+phi_2/2,h_sec-c_nom-phi_w-phi_2/2))+(phi_2/2)*1.000000,NA())</f>
        <v/>
      </c>
    </row>
    <row r="8">
      <c r="J8">
        <f>IF(inputs_ok,IF(0&lt;n_bars,(c_nom+phi_w+phi/2+0*(b_w-2*c_nom-2*phi_w-phi)/MAX(n_bars-1,1))+(phi/2)*-0.382683,NA()),NA())</f>
        <v/>
      </c>
      <c r="K8">
        <f>IF(0&lt;n_bars,(IF(hog,h_sec-c_nom-phi_w-phi/2,c_nom+phi_w+phi/2))+(phi/2)*0.923880,NA())</f>
        <v/>
      </c>
      <c r="M8">
        <f>IF(inputs_ok,IF(0&lt;n_2,(c_nom+phi_w+phi_2/2+0*(b_w-2*c_nom-2*phi_w-phi_2)/MAX(n_2-1,1))+(phi_2/2)*-0.382683,NA()),NA())</f>
        <v/>
      </c>
      <c r="N8">
        <f>IF(0&lt;n_2,(IF(hog,c_nom+phi_w+phi_2/2,h_sec-c_nom-phi_w-phi_2/2))+(phi_2/2)*0.923880,NA())</f>
        <v/>
      </c>
      <c r="P8">
        <f>IF(inputs_ok,IF(1&lt;n_bars,(c_nom+phi_w+phi/2+1*(b_w-2*c_nom-2*phi_w-phi)/MAX(n_bars-1,1))+(phi/2)*-0.382683,NA()),NA())</f>
        <v/>
      </c>
      <c r="Q8">
        <f>IF(1&lt;n_bars,(IF(hog,h_sec-c_nom-phi_w-phi/2,c_nom+phi_w+phi/2))+(phi/2)*0.923880,NA())</f>
        <v/>
      </c>
      <c r="S8">
        <f>IF(inputs_ok,IF(1&lt;n_2,(c_nom+phi_w+phi_2/2+1*(b_w-2*c_nom-2*phi_w-phi_2)/MAX(n_2-1,1))+(phi_2/2)*-0.382683,NA()),NA())</f>
        <v/>
      </c>
      <c r="T8">
        <f>IF(1&lt;n_2,(IF(hog,c_nom+phi_w+phi_2/2,h_sec-c_nom-phi_w-phi_2/2))+(phi_2/2)*0.923880,NA())</f>
        <v/>
      </c>
      <c r="V8">
        <f>IF(inputs_ok,IF(2&lt;n_bars,(c_nom+phi_w+phi/2+2*(b_w-2*c_nom-2*phi_w-phi)/MAX(n_bars-1,1))+(phi/2)*-0.382683,NA()),NA())</f>
        <v/>
      </c>
      <c r="W8">
        <f>IF(2&lt;n_bars,(IF(hog,h_sec-c_nom-phi_w-phi/2,c_nom+phi_w+phi/2))+(phi/2)*0.923880,NA())</f>
        <v/>
      </c>
      <c r="Y8">
        <f>IF(inputs_ok,IF(2&lt;n_2,(c_nom+phi_w+phi_2/2+2*(b_w-2*c_nom-2*phi_w-phi_2)/MAX(n_2-1,1))+(phi_2/2)*-0.382683,NA()),NA())</f>
        <v/>
      </c>
      <c r="Z8">
        <f>IF(2&lt;n_2,(IF(hog,c_nom+phi_w+phi_2/2,h_sec-c_nom-phi_w-phi_2/2))+(phi_2/2)*0.923880,NA())</f>
        <v/>
      </c>
      <c r="AB8">
        <f>IF(inputs_ok,IF(3&lt;n_bars,(c_nom+phi_w+phi/2+3*(b_w-2*c_nom-2*phi_w-phi)/MAX(n_bars-1,1))+(phi/2)*-0.382683,NA()),NA())</f>
        <v/>
      </c>
      <c r="AC8">
        <f>IF(3&lt;n_bars,(IF(hog,h_sec-c_nom-phi_w-phi/2,c_nom+phi_w+phi/2))+(phi/2)*0.923880,NA())</f>
        <v/>
      </c>
      <c r="AE8">
        <f>IF(inputs_ok,IF(3&lt;n_2,(c_nom+phi_w+phi_2/2+3*(b_w-2*c_nom-2*phi_w-phi_2)/MAX(n_2-1,1))+(phi_2/2)*-0.382683,NA()),NA())</f>
        <v/>
      </c>
      <c r="AF8">
        <f>IF(3&lt;n_2,(IF(hog,c_nom+phi_w+phi_2/2,h_sec-c_nom-phi_w-phi_2/2))+(phi_2/2)*0.923880,NA())</f>
        <v/>
      </c>
      <c r="AH8">
        <f>IF(inputs_ok,IF(4&lt;n_bars,(c_nom+phi_w+phi/2+4*(b_w-2*c_nom-2*phi_w-phi)/MAX(n_bars-1,1))+(phi/2)*-0.382683,NA()),NA())</f>
        <v/>
      </c>
      <c r="AI8">
        <f>IF(4&lt;n_bars,(IF(hog,h_sec-c_nom-phi_w-phi/2,c_nom+phi_w+phi/2))+(phi/2)*0.923880,NA())</f>
        <v/>
      </c>
      <c r="AK8">
        <f>IF(inputs_ok,IF(4&lt;n_2,(c_nom+phi_w+phi_2/2+4*(b_w-2*c_nom-2*phi_w-phi_2)/MAX(n_2-1,1))+(phi_2/2)*-0.382683,NA()),NA())</f>
        <v/>
      </c>
      <c r="AL8">
        <f>IF(4&lt;n_2,(IF(hog,c_nom+phi_w+phi_2/2,h_sec-c_nom-phi_w-phi_2/2))+(phi_2/2)*0.923880,NA())</f>
        <v/>
      </c>
      <c r="AN8">
        <f>IF(inputs_ok,IF(5&lt;n_bars,(c_nom+phi_w+phi/2+5*(b_w-2*c_nom-2*phi_w-phi)/MAX(n_bars-1,1))+(phi/2)*-0.382683,NA()),NA())</f>
        <v/>
      </c>
      <c r="AO8">
        <f>IF(5&lt;n_bars,(IF(hog,h_sec-c_nom-phi_w-phi/2,c_nom+phi_w+phi/2))+(phi/2)*0.923880,NA())</f>
        <v/>
      </c>
      <c r="AQ8">
        <f>IF(inputs_ok,IF(5&lt;n_2,(c_nom+phi_w+phi_2/2+5*(b_w-2*c_nom-2*phi_w-phi_2)/MAX(n_2-1,1))+(phi_2/2)*-0.382683,NA()),NA())</f>
        <v/>
      </c>
      <c r="AR8">
        <f>IF(5&lt;n_2,(IF(hog,c_nom+phi_w+phi_2/2,h_sec-c_nom-phi_w-phi_2/2))+(phi_2/2)*0.923880,NA())</f>
        <v/>
      </c>
      <c r="AT8">
        <f>IF(inputs_ok,IF(6&lt;n_bars,(c_nom+phi_w+phi/2+6*(b_w-2*c_nom-2*phi_w-phi)/MAX(n_bars-1,1))+(phi/2)*-0.382683,NA()),NA())</f>
        <v/>
      </c>
      <c r="AU8">
        <f>IF(6&lt;n_bars,(IF(hog,h_sec-c_nom-phi_w-phi/2,c_nom+phi_w+phi/2))+(phi/2)*0.923880,NA())</f>
        <v/>
      </c>
      <c r="AW8">
        <f>IF(inputs_ok,IF(6&lt;n_2,(c_nom+phi_w+phi_2/2+6*(b_w-2*c_nom-2*phi_w-phi_2)/MAX(n_2-1,1))+(phi_2/2)*-0.382683,NA()),NA())</f>
        <v/>
      </c>
      <c r="AX8">
        <f>IF(6&lt;n_2,(IF(hog,c_nom+phi_w+phi_2/2,h_sec-c_nom-phi_w-phi_2/2))+(phi_2/2)*0.923880,NA())</f>
        <v/>
      </c>
      <c r="AZ8">
        <f>IF(inputs_ok,IF(7&lt;n_bars,(c_nom+phi_w+phi/2+7*(b_w-2*c_nom-2*phi_w-phi)/MAX(n_bars-1,1))+(phi/2)*-0.382683,NA()),NA())</f>
        <v/>
      </c>
      <c r="BA8">
        <f>IF(7&lt;n_bars,(IF(hog,h_sec-c_nom-phi_w-phi/2,c_nom+phi_w+phi/2))+(phi/2)*0.923880,NA())</f>
        <v/>
      </c>
      <c r="BC8">
        <f>IF(inputs_ok,IF(7&lt;n_2,(c_nom+phi_w+phi_2/2+7*(b_w-2*c_nom-2*phi_w-phi_2)/MAX(n_2-1,1))+(phi_2/2)*-0.382683,NA()),NA())</f>
        <v/>
      </c>
      <c r="BD8">
        <f>IF(7&lt;n_2,(IF(hog,c_nom+phi_w+phi_2/2,h_sec-c_nom-phi_w-phi_2/2))+(phi_2/2)*0.923880,NA())</f>
        <v/>
      </c>
      <c r="BF8">
        <f>IF(inputs_ok,IF(8&lt;n_bars,(c_nom+phi_w+phi/2+8*(b_w-2*c_nom-2*phi_w-phi)/MAX(n_bars-1,1))+(phi/2)*-0.382683,NA()),NA())</f>
        <v/>
      </c>
      <c r="BG8">
        <f>IF(8&lt;n_bars,(IF(hog,h_sec-c_nom-phi_w-phi/2,c_nom+phi_w+phi/2))+(phi/2)*0.923880,NA())</f>
        <v/>
      </c>
      <c r="BI8">
        <f>IF(inputs_ok,IF(8&lt;n_2,(c_nom+phi_w+phi_2/2+8*(b_w-2*c_nom-2*phi_w-phi_2)/MAX(n_2-1,1))+(phi_2/2)*-0.382683,NA()),NA())</f>
        <v/>
      </c>
      <c r="BJ8">
        <f>IF(8&lt;n_2,(IF(hog,c_nom+phi_w+phi_2/2,h_sec-c_nom-phi_w-phi_2/2))+(phi_2/2)*0.923880,NA())</f>
        <v/>
      </c>
      <c r="BL8">
        <f>IF(inputs_ok,IF(9&lt;n_bars,(c_nom+phi_w+phi/2+9*(b_w-2*c_nom-2*phi_w-phi)/MAX(n_bars-1,1))+(phi/2)*-0.382683,NA()),NA())</f>
        <v/>
      </c>
      <c r="BM8">
        <f>IF(9&lt;n_bars,(IF(hog,h_sec-c_nom-phi_w-phi/2,c_nom+phi_w+phi/2))+(phi/2)*0.923880,NA())</f>
        <v/>
      </c>
      <c r="BO8">
        <f>IF(inputs_ok,IF(9&lt;n_2,(c_nom+phi_w+phi_2/2+9*(b_w-2*c_nom-2*phi_w-phi_2)/MAX(n_2-1,1))+(phi_2/2)*-0.382683,NA()),NA())</f>
        <v/>
      </c>
      <c r="BP8">
        <f>IF(9&lt;n_2,(IF(hog,c_nom+phi_w+phi_2/2,h_sec-c_nom-phi_w-phi_2/2))+(phi_2/2)*0.923880,NA())</f>
        <v/>
      </c>
      <c r="BR8">
        <f>IF(inputs_ok,IF(10&lt;n_bars,(c_nom+phi_w+phi/2+10*(b_w-2*c_nom-2*phi_w-phi)/MAX(n_bars-1,1))+(phi/2)*-0.382683,NA()),NA())</f>
        <v/>
      </c>
      <c r="BS8">
        <f>IF(10&lt;n_bars,(IF(hog,h_sec-c_nom-phi_w-phi/2,c_nom+phi_w+phi/2))+(phi/2)*0.923880,NA())</f>
        <v/>
      </c>
      <c r="BU8">
        <f>IF(inputs_ok,IF(10&lt;n_2,(c_nom+phi_w+phi_2/2+10*(b_w-2*c_nom-2*phi_w-phi_2)/MAX(n_2-1,1))+(phi_2/2)*-0.382683,NA()),NA())</f>
        <v/>
      </c>
      <c r="BV8">
        <f>IF(10&lt;n_2,(IF(hog,c_nom+phi_w+phi_2/2,h_sec-c_nom-phi_w-phi_2/2))+(phi_2/2)*0.923880,NA())</f>
        <v/>
      </c>
      <c r="BX8">
        <f>IF(inputs_ok,IF(11&lt;n_bars,(c_nom+phi_w+phi/2+11*(b_w-2*c_nom-2*phi_w-phi)/MAX(n_bars-1,1))+(phi/2)*-0.382683,NA()),NA())</f>
        <v/>
      </c>
      <c r="BY8">
        <f>IF(11&lt;n_bars,(IF(hog,h_sec-c_nom-phi_w-phi/2,c_nom+phi_w+phi/2))+(phi/2)*0.923880,NA())</f>
        <v/>
      </c>
      <c r="CA8">
        <f>IF(inputs_ok,IF(11&lt;n_2,(c_nom+phi_w+phi_2/2+11*(b_w-2*c_nom-2*phi_w-phi_2)/MAX(n_2-1,1))+(phi_2/2)*-0.382683,NA()),NA())</f>
        <v/>
      </c>
      <c r="CB8">
        <f>IF(11&lt;n_2,(IF(hog,c_nom+phi_w+phi_2/2,h_sec-c_nom-phi_w-phi_2/2))+(phi_2/2)*0.923880,NA())</f>
        <v/>
      </c>
    </row>
    <row r="9">
      <c r="J9">
        <f>IF(inputs_ok,IF(0&lt;n_bars,(c_nom+phi_w+phi/2+0*(b_w-2*c_nom-2*phi_w-phi)/MAX(n_bars-1,1))+(phi/2)*-0.707107,NA()),NA())</f>
        <v/>
      </c>
      <c r="K9">
        <f>IF(0&lt;n_bars,(IF(hog,h_sec-c_nom-phi_w-phi/2,c_nom+phi_w+phi/2))+(phi/2)*0.707107,NA())</f>
        <v/>
      </c>
      <c r="M9">
        <f>IF(inputs_ok,IF(0&lt;n_2,(c_nom+phi_w+phi_2/2+0*(b_w-2*c_nom-2*phi_w-phi_2)/MAX(n_2-1,1))+(phi_2/2)*-0.707107,NA()),NA())</f>
        <v/>
      </c>
      <c r="N9">
        <f>IF(0&lt;n_2,(IF(hog,c_nom+phi_w+phi_2/2,h_sec-c_nom-phi_w-phi_2/2))+(phi_2/2)*0.707107,NA())</f>
        <v/>
      </c>
      <c r="P9">
        <f>IF(inputs_ok,IF(1&lt;n_bars,(c_nom+phi_w+phi/2+1*(b_w-2*c_nom-2*phi_w-phi)/MAX(n_bars-1,1))+(phi/2)*-0.707107,NA()),NA())</f>
        <v/>
      </c>
      <c r="Q9">
        <f>IF(1&lt;n_bars,(IF(hog,h_sec-c_nom-phi_w-phi/2,c_nom+phi_w+phi/2))+(phi/2)*0.707107,NA())</f>
        <v/>
      </c>
      <c r="S9">
        <f>IF(inputs_ok,IF(1&lt;n_2,(c_nom+phi_w+phi_2/2+1*(b_w-2*c_nom-2*phi_w-phi_2)/MAX(n_2-1,1))+(phi_2/2)*-0.707107,NA()),NA())</f>
        <v/>
      </c>
      <c r="T9">
        <f>IF(1&lt;n_2,(IF(hog,c_nom+phi_w+phi_2/2,h_sec-c_nom-phi_w-phi_2/2))+(phi_2/2)*0.707107,NA())</f>
        <v/>
      </c>
      <c r="V9">
        <f>IF(inputs_ok,IF(2&lt;n_bars,(c_nom+phi_w+phi/2+2*(b_w-2*c_nom-2*phi_w-phi)/MAX(n_bars-1,1))+(phi/2)*-0.707107,NA()),NA())</f>
        <v/>
      </c>
      <c r="W9">
        <f>IF(2&lt;n_bars,(IF(hog,h_sec-c_nom-phi_w-phi/2,c_nom+phi_w+phi/2))+(phi/2)*0.707107,NA())</f>
        <v/>
      </c>
      <c r="Y9">
        <f>IF(inputs_ok,IF(2&lt;n_2,(c_nom+phi_w+phi_2/2+2*(b_w-2*c_nom-2*phi_w-phi_2)/MAX(n_2-1,1))+(phi_2/2)*-0.707107,NA()),NA())</f>
        <v/>
      </c>
      <c r="Z9">
        <f>IF(2&lt;n_2,(IF(hog,c_nom+phi_w+phi_2/2,h_sec-c_nom-phi_w-phi_2/2))+(phi_2/2)*0.707107,NA())</f>
        <v/>
      </c>
      <c r="AB9">
        <f>IF(inputs_ok,IF(3&lt;n_bars,(c_nom+phi_w+phi/2+3*(b_w-2*c_nom-2*phi_w-phi)/MAX(n_bars-1,1))+(phi/2)*-0.707107,NA()),NA())</f>
        <v/>
      </c>
      <c r="AC9">
        <f>IF(3&lt;n_bars,(IF(hog,h_sec-c_nom-phi_w-phi/2,c_nom+phi_w+phi/2))+(phi/2)*0.707107,NA())</f>
        <v/>
      </c>
      <c r="AE9">
        <f>IF(inputs_ok,IF(3&lt;n_2,(c_nom+phi_w+phi_2/2+3*(b_w-2*c_nom-2*phi_w-phi_2)/MAX(n_2-1,1))+(phi_2/2)*-0.707107,NA()),NA())</f>
        <v/>
      </c>
      <c r="AF9">
        <f>IF(3&lt;n_2,(IF(hog,c_nom+phi_w+phi_2/2,h_sec-c_nom-phi_w-phi_2/2))+(phi_2/2)*0.707107,NA())</f>
        <v/>
      </c>
      <c r="AH9">
        <f>IF(inputs_ok,IF(4&lt;n_bars,(c_nom+phi_w+phi/2+4*(b_w-2*c_nom-2*phi_w-phi)/MAX(n_bars-1,1))+(phi/2)*-0.707107,NA()),NA())</f>
        <v/>
      </c>
      <c r="AI9">
        <f>IF(4&lt;n_bars,(IF(hog,h_sec-c_nom-phi_w-phi/2,c_nom+phi_w+phi/2))+(phi/2)*0.707107,NA())</f>
        <v/>
      </c>
      <c r="AK9">
        <f>IF(inputs_ok,IF(4&lt;n_2,(c_nom+phi_w+phi_2/2+4*(b_w-2*c_nom-2*phi_w-phi_2)/MAX(n_2-1,1))+(phi_2/2)*-0.707107,NA()),NA())</f>
        <v/>
      </c>
      <c r="AL9">
        <f>IF(4&lt;n_2,(IF(hog,c_nom+phi_w+phi_2/2,h_sec-c_nom-phi_w-phi_2/2))+(phi_2/2)*0.707107,NA())</f>
        <v/>
      </c>
      <c r="AN9">
        <f>IF(inputs_ok,IF(5&lt;n_bars,(c_nom+phi_w+phi/2+5*(b_w-2*c_nom-2*phi_w-phi)/MAX(n_bars-1,1))+(phi/2)*-0.707107,NA()),NA())</f>
        <v/>
      </c>
      <c r="AO9">
        <f>IF(5&lt;n_bars,(IF(hog,h_sec-c_nom-phi_w-phi/2,c_nom+phi_w+phi/2))+(phi/2)*0.707107,NA())</f>
        <v/>
      </c>
      <c r="AQ9">
        <f>IF(inputs_ok,IF(5&lt;n_2,(c_nom+phi_w+phi_2/2+5*(b_w-2*c_nom-2*phi_w-phi_2)/MAX(n_2-1,1))+(phi_2/2)*-0.707107,NA()),NA())</f>
        <v/>
      </c>
      <c r="AR9">
        <f>IF(5&lt;n_2,(IF(hog,c_nom+phi_w+phi_2/2,h_sec-c_nom-phi_w-phi_2/2))+(phi_2/2)*0.707107,NA())</f>
        <v/>
      </c>
      <c r="AT9">
        <f>IF(inputs_ok,IF(6&lt;n_bars,(c_nom+phi_w+phi/2+6*(b_w-2*c_nom-2*phi_w-phi)/MAX(n_bars-1,1))+(phi/2)*-0.707107,NA()),NA())</f>
        <v/>
      </c>
      <c r="AU9">
        <f>IF(6&lt;n_bars,(IF(hog,h_sec-c_nom-phi_w-phi/2,c_nom+phi_w+phi/2))+(phi/2)*0.707107,NA())</f>
        <v/>
      </c>
      <c r="AW9">
        <f>IF(inputs_ok,IF(6&lt;n_2,(c_nom+phi_w+phi_2/2+6*(b_w-2*c_nom-2*phi_w-phi_2)/MAX(n_2-1,1))+(phi_2/2)*-0.707107,NA()),NA())</f>
        <v/>
      </c>
      <c r="AX9">
        <f>IF(6&lt;n_2,(IF(hog,c_nom+phi_w+phi_2/2,h_sec-c_nom-phi_w-phi_2/2))+(phi_2/2)*0.707107,NA())</f>
        <v/>
      </c>
      <c r="AZ9">
        <f>IF(inputs_ok,IF(7&lt;n_bars,(c_nom+phi_w+phi/2+7*(b_w-2*c_nom-2*phi_w-phi)/MAX(n_bars-1,1))+(phi/2)*-0.707107,NA()),NA())</f>
        <v/>
      </c>
      <c r="BA9">
        <f>IF(7&lt;n_bars,(IF(hog,h_sec-c_nom-phi_w-phi/2,c_nom+phi_w+phi/2))+(phi/2)*0.707107,NA())</f>
        <v/>
      </c>
      <c r="BC9">
        <f>IF(inputs_ok,IF(7&lt;n_2,(c_nom+phi_w+phi_2/2+7*(b_w-2*c_nom-2*phi_w-phi_2)/MAX(n_2-1,1))+(phi_2/2)*-0.707107,NA()),NA())</f>
        <v/>
      </c>
      <c r="BD9">
        <f>IF(7&lt;n_2,(IF(hog,c_nom+phi_w+phi_2/2,h_sec-c_nom-phi_w-phi_2/2))+(phi_2/2)*0.707107,NA())</f>
        <v/>
      </c>
      <c r="BF9">
        <f>IF(inputs_ok,IF(8&lt;n_bars,(c_nom+phi_w+phi/2+8*(b_w-2*c_nom-2*phi_w-phi)/MAX(n_bars-1,1))+(phi/2)*-0.707107,NA()),NA())</f>
        <v/>
      </c>
      <c r="BG9">
        <f>IF(8&lt;n_bars,(IF(hog,h_sec-c_nom-phi_w-phi/2,c_nom+phi_w+phi/2))+(phi/2)*0.707107,NA())</f>
        <v/>
      </c>
      <c r="BI9">
        <f>IF(inputs_ok,IF(8&lt;n_2,(c_nom+phi_w+phi_2/2+8*(b_w-2*c_nom-2*phi_w-phi_2)/MAX(n_2-1,1))+(phi_2/2)*-0.707107,NA()),NA())</f>
        <v/>
      </c>
      <c r="BJ9">
        <f>IF(8&lt;n_2,(IF(hog,c_nom+phi_w+phi_2/2,h_sec-c_nom-phi_w-phi_2/2))+(phi_2/2)*0.707107,NA())</f>
        <v/>
      </c>
      <c r="BL9">
        <f>IF(inputs_ok,IF(9&lt;n_bars,(c_nom+phi_w+phi/2+9*(b_w-2*c_nom-2*phi_w-phi)/MAX(n_bars-1,1))+(phi/2)*-0.707107,NA()),NA())</f>
        <v/>
      </c>
      <c r="BM9">
        <f>IF(9&lt;n_bars,(IF(hog,h_sec-c_nom-phi_w-phi/2,c_nom+phi_w+phi/2))+(phi/2)*0.707107,NA())</f>
        <v/>
      </c>
      <c r="BO9">
        <f>IF(inputs_ok,IF(9&lt;n_2,(c_nom+phi_w+phi_2/2+9*(b_w-2*c_nom-2*phi_w-phi_2)/MAX(n_2-1,1))+(phi_2/2)*-0.707107,NA()),NA())</f>
        <v/>
      </c>
      <c r="BP9">
        <f>IF(9&lt;n_2,(IF(hog,c_nom+phi_w+phi_2/2,h_sec-c_nom-phi_w-phi_2/2))+(phi_2/2)*0.707107,NA())</f>
        <v/>
      </c>
      <c r="BR9">
        <f>IF(inputs_ok,IF(10&lt;n_bars,(c_nom+phi_w+phi/2+10*(b_w-2*c_nom-2*phi_w-phi)/MAX(n_bars-1,1))+(phi/2)*-0.707107,NA()),NA())</f>
        <v/>
      </c>
      <c r="BS9">
        <f>IF(10&lt;n_bars,(IF(hog,h_sec-c_nom-phi_w-phi/2,c_nom+phi_w+phi/2))+(phi/2)*0.707107,NA())</f>
        <v/>
      </c>
      <c r="BU9">
        <f>IF(inputs_ok,IF(10&lt;n_2,(c_nom+phi_w+phi_2/2+10*(b_w-2*c_nom-2*phi_w-phi_2)/MAX(n_2-1,1))+(phi_2/2)*-0.707107,NA()),NA())</f>
        <v/>
      </c>
      <c r="BV9">
        <f>IF(10&lt;n_2,(IF(hog,c_nom+phi_w+phi_2/2,h_sec-c_nom-phi_w-phi_2/2))+(phi_2/2)*0.707107,NA())</f>
        <v/>
      </c>
      <c r="BX9">
        <f>IF(inputs_ok,IF(11&lt;n_bars,(c_nom+phi_w+phi/2+11*(b_w-2*c_nom-2*phi_w-phi)/MAX(n_bars-1,1))+(phi/2)*-0.707107,NA()),NA())</f>
        <v/>
      </c>
      <c r="BY9">
        <f>IF(11&lt;n_bars,(IF(hog,h_sec-c_nom-phi_w-phi/2,c_nom+phi_w+phi/2))+(phi/2)*0.707107,NA())</f>
        <v/>
      </c>
      <c r="CA9">
        <f>IF(inputs_ok,IF(11&lt;n_2,(c_nom+phi_w+phi_2/2+11*(b_w-2*c_nom-2*phi_w-phi_2)/MAX(n_2-1,1))+(phi_2/2)*-0.707107,NA()),NA())</f>
        <v/>
      </c>
      <c r="CB9">
        <f>IF(11&lt;n_2,(IF(hog,c_nom+phi_w+phi_2/2,h_sec-c_nom-phi_w-phi_2/2))+(phi_2/2)*0.707107,NA())</f>
        <v/>
      </c>
    </row>
    <row r="10">
      <c r="J10">
        <f>IF(inputs_ok,IF(0&lt;n_bars,(c_nom+phi_w+phi/2+0*(b_w-2*c_nom-2*phi_w-phi)/MAX(n_bars-1,1))+(phi/2)*-0.923880,NA()),NA())</f>
        <v/>
      </c>
      <c r="K10">
        <f>IF(0&lt;n_bars,(IF(hog,h_sec-c_nom-phi_w-phi/2,c_nom+phi_w+phi/2))+(phi/2)*0.382683,NA())</f>
        <v/>
      </c>
      <c r="M10">
        <f>IF(inputs_ok,IF(0&lt;n_2,(c_nom+phi_w+phi_2/2+0*(b_w-2*c_nom-2*phi_w-phi_2)/MAX(n_2-1,1))+(phi_2/2)*-0.923880,NA()),NA())</f>
        <v/>
      </c>
      <c r="N10">
        <f>IF(0&lt;n_2,(IF(hog,c_nom+phi_w+phi_2/2,h_sec-c_nom-phi_w-phi_2/2))+(phi_2/2)*0.382683,NA())</f>
        <v/>
      </c>
      <c r="P10">
        <f>IF(inputs_ok,IF(1&lt;n_bars,(c_nom+phi_w+phi/2+1*(b_w-2*c_nom-2*phi_w-phi)/MAX(n_bars-1,1))+(phi/2)*-0.923880,NA()),NA())</f>
        <v/>
      </c>
      <c r="Q10">
        <f>IF(1&lt;n_bars,(IF(hog,h_sec-c_nom-phi_w-phi/2,c_nom+phi_w+phi/2))+(phi/2)*0.382683,NA())</f>
        <v/>
      </c>
      <c r="S10">
        <f>IF(inputs_ok,IF(1&lt;n_2,(c_nom+phi_w+phi_2/2+1*(b_w-2*c_nom-2*phi_w-phi_2)/MAX(n_2-1,1))+(phi_2/2)*-0.923880,NA()),NA())</f>
        <v/>
      </c>
      <c r="T10">
        <f>IF(1&lt;n_2,(IF(hog,c_nom+phi_w+phi_2/2,h_sec-c_nom-phi_w-phi_2/2))+(phi_2/2)*0.382683,NA())</f>
        <v/>
      </c>
      <c r="V10">
        <f>IF(inputs_ok,IF(2&lt;n_bars,(c_nom+phi_w+phi/2+2*(b_w-2*c_nom-2*phi_w-phi)/MAX(n_bars-1,1))+(phi/2)*-0.923880,NA()),NA())</f>
        <v/>
      </c>
      <c r="W10">
        <f>IF(2&lt;n_bars,(IF(hog,h_sec-c_nom-phi_w-phi/2,c_nom+phi_w+phi/2))+(phi/2)*0.382683,NA())</f>
        <v/>
      </c>
      <c r="Y10">
        <f>IF(inputs_ok,IF(2&lt;n_2,(c_nom+phi_w+phi_2/2+2*(b_w-2*c_nom-2*phi_w-phi_2)/MAX(n_2-1,1))+(phi_2/2)*-0.923880,NA()),NA())</f>
        <v/>
      </c>
      <c r="Z10">
        <f>IF(2&lt;n_2,(IF(hog,c_nom+phi_w+phi_2/2,h_sec-c_nom-phi_w-phi_2/2))+(phi_2/2)*0.382683,NA())</f>
        <v/>
      </c>
      <c r="AB10">
        <f>IF(inputs_ok,IF(3&lt;n_bars,(c_nom+phi_w+phi/2+3*(b_w-2*c_nom-2*phi_w-phi)/MAX(n_bars-1,1))+(phi/2)*-0.923880,NA()),NA())</f>
        <v/>
      </c>
      <c r="AC10">
        <f>IF(3&lt;n_bars,(IF(hog,h_sec-c_nom-phi_w-phi/2,c_nom+phi_w+phi/2))+(phi/2)*0.382683,NA())</f>
        <v/>
      </c>
      <c r="AE10">
        <f>IF(inputs_ok,IF(3&lt;n_2,(c_nom+phi_w+phi_2/2+3*(b_w-2*c_nom-2*phi_w-phi_2)/MAX(n_2-1,1))+(phi_2/2)*-0.923880,NA()),NA())</f>
        <v/>
      </c>
      <c r="AF10">
        <f>IF(3&lt;n_2,(IF(hog,c_nom+phi_w+phi_2/2,h_sec-c_nom-phi_w-phi_2/2))+(phi_2/2)*0.382683,NA())</f>
        <v/>
      </c>
      <c r="AH10">
        <f>IF(inputs_ok,IF(4&lt;n_bars,(c_nom+phi_w+phi/2+4*(b_w-2*c_nom-2*phi_w-phi)/MAX(n_bars-1,1))+(phi/2)*-0.923880,NA()),NA())</f>
        <v/>
      </c>
      <c r="AI10">
        <f>IF(4&lt;n_bars,(IF(hog,h_sec-c_nom-phi_w-phi/2,c_nom+phi_w+phi/2))+(phi/2)*0.382683,NA())</f>
        <v/>
      </c>
      <c r="AK10">
        <f>IF(inputs_ok,IF(4&lt;n_2,(c_nom+phi_w+phi_2/2+4*(b_w-2*c_nom-2*phi_w-phi_2)/MAX(n_2-1,1))+(phi_2/2)*-0.923880,NA()),NA())</f>
        <v/>
      </c>
      <c r="AL10">
        <f>IF(4&lt;n_2,(IF(hog,c_nom+phi_w+phi_2/2,h_sec-c_nom-phi_w-phi_2/2))+(phi_2/2)*0.382683,NA())</f>
        <v/>
      </c>
      <c r="AN10">
        <f>IF(inputs_ok,IF(5&lt;n_bars,(c_nom+phi_w+phi/2+5*(b_w-2*c_nom-2*phi_w-phi)/MAX(n_bars-1,1))+(phi/2)*-0.923880,NA()),NA())</f>
        <v/>
      </c>
      <c r="AO10">
        <f>IF(5&lt;n_bars,(IF(hog,h_sec-c_nom-phi_w-phi/2,c_nom+phi_w+phi/2))+(phi/2)*0.382683,NA())</f>
        <v/>
      </c>
      <c r="AQ10">
        <f>IF(inputs_ok,IF(5&lt;n_2,(c_nom+phi_w+phi_2/2+5*(b_w-2*c_nom-2*phi_w-phi_2)/MAX(n_2-1,1))+(phi_2/2)*-0.923880,NA()),NA())</f>
        <v/>
      </c>
      <c r="AR10">
        <f>IF(5&lt;n_2,(IF(hog,c_nom+phi_w+phi_2/2,h_sec-c_nom-phi_w-phi_2/2))+(phi_2/2)*0.382683,NA())</f>
        <v/>
      </c>
      <c r="AT10">
        <f>IF(inputs_ok,IF(6&lt;n_bars,(c_nom+phi_w+phi/2+6*(b_w-2*c_nom-2*phi_w-phi)/MAX(n_bars-1,1))+(phi/2)*-0.923880,NA()),NA())</f>
        <v/>
      </c>
      <c r="AU10">
        <f>IF(6&lt;n_bars,(IF(hog,h_sec-c_nom-phi_w-phi/2,c_nom+phi_w+phi/2))+(phi/2)*0.382683,NA())</f>
        <v/>
      </c>
      <c r="AW10">
        <f>IF(inputs_ok,IF(6&lt;n_2,(c_nom+phi_w+phi_2/2+6*(b_w-2*c_nom-2*phi_w-phi_2)/MAX(n_2-1,1))+(phi_2/2)*-0.923880,NA()),NA())</f>
        <v/>
      </c>
      <c r="AX10">
        <f>IF(6&lt;n_2,(IF(hog,c_nom+phi_w+phi_2/2,h_sec-c_nom-phi_w-phi_2/2))+(phi_2/2)*0.382683,NA())</f>
        <v/>
      </c>
      <c r="AZ10">
        <f>IF(inputs_ok,IF(7&lt;n_bars,(c_nom+phi_w+phi/2+7*(b_w-2*c_nom-2*phi_w-phi)/MAX(n_bars-1,1))+(phi/2)*-0.923880,NA()),NA())</f>
        <v/>
      </c>
      <c r="BA10">
        <f>IF(7&lt;n_bars,(IF(hog,h_sec-c_nom-phi_w-phi/2,c_nom+phi_w+phi/2))+(phi/2)*0.382683,NA())</f>
        <v/>
      </c>
      <c r="BC10">
        <f>IF(inputs_ok,IF(7&lt;n_2,(c_nom+phi_w+phi_2/2+7*(b_w-2*c_nom-2*phi_w-phi_2)/MAX(n_2-1,1))+(phi_2/2)*-0.923880,NA()),NA())</f>
        <v/>
      </c>
      <c r="BD10">
        <f>IF(7&lt;n_2,(IF(hog,c_nom+phi_w+phi_2/2,h_sec-c_nom-phi_w-phi_2/2))+(phi_2/2)*0.382683,NA())</f>
        <v/>
      </c>
      <c r="BF10">
        <f>IF(inputs_ok,IF(8&lt;n_bars,(c_nom+phi_w+phi/2+8*(b_w-2*c_nom-2*phi_w-phi)/MAX(n_bars-1,1))+(phi/2)*-0.923880,NA()),NA())</f>
        <v/>
      </c>
      <c r="BG10">
        <f>IF(8&lt;n_bars,(IF(hog,h_sec-c_nom-phi_w-phi/2,c_nom+phi_w+phi/2))+(phi/2)*0.382683,NA())</f>
        <v/>
      </c>
      <c r="BI10">
        <f>IF(inputs_ok,IF(8&lt;n_2,(c_nom+phi_w+phi_2/2+8*(b_w-2*c_nom-2*phi_w-phi_2)/MAX(n_2-1,1))+(phi_2/2)*-0.923880,NA()),NA())</f>
        <v/>
      </c>
      <c r="BJ10">
        <f>IF(8&lt;n_2,(IF(hog,c_nom+phi_w+phi_2/2,h_sec-c_nom-phi_w-phi_2/2))+(phi_2/2)*0.382683,NA())</f>
        <v/>
      </c>
      <c r="BL10">
        <f>IF(inputs_ok,IF(9&lt;n_bars,(c_nom+phi_w+phi/2+9*(b_w-2*c_nom-2*phi_w-phi)/MAX(n_bars-1,1))+(phi/2)*-0.923880,NA()),NA())</f>
        <v/>
      </c>
      <c r="BM10">
        <f>IF(9&lt;n_bars,(IF(hog,h_sec-c_nom-phi_w-phi/2,c_nom+phi_w+phi/2))+(phi/2)*0.382683,NA())</f>
        <v/>
      </c>
      <c r="BO10">
        <f>IF(inputs_ok,IF(9&lt;n_2,(c_nom+phi_w+phi_2/2+9*(b_w-2*c_nom-2*phi_w-phi_2)/MAX(n_2-1,1))+(phi_2/2)*-0.923880,NA()),NA())</f>
        <v/>
      </c>
      <c r="BP10">
        <f>IF(9&lt;n_2,(IF(hog,c_nom+phi_w+phi_2/2,h_sec-c_nom-phi_w-phi_2/2))+(phi_2/2)*0.382683,NA())</f>
        <v/>
      </c>
      <c r="BR10">
        <f>IF(inputs_ok,IF(10&lt;n_bars,(c_nom+phi_w+phi/2+10*(b_w-2*c_nom-2*phi_w-phi)/MAX(n_bars-1,1))+(phi/2)*-0.923880,NA()),NA())</f>
        <v/>
      </c>
      <c r="BS10">
        <f>IF(10&lt;n_bars,(IF(hog,h_sec-c_nom-phi_w-phi/2,c_nom+phi_w+phi/2))+(phi/2)*0.382683,NA())</f>
        <v/>
      </c>
      <c r="BU10">
        <f>IF(inputs_ok,IF(10&lt;n_2,(c_nom+phi_w+phi_2/2+10*(b_w-2*c_nom-2*phi_w-phi_2)/MAX(n_2-1,1))+(phi_2/2)*-0.923880,NA()),NA())</f>
        <v/>
      </c>
      <c r="BV10">
        <f>IF(10&lt;n_2,(IF(hog,c_nom+phi_w+phi_2/2,h_sec-c_nom-phi_w-phi_2/2))+(phi_2/2)*0.382683,NA())</f>
        <v/>
      </c>
      <c r="BX10">
        <f>IF(inputs_ok,IF(11&lt;n_bars,(c_nom+phi_w+phi/2+11*(b_w-2*c_nom-2*phi_w-phi)/MAX(n_bars-1,1))+(phi/2)*-0.923880,NA()),NA())</f>
        <v/>
      </c>
      <c r="BY10">
        <f>IF(11&lt;n_bars,(IF(hog,h_sec-c_nom-phi_w-phi/2,c_nom+phi_w+phi/2))+(phi/2)*0.382683,NA())</f>
        <v/>
      </c>
      <c r="CA10">
        <f>IF(inputs_ok,IF(11&lt;n_2,(c_nom+phi_w+phi_2/2+11*(b_w-2*c_nom-2*phi_w-phi_2)/MAX(n_2-1,1))+(phi_2/2)*-0.923880,NA()),NA())</f>
        <v/>
      </c>
      <c r="CB10">
        <f>IF(11&lt;n_2,(IF(hog,c_nom+phi_w+phi_2/2,h_sec-c_nom-phi_w-phi_2/2))+(phi_2/2)*0.382683,NA())</f>
        <v/>
      </c>
    </row>
    <row r="11">
      <c r="J11">
        <f>IF(inputs_ok,IF(0&lt;n_bars,(c_nom+phi_w+phi/2+0*(b_w-2*c_nom-2*phi_w-phi)/MAX(n_bars-1,1))+(phi/2)*-1.000000,NA()),NA())</f>
        <v/>
      </c>
      <c r="K11">
        <f>IF(0&lt;n_bars,(IF(hog,h_sec-c_nom-phi_w-phi/2,c_nom+phi_w+phi/2))+(phi/2)*0.000000,NA())</f>
        <v/>
      </c>
      <c r="M11">
        <f>IF(inputs_ok,IF(0&lt;n_2,(c_nom+phi_w+phi_2/2+0*(b_w-2*c_nom-2*phi_w-phi_2)/MAX(n_2-1,1))+(phi_2/2)*-1.000000,NA()),NA())</f>
        <v/>
      </c>
      <c r="N11">
        <f>IF(0&lt;n_2,(IF(hog,c_nom+phi_w+phi_2/2,h_sec-c_nom-phi_w-phi_2/2))+(phi_2/2)*0.000000,NA())</f>
        <v/>
      </c>
      <c r="P11">
        <f>IF(inputs_ok,IF(1&lt;n_bars,(c_nom+phi_w+phi/2+1*(b_w-2*c_nom-2*phi_w-phi)/MAX(n_bars-1,1))+(phi/2)*-1.000000,NA()),NA())</f>
        <v/>
      </c>
      <c r="Q11">
        <f>IF(1&lt;n_bars,(IF(hog,h_sec-c_nom-phi_w-phi/2,c_nom+phi_w+phi/2))+(phi/2)*0.000000,NA())</f>
        <v/>
      </c>
      <c r="S11">
        <f>IF(inputs_ok,IF(1&lt;n_2,(c_nom+phi_w+phi_2/2+1*(b_w-2*c_nom-2*phi_w-phi_2)/MAX(n_2-1,1))+(phi_2/2)*-1.000000,NA()),NA())</f>
        <v/>
      </c>
      <c r="T11">
        <f>IF(1&lt;n_2,(IF(hog,c_nom+phi_w+phi_2/2,h_sec-c_nom-phi_w-phi_2/2))+(phi_2/2)*0.000000,NA())</f>
        <v/>
      </c>
      <c r="V11">
        <f>IF(inputs_ok,IF(2&lt;n_bars,(c_nom+phi_w+phi/2+2*(b_w-2*c_nom-2*phi_w-phi)/MAX(n_bars-1,1))+(phi/2)*-1.000000,NA()),NA())</f>
        <v/>
      </c>
      <c r="W11">
        <f>IF(2&lt;n_bars,(IF(hog,h_sec-c_nom-phi_w-phi/2,c_nom+phi_w+phi/2))+(phi/2)*0.000000,NA())</f>
        <v/>
      </c>
      <c r="Y11">
        <f>IF(inputs_ok,IF(2&lt;n_2,(c_nom+phi_w+phi_2/2+2*(b_w-2*c_nom-2*phi_w-phi_2)/MAX(n_2-1,1))+(phi_2/2)*-1.000000,NA()),NA())</f>
        <v/>
      </c>
      <c r="Z11">
        <f>IF(2&lt;n_2,(IF(hog,c_nom+phi_w+phi_2/2,h_sec-c_nom-phi_w-phi_2/2))+(phi_2/2)*0.000000,NA())</f>
        <v/>
      </c>
      <c r="AB11">
        <f>IF(inputs_ok,IF(3&lt;n_bars,(c_nom+phi_w+phi/2+3*(b_w-2*c_nom-2*phi_w-phi)/MAX(n_bars-1,1))+(phi/2)*-1.000000,NA()),NA())</f>
        <v/>
      </c>
      <c r="AC11">
        <f>IF(3&lt;n_bars,(IF(hog,h_sec-c_nom-phi_w-phi/2,c_nom+phi_w+phi/2))+(phi/2)*0.000000,NA())</f>
        <v/>
      </c>
      <c r="AE11">
        <f>IF(inputs_ok,IF(3&lt;n_2,(c_nom+phi_w+phi_2/2+3*(b_w-2*c_nom-2*phi_w-phi_2)/MAX(n_2-1,1))+(phi_2/2)*-1.000000,NA()),NA())</f>
        <v/>
      </c>
      <c r="AF11">
        <f>IF(3&lt;n_2,(IF(hog,c_nom+phi_w+phi_2/2,h_sec-c_nom-phi_w-phi_2/2))+(phi_2/2)*0.000000,NA())</f>
        <v/>
      </c>
      <c r="AH11">
        <f>IF(inputs_ok,IF(4&lt;n_bars,(c_nom+phi_w+phi/2+4*(b_w-2*c_nom-2*phi_w-phi)/MAX(n_bars-1,1))+(phi/2)*-1.000000,NA()),NA())</f>
        <v/>
      </c>
      <c r="AI11">
        <f>IF(4&lt;n_bars,(IF(hog,h_sec-c_nom-phi_w-phi/2,c_nom+phi_w+phi/2))+(phi/2)*0.000000,NA())</f>
        <v/>
      </c>
      <c r="AK11">
        <f>IF(inputs_ok,IF(4&lt;n_2,(c_nom+phi_w+phi_2/2+4*(b_w-2*c_nom-2*phi_w-phi_2)/MAX(n_2-1,1))+(phi_2/2)*-1.000000,NA()),NA())</f>
        <v/>
      </c>
      <c r="AL11">
        <f>IF(4&lt;n_2,(IF(hog,c_nom+phi_w+phi_2/2,h_sec-c_nom-phi_w-phi_2/2))+(phi_2/2)*0.000000,NA())</f>
        <v/>
      </c>
      <c r="AN11">
        <f>IF(inputs_ok,IF(5&lt;n_bars,(c_nom+phi_w+phi/2+5*(b_w-2*c_nom-2*phi_w-phi)/MAX(n_bars-1,1))+(phi/2)*-1.000000,NA()),NA())</f>
        <v/>
      </c>
      <c r="AO11">
        <f>IF(5&lt;n_bars,(IF(hog,h_sec-c_nom-phi_w-phi/2,c_nom+phi_w+phi/2))+(phi/2)*0.000000,NA())</f>
        <v/>
      </c>
      <c r="AQ11">
        <f>IF(inputs_ok,IF(5&lt;n_2,(c_nom+phi_w+phi_2/2+5*(b_w-2*c_nom-2*phi_w-phi_2)/MAX(n_2-1,1))+(phi_2/2)*-1.000000,NA()),NA())</f>
        <v/>
      </c>
      <c r="AR11">
        <f>IF(5&lt;n_2,(IF(hog,c_nom+phi_w+phi_2/2,h_sec-c_nom-phi_w-phi_2/2))+(phi_2/2)*0.000000,NA())</f>
        <v/>
      </c>
      <c r="AT11">
        <f>IF(inputs_ok,IF(6&lt;n_bars,(c_nom+phi_w+phi/2+6*(b_w-2*c_nom-2*phi_w-phi)/MAX(n_bars-1,1))+(phi/2)*-1.000000,NA()),NA())</f>
        <v/>
      </c>
      <c r="AU11">
        <f>IF(6&lt;n_bars,(IF(hog,h_sec-c_nom-phi_w-phi/2,c_nom+phi_w+phi/2))+(phi/2)*0.000000,NA())</f>
        <v/>
      </c>
      <c r="AW11">
        <f>IF(inputs_ok,IF(6&lt;n_2,(c_nom+phi_w+phi_2/2+6*(b_w-2*c_nom-2*phi_w-phi_2)/MAX(n_2-1,1))+(phi_2/2)*-1.000000,NA()),NA())</f>
        <v/>
      </c>
      <c r="AX11">
        <f>IF(6&lt;n_2,(IF(hog,c_nom+phi_w+phi_2/2,h_sec-c_nom-phi_w-phi_2/2))+(phi_2/2)*0.000000,NA())</f>
        <v/>
      </c>
      <c r="AZ11">
        <f>IF(inputs_ok,IF(7&lt;n_bars,(c_nom+phi_w+phi/2+7*(b_w-2*c_nom-2*phi_w-phi)/MAX(n_bars-1,1))+(phi/2)*-1.000000,NA()),NA())</f>
        <v/>
      </c>
      <c r="BA11">
        <f>IF(7&lt;n_bars,(IF(hog,h_sec-c_nom-phi_w-phi/2,c_nom+phi_w+phi/2))+(phi/2)*0.000000,NA())</f>
        <v/>
      </c>
      <c r="BC11">
        <f>IF(inputs_ok,IF(7&lt;n_2,(c_nom+phi_w+phi_2/2+7*(b_w-2*c_nom-2*phi_w-phi_2)/MAX(n_2-1,1))+(phi_2/2)*-1.000000,NA()),NA())</f>
        <v/>
      </c>
      <c r="BD11">
        <f>IF(7&lt;n_2,(IF(hog,c_nom+phi_w+phi_2/2,h_sec-c_nom-phi_w-phi_2/2))+(phi_2/2)*0.000000,NA())</f>
        <v/>
      </c>
      <c r="BF11">
        <f>IF(inputs_ok,IF(8&lt;n_bars,(c_nom+phi_w+phi/2+8*(b_w-2*c_nom-2*phi_w-phi)/MAX(n_bars-1,1))+(phi/2)*-1.000000,NA()),NA())</f>
        <v/>
      </c>
      <c r="BG11">
        <f>IF(8&lt;n_bars,(IF(hog,h_sec-c_nom-phi_w-phi/2,c_nom+phi_w+phi/2))+(phi/2)*0.000000,NA())</f>
        <v/>
      </c>
      <c r="BI11">
        <f>IF(inputs_ok,IF(8&lt;n_2,(c_nom+phi_w+phi_2/2+8*(b_w-2*c_nom-2*phi_w-phi_2)/MAX(n_2-1,1))+(phi_2/2)*-1.000000,NA()),NA())</f>
        <v/>
      </c>
      <c r="BJ11">
        <f>IF(8&lt;n_2,(IF(hog,c_nom+phi_w+phi_2/2,h_sec-c_nom-phi_w-phi_2/2))+(phi_2/2)*0.000000,NA())</f>
        <v/>
      </c>
      <c r="BL11">
        <f>IF(inputs_ok,IF(9&lt;n_bars,(c_nom+phi_w+phi/2+9*(b_w-2*c_nom-2*phi_w-phi)/MAX(n_bars-1,1))+(phi/2)*-1.000000,NA()),NA())</f>
        <v/>
      </c>
      <c r="BM11">
        <f>IF(9&lt;n_bars,(IF(hog,h_sec-c_nom-phi_w-phi/2,c_nom+phi_w+phi/2))+(phi/2)*0.000000,NA())</f>
        <v/>
      </c>
      <c r="BO11">
        <f>IF(inputs_ok,IF(9&lt;n_2,(c_nom+phi_w+phi_2/2+9*(b_w-2*c_nom-2*phi_w-phi_2)/MAX(n_2-1,1))+(phi_2/2)*-1.000000,NA()),NA())</f>
        <v/>
      </c>
      <c r="BP11">
        <f>IF(9&lt;n_2,(IF(hog,c_nom+phi_w+phi_2/2,h_sec-c_nom-phi_w-phi_2/2))+(phi_2/2)*0.000000,NA())</f>
        <v/>
      </c>
      <c r="BR11">
        <f>IF(inputs_ok,IF(10&lt;n_bars,(c_nom+phi_w+phi/2+10*(b_w-2*c_nom-2*phi_w-phi)/MAX(n_bars-1,1))+(phi/2)*-1.000000,NA()),NA())</f>
        <v/>
      </c>
      <c r="BS11">
        <f>IF(10&lt;n_bars,(IF(hog,h_sec-c_nom-phi_w-phi/2,c_nom+phi_w+phi/2))+(phi/2)*0.000000,NA())</f>
        <v/>
      </c>
      <c r="BU11">
        <f>IF(inputs_ok,IF(10&lt;n_2,(c_nom+phi_w+phi_2/2+10*(b_w-2*c_nom-2*phi_w-phi_2)/MAX(n_2-1,1))+(phi_2/2)*-1.000000,NA()),NA())</f>
        <v/>
      </c>
      <c r="BV11">
        <f>IF(10&lt;n_2,(IF(hog,c_nom+phi_w+phi_2/2,h_sec-c_nom-phi_w-phi_2/2))+(phi_2/2)*0.000000,NA())</f>
        <v/>
      </c>
      <c r="BX11">
        <f>IF(inputs_ok,IF(11&lt;n_bars,(c_nom+phi_w+phi/2+11*(b_w-2*c_nom-2*phi_w-phi)/MAX(n_bars-1,1))+(phi/2)*-1.000000,NA()),NA())</f>
        <v/>
      </c>
      <c r="BY11">
        <f>IF(11&lt;n_bars,(IF(hog,h_sec-c_nom-phi_w-phi/2,c_nom+phi_w+phi/2))+(phi/2)*0.000000,NA())</f>
        <v/>
      </c>
      <c r="CA11">
        <f>IF(inputs_ok,IF(11&lt;n_2,(c_nom+phi_w+phi_2/2+11*(b_w-2*c_nom-2*phi_w-phi_2)/MAX(n_2-1,1))+(phi_2/2)*-1.000000,NA()),NA())</f>
        <v/>
      </c>
      <c r="CB11">
        <f>IF(11&lt;n_2,(IF(hog,c_nom+phi_w+phi_2/2,h_sec-c_nom-phi_w-phi_2/2))+(phi_2/2)*0.000000,NA())</f>
        <v/>
      </c>
    </row>
    <row r="12">
      <c r="J12">
        <f>IF(inputs_ok,IF(0&lt;n_bars,(c_nom+phi_w+phi/2+0*(b_w-2*c_nom-2*phi_w-phi)/MAX(n_bars-1,1))+(phi/2)*-0.923880,NA()),NA())</f>
        <v/>
      </c>
      <c r="K12">
        <f>IF(0&lt;n_bars,(IF(hog,h_sec-c_nom-phi_w-phi/2,c_nom+phi_w+phi/2))+(phi/2)*-0.382683,NA())</f>
        <v/>
      </c>
      <c r="M12">
        <f>IF(inputs_ok,IF(0&lt;n_2,(c_nom+phi_w+phi_2/2+0*(b_w-2*c_nom-2*phi_w-phi_2)/MAX(n_2-1,1))+(phi_2/2)*-0.923880,NA()),NA())</f>
        <v/>
      </c>
      <c r="N12">
        <f>IF(0&lt;n_2,(IF(hog,c_nom+phi_w+phi_2/2,h_sec-c_nom-phi_w-phi_2/2))+(phi_2/2)*-0.382683,NA())</f>
        <v/>
      </c>
      <c r="P12">
        <f>IF(inputs_ok,IF(1&lt;n_bars,(c_nom+phi_w+phi/2+1*(b_w-2*c_nom-2*phi_w-phi)/MAX(n_bars-1,1))+(phi/2)*-0.923880,NA()),NA())</f>
        <v/>
      </c>
      <c r="Q12">
        <f>IF(1&lt;n_bars,(IF(hog,h_sec-c_nom-phi_w-phi/2,c_nom+phi_w+phi/2))+(phi/2)*-0.382683,NA())</f>
        <v/>
      </c>
      <c r="S12">
        <f>IF(inputs_ok,IF(1&lt;n_2,(c_nom+phi_w+phi_2/2+1*(b_w-2*c_nom-2*phi_w-phi_2)/MAX(n_2-1,1))+(phi_2/2)*-0.923880,NA()),NA())</f>
        <v/>
      </c>
      <c r="T12">
        <f>IF(1&lt;n_2,(IF(hog,c_nom+phi_w+phi_2/2,h_sec-c_nom-phi_w-phi_2/2))+(phi_2/2)*-0.382683,NA())</f>
        <v/>
      </c>
      <c r="V12">
        <f>IF(inputs_ok,IF(2&lt;n_bars,(c_nom+phi_w+phi/2+2*(b_w-2*c_nom-2*phi_w-phi)/MAX(n_bars-1,1))+(phi/2)*-0.923880,NA()),NA())</f>
        <v/>
      </c>
      <c r="W12">
        <f>IF(2&lt;n_bars,(IF(hog,h_sec-c_nom-phi_w-phi/2,c_nom+phi_w+phi/2))+(phi/2)*-0.382683,NA())</f>
        <v/>
      </c>
      <c r="Y12">
        <f>IF(inputs_ok,IF(2&lt;n_2,(c_nom+phi_w+phi_2/2+2*(b_w-2*c_nom-2*phi_w-phi_2)/MAX(n_2-1,1))+(phi_2/2)*-0.923880,NA()),NA())</f>
        <v/>
      </c>
      <c r="Z12">
        <f>IF(2&lt;n_2,(IF(hog,c_nom+phi_w+phi_2/2,h_sec-c_nom-phi_w-phi_2/2))+(phi_2/2)*-0.382683,NA())</f>
        <v/>
      </c>
      <c r="AB12">
        <f>IF(inputs_ok,IF(3&lt;n_bars,(c_nom+phi_w+phi/2+3*(b_w-2*c_nom-2*phi_w-phi)/MAX(n_bars-1,1))+(phi/2)*-0.923880,NA()),NA())</f>
        <v/>
      </c>
      <c r="AC12">
        <f>IF(3&lt;n_bars,(IF(hog,h_sec-c_nom-phi_w-phi/2,c_nom+phi_w+phi/2))+(phi/2)*-0.382683,NA())</f>
        <v/>
      </c>
      <c r="AE12">
        <f>IF(inputs_ok,IF(3&lt;n_2,(c_nom+phi_w+phi_2/2+3*(b_w-2*c_nom-2*phi_w-phi_2)/MAX(n_2-1,1))+(phi_2/2)*-0.923880,NA()),NA())</f>
        <v/>
      </c>
      <c r="AF12">
        <f>IF(3&lt;n_2,(IF(hog,c_nom+phi_w+phi_2/2,h_sec-c_nom-phi_w-phi_2/2))+(phi_2/2)*-0.382683,NA())</f>
        <v/>
      </c>
      <c r="AH12">
        <f>IF(inputs_ok,IF(4&lt;n_bars,(c_nom+phi_w+phi/2+4*(b_w-2*c_nom-2*phi_w-phi)/MAX(n_bars-1,1))+(phi/2)*-0.923880,NA()),NA())</f>
        <v/>
      </c>
      <c r="AI12">
        <f>IF(4&lt;n_bars,(IF(hog,h_sec-c_nom-phi_w-phi/2,c_nom+phi_w+phi/2))+(phi/2)*-0.382683,NA())</f>
        <v/>
      </c>
      <c r="AK12">
        <f>IF(inputs_ok,IF(4&lt;n_2,(c_nom+phi_w+phi_2/2+4*(b_w-2*c_nom-2*phi_w-phi_2)/MAX(n_2-1,1))+(phi_2/2)*-0.923880,NA()),NA())</f>
        <v/>
      </c>
      <c r="AL12">
        <f>IF(4&lt;n_2,(IF(hog,c_nom+phi_w+phi_2/2,h_sec-c_nom-phi_w-phi_2/2))+(phi_2/2)*-0.382683,NA())</f>
        <v/>
      </c>
      <c r="AN12">
        <f>IF(inputs_ok,IF(5&lt;n_bars,(c_nom+phi_w+phi/2+5*(b_w-2*c_nom-2*phi_w-phi)/MAX(n_bars-1,1))+(phi/2)*-0.923880,NA()),NA())</f>
        <v/>
      </c>
      <c r="AO12">
        <f>IF(5&lt;n_bars,(IF(hog,h_sec-c_nom-phi_w-phi/2,c_nom+phi_w+phi/2))+(phi/2)*-0.382683,NA())</f>
        <v/>
      </c>
      <c r="AQ12">
        <f>IF(inputs_ok,IF(5&lt;n_2,(c_nom+phi_w+phi_2/2+5*(b_w-2*c_nom-2*phi_w-phi_2)/MAX(n_2-1,1))+(phi_2/2)*-0.923880,NA()),NA())</f>
        <v/>
      </c>
      <c r="AR12">
        <f>IF(5&lt;n_2,(IF(hog,c_nom+phi_w+phi_2/2,h_sec-c_nom-phi_w-phi_2/2))+(phi_2/2)*-0.382683,NA())</f>
        <v/>
      </c>
      <c r="AT12">
        <f>IF(inputs_ok,IF(6&lt;n_bars,(c_nom+phi_w+phi/2+6*(b_w-2*c_nom-2*phi_w-phi)/MAX(n_bars-1,1))+(phi/2)*-0.923880,NA()),NA())</f>
        <v/>
      </c>
      <c r="AU12">
        <f>IF(6&lt;n_bars,(IF(hog,h_sec-c_nom-phi_w-phi/2,c_nom+phi_w+phi/2))+(phi/2)*-0.382683,NA())</f>
        <v/>
      </c>
      <c r="AW12">
        <f>IF(inputs_ok,IF(6&lt;n_2,(c_nom+phi_w+phi_2/2+6*(b_w-2*c_nom-2*phi_w-phi_2)/MAX(n_2-1,1))+(phi_2/2)*-0.923880,NA()),NA())</f>
        <v/>
      </c>
      <c r="AX12">
        <f>IF(6&lt;n_2,(IF(hog,c_nom+phi_w+phi_2/2,h_sec-c_nom-phi_w-phi_2/2))+(phi_2/2)*-0.382683,NA())</f>
        <v/>
      </c>
      <c r="AZ12">
        <f>IF(inputs_ok,IF(7&lt;n_bars,(c_nom+phi_w+phi/2+7*(b_w-2*c_nom-2*phi_w-phi)/MAX(n_bars-1,1))+(phi/2)*-0.923880,NA()),NA())</f>
        <v/>
      </c>
      <c r="BA12">
        <f>IF(7&lt;n_bars,(IF(hog,h_sec-c_nom-phi_w-phi/2,c_nom+phi_w+phi/2))+(phi/2)*-0.382683,NA())</f>
        <v/>
      </c>
      <c r="BC12">
        <f>IF(inputs_ok,IF(7&lt;n_2,(c_nom+phi_w+phi_2/2+7*(b_w-2*c_nom-2*phi_w-phi_2)/MAX(n_2-1,1))+(phi_2/2)*-0.923880,NA()),NA())</f>
        <v/>
      </c>
      <c r="BD12">
        <f>IF(7&lt;n_2,(IF(hog,c_nom+phi_w+phi_2/2,h_sec-c_nom-phi_w-phi_2/2))+(phi_2/2)*-0.382683,NA())</f>
        <v/>
      </c>
      <c r="BF12">
        <f>IF(inputs_ok,IF(8&lt;n_bars,(c_nom+phi_w+phi/2+8*(b_w-2*c_nom-2*phi_w-phi)/MAX(n_bars-1,1))+(phi/2)*-0.923880,NA()),NA())</f>
        <v/>
      </c>
      <c r="BG12">
        <f>IF(8&lt;n_bars,(IF(hog,h_sec-c_nom-phi_w-phi/2,c_nom+phi_w+phi/2))+(phi/2)*-0.382683,NA())</f>
        <v/>
      </c>
      <c r="BI12">
        <f>IF(inputs_ok,IF(8&lt;n_2,(c_nom+phi_w+phi_2/2+8*(b_w-2*c_nom-2*phi_w-phi_2)/MAX(n_2-1,1))+(phi_2/2)*-0.923880,NA()),NA())</f>
        <v/>
      </c>
      <c r="BJ12">
        <f>IF(8&lt;n_2,(IF(hog,c_nom+phi_w+phi_2/2,h_sec-c_nom-phi_w-phi_2/2))+(phi_2/2)*-0.382683,NA())</f>
        <v/>
      </c>
      <c r="BL12">
        <f>IF(inputs_ok,IF(9&lt;n_bars,(c_nom+phi_w+phi/2+9*(b_w-2*c_nom-2*phi_w-phi)/MAX(n_bars-1,1))+(phi/2)*-0.923880,NA()),NA())</f>
        <v/>
      </c>
      <c r="BM12">
        <f>IF(9&lt;n_bars,(IF(hog,h_sec-c_nom-phi_w-phi/2,c_nom+phi_w+phi/2))+(phi/2)*-0.382683,NA())</f>
        <v/>
      </c>
      <c r="BO12">
        <f>IF(inputs_ok,IF(9&lt;n_2,(c_nom+phi_w+phi_2/2+9*(b_w-2*c_nom-2*phi_w-phi_2)/MAX(n_2-1,1))+(phi_2/2)*-0.923880,NA()),NA())</f>
        <v/>
      </c>
      <c r="BP12">
        <f>IF(9&lt;n_2,(IF(hog,c_nom+phi_w+phi_2/2,h_sec-c_nom-phi_w-phi_2/2))+(phi_2/2)*-0.382683,NA())</f>
        <v/>
      </c>
      <c r="BR12">
        <f>IF(inputs_ok,IF(10&lt;n_bars,(c_nom+phi_w+phi/2+10*(b_w-2*c_nom-2*phi_w-phi)/MAX(n_bars-1,1))+(phi/2)*-0.923880,NA()),NA())</f>
        <v/>
      </c>
      <c r="BS12">
        <f>IF(10&lt;n_bars,(IF(hog,h_sec-c_nom-phi_w-phi/2,c_nom+phi_w+phi/2))+(phi/2)*-0.382683,NA())</f>
        <v/>
      </c>
      <c r="BU12">
        <f>IF(inputs_ok,IF(10&lt;n_2,(c_nom+phi_w+phi_2/2+10*(b_w-2*c_nom-2*phi_w-phi_2)/MAX(n_2-1,1))+(phi_2/2)*-0.923880,NA()),NA())</f>
        <v/>
      </c>
      <c r="BV12">
        <f>IF(10&lt;n_2,(IF(hog,c_nom+phi_w+phi_2/2,h_sec-c_nom-phi_w-phi_2/2))+(phi_2/2)*-0.382683,NA())</f>
        <v/>
      </c>
      <c r="BX12">
        <f>IF(inputs_ok,IF(11&lt;n_bars,(c_nom+phi_w+phi/2+11*(b_w-2*c_nom-2*phi_w-phi)/MAX(n_bars-1,1))+(phi/2)*-0.923880,NA()),NA())</f>
        <v/>
      </c>
      <c r="BY12">
        <f>IF(11&lt;n_bars,(IF(hog,h_sec-c_nom-phi_w-phi/2,c_nom+phi_w+phi/2))+(phi/2)*-0.382683,NA())</f>
        <v/>
      </c>
      <c r="CA12">
        <f>IF(inputs_ok,IF(11&lt;n_2,(c_nom+phi_w+phi_2/2+11*(b_w-2*c_nom-2*phi_w-phi_2)/MAX(n_2-1,1))+(phi_2/2)*-0.923880,NA()),NA())</f>
        <v/>
      </c>
      <c r="CB12">
        <f>IF(11&lt;n_2,(IF(hog,c_nom+phi_w+phi_2/2,h_sec-c_nom-phi_w-phi_2/2))+(phi_2/2)*-0.382683,NA())</f>
        <v/>
      </c>
    </row>
    <row r="13">
      <c r="J13">
        <f>IF(inputs_ok,IF(0&lt;n_bars,(c_nom+phi_w+phi/2+0*(b_w-2*c_nom-2*phi_w-phi)/MAX(n_bars-1,1))+(phi/2)*-0.707107,NA()),NA())</f>
        <v/>
      </c>
      <c r="K13">
        <f>IF(0&lt;n_bars,(IF(hog,h_sec-c_nom-phi_w-phi/2,c_nom+phi_w+phi/2))+(phi/2)*-0.707107,NA())</f>
        <v/>
      </c>
      <c r="M13">
        <f>IF(inputs_ok,IF(0&lt;n_2,(c_nom+phi_w+phi_2/2+0*(b_w-2*c_nom-2*phi_w-phi_2)/MAX(n_2-1,1))+(phi_2/2)*-0.707107,NA()),NA())</f>
        <v/>
      </c>
      <c r="N13">
        <f>IF(0&lt;n_2,(IF(hog,c_nom+phi_w+phi_2/2,h_sec-c_nom-phi_w-phi_2/2))+(phi_2/2)*-0.707107,NA())</f>
        <v/>
      </c>
      <c r="P13">
        <f>IF(inputs_ok,IF(1&lt;n_bars,(c_nom+phi_w+phi/2+1*(b_w-2*c_nom-2*phi_w-phi)/MAX(n_bars-1,1))+(phi/2)*-0.707107,NA()),NA())</f>
        <v/>
      </c>
      <c r="Q13">
        <f>IF(1&lt;n_bars,(IF(hog,h_sec-c_nom-phi_w-phi/2,c_nom+phi_w+phi/2))+(phi/2)*-0.707107,NA())</f>
        <v/>
      </c>
      <c r="S13">
        <f>IF(inputs_ok,IF(1&lt;n_2,(c_nom+phi_w+phi_2/2+1*(b_w-2*c_nom-2*phi_w-phi_2)/MAX(n_2-1,1))+(phi_2/2)*-0.707107,NA()),NA())</f>
        <v/>
      </c>
      <c r="T13">
        <f>IF(1&lt;n_2,(IF(hog,c_nom+phi_w+phi_2/2,h_sec-c_nom-phi_w-phi_2/2))+(phi_2/2)*-0.707107,NA())</f>
        <v/>
      </c>
      <c r="V13">
        <f>IF(inputs_ok,IF(2&lt;n_bars,(c_nom+phi_w+phi/2+2*(b_w-2*c_nom-2*phi_w-phi)/MAX(n_bars-1,1))+(phi/2)*-0.707107,NA()),NA())</f>
        <v/>
      </c>
      <c r="W13">
        <f>IF(2&lt;n_bars,(IF(hog,h_sec-c_nom-phi_w-phi/2,c_nom+phi_w+phi/2))+(phi/2)*-0.707107,NA())</f>
        <v/>
      </c>
      <c r="Y13">
        <f>IF(inputs_ok,IF(2&lt;n_2,(c_nom+phi_w+phi_2/2+2*(b_w-2*c_nom-2*phi_w-phi_2)/MAX(n_2-1,1))+(phi_2/2)*-0.707107,NA()),NA())</f>
        <v/>
      </c>
      <c r="Z13">
        <f>IF(2&lt;n_2,(IF(hog,c_nom+phi_w+phi_2/2,h_sec-c_nom-phi_w-phi_2/2))+(phi_2/2)*-0.707107,NA())</f>
        <v/>
      </c>
      <c r="AB13">
        <f>IF(inputs_ok,IF(3&lt;n_bars,(c_nom+phi_w+phi/2+3*(b_w-2*c_nom-2*phi_w-phi)/MAX(n_bars-1,1))+(phi/2)*-0.707107,NA()),NA())</f>
        <v/>
      </c>
      <c r="AC13">
        <f>IF(3&lt;n_bars,(IF(hog,h_sec-c_nom-phi_w-phi/2,c_nom+phi_w+phi/2))+(phi/2)*-0.707107,NA())</f>
        <v/>
      </c>
      <c r="AE13">
        <f>IF(inputs_ok,IF(3&lt;n_2,(c_nom+phi_w+phi_2/2+3*(b_w-2*c_nom-2*phi_w-phi_2)/MAX(n_2-1,1))+(phi_2/2)*-0.707107,NA()),NA())</f>
        <v/>
      </c>
      <c r="AF13">
        <f>IF(3&lt;n_2,(IF(hog,c_nom+phi_w+phi_2/2,h_sec-c_nom-phi_w-phi_2/2))+(phi_2/2)*-0.707107,NA())</f>
        <v/>
      </c>
      <c r="AH13">
        <f>IF(inputs_ok,IF(4&lt;n_bars,(c_nom+phi_w+phi/2+4*(b_w-2*c_nom-2*phi_w-phi)/MAX(n_bars-1,1))+(phi/2)*-0.707107,NA()),NA())</f>
        <v/>
      </c>
      <c r="AI13">
        <f>IF(4&lt;n_bars,(IF(hog,h_sec-c_nom-phi_w-phi/2,c_nom+phi_w+phi/2))+(phi/2)*-0.707107,NA())</f>
        <v/>
      </c>
      <c r="AK13">
        <f>IF(inputs_ok,IF(4&lt;n_2,(c_nom+phi_w+phi_2/2+4*(b_w-2*c_nom-2*phi_w-phi_2)/MAX(n_2-1,1))+(phi_2/2)*-0.707107,NA()),NA())</f>
        <v/>
      </c>
      <c r="AL13">
        <f>IF(4&lt;n_2,(IF(hog,c_nom+phi_w+phi_2/2,h_sec-c_nom-phi_w-phi_2/2))+(phi_2/2)*-0.707107,NA())</f>
        <v/>
      </c>
      <c r="AN13">
        <f>IF(inputs_ok,IF(5&lt;n_bars,(c_nom+phi_w+phi/2+5*(b_w-2*c_nom-2*phi_w-phi)/MAX(n_bars-1,1))+(phi/2)*-0.707107,NA()),NA())</f>
        <v/>
      </c>
      <c r="AO13">
        <f>IF(5&lt;n_bars,(IF(hog,h_sec-c_nom-phi_w-phi/2,c_nom+phi_w+phi/2))+(phi/2)*-0.707107,NA())</f>
        <v/>
      </c>
      <c r="AQ13">
        <f>IF(inputs_ok,IF(5&lt;n_2,(c_nom+phi_w+phi_2/2+5*(b_w-2*c_nom-2*phi_w-phi_2)/MAX(n_2-1,1))+(phi_2/2)*-0.707107,NA()),NA())</f>
        <v/>
      </c>
      <c r="AR13">
        <f>IF(5&lt;n_2,(IF(hog,c_nom+phi_w+phi_2/2,h_sec-c_nom-phi_w-phi_2/2))+(phi_2/2)*-0.707107,NA())</f>
        <v/>
      </c>
      <c r="AT13">
        <f>IF(inputs_ok,IF(6&lt;n_bars,(c_nom+phi_w+phi/2+6*(b_w-2*c_nom-2*phi_w-phi)/MAX(n_bars-1,1))+(phi/2)*-0.707107,NA()),NA())</f>
        <v/>
      </c>
      <c r="AU13">
        <f>IF(6&lt;n_bars,(IF(hog,h_sec-c_nom-phi_w-phi/2,c_nom+phi_w+phi/2))+(phi/2)*-0.707107,NA())</f>
        <v/>
      </c>
      <c r="AW13">
        <f>IF(inputs_ok,IF(6&lt;n_2,(c_nom+phi_w+phi_2/2+6*(b_w-2*c_nom-2*phi_w-phi_2)/MAX(n_2-1,1))+(phi_2/2)*-0.707107,NA()),NA())</f>
        <v/>
      </c>
      <c r="AX13">
        <f>IF(6&lt;n_2,(IF(hog,c_nom+phi_w+phi_2/2,h_sec-c_nom-phi_w-phi_2/2))+(phi_2/2)*-0.707107,NA())</f>
        <v/>
      </c>
      <c r="AZ13">
        <f>IF(inputs_ok,IF(7&lt;n_bars,(c_nom+phi_w+phi/2+7*(b_w-2*c_nom-2*phi_w-phi)/MAX(n_bars-1,1))+(phi/2)*-0.707107,NA()),NA())</f>
        <v/>
      </c>
      <c r="BA13">
        <f>IF(7&lt;n_bars,(IF(hog,h_sec-c_nom-phi_w-phi/2,c_nom+phi_w+phi/2))+(phi/2)*-0.707107,NA())</f>
        <v/>
      </c>
      <c r="BC13">
        <f>IF(inputs_ok,IF(7&lt;n_2,(c_nom+phi_w+phi_2/2+7*(b_w-2*c_nom-2*phi_w-phi_2)/MAX(n_2-1,1))+(phi_2/2)*-0.707107,NA()),NA())</f>
        <v/>
      </c>
      <c r="BD13">
        <f>IF(7&lt;n_2,(IF(hog,c_nom+phi_w+phi_2/2,h_sec-c_nom-phi_w-phi_2/2))+(phi_2/2)*-0.707107,NA())</f>
        <v/>
      </c>
      <c r="BF13">
        <f>IF(inputs_ok,IF(8&lt;n_bars,(c_nom+phi_w+phi/2+8*(b_w-2*c_nom-2*phi_w-phi)/MAX(n_bars-1,1))+(phi/2)*-0.707107,NA()),NA())</f>
        <v/>
      </c>
      <c r="BG13">
        <f>IF(8&lt;n_bars,(IF(hog,h_sec-c_nom-phi_w-phi/2,c_nom+phi_w+phi/2))+(phi/2)*-0.707107,NA())</f>
        <v/>
      </c>
      <c r="BI13">
        <f>IF(inputs_ok,IF(8&lt;n_2,(c_nom+phi_w+phi_2/2+8*(b_w-2*c_nom-2*phi_w-phi_2)/MAX(n_2-1,1))+(phi_2/2)*-0.707107,NA()),NA())</f>
        <v/>
      </c>
      <c r="BJ13">
        <f>IF(8&lt;n_2,(IF(hog,c_nom+phi_w+phi_2/2,h_sec-c_nom-phi_w-phi_2/2))+(phi_2/2)*-0.707107,NA())</f>
        <v/>
      </c>
      <c r="BL13">
        <f>IF(inputs_ok,IF(9&lt;n_bars,(c_nom+phi_w+phi/2+9*(b_w-2*c_nom-2*phi_w-phi)/MAX(n_bars-1,1))+(phi/2)*-0.707107,NA()),NA())</f>
        <v/>
      </c>
      <c r="BM13">
        <f>IF(9&lt;n_bars,(IF(hog,h_sec-c_nom-phi_w-phi/2,c_nom+phi_w+phi/2))+(phi/2)*-0.707107,NA())</f>
        <v/>
      </c>
      <c r="BO13">
        <f>IF(inputs_ok,IF(9&lt;n_2,(c_nom+phi_w+phi_2/2+9*(b_w-2*c_nom-2*phi_w-phi_2)/MAX(n_2-1,1))+(phi_2/2)*-0.707107,NA()),NA())</f>
        <v/>
      </c>
      <c r="BP13">
        <f>IF(9&lt;n_2,(IF(hog,c_nom+phi_w+phi_2/2,h_sec-c_nom-phi_w-phi_2/2))+(phi_2/2)*-0.707107,NA())</f>
        <v/>
      </c>
      <c r="BR13">
        <f>IF(inputs_ok,IF(10&lt;n_bars,(c_nom+phi_w+phi/2+10*(b_w-2*c_nom-2*phi_w-phi)/MAX(n_bars-1,1))+(phi/2)*-0.707107,NA()),NA())</f>
        <v/>
      </c>
      <c r="BS13">
        <f>IF(10&lt;n_bars,(IF(hog,h_sec-c_nom-phi_w-phi/2,c_nom+phi_w+phi/2))+(phi/2)*-0.707107,NA())</f>
        <v/>
      </c>
      <c r="BU13">
        <f>IF(inputs_ok,IF(10&lt;n_2,(c_nom+phi_w+phi_2/2+10*(b_w-2*c_nom-2*phi_w-phi_2)/MAX(n_2-1,1))+(phi_2/2)*-0.707107,NA()),NA())</f>
        <v/>
      </c>
      <c r="BV13">
        <f>IF(10&lt;n_2,(IF(hog,c_nom+phi_w+phi_2/2,h_sec-c_nom-phi_w-phi_2/2))+(phi_2/2)*-0.707107,NA())</f>
        <v/>
      </c>
      <c r="BX13">
        <f>IF(inputs_ok,IF(11&lt;n_bars,(c_nom+phi_w+phi/2+11*(b_w-2*c_nom-2*phi_w-phi)/MAX(n_bars-1,1))+(phi/2)*-0.707107,NA()),NA())</f>
        <v/>
      </c>
      <c r="BY13">
        <f>IF(11&lt;n_bars,(IF(hog,h_sec-c_nom-phi_w-phi/2,c_nom+phi_w+phi/2))+(phi/2)*-0.707107,NA())</f>
        <v/>
      </c>
      <c r="CA13">
        <f>IF(inputs_ok,IF(11&lt;n_2,(c_nom+phi_w+phi_2/2+11*(b_w-2*c_nom-2*phi_w-phi_2)/MAX(n_2-1,1))+(phi_2/2)*-0.707107,NA()),NA())</f>
        <v/>
      </c>
      <c r="CB13">
        <f>IF(11&lt;n_2,(IF(hog,c_nom+phi_w+phi_2/2,h_sec-c_nom-phi_w-phi_2/2))+(phi_2/2)*-0.707107,NA())</f>
        <v/>
      </c>
    </row>
    <row r="14">
      <c r="J14">
        <f>IF(inputs_ok,IF(0&lt;n_bars,(c_nom+phi_w+phi/2+0*(b_w-2*c_nom-2*phi_w-phi)/MAX(n_bars-1,1))+(phi/2)*-0.382683,NA()),NA())</f>
        <v/>
      </c>
      <c r="K14">
        <f>IF(0&lt;n_bars,(IF(hog,h_sec-c_nom-phi_w-phi/2,c_nom+phi_w+phi/2))+(phi/2)*-0.923880,NA())</f>
        <v/>
      </c>
      <c r="M14">
        <f>IF(inputs_ok,IF(0&lt;n_2,(c_nom+phi_w+phi_2/2+0*(b_w-2*c_nom-2*phi_w-phi_2)/MAX(n_2-1,1))+(phi_2/2)*-0.382683,NA()),NA())</f>
        <v/>
      </c>
      <c r="N14">
        <f>IF(0&lt;n_2,(IF(hog,c_nom+phi_w+phi_2/2,h_sec-c_nom-phi_w-phi_2/2))+(phi_2/2)*-0.923880,NA())</f>
        <v/>
      </c>
      <c r="P14">
        <f>IF(inputs_ok,IF(1&lt;n_bars,(c_nom+phi_w+phi/2+1*(b_w-2*c_nom-2*phi_w-phi)/MAX(n_bars-1,1))+(phi/2)*-0.382683,NA()),NA())</f>
        <v/>
      </c>
      <c r="Q14">
        <f>IF(1&lt;n_bars,(IF(hog,h_sec-c_nom-phi_w-phi/2,c_nom+phi_w+phi/2))+(phi/2)*-0.923880,NA())</f>
        <v/>
      </c>
      <c r="S14">
        <f>IF(inputs_ok,IF(1&lt;n_2,(c_nom+phi_w+phi_2/2+1*(b_w-2*c_nom-2*phi_w-phi_2)/MAX(n_2-1,1))+(phi_2/2)*-0.382683,NA()),NA())</f>
        <v/>
      </c>
      <c r="T14">
        <f>IF(1&lt;n_2,(IF(hog,c_nom+phi_w+phi_2/2,h_sec-c_nom-phi_w-phi_2/2))+(phi_2/2)*-0.923880,NA())</f>
        <v/>
      </c>
      <c r="V14">
        <f>IF(inputs_ok,IF(2&lt;n_bars,(c_nom+phi_w+phi/2+2*(b_w-2*c_nom-2*phi_w-phi)/MAX(n_bars-1,1))+(phi/2)*-0.382683,NA()),NA())</f>
        <v/>
      </c>
      <c r="W14">
        <f>IF(2&lt;n_bars,(IF(hog,h_sec-c_nom-phi_w-phi/2,c_nom+phi_w+phi/2))+(phi/2)*-0.923880,NA())</f>
        <v/>
      </c>
      <c r="Y14">
        <f>IF(inputs_ok,IF(2&lt;n_2,(c_nom+phi_w+phi_2/2+2*(b_w-2*c_nom-2*phi_w-phi_2)/MAX(n_2-1,1))+(phi_2/2)*-0.382683,NA()),NA())</f>
        <v/>
      </c>
      <c r="Z14">
        <f>IF(2&lt;n_2,(IF(hog,c_nom+phi_w+phi_2/2,h_sec-c_nom-phi_w-phi_2/2))+(phi_2/2)*-0.923880,NA())</f>
        <v/>
      </c>
      <c r="AB14">
        <f>IF(inputs_ok,IF(3&lt;n_bars,(c_nom+phi_w+phi/2+3*(b_w-2*c_nom-2*phi_w-phi)/MAX(n_bars-1,1))+(phi/2)*-0.382683,NA()),NA())</f>
        <v/>
      </c>
      <c r="AC14">
        <f>IF(3&lt;n_bars,(IF(hog,h_sec-c_nom-phi_w-phi/2,c_nom+phi_w+phi/2))+(phi/2)*-0.923880,NA())</f>
        <v/>
      </c>
      <c r="AE14">
        <f>IF(inputs_ok,IF(3&lt;n_2,(c_nom+phi_w+phi_2/2+3*(b_w-2*c_nom-2*phi_w-phi_2)/MAX(n_2-1,1))+(phi_2/2)*-0.382683,NA()),NA())</f>
        <v/>
      </c>
      <c r="AF14">
        <f>IF(3&lt;n_2,(IF(hog,c_nom+phi_w+phi_2/2,h_sec-c_nom-phi_w-phi_2/2))+(phi_2/2)*-0.923880,NA())</f>
        <v/>
      </c>
      <c r="AH14">
        <f>IF(inputs_ok,IF(4&lt;n_bars,(c_nom+phi_w+phi/2+4*(b_w-2*c_nom-2*phi_w-phi)/MAX(n_bars-1,1))+(phi/2)*-0.382683,NA()),NA())</f>
        <v/>
      </c>
      <c r="AI14">
        <f>IF(4&lt;n_bars,(IF(hog,h_sec-c_nom-phi_w-phi/2,c_nom+phi_w+phi/2))+(phi/2)*-0.923880,NA())</f>
        <v/>
      </c>
      <c r="AK14">
        <f>IF(inputs_ok,IF(4&lt;n_2,(c_nom+phi_w+phi_2/2+4*(b_w-2*c_nom-2*phi_w-phi_2)/MAX(n_2-1,1))+(phi_2/2)*-0.382683,NA()),NA())</f>
        <v/>
      </c>
      <c r="AL14">
        <f>IF(4&lt;n_2,(IF(hog,c_nom+phi_w+phi_2/2,h_sec-c_nom-phi_w-phi_2/2))+(phi_2/2)*-0.923880,NA())</f>
        <v/>
      </c>
      <c r="AN14">
        <f>IF(inputs_ok,IF(5&lt;n_bars,(c_nom+phi_w+phi/2+5*(b_w-2*c_nom-2*phi_w-phi)/MAX(n_bars-1,1))+(phi/2)*-0.382683,NA()),NA())</f>
        <v/>
      </c>
      <c r="AO14">
        <f>IF(5&lt;n_bars,(IF(hog,h_sec-c_nom-phi_w-phi/2,c_nom+phi_w+phi/2))+(phi/2)*-0.923880,NA())</f>
        <v/>
      </c>
      <c r="AQ14">
        <f>IF(inputs_ok,IF(5&lt;n_2,(c_nom+phi_w+phi_2/2+5*(b_w-2*c_nom-2*phi_w-phi_2)/MAX(n_2-1,1))+(phi_2/2)*-0.382683,NA()),NA())</f>
        <v/>
      </c>
      <c r="AR14">
        <f>IF(5&lt;n_2,(IF(hog,c_nom+phi_w+phi_2/2,h_sec-c_nom-phi_w-phi_2/2))+(phi_2/2)*-0.923880,NA())</f>
        <v/>
      </c>
      <c r="AT14">
        <f>IF(inputs_ok,IF(6&lt;n_bars,(c_nom+phi_w+phi/2+6*(b_w-2*c_nom-2*phi_w-phi)/MAX(n_bars-1,1))+(phi/2)*-0.382683,NA()),NA())</f>
        <v/>
      </c>
      <c r="AU14">
        <f>IF(6&lt;n_bars,(IF(hog,h_sec-c_nom-phi_w-phi/2,c_nom+phi_w+phi/2))+(phi/2)*-0.923880,NA())</f>
        <v/>
      </c>
      <c r="AW14">
        <f>IF(inputs_ok,IF(6&lt;n_2,(c_nom+phi_w+phi_2/2+6*(b_w-2*c_nom-2*phi_w-phi_2)/MAX(n_2-1,1))+(phi_2/2)*-0.382683,NA()),NA())</f>
        <v/>
      </c>
      <c r="AX14">
        <f>IF(6&lt;n_2,(IF(hog,c_nom+phi_w+phi_2/2,h_sec-c_nom-phi_w-phi_2/2))+(phi_2/2)*-0.923880,NA())</f>
        <v/>
      </c>
      <c r="AZ14">
        <f>IF(inputs_ok,IF(7&lt;n_bars,(c_nom+phi_w+phi/2+7*(b_w-2*c_nom-2*phi_w-phi)/MAX(n_bars-1,1))+(phi/2)*-0.382683,NA()),NA())</f>
        <v/>
      </c>
      <c r="BA14">
        <f>IF(7&lt;n_bars,(IF(hog,h_sec-c_nom-phi_w-phi/2,c_nom+phi_w+phi/2))+(phi/2)*-0.923880,NA())</f>
        <v/>
      </c>
      <c r="BC14">
        <f>IF(inputs_ok,IF(7&lt;n_2,(c_nom+phi_w+phi_2/2+7*(b_w-2*c_nom-2*phi_w-phi_2)/MAX(n_2-1,1))+(phi_2/2)*-0.382683,NA()),NA())</f>
        <v/>
      </c>
      <c r="BD14">
        <f>IF(7&lt;n_2,(IF(hog,c_nom+phi_w+phi_2/2,h_sec-c_nom-phi_w-phi_2/2))+(phi_2/2)*-0.923880,NA())</f>
        <v/>
      </c>
      <c r="BF14">
        <f>IF(inputs_ok,IF(8&lt;n_bars,(c_nom+phi_w+phi/2+8*(b_w-2*c_nom-2*phi_w-phi)/MAX(n_bars-1,1))+(phi/2)*-0.382683,NA()),NA())</f>
        <v/>
      </c>
      <c r="BG14">
        <f>IF(8&lt;n_bars,(IF(hog,h_sec-c_nom-phi_w-phi/2,c_nom+phi_w+phi/2))+(phi/2)*-0.923880,NA())</f>
        <v/>
      </c>
      <c r="BI14">
        <f>IF(inputs_ok,IF(8&lt;n_2,(c_nom+phi_w+phi_2/2+8*(b_w-2*c_nom-2*phi_w-phi_2)/MAX(n_2-1,1))+(phi_2/2)*-0.382683,NA()),NA())</f>
        <v/>
      </c>
      <c r="BJ14">
        <f>IF(8&lt;n_2,(IF(hog,c_nom+phi_w+phi_2/2,h_sec-c_nom-phi_w-phi_2/2))+(phi_2/2)*-0.923880,NA())</f>
        <v/>
      </c>
      <c r="BL14">
        <f>IF(inputs_ok,IF(9&lt;n_bars,(c_nom+phi_w+phi/2+9*(b_w-2*c_nom-2*phi_w-phi)/MAX(n_bars-1,1))+(phi/2)*-0.382683,NA()),NA())</f>
        <v/>
      </c>
      <c r="BM14">
        <f>IF(9&lt;n_bars,(IF(hog,h_sec-c_nom-phi_w-phi/2,c_nom+phi_w+phi/2))+(phi/2)*-0.923880,NA())</f>
        <v/>
      </c>
      <c r="BO14">
        <f>IF(inputs_ok,IF(9&lt;n_2,(c_nom+phi_w+phi_2/2+9*(b_w-2*c_nom-2*phi_w-phi_2)/MAX(n_2-1,1))+(phi_2/2)*-0.382683,NA()),NA())</f>
        <v/>
      </c>
      <c r="BP14">
        <f>IF(9&lt;n_2,(IF(hog,c_nom+phi_w+phi_2/2,h_sec-c_nom-phi_w-phi_2/2))+(phi_2/2)*-0.923880,NA())</f>
        <v/>
      </c>
      <c r="BR14">
        <f>IF(inputs_ok,IF(10&lt;n_bars,(c_nom+phi_w+phi/2+10*(b_w-2*c_nom-2*phi_w-phi)/MAX(n_bars-1,1))+(phi/2)*-0.382683,NA()),NA())</f>
        <v/>
      </c>
      <c r="BS14">
        <f>IF(10&lt;n_bars,(IF(hog,h_sec-c_nom-phi_w-phi/2,c_nom+phi_w+phi/2))+(phi/2)*-0.923880,NA())</f>
        <v/>
      </c>
      <c r="BU14">
        <f>IF(inputs_ok,IF(10&lt;n_2,(c_nom+phi_w+phi_2/2+10*(b_w-2*c_nom-2*phi_w-phi_2)/MAX(n_2-1,1))+(phi_2/2)*-0.382683,NA()),NA())</f>
        <v/>
      </c>
      <c r="BV14">
        <f>IF(10&lt;n_2,(IF(hog,c_nom+phi_w+phi_2/2,h_sec-c_nom-phi_w-phi_2/2))+(phi_2/2)*-0.923880,NA())</f>
        <v/>
      </c>
      <c r="BX14">
        <f>IF(inputs_ok,IF(11&lt;n_bars,(c_nom+phi_w+phi/2+11*(b_w-2*c_nom-2*phi_w-phi)/MAX(n_bars-1,1))+(phi/2)*-0.382683,NA()),NA())</f>
        <v/>
      </c>
      <c r="BY14">
        <f>IF(11&lt;n_bars,(IF(hog,h_sec-c_nom-phi_w-phi/2,c_nom+phi_w+phi/2))+(phi/2)*-0.923880,NA())</f>
        <v/>
      </c>
      <c r="CA14">
        <f>IF(inputs_ok,IF(11&lt;n_2,(c_nom+phi_w+phi_2/2+11*(b_w-2*c_nom-2*phi_w-phi_2)/MAX(n_2-1,1))+(phi_2/2)*-0.382683,NA()),NA())</f>
        <v/>
      </c>
      <c r="CB14">
        <f>IF(11&lt;n_2,(IF(hog,c_nom+phi_w+phi_2/2,h_sec-c_nom-phi_w-phi_2/2))+(phi_2/2)*-0.923880,NA())</f>
        <v/>
      </c>
    </row>
    <row r="15">
      <c r="J15">
        <f>IF(inputs_ok,IF(0&lt;n_bars,(c_nom+phi_w+phi/2+0*(b_w-2*c_nom-2*phi_w-phi)/MAX(n_bars-1,1))+(phi/2)*-0.000000,NA()),NA())</f>
        <v/>
      </c>
      <c r="K15">
        <f>IF(0&lt;n_bars,(IF(hog,h_sec-c_nom-phi_w-phi/2,c_nom+phi_w+phi/2))+(phi/2)*-1.000000,NA())</f>
        <v/>
      </c>
      <c r="M15">
        <f>IF(inputs_ok,IF(0&lt;n_2,(c_nom+phi_w+phi_2/2+0*(b_w-2*c_nom-2*phi_w-phi_2)/MAX(n_2-1,1))+(phi_2/2)*-0.000000,NA()),NA())</f>
        <v/>
      </c>
      <c r="N15">
        <f>IF(0&lt;n_2,(IF(hog,c_nom+phi_w+phi_2/2,h_sec-c_nom-phi_w-phi_2/2))+(phi_2/2)*-1.000000,NA())</f>
        <v/>
      </c>
      <c r="P15">
        <f>IF(inputs_ok,IF(1&lt;n_bars,(c_nom+phi_w+phi/2+1*(b_w-2*c_nom-2*phi_w-phi)/MAX(n_bars-1,1))+(phi/2)*-0.000000,NA()),NA())</f>
        <v/>
      </c>
      <c r="Q15">
        <f>IF(1&lt;n_bars,(IF(hog,h_sec-c_nom-phi_w-phi/2,c_nom+phi_w+phi/2))+(phi/2)*-1.000000,NA())</f>
        <v/>
      </c>
      <c r="S15">
        <f>IF(inputs_ok,IF(1&lt;n_2,(c_nom+phi_w+phi_2/2+1*(b_w-2*c_nom-2*phi_w-phi_2)/MAX(n_2-1,1))+(phi_2/2)*-0.000000,NA()),NA())</f>
        <v/>
      </c>
      <c r="T15">
        <f>IF(1&lt;n_2,(IF(hog,c_nom+phi_w+phi_2/2,h_sec-c_nom-phi_w-phi_2/2))+(phi_2/2)*-1.000000,NA())</f>
        <v/>
      </c>
      <c r="V15">
        <f>IF(inputs_ok,IF(2&lt;n_bars,(c_nom+phi_w+phi/2+2*(b_w-2*c_nom-2*phi_w-phi)/MAX(n_bars-1,1))+(phi/2)*-0.000000,NA()),NA())</f>
        <v/>
      </c>
      <c r="W15">
        <f>IF(2&lt;n_bars,(IF(hog,h_sec-c_nom-phi_w-phi/2,c_nom+phi_w+phi/2))+(phi/2)*-1.000000,NA())</f>
        <v/>
      </c>
      <c r="Y15">
        <f>IF(inputs_ok,IF(2&lt;n_2,(c_nom+phi_w+phi_2/2+2*(b_w-2*c_nom-2*phi_w-phi_2)/MAX(n_2-1,1))+(phi_2/2)*-0.000000,NA()),NA())</f>
        <v/>
      </c>
      <c r="Z15">
        <f>IF(2&lt;n_2,(IF(hog,c_nom+phi_w+phi_2/2,h_sec-c_nom-phi_w-phi_2/2))+(phi_2/2)*-1.000000,NA())</f>
        <v/>
      </c>
      <c r="AB15">
        <f>IF(inputs_ok,IF(3&lt;n_bars,(c_nom+phi_w+phi/2+3*(b_w-2*c_nom-2*phi_w-phi)/MAX(n_bars-1,1))+(phi/2)*-0.000000,NA()),NA())</f>
        <v/>
      </c>
      <c r="AC15">
        <f>IF(3&lt;n_bars,(IF(hog,h_sec-c_nom-phi_w-phi/2,c_nom+phi_w+phi/2))+(phi/2)*-1.000000,NA())</f>
        <v/>
      </c>
      <c r="AE15">
        <f>IF(inputs_ok,IF(3&lt;n_2,(c_nom+phi_w+phi_2/2+3*(b_w-2*c_nom-2*phi_w-phi_2)/MAX(n_2-1,1))+(phi_2/2)*-0.000000,NA()),NA())</f>
        <v/>
      </c>
      <c r="AF15">
        <f>IF(3&lt;n_2,(IF(hog,c_nom+phi_w+phi_2/2,h_sec-c_nom-phi_w-phi_2/2))+(phi_2/2)*-1.000000,NA())</f>
        <v/>
      </c>
      <c r="AH15">
        <f>IF(inputs_ok,IF(4&lt;n_bars,(c_nom+phi_w+phi/2+4*(b_w-2*c_nom-2*phi_w-phi)/MAX(n_bars-1,1))+(phi/2)*-0.000000,NA()),NA())</f>
        <v/>
      </c>
      <c r="AI15">
        <f>IF(4&lt;n_bars,(IF(hog,h_sec-c_nom-phi_w-phi/2,c_nom+phi_w+phi/2))+(phi/2)*-1.000000,NA())</f>
        <v/>
      </c>
      <c r="AK15">
        <f>IF(inputs_ok,IF(4&lt;n_2,(c_nom+phi_w+phi_2/2+4*(b_w-2*c_nom-2*phi_w-phi_2)/MAX(n_2-1,1))+(phi_2/2)*-0.000000,NA()),NA())</f>
        <v/>
      </c>
      <c r="AL15">
        <f>IF(4&lt;n_2,(IF(hog,c_nom+phi_w+phi_2/2,h_sec-c_nom-phi_w-phi_2/2))+(phi_2/2)*-1.000000,NA())</f>
        <v/>
      </c>
      <c r="AN15">
        <f>IF(inputs_ok,IF(5&lt;n_bars,(c_nom+phi_w+phi/2+5*(b_w-2*c_nom-2*phi_w-phi)/MAX(n_bars-1,1))+(phi/2)*-0.000000,NA()),NA())</f>
        <v/>
      </c>
      <c r="AO15">
        <f>IF(5&lt;n_bars,(IF(hog,h_sec-c_nom-phi_w-phi/2,c_nom+phi_w+phi/2))+(phi/2)*-1.000000,NA())</f>
        <v/>
      </c>
      <c r="AQ15">
        <f>IF(inputs_ok,IF(5&lt;n_2,(c_nom+phi_w+phi_2/2+5*(b_w-2*c_nom-2*phi_w-phi_2)/MAX(n_2-1,1))+(phi_2/2)*-0.000000,NA()),NA())</f>
        <v/>
      </c>
      <c r="AR15">
        <f>IF(5&lt;n_2,(IF(hog,c_nom+phi_w+phi_2/2,h_sec-c_nom-phi_w-phi_2/2))+(phi_2/2)*-1.000000,NA())</f>
        <v/>
      </c>
      <c r="AT15">
        <f>IF(inputs_ok,IF(6&lt;n_bars,(c_nom+phi_w+phi/2+6*(b_w-2*c_nom-2*phi_w-phi)/MAX(n_bars-1,1))+(phi/2)*-0.000000,NA()),NA())</f>
        <v/>
      </c>
      <c r="AU15">
        <f>IF(6&lt;n_bars,(IF(hog,h_sec-c_nom-phi_w-phi/2,c_nom+phi_w+phi/2))+(phi/2)*-1.000000,NA())</f>
        <v/>
      </c>
      <c r="AW15">
        <f>IF(inputs_ok,IF(6&lt;n_2,(c_nom+phi_w+phi_2/2+6*(b_w-2*c_nom-2*phi_w-phi_2)/MAX(n_2-1,1))+(phi_2/2)*-0.000000,NA()),NA())</f>
        <v/>
      </c>
      <c r="AX15">
        <f>IF(6&lt;n_2,(IF(hog,c_nom+phi_w+phi_2/2,h_sec-c_nom-phi_w-phi_2/2))+(phi_2/2)*-1.000000,NA())</f>
        <v/>
      </c>
      <c r="AZ15">
        <f>IF(inputs_ok,IF(7&lt;n_bars,(c_nom+phi_w+phi/2+7*(b_w-2*c_nom-2*phi_w-phi)/MAX(n_bars-1,1))+(phi/2)*-0.000000,NA()),NA())</f>
        <v/>
      </c>
      <c r="BA15">
        <f>IF(7&lt;n_bars,(IF(hog,h_sec-c_nom-phi_w-phi/2,c_nom+phi_w+phi/2))+(phi/2)*-1.000000,NA())</f>
        <v/>
      </c>
      <c r="BC15">
        <f>IF(inputs_ok,IF(7&lt;n_2,(c_nom+phi_w+phi_2/2+7*(b_w-2*c_nom-2*phi_w-phi_2)/MAX(n_2-1,1))+(phi_2/2)*-0.000000,NA()),NA())</f>
        <v/>
      </c>
      <c r="BD15">
        <f>IF(7&lt;n_2,(IF(hog,c_nom+phi_w+phi_2/2,h_sec-c_nom-phi_w-phi_2/2))+(phi_2/2)*-1.000000,NA())</f>
        <v/>
      </c>
      <c r="BF15">
        <f>IF(inputs_ok,IF(8&lt;n_bars,(c_nom+phi_w+phi/2+8*(b_w-2*c_nom-2*phi_w-phi)/MAX(n_bars-1,1))+(phi/2)*-0.000000,NA()),NA())</f>
        <v/>
      </c>
      <c r="BG15">
        <f>IF(8&lt;n_bars,(IF(hog,h_sec-c_nom-phi_w-phi/2,c_nom+phi_w+phi/2))+(phi/2)*-1.000000,NA())</f>
        <v/>
      </c>
      <c r="BI15">
        <f>IF(inputs_ok,IF(8&lt;n_2,(c_nom+phi_w+phi_2/2+8*(b_w-2*c_nom-2*phi_w-phi_2)/MAX(n_2-1,1))+(phi_2/2)*-0.000000,NA()),NA())</f>
        <v/>
      </c>
      <c r="BJ15">
        <f>IF(8&lt;n_2,(IF(hog,c_nom+phi_w+phi_2/2,h_sec-c_nom-phi_w-phi_2/2))+(phi_2/2)*-1.000000,NA())</f>
        <v/>
      </c>
      <c r="BL15">
        <f>IF(inputs_ok,IF(9&lt;n_bars,(c_nom+phi_w+phi/2+9*(b_w-2*c_nom-2*phi_w-phi)/MAX(n_bars-1,1))+(phi/2)*-0.000000,NA()),NA())</f>
        <v/>
      </c>
      <c r="BM15">
        <f>IF(9&lt;n_bars,(IF(hog,h_sec-c_nom-phi_w-phi/2,c_nom+phi_w+phi/2))+(phi/2)*-1.000000,NA())</f>
        <v/>
      </c>
      <c r="BO15">
        <f>IF(inputs_ok,IF(9&lt;n_2,(c_nom+phi_w+phi_2/2+9*(b_w-2*c_nom-2*phi_w-phi_2)/MAX(n_2-1,1))+(phi_2/2)*-0.000000,NA()),NA())</f>
        <v/>
      </c>
      <c r="BP15">
        <f>IF(9&lt;n_2,(IF(hog,c_nom+phi_w+phi_2/2,h_sec-c_nom-phi_w-phi_2/2))+(phi_2/2)*-1.000000,NA())</f>
        <v/>
      </c>
      <c r="BR15">
        <f>IF(inputs_ok,IF(10&lt;n_bars,(c_nom+phi_w+phi/2+10*(b_w-2*c_nom-2*phi_w-phi)/MAX(n_bars-1,1))+(phi/2)*-0.000000,NA()),NA())</f>
        <v/>
      </c>
      <c r="BS15">
        <f>IF(10&lt;n_bars,(IF(hog,h_sec-c_nom-phi_w-phi/2,c_nom+phi_w+phi/2))+(phi/2)*-1.000000,NA())</f>
        <v/>
      </c>
      <c r="BU15">
        <f>IF(inputs_ok,IF(10&lt;n_2,(c_nom+phi_w+phi_2/2+10*(b_w-2*c_nom-2*phi_w-phi_2)/MAX(n_2-1,1))+(phi_2/2)*-0.000000,NA()),NA())</f>
        <v/>
      </c>
      <c r="BV15">
        <f>IF(10&lt;n_2,(IF(hog,c_nom+phi_w+phi_2/2,h_sec-c_nom-phi_w-phi_2/2))+(phi_2/2)*-1.000000,NA())</f>
        <v/>
      </c>
      <c r="BX15">
        <f>IF(inputs_ok,IF(11&lt;n_bars,(c_nom+phi_w+phi/2+11*(b_w-2*c_nom-2*phi_w-phi)/MAX(n_bars-1,1))+(phi/2)*-0.000000,NA()),NA())</f>
        <v/>
      </c>
      <c r="BY15">
        <f>IF(11&lt;n_bars,(IF(hog,h_sec-c_nom-phi_w-phi/2,c_nom+phi_w+phi/2))+(phi/2)*-1.000000,NA())</f>
        <v/>
      </c>
      <c r="CA15">
        <f>IF(inputs_ok,IF(11&lt;n_2,(c_nom+phi_w+phi_2/2+11*(b_w-2*c_nom-2*phi_w-phi_2)/MAX(n_2-1,1))+(phi_2/2)*-0.000000,NA()),NA())</f>
        <v/>
      </c>
      <c r="CB15">
        <f>IF(11&lt;n_2,(IF(hog,c_nom+phi_w+phi_2/2,h_sec-c_nom-phi_w-phi_2/2))+(phi_2/2)*-1.000000,NA())</f>
        <v/>
      </c>
    </row>
    <row r="16">
      <c r="J16">
        <f>IF(inputs_ok,IF(0&lt;n_bars,(c_nom+phi_w+phi/2+0*(b_w-2*c_nom-2*phi_w-phi)/MAX(n_bars-1,1))+(phi/2)*0.382683,NA()),NA())</f>
        <v/>
      </c>
      <c r="K16">
        <f>IF(0&lt;n_bars,(IF(hog,h_sec-c_nom-phi_w-phi/2,c_nom+phi_w+phi/2))+(phi/2)*-0.923880,NA())</f>
        <v/>
      </c>
      <c r="M16">
        <f>IF(inputs_ok,IF(0&lt;n_2,(c_nom+phi_w+phi_2/2+0*(b_w-2*c_nom-2*phi_w-phi_2)/MAX(n_2-1,1))+(phi_2/2)*0.382683,NA()),NA())</f>
        <v/>
      </c>
      <c r="N16">
        <f>IF(0&lt;n_2,(IF(hog,c_nom+phi_w+phi_2/2,h_sec-c_nom-phi_w-phi_2/2))+(phi_2/2)*-0.923880,NA())</f>
        <v/>
      </c>
      <c r="P16">
        <f>IF(inputs_ok,IF(1&lt;n_bars,(c_nom+phi_w+phi/2+1*(b_w-2*c_nom-2*phi_w-phi)/MAX(n_bars-1,1))+(phi/2)*0.382683,NA()),NA())</f>
        <v/>
      </c>
      <c r="Q16">
        <f>IF(1&lt;n_bars,(IF(hog,h_sec-c_nom-phi_w-phi/2,c_nom+phi_w+phi/2))+(phi/2)*-0.923880,NA())</f>
        <v/>
      </c>
      <c r="S16">
        <f>IF(inputs_ok,IF(1&lt;n_2,(c_nom+phi_w+phi_2/2+1*(b_w-2*c_nom-2*phi_w-phi_2)/MAX(n_2-1,1))+(phi_2/2)*0.382683,NA()),NA())</f>
        <v/>
      </c>
      <c r="T16">
        <f>IF(1&lt;n_2,(IF(hog,c_nom+phi_w+phi_2/2,h_sec-c_nom-phi_w-phi_2/2))+(phi_2/2)*-0.923880,NA())</f>
        <v/>
      </c>
      <c r="V16">
        <f>IF(inputs_ok,IF(2&lt;n_bars,(c_nom+phi_w+phi/2+2*(b_w-2*c_nom-2*phi_w-phi)/MAX(n_bars-1,1))+(phi/2)*0.382683,NA()),NA())</f>
        <v/>
      </c>
      <c r="W16">
        <f>IF(2&lt;n_bars,(IF(hog,h_sec-c_nom-phi_w-phi/2,c_nom+phi_w+phi/2))+(phi/2)*-0.923880,NA())</f>
        <v/>
      </c>
      <c r="Y16">
        <f>IF(inputs_ok,IF(2&lt;n_2,(c_nom+phi_w+phi_2/2+2*(b_w-2*c_nom-2*phi_w-phi_2)/MAX(n_2-1,1))+(phi_2/2)*0.382683,NA()),NA())</f>
        <v/>
      </c>
      <c r="Z16">
        <f>IF(2&lt;n_2,(IF(hog,c_nom+phi_w+phi_2/2,h_sec-c_nom-phi_w-phi_2/2))+(phi_2/2)*-0.923880,NA())</f>
        <v/>
      </c>
      <c r="AB16">
        <f>IF(inputs_ok,IF(3&lt;n_bars,(c_nom+phi_w+phi/2+3*(b_w-2*c_nom-2*phi_w-phi)/MAX(n_bars-1,1))+(phi/2)*0.382683,NA()),NA())</f>
        <v/>
      </c>
      <c r="AC16">
        <f>IF(3&lt;n_bars,(IF(hog,h_sec-c_nom-phi_w-phi/2,c_nom+phi_w+phi/2))+(phi/2)*-0.923880,NA())</f>
        <v/>
      </c>
      <c r="AE16">
        <f>IF(inputs_ok,IF(3&lt;n_2,(c_nom+phi_w+phi_2/2+3*(b_w-2*c_nom-2*phi_w-phi_2)/MAX(n_2-1,1))+(phi_2/2)*0.382683,NA()),NA())</f>
        <v/>
      </c>
      <c r="AF16">
        <f>IF(3&lt;n_2,(IF(hog,c_nom+phi_w+phi_2/2,h_sec-c_nom-phi_w-phi_2/2))+(phi_2/2)*-0.923880,NA())</f>
        <v/>
      </c>
      <c r="AH16">
        <f>IF(inputs_ok,IF(4&lt;n_bars,(c_nom+phi_w+phi/2+4*(b_w-2*c_nom-2*phi_w-phi)/MAX(n_bars-1,1))+(phi/2)*0.382683,NA()),NA())</f>
        <v/>
      </c>
      <c r="AI16">
        <f>IF(4&lt;n_bars,(IF(hog,h_sec-c_nom-phi_w-phi/2,c_nom+phi_w+phi/2))+(phi/2)*-0.923880,NA())</f>
        <v/>
      </c>
      <c r="AK16">
        <f>IF(inputs_ok,IF(4&lt;n_2,(c_nom+phi_w+phi_2/2+4*(b_w-2*c_nom-2*phi_w-phi_2)/MAX(n_2-1,1))+(phi_2/2)*0.382683,NA()),NA())</f>
        <v/>
      </c>
      <c r="AL16">
        <f>IF(4&lt;n_2,(IF(hog,c_nom+phi_w+phi_2/2,h_sec-c_nom-phi_w-phi_2/2))+(phi_2/2)*-0.923880,NA())</f>
        <v/>
      </c>
      <c r="AN16">
        <f>IF(inputs_ok,IF(5&lt;n_bars,(c_nom+phi_w+phi/2+5*(b_w-2*c_nom-2*phi_w-phi)/MAX(n_bars-1,1))+(phi/2)*0.382683,NA()),NA())</f>
        <v/>
      </c>
      <c r="AO16">
        <f>IF(5&lt;n_bars,(IF(hog,h_sec-c_nom-phi_w-phi/2,c_nom+phi_w+phi/2))+(phi/2)*-0.923880,NA())</f>
        <v/>
      </c>
      <c r="AQ16">
        <f>IF(inputs_ok,IF(5&lt;n_2,(c_nom+phi_w+phi_2/2+5*(b_w-2*c_nom-2*phi_w-phi_2)/MAX(n_2-1,1))+(phi_2/2)*0.382683,NA()),NA())</f>
        <v/>
      </c>
      <c r="AR16">
        <f>IF(5&lt;n_2,(IF(hog,c_nom+phi_w+phi_2/2,h_sec-c_nom-phi_w-phi_2/2))+(phi_2/2)*-0.923880,NA())</f>
        <v/>
      </c>
      <c r="AT16">
        <f>IF(inputs_ok,IF(6&lt;n_bars,(c_nom+phi_w+phi/2+6*(b_w-2*c_nom-2*phi_w-phi)/MAX(n_bars-1,1))+(phi/2)*0.382683,NA()),NA())</f>
        <v/>
      </c>
      <c r="AU16">
        <f>IF(6&lt;n_bars,(IF(hog,h_sec-c_nom-phi_w-phi/2,c_nom+phi_w+phi/2))+(phi/2)*-0.923880,NA())</f>
        <v/>
      </c>
      <c r="AW16">
        <f>IF(inputs_ok,IF(6&lt;n_2,(c_nom+phi_w+phi_2/2+6*(b_w-2*c_nom-2*phi_w-phi_2)/MAX(n_2-1,1))+(phi_2/2)*0.382683,NA()),NA())</f>
        <v/>
      </c>
      <c r="AX16">
        <f>IF(6&lt;n_2,(IF(hog,c_nom+phi_w+phi_2/2,h_sec-c_nom-phi_w-phi_2/2))+(phi_2/2)*-0.923880,NA())</f>
        <v/>
      </c>
      <c r="AZ16">
        <f>IF(inputs_ok,IF(7&lt;n_bars,(c_nom+phi_w+phi/2+7*(b_w-2*c_nom-2*phi_w-phi)/MAX(n_bars-1,1))+(phi/2)*0.382683,NA()),NA())</f>
        <v/>
      </c>
      <c r="BA16">
        <f>IF(7&lt;n_bars,(IF(hog,h_sec-c_nom-phi_w-phi/2,c_nom+phi_w+phi/2))+(phi/2)*-0.923880,NA())</f>
        <v/>
      </c>
      <c r="BC16">
        <f>IF(inputs_ok,IF(7&lt;n_2,(c_nom+phi_w+phi_2/2+7*(b_w-2*c_nom-2*phi_w-phi_2)/MAX(n_2-1,1))+(phi_2/2)*0.382683,NA()),NA())</f>
        <v/>
      </c>
      <c r="BD16">
        <f>IF(7&lt;n_2,(IF(hog,c_nom+phi_w+phi_2/2,h_sec-c_nom-phi_w-phi_2/2))+(phi_2/2)*-0.923880,NA())</f>
        <v/>
      </c>
      <c r="BF16">
        <f>IF(inputs_ok,IF(8&lt;n_bars,(c_nom+phi_w+phi/2+8*(b_w-2*c_nom-2*phi_w-phi)/MAX(n_bars-1,1))+(phi/2)*0.382683,NA()),NA())</f>
        <v/>
      </c>
      <c r="BG16">
        <f>IF(8&lt;n_bars,(IF(hog,h_sec-c_nom-phi_w-phi/2,c_nom+phi_w+phi/2))+(phi/2)*-0.923880,NA())</f>
        <v/>
      </c>
      <c r="BI16">
        <f>IF(inputs_ok,IF(8&lt;n_2,(c_nom+phi_w+phi_2/2+8*(b_w-2*c_nom-2*phi_w-phi_2)/MAX(n_2-1,1))+(phi_2/2)*0.382683,NA()),NA())</f>
        <v/>
      </c>
      <c r="BJ16">
        <f>IF(8&lt;n_2,(IF(hog,c_nom+phi_w+phi_2/2,h_sec-c_nom-phi_w-phi_2/2))+(phi_2/2)*-0.923880,NA())</f>
        <v/>
      </c>
      <c r="BL16">
        <f>IF(inputs_ok,IF(9&lt;n_bars,(c_nom+phi_w+phi/2+9*(b_w-2*c_nom-2*phi_w-phi)/MAX(n_bars-1,1))+(phi/2)*0.382683,NA()),NA())</f>
        <v/>
      </c>
      <c r="BM16">
        <f>IF(9&lt;n_bars,(IF(hog,h_sec-c_nom-phi_w-phi/2,c_nom+phi_w+phi/2))+(phi/2)*-0.923880,NA())</f>
        <v/>
      </c>
      <c r="BO16">
        <f>IF(inputs_ok,IF(9&lt;n_2,(c_nom+phi_w+phi_2/2+9*(b_w-2*c_nom-2*phi_w-phi_2)/MAX(n_2-1,1))+(phi_2/2)*0.382683,NA()),NA())</f>
        <v/>
      </c>
      <c r="BP16">
        <f>IF(9&lt;n_2,(IF(hog,c_nom+phi_w+phi_2/2,h_sec-c_nom-phi_w-phi_2/2))+(phi_2/2)*-0.923880,NA())</f>
        <v/>
      </c>
      <c r="BR16">
        <f>IF(inputs_ok,IF(10&lt;n_bars,(c_nom+phi_w+phi/2+10*(b_w-2*c_nom-2*phi_w-phi)/MAX(n_bars-1,1))+(phi/2)*0.382683,NA()),NA())</f>
        <v/>
      </c>
      <c r="BS16">
        <f>IF(10&lt;n_bars,(IF(hog,h_sec-c_nom-phi_w-phi/2,c_nom+phi_w+phi/2))+(phi/2)*-0.923880,NA())</f>
        <v/>
      </c>
      <c r="BU16">
        <f>IF(inputs_ok,IF(10&lt;n_2,(c_nom+phi_w+phi_2/2+10*(b_w-2*c_nom-2*phi_w-phi_2)/MAX(n_2-1,1))+(phi_2/2)*0.382683,NA()),NA())</f>
        <v/>
      </c>
      <c r="BV16">
        <f>IF(10&lt;n_2,(IF(hog,c_nom+phi_w+phi_2/2,h_sec-c_nom-phi_w-phi_2/2))+(phi_2/2)*-0.923880,NA())</f>
        <v/>
      </c>
      <c r="BX16">
        <f>IF(inputs_ok,IF(11&lt;n_bars,(c_nom+phi_w+phi/2+11*(b_w-2*c_nom-2*phi_w-phi)/MAX(n_bars-1,1))+(phi/2)*0.382683,NA()),NA())</f>
        <v/>
      </c>
      <c r="BY16">
        <f>IF(11&lt;n_bars,(IF(hog,h_sec-c_nom-phi_w-phi/2,c_nom+phi_w+phi/2))+(phi/2)*-0.923880,NA())</f>
        <v/>
      </c>
      <c r="CA16">
        <f>IF(inputs_ok,IF(11&lt;n_2,(c_nom+phi_w+phi_2/2+11*(b_w-2*c_nom-2*phi_w-phi_2)/MAX(n_2-1,1))+(phi_2/2)*0.382683,NA()),NA())</f>
        <v/>
      </c>
      <c r="CB16">
        <f>IF(11&lt;n_2,(IF(hog,c_nom+phi_w+phi_2/2,h_sec-c_nom-phi_w-phi_2/2))+(phi_2/2)*-0.923880,NA())</f>
        <v/>
      </c>
    </row>
    <row r="17">
      <c r="J17">
        <f>IF(inputs_ok,IF(0&lt;n_bars,(c_nom+phi_w+phi/2+0*(b_w-2*c_nom-2*phi_w-phi)/MAX(n_bars-1,1))+(phi/2)*0.707107,NA()),NA())</f>
        <v/>
      </c>
      <c r="K17">
        <f>IF(0&lt;n_bars,(IF(hog,h_sec-c_nom-phi_w-phi/2,c_nom+phi_w+phi/2))+(phi/2)*-0.707107,NA())</f>
        <v/>
      </c>
      <c r="M17">
        <f>IF(inputs_ok,IF(0&lt;n_2,(c_nom+phi_w+phi_2/2+0*(b_w-2*c_nom-2*phi_w-phi_2)/MAX(n_2-1,1))+(phi_2/2)*0.707107,NA()),NA())</f>
        <v/>
      </c>
      <c r="N17">
        <f>IF(0&lt;n_2,(IF(hog,c_nom+phi_w+phi_2/2,h_sec-c_nom-phi_w-phi_2/2))+(phi_2/2)*-0.707107,NA())</f>
        <v/>
      </c>
      <c r="P17">
        <f>IF(inputs_ok,IF(1&lt;n_bars,(c_nom+phi_w+phi/2+1*(b_w-2*c_nom-2*phi_w-phi)/MAX(n_bars-1,1))+(phi/2)*0.707107,NA()),NA())</f>
        <v/>
      </c>
      <c r="Q17">
        <f>IF(1&lt;n_bars,(IF(hog,h_sec-c_nom-phi_w-phi/2,c_nom+phi_w+phi/2))+(phi/2)*-0.707107,NA())</f>
        <v/>
      </c>
      <c r="S17">
        <f>IF(inputs_ok,IF(1&lt;n_2,(c_nom+phi_w+phi_2/2+1*(b_w-2*c_nom-2*phi_w-phi_2)/MAX(n_2-1,1))+(phi_2/2)*0.707107,NA()),NA())</f>
        <v/>
      </c>
      <c r="T17">
        <f>IF(1&lt;n_2,(IF(hog,c_nom+phi_w+phi_2/2,h_sec-c_nom-phi_w-phi_2/2))+(phi_2/2)*-0.707107,NA())</f>
        <v/>
      </c>
      <c r="V17">
        <f>IF(inputs_ok,IF(2&lt;n_bars,(c_nom+phi_w+phi/2+2*(b_w-2*c_nom-2*phi_w-phi)/MAX(n_bars-1,1))+(phi/2)*0.707107,NA()),NA())</f>
        <v/>
      </c>
      <c r="W17">
        <f>IF(2&lt;n_bars,(IF(hog,h_sec-c_nom-phi_w-phi/2,c_nom+phi_w+phi/2))+(phi/2)*-0.707107,NA())</f>
        <v/>
      </c>
      <c r="Y17">
        <f>IF(inputs_ok,IF(2&lt;n_2,(c_nom+phi_w+phi_2/2+2*(b_w-2*c_nom-2*phi_w-phi_2)/MAX(n_2-1,1))+(phi_2/2)*0.707107,NA()),NA())</f>
        <v/>
      </c>
      <c r="Z17">
        <f>IF(2&lt;n_2,(IF(hog,c_nom+phi_w+phi_2/2,h_sec-c_nom-phi_w-phi_2/2))+(phi_2/2)*-0.707107,NA())</f>
        <v/>
      </c>
      <c r="AB17">
        <f>IF(inputs_ok,IF(3&lt;n_bars,(c_nom+phi_w+phi/2+3*(b_w-2*c_nom-2*phi_w-phi)/MAX(n_bars-1,1))+(phi/2)*0.707107,NA()),NA())</f>
        <v/>
      </c>
      <c r="AC17">
        <f>IF(3&lt;n_bars,(IF(hog,h_sec-c_nom-phi_w-phi/2,c_nom+phi_w+phi/2))+(phi/2)*-0.707107,NA())</f>
        <v/>
      </c>
      <c r="AE17">
        <f>IF(inputs_ok,IF(3&lt;n_2,(c_nom+phi_w+phi_2/2+3*(b_w-2*c_nom-2*phi_w-phi_2)/MAX(n_2-1,1))+(phi_2/2)*0.707107,NA()),NA())</f>
        <v/>
      </c>
      <c r="AF17">
        <f>IF(3&lt;n_2,(IF(hog,c_nom+phi_w+phi_2/2,h_sec-c_nom-phi_w-phi_2/2))+(phi_2/2)*-0.707107,NA())</f>
        <v/>
      </c>
      <c r="AH17">
        <f>IF(inputs_ok,IF(4&lt;n_bars,(c_nom+phi_w+phi/2+4*(b_w-2*c_nom-2*phi_w-phi)/MAX(n_bars-1,1))+(phi/2)*0.707107,NA()),NA())</f>
        <v/>
      </c>
      <c r="AI17">
        <f>IF(4&lt;n_bars,(IF(hog,h_sec-c_nom-phi_w-phi/2,c_nom+phi_w+phi/2))+(phi/2)*-0.707107,NA())</f>
        <v/>
      </c>
      <c r="AK17">
        <f>IF(inputs_ok,IF(4&lt;n_2,(c_nom+phi_w+phi_2/2+4*(b_w-2*c_nom-2*phi_w-phi_2)/MAX(n_2-1,1))+(phi_2/2)*0.707107,NA()),NA())</f>
        <v/>
      </c>
      <c r="AL17">
        <f>IF(4&lt;n_2,(IF(hog,c_nom+phi_w+phi_2/2,h_sec-c_nom-phi_w-phi_2/2))+(phi_2/2)*-0.707107,NA())</f>
        <v/>
      </c>
      <c r="AN17">
        <f>IF(inputs_ok,IF(5&lt;n_bars,(c_nom+phi_w+phi/2+5*(b_w-2*c_nom-2*phi_w-phi)/MAX(n_bars-1,1))+(phi/2)*0.707107,NA()),NA())</f>
        <v/>
      </c>
      <c r="AO17">
        <f>IF(5&lt;n_bars,(IF(hog,h_sec-c_nom-phi_w-phi/2,c_nom+phi_w+phi/2))+(phi/2)*-0.707107,NA())</f>
        <v/>
      </c>
      <c r="AQ17">
        <f>IF(inputs_ok,IF(5&lt;n_2,(c_nom+phi_w+phi_2/2+5*(b_w-2*c_nom-2*phi_w-phi_2)/MAX(n_2-1,1))+(phi_2/2)*0.707107,NA()),NA())</f>
        <v/>
      </c>
      <c r="AR17">
        <f>IF(5&lt;n_2,(IF(hog,c_nom+phi_w+phi_2/2,h_sec-c_nom-phi_w-phi_2/2))+(phi_2/2)*-0.707107,NA())</f>
        <v/>
      </c>
      <c r="AT17">
        <f>IF(inputs_ok,IF(6&lt;n_bars,(c_nom+phi_w+phi/2+6*(b_w-2*c_nom-2*phi_w-phi)/MAX(n_bars-1,1))+(phi/2)*0.707107,NA()),NA())</f>
        <v/>
      </c>
      <c r="AU17">
        <f>IF(6&lt;n_bars,(IF(hog,h_sec-c_nom-phi_w-phi/2,c_nom+phi_w+phi/2))+(phi/2)*-0.707107,NA())</f>
        <v/>
      </c>
      <c r="AW17">
        <f>IF(inputs_ok,IF(6&lt;n_2,(c_nom+phi_w+phi_2/2+6*(b_w-2*c_nom-2*phi_w-phi_2)/MAX(n_2-1,1))+(phi_2/2)*0.707107,NA()),NA())</f>
        <v/>
      </c>
      <c r="AX17">
        <f>IF(6&lt;n_2,(IF(hog,c_nom+phi_w+phi_2/2,h_sec-c_nom-phi_w-phi_2/2))+(phi_2/2)*-0.707107,NA())</f>
        <v/>
      </c>
      <c r="AZ17">
        <f>IF(inputs_ok,IF(7&lt;n_bars,(c_nom+phi_w+phi/2+7*(b_w-2*c_nom-2*phi_w-phi)/MAX(n_bars-1,1))+(phi/2)*0.707107,NA()),NA())</f>
        <v/>
      </c>
      <c r="BA17">
        <f>IF(7&lt;n_bars,(IF(hog,h_sec-c_nom-phi_w-phi/2,c_nom+phi_w+phi/2))+(phi/2)*-0.707107,NA())</f>
        <v/>
      </c>
      <c r="BC17">
        <f>IF(inputs_ok,IF(7&lt;n_2,(c_nom+phi_w+phi_2/2+7*(b_w-2*c_nom-2*phi_w-phi_2)/MAX(n_2-1,1))+(phi_2/2)*0.707107,NA()),NA())</f>
        <v/>
      </c>
      <c r="BD17">
        <f>IF(7&lt;n_2,(IF(hog,c_nom+phi_w+phi_2/2,h_sec-c_nom-phi_w-phi_2/2))+(phi_2/2)*-0.707107,NA())</f>
        <v/>
      </c>
      <c r="BF17">
        <f>IF(inputs_ok,IF(8&lt;n_bars,(c_nom+phi_w+phi/2+8*(b_w-2*c_nom-2*phi_w-phi)/MAX(n_bars-1,1))+(phi/2)*0.707107,NA()),NA())</f>
        <v/>
      </c>
      <c r="BG17">
        <f>IF(8&lt;n_bars,(IF(hog,h_sec-c_nom-phi_w-phi/2,c_nom+phi_w+phi/2))+(phi/2)*-0.707107,NA())</f>
        <v/>
      </c>
      <c r="BI17">
        <f>IF(inputs_ok,IF(8&lt;n_2,(c_nom+phi_w+phi_2/2+8*(b_w-2*c_nom-2*phi_w-phi_2)/MAX(n_2-1,1))+(phi_2/2)*0.707107,NA()),NA())</f>
        <v/>
      </c>
      <c r="BJ17">
        <f>IF(8&lt;n_2,(IF(hog,c_nom+phi_w+phi_2/2,h_sec-c_nom-phi_w-phi_2/2))+(phi_2/2)*-0.707107,NA())</f>
        <v/>
      </c>
      <c r="BL17">
        <f>IF(inputs_ok,IF(9&lt;n_bars,(c_nom+phi_w+phi/2+9*(b_w-2*c_nom-2*phi_w-phi)/MAX(n_bars-1,1))+(phi/2)*0.707107,NA()),NA())</f>
        <v/>
      </c>
      <c r="BM17">
        <f>IF(9&lt;n_bars,(IF(hog,h_sec-c_nom-phi_w-phi/2,c_nom+phi_w+phi/2))+(phi/2)*-0.707107,NA())</f>
        <v/>
      </c>
      <c r="BO17">
        <f>IF(inputs_ok,IF(9&lt;n_2,(c_nom+phi_w+phi_2/2+9*(b_w-2*c_nom-2*phi_w-phi_2)/MAX(n_2-1,1))+(phi_2/2)*0.707107,NA()),NA())</f>
        <v/>
      </c>
      <c r="BP17">
        <f>IF(9&lt;n_2,(IF(hog,c_nom+phi_w+phi_2/2,h_sec-c_nom-phi_w-phi_2/2))+(phi_2/2)*-0.707107,NA())</f>
        <v/>
      </c>
      <c r="BR17">
        <f>IF(inputs_ok,IF(10&lt;n_bars,(c_nom+phi_w+phi/2+10*(b_w-2*c_nom-2*phi_w-phi)/MAX(n_bars-1,1))+(phi/2)*0.707107,NA()),NA())</f>
        <v/>
      </c>
      <c r="BS17">
        <f>IF(10&lt;n_bars,(IF(hog,h_sec-c_nom-phi_w-phi/2,c_nom+phi_w+phi/2))+(phi/2)*-0.707107,NA())</f>
        <v/>
      </c>
      <c r="BU17">
        <f>IF(inputs_ok,IF(10&lt;n_2,(c_nom+phi_w+phi_2/2+10*(b_w-2*c_nom-2*phi_w-phi_2)/MAX(n_2-1,1))+(phi_2/2)*0.707107,NA()),NA())</f>
        <v/>
      </c>
      <c r="BV17">
        <f>IF(10&lt;n_2,(IF(hog,c_nom+phi_w+phi_2/2,h_sec-c_nom-phi_w-phi_2/2))+(phi_2/2)*-0.707107,NA())</f>
        <v/>
      </c>
      <c r="BX17">
        <f>IF(inputs_ok,IF(11&lt;n_bars,(c_nom+phi_w+phi/2+11*(b_w-2*c_nom-2*phi_w-phi)/MAX(n_bars-1,1))+(phi/2)*0.707107,NA()),NA())</f>
        <v/>
      </c>
      <c r="BY17">
        <f>IF(11&lt;n_bars,(IF(hog,h_sec-c_nom-phi_w-phi/2,c_nom+phi_w+phi/2))+(phi/2)*-0.707107,NA())</f>
        <v/>
      </c>
      <c r="CA17">
        <f>IF(inputs_ok,IF(11&lt;n_2,(c_nom+phi_w+phi_2/2+11*(b_w-2*c_nom-2*phi_w-phi_2)/MAX(n_2-1,1))+(phi_2/2)*0.707107,NA()),NA())</f>
        <v/>
      </c>
      <c r="CB17">
        <f>IF(11&lt;n_2,(IF(hog,c_nom+phi_w+phi_2/2,h_sec-c_nom-phi_w-phi_2/2))+(phi_2/2)*-0.707107,NA())</f>
        <v/>
      </c>
    </row>
    <row r="18">
      <c r="J18">
        <f>IF(inputs_ok,IF(0&lt;n_bars,(c_nom+phi_w+phi/2+0*(b_w-2*c_nom-2*phi_w-phi)/MAX(n_bars-1,1))+(phi/2)*0.923880,NA()),NA())</f>
        <v/>
      </c>
      <c r="K18">
        <f>IF(0&lt;n_bars,(IF(hog,h_sec-c_nom-phi_w-phi/2,c_nom+phi_w+phi/2))+(phi/2)*-0.382683,NA())</f>
        <v/>
      </c>
      <c r="M18">
        <f>IF(inputs_ok,IF(0&lt;n_2,(c_nom+phi_w+phi_2/2+0*(b_w-2*c_nom-2*phi_w-phi_2)/MAX(n_2-1,1))+(phi_2/2)*0.923880,NA()),NA())</f>
        <v/>
      </c>
      <c r="N18">
        <f>IF(0&lt;n_2,(IF(hog,c_nom+phi_w+phi_2/2,h_sec-c_nom-phi_w-phi_2/2))+(phi_2/2)*-0.382683,NA())</f>
        <v/>
      </c>
      <c r="P18">
        <f>IF(inputs_ok,IF(1&lt;n_bars,(c_nom+phi_w+phi/2+1*(b_w-2*c_nom-2*phi_w-phi)/MAX(n_bars-1,1))+(phi/2)*0.923880,NA()),NA())</f>
        <v/>
      </c>
      <c r="Q18">
        <f>IF(1&lt;n_bars,(IF(hog,h_sec-c_nom-phi_w-phi/2,c_nom+phi_w+phi/2))+(phi/2)*-0.382683,NA())</f>
        <v/>
      </c>
      <c r="S18">
        <f>IF(inputs_ok,IF(1&lt;n_2,(c_nom+phi_w+phi_2/2+1*(b_w-2*c_nom-2*phi_w-phi_2)/MAX(n_2-1,1))+(phi_2/2)*0.923880,NA()),NA())</f>
        <v/>
      </c>
      <c r="T18">
        <f>IF(1&lt;n_2,(IF(hog,c_nom+phi_w+phi_2/2,h_sec-c_nom-phi_w-phi_2/2))+(phi_2/2)*-0.382683,NA())</f>
        <v/>
      </c>
      <c r="V18">
        <f>IF(inputs_ok,IF(2&lt;n_bars,(c_nom+phi_w+phi/2+2*(b_w-2*c_nom-2*phi_w-phi)/MAX(n_bars-1,1))+(phi/2)*0.923880,NA()),NA())</f>
        <v/>
      </c>
      <c r="W18">
        <f>IF(2&lt;n_bars,(IF(hog,h_sec-c_nom-phi_w-phi/2,c_nom+phi_w+phi/2))+(phi/2)*-0.382683,NA())</f>
        <v/>
      </c>
      <c r="Y18">
        <f>IF(inputs_ok,IF(2&lt;n_2,(c_nom+phi_w+phi_2/2+2*(b_w-2*c_nom-2*phi_w-phi_2)/MAX(n_2-1,1))+(phi_2/2)*0.923880,NA()),NA())</f>
        <v/>
      </c>
      <c r="Z18">
        <f>IF(2&lt;n_2,(IF(hog,c_nom+phi_w+phi_2/2,h_sec-c_nom-phi_w-phi_2/2))+(phi_2/2)*-0.382683,NA())</f>
        <v/>
      </c>
      <c r="AB18">
        <f>IF(inputs_ok,IF(3&lt;n_bars,(c_nom+phi_w+phi/2+3*(b_w-2*c_nom-2*phi_w-phi)/MAX(n_bars-1,1))+(phi/2)*0.923880,NA()),NA())</f>
        <v/>
      </c>
      <c r="AC18">
        <f>IF(3&lt;n_bars,(IF(hog,h_sec-c_nom-phi_w-phi/2,c_nom+phi_w+phi/2))+(phi/2)*-0.382683,NA())</f>
        <v/>
      </c>
      <c r="AE18">
        <f>IF(inputs_ok,IF(3&lt;n_2,(c_nom+phi_w+phi_2/2+3*(b_w-2*c_nom-2*phi_w-phi_2)/MAX(n_2-1,1))+(phi_2/2)*0.923880,NA()),NA())</f>
        <v/>
      </c>
      <c r="AF18">
        <f>IF(3&lt;n_2,(IF(hog,c_nom+phi_w+phi_2/2,h_sec-c_nom-phi_w-phi_2/2))+(phi_2/2)*-0.382683,NA())</f>
        <v/>
      </c>
      <c r="AH18">
        <f>IF(inputs_ok,IF(4&lt;n_bars,(c_nom+phi_w+phi/2+4*(b_w-2*c_nom-2*phi_w-phi)/MAX(n_bars-1,1))+(phi/2)*0.923880,NA()),NA())</f>
        <v/>
      </c>
      <c r="AI18">
        <f>IF(4&lt;n_bars,(IF(hog,h_sec-c_nom-phi_w-phi/2,c_nom+phi_w+phi/2))+(phi/2)*-0.382683,NA())</f>
        <v/>
      </c>
      <c r="AK18">
        <f>IF(inputs_ok,IF(4&lt;n_2,(c_nom+phi_w+phi_2/2+4*(b_w-2*c_nom-2*phi_w-phi_2)/MAX(n_2-1,1))+(phi_2/2)*0.923880,NA()),NA())</f>
        <v/>
      </c>
      <c r="AL18">
        <f>IF(4&lt;n_2,(IF(hog,c_nom+phi_w+phi_2/2,h_sec-c_nom-phi_w-phi_2/2))+(phi_2/2)*-0.382683,NA())</f>
        <v/>
      </c>
      <c r="AN18">
        <f>IF(inputs_ok,IF(5&lt;n_bars,(c_nom+phi_w+phi/2+5*(b_w-2*c_nom-2*phi_w-phi)/MAX(n_bars-1,1))+(phi/2)*0.923880,NA()),NA())</f>
        <v/>
      </c>
      <c r="AO18">
        <f>IF(5&lt;n_bars,(IF(hog,h_sec-c_nom-phi_w-phi/2,c_nom+phi_w+phi/2))+(phi/2)*-0.382683,NA())</f>
        <v/>
      </c>
      <c r="AQ18">
        <f>IF(inputs_ok,IF(5&lt;n_2,(c_nom+phi_w+phi_2/2+5*(b_w-2*c_nom-2*phi_w-phi_2)/MAX(n_2-1,1))+(phi_2/2)*0.923880,NA()),NA())</f>
        <v/>
      </c>
      <c r="AR18">
        <f>IF(5&lt;n_2,(IF(hog,c_nom+phi_w+phi_2/2,h_sec-c_nom-phi_w-phi_2/2))+(phi_2/2)*-0.382683,NA())</f>
        <v/>
      </c>
      <c r="AT18">
        <f>IF(inputs_ok,IF(6&lt;n_bars,(c_nom+phi_w+phi/2+6*(b_w-2*c_nom-2*phi_w-phi)/MAX(n_bars-1,1))+(phi/2)*0.923880,NA()),NA())</f>
        <v/>
      </c>
      <c r="AU18">
        <f>IF(6&lt;n_bars,(IF(hog,h_sec-c_nom-phi_w-phi/2,c_nom+phi_w+phi/2))+(phi/2)*-0.382683,NA())</f>
        <v/>
      </c>
      <c r="AW18">
        <f>IF(inputs_ok,IF(6&lt;n_2,(c_nom+phi_w+phi_2/2+6*(b_w-2*c_nom-2*phi_w-phi_2)/MAX(n_2-1,1))+(phi_2/2)*0.923880,NA()),NA())</f>
        <v/>
      </c>
      <c r="AX18">
        <f>IF(6&lt;n_2,(IF(hog,c_nom+phi_w+phi_2/2,h_sec-c_nom-phi_w-phi_2/2))+(phi_2/2)*-0.382683,NA())</f>
        <v/>
      </c>
      <c r="AZ18">
        <f>IF(inputs_ok,IF(7&lt;n_bars,(c_nom+phi_w+phi/2+7*(b_w-2*c_nom-2*phi_w-phi)/MAX(n_bars-1,1))+(phi/2)*0.923880,NA()),NA())</f>
        <v/>
      </c>
      <c r="BA18">
        <f>IF(7&lt;n_bars,(IF(hog,h_sec-c_nom-phi_w-phi/2,c_nom+phi_w+phi/2))+(phi/2)*-0.382683,NA())</f>
        <v/>
      </c>
      <c r="BC18">
        <f>IF(inputs_ok,IF(7&lt;n_2,(c_nom+phi_w+phi_2/2+7*(b_w-2*c_nom-2*phi_w-phi_2)/MAX(n_2-1,1))+(phi_2/2)*0.923880,NA()),NA())</f>
        <v/>
      </c>
      <c r="BD18">
        <f>IF(7&lt;n_2,(IF(hog,c_nom+phi_w+phi_2/2,h_sec-c_nom-phi_w-phi_2/2))+(phi_2/2)*-0.382683,NA())</f>
        <v/>
      </c>
      <c r="BF18">
        <f>IF(inputs_ok,IF(8&lt;n_bars,(c_nom+phi_w+phi/2+8*(b_w-2*c_nom-2*phi_w-phi)/MAX(n_bars-1,1))+(phi/2)*0.923880,NA()),NA())</f>
        <v/>
      </c>
      <c r="BG18">
        <f>IF(8&lt;n_bars,(IF(hog,h_sec-c_nom-phi_w-phi/2,c_nom+phi_w+phi/2))+(phi/2)*-0.382683,NA())</f>
        <v/>
      </c>
      <c r="BI18">
        <f>IF(inputs_ok,IF(8&lt;n_2,(c_nom+phi_w+phi_2/2+8*(b_w-2*c_nom-2*phi_w-phi_2)/MAX(n_2-1,1))+(phi_2/2)*0.923880,NA()),NA())</f>
        <v/>
      </c>
      <c r="BJ18">
        <f>IF(8&lt;n_2,(IF(hog,c_nom+phi_w+phi_2/2,h_sec-c_nom-phi_w-phi_2/2))+(phi_2/2)*-0.382683,NA())</f>
        <v/>
      </c>
      <c r="BL18">
        <f>IF(inputs_ok,IF(9&lt;n_bars,(c_nom+phi_w+phi/2+9*(b_w-2*c_nom-2*phi_w-phi)/MAX(n_bars-1,1))+(phi/2)*0.923880,NA()),NA())</f>
        <v/>
      </c>
      <c r="BM18">
        <f>IF(9&lt;n_bars,(IF(hog,h_sec-c_nom-phi_w-phi/2,c_nom+phi_w+phi/2))+(phi/2)*-0.382683,NA())</f>
        <v/>
      </c>
      <c r="BO18">
        <f>IF(inputs_ok,IF(9&lt;n_2,(c_nom+phi_w+phi_2/2+9*(b_w-2*c_nom-2*phi_w-phi_2)/MAX(n_2-1,1))+(phi_2/2)*0.923880,NA()),NA())</f>
        <v/>
      </c>
      <c r="BP18">
        <f>IF(9&lt;n_2,(IF(hog,c_nom+phi_w+phi_2/2,h_sec-c_nom-phi_w-phi_2/2))+(phi_2/2)*-0.382683,NA())</f>
        <v/>
      </c>
      <c r="BR18">
        <f>IF(inputs_ok,IF(10&lt;n_bars,(c_nom+phi_w+phi/2+10*(b_w-2*c_nom-2*phi_w-phi)/MAX(n_bars-1,1))+(phi/2)*0.923880,NA()),NA())</f>
        <v/>
      </c>
      <c r="BS18">
        <f>IF(10&lt;n_bars,(IF(hog,h_sec-c_nom-phi_w-phi/2,c_nom+phi_w+phi/2))+(phi/2)*-0.382683,NA())</f>
        <v/>
      </c>
      <c r="BU18">
        <f>IF(inputs_ok,IF(10&lt;n_2,(c_nom+phi_w+phi_2/2+10*(b_w-2*c_nom-2*phi_w-phi_2)/MAX(n_2-1,1))+(phi_2/2)*0.923880,NA()),NA())</f>
        <v/>
      </c>
      <c r="BV18">
        <f>IF(10&lt;n_2,(IF(hog,c_nom+phi_w+phi_2/2,h_sec-c_nom-phi_w-phi_2/2))+(phi_2/2)*-0.382683,NA())</f>
        <v/>
      </c>
      <c r="BX18">
        <f>IF(inputs_ok,IF(11&lt;n_bars,(c_nom+phi_w+phi/2+11*(b_w-2*c_nom-2*phi_w-phi)/MAX(n_bars-1,1))+(phi/2)*0.923880,NA()),NA())</f>
        <v/>
      </c>
      <c r="BY18">
        <f>IF(11&lt;n_bars,(IF(hog,h_sec-c_nom-phi_w-phi/2,c_nom+phi_w+phi/2))+(phi/2)*-0.382683,NA())</f>
        <v/>
      </c>
      <c r="CA18">
        <f>IF(inputs_ok,IF(11&lt;n_2,(c_nom+phi_w+phi_2/2+11*(b_w-2*c_nom-2*phi_w-phi_2)/MAX(n_2-1,1))+(phi_2/2)*0.923880,NA()),NA())</f>
        <v/>
      </c>
      <c r="CB18">
        <f>IF(11&lt;n_2,(IF(hog,c_nom+phi_w+phi_2/2,h_sec-c_nom-phi_w-phi_2/2))+(phi_2/2)*-0.382683,NA())</f>
        <v/>
      </c>
    </row>
    <row r="19">
      <c r="J19">
        <f>IF(inputs_ok,IF(0&lt;n_bars,(c_nom+phi_w+phi/2+0*(b_w-2*c_nom-2*phi_w-phi)/MAX(n_bars-1,1))+(phi/2)*1.000000,NA()),NA())</f>
        <v/>
      </c>
      <c r="K19">
        <f>IF(0&lt;n_bars,(IF(hog,h_sec-c_nom-phi_w-phi/2,c_nom+phi_w+phi/2))+(phi/2)*-0.000000,NA())</f>
        <v/>
      </c>
      <c r="M19">
        <f>IF(inputs_ok,IF(0&lt;n_2,(c_nom+phi_w+phi_2/2+0*(b_w-2*c_nom-2*phi_w-phi_2)/MAX(n_2-1,1))+(phi_2/2)*1.000000,NA()),NA())</f>
        <v/>
      </c>
      <c r="N19">
        <f>IF(0&lt;n_2,(IF(hog,c_nom+phi_w+phi_2/2,h_sec-c_nom-phi_w-phi_2/2))+(phi_2/2)*-0.000000,NA())</f>
        <v/>
      </c>
      <c r="P19">
        <f>IF(inputs_ok,IF(1&lt;n_bars,(c_nom+phi_w+phi/2+1*(b_w-2*c_nom-2*phi_w-phi)/MAX(n_bars-1,1))+(phi/2)*1.000000,NA()),NA())</f>
        <v/>
      </c>
      <c r="Q19">
        <f>IF(1&lt;n_bars,(IF(hog,h_sec-c_nom-phi_w-phi/2,c_nom+phi_w+phi/2))+(phi/2)*-0.000000,NA())</f>
        <v/>
      </c>
      <c r="S19">
        <f>IF(inputs_ok,IF(1&lt;n_2,(c_nom+phi_w+phi_2/2+1*(b_w-2*c_nom-2*phi_w-phi_2)/MAX(n_2-1,1))+(phi_2/2)*1.000000,NA()),NA())</f>
        <v/>
      </c>
      <c r="T19">
        <f>IF(1&lt;n_2,(IF(hog,c_nom+phi_w+phi_2/2,h_sec-c_nom-phi_w-phi_2/2))+(phi_2/2)*-0.000000,NA())</f>
        <v/>
      </c>
      <c r="V19">
        <f>IF(inputs_ok,IF(2&lt;n_bars,(c_nom+phi_w+phi/2+2*(b_w-2*c_nom-2*phi_w-phi)/MAX(n_bars-1,1))+(phi/2)*1.000000,NA()),NA())</f>
        <v/>
      </c>
      <c r="W19">
        <f>IF(2&lt;n_bars,(IF(hog,h_sec-c_nom-phi_w-phi/2,c_nom+phi_w+phi/2))+(phi/2)*-0.000000,NA())</f>
        <v/>
      </c>
      <c r="Y19">
        <f>IF(inputs_ok,IF(2&lt;n_2,(c_nom+phi_w+phi_2/2+2*(b_w-2*c_nom-2*phi_w-phi_2)/MAX(n_2-1,1))+(phi_2/2)*1.000000,NA()),NA())</f>
        <v/>
      </c>
      <c r="Z19">
        <f>IF(2&lt;n_2,(IF(hog,c_nom+phi_w+phi_2/2,h_sec-c_nom-phi_w-phi_2/2))+(phi_2/2)*-0.000000,NA())</f>
        <v/>
      </c>
      <c r="AB19">
        <f>IF(inputs_ok,IF(3&lt;n_bars,(c_nom+phi_w+phi/2+3*(b_w-2*c_nom-2*phi_w-phi)/MAX(n_bars-1,1))+(phi/2)*1.000000,NA()),NA())</f>
        <v/>
      </c>
      <c r="AC19">
        <f>IF(3&lt;n_bars,(IF(hog,h_sec-c_nom-phi_w-phi/2,c_nom+phi_w+phi/2))+(phi/2)*-0.000000,NA())</f>
        <v/>
      </c>
      <c r="AE19">
        <f>IF(inputs_ok,IF(3&lt;n_2,(c_nom+phi_w+phi_2/2+3*(b_w-2*c_nom-2*phi_w-phi_2)/MAX(n_2-1,1))+(phi_2/2)*1.000000,NA()),NA())</f>
        <v/>
      </c>
      <c r="AF19">
        <f>IF(3&lt;n_2,(IF(hog,c_nom+phi_w+phi_2/2,h_sec-c_nom-phi_w-phi_2/2))+(phi_2/2)*-0.000000,NA())</f>
        <v/>
      </c>
      <c r="AH19">
        <f>IF(inputs_ok,IF(4&lt;n_bars,(c_nom+phi_w+phi/2+4*(b_w-2*c_nom-2*phi_w-phi)/MAX(n_bars-1,1))+(phi/2)*1.000000,NA()),NA())</f>
        <v/>
      </c>
      <c r="AI19">
        <f>IF(4&lt;n_bars,(IF(hog,h_sec-c_nom-phi_w-phi/2,c_nom+phi_w+phi/2))+(phi/2)*-0.000000,NA())</f>
        <v/>
      </c>
      <c r="AK19">
        <f>IF(inputs_ok,IF(4&lt;n_2,(c_nom+phi_w+phi_2/2+4*(b_w-2*c_nom-2*phi_w-phi_2)/MAX(n_2-1,1))+(phi_2/2)*1.000000,NA()),NA())</f>
        <v/>
      </c>
      <c r="AL19">
        <f>IF(4&lt;n_2,(IF(hog,c_nom+phi_w+phi_2/2,h_sec-c_nom-phi_w-phi_2/2))+(phi_2/2)*-0.000000,NA())</f>
        <v/>
      </c>
      <c r="AN19">
        <f>IF(inputs_ok,IF(5&lt;n_bars,(c_nom+phi_w+phi/2+5*(b_w-2*c_nom-2*phi_w-phi)/MAX(n_bars-1,1))+(phi/2)*1.000000,NA()),NA())</f>
        <v/>
      </c>
      <c r="AO19">
        <f>IF(5&lt;n_bars,(IF(hog,h_sec-c_nom-phi_w-phi/2,c_nom+phi_w+phi/2))+(phi/2)*-0.000000,NA())</f>
        <v/>
      </c>
      <c r="AQ19">
        <f>IF(inputs_ok,IF(5&lt;n_2,(c_nom+phi_w+phi_2/2+5*(b_w-2*c_nom-2*phi_w-phi_2)/MAX(n_2-1,1))+(phi_2/2)*1.000000,NA()),NA())</f>
        <v/>
      </c>
      <c r="AR19">
        <f>IF(5&lt;n_2,(IF(hog,c_nom+phi_w+phi_2/2,h_sec-c_nom-phi_w-phi_2/2))+(phi_2/2)*-0.000000,NA())</f>
        <v/>
      </c>
      <c r="AT19">
        <f>IF(inputs_ok,IF(6&lt;n_bars,(c_nom+phi_w+phi/2+6*(b_w-2*c_nom-2*phi_w-phi)/MAX(n_bars-1,1))+(phi/2)*1.000000,NA()),NA())</f>
        <v/>
      </c>
      <c r="AU19">
        <f>IF(6&lt;n_bars,(IF(hog,h_sec-c_nom-phi_w-phi/2,c_nom+phi_w+phi/2))+(phi/2)*-0.000000,NA())</f>
        <v/>
      </c>
      <c r="AW19">
        <f>IF(inputs_ok,IF(6&lt;n_2,(c_nom+phi_w+phi_2/2+6*(b_w-2*c_nom-2*phi_w-phi_2)/MAX(n_2-1,1))+(phi_2/2)*1.000000,NA()),NA())</f>
        <v/>
      </c>
      <c r="AX19">
        <f>IF(6&lt;n_2,(IF(hog,c_nom+phi_w+phi_2/2,h_sec-c_nom-phi_w-phi_2/2))+(phi_2/2)*-0.000000,NA())</f>
        <v/>
      </c>
      <c r="AZ19">
        <f>IF(inputs_ok,IF(7&lt;n_bars,(c_nom+phi_w+phi/2+7*(b_w-2*c_nom-2*phi_w-phi)/MAX(n_bars-1,1))+(phi/2)*1.000000,NA()),NA())</f>
        <v/>
      </c>
      <c r="BA19">
        <f>IF(7&lt;n_bars,(IF(hog,h_sec-c_nom-phi_w-phi/2,c_nom+phi_w+phi/2))+(phi/2)*-0.000000,NA())</f>
        <v/>
      </c>
      <c r="BC19">
        <f>IF(inputs_ok,IF(7&lt;n_2,(c_nom+phi_w+phi_2/2+7*(b_w-2*c_nom-2*phi_w-phi_2)/MAX(n_2-1,1))+(phi_2/2)*1.000000,NA()),NA())</f>
        <v/>
      </c>
      <c r="BD19">
        <f>IF(7&lt;n_2,(IF(hog,c_nom+phi_w+phi_2/2,h_sec-c_nom-phi_w-phi_2/2))+(phi_2/2)*-0.000000,NA())</f>
        <v/>
      </c>
      <c r="BF19">
        <f>IF(inputs_ok,IF(8&lt;n_bars,(c_nom+phi_w+phi/2+8*(b_w-2*c_nom-2*phi_w-phi)/MAX(n_bars-1,1))+(phi/2)*1.000000,NA()),NA())</f>
        <v/>
      </c>
      <c r="BG19">
        <f>IF(8&lt;n_bars,(IF(hog,h_sec-c_nom-phi_w-phi/2,c_nom+phi_w+phi/2))+(phi/2)*-0.000000,NA())</f>
        <v/>
      </c>
      <c r="BI19">
        <f>IF(inputs_ok,IF(8&lt;n_2,(c_nom+phi_w+phi_2/2+8*(b_w-2*c_nom-2*phi_w-phi_2)/MAX(n_2-1,1))+(phi_2/2)*1.000000,NA()),NA())</f>
        <v/>
      </c>
      <c r="BJ19">
        <f>IF(8&lt;n_2,(IF(hog,c_nom+phi_w+phi_2/2,h_sec-c_nom-phi_w-phi_2/2))+(phi_2/2)*-0.000000,NA())</f>
        <v/>
      </c>
      <c r="BL19">
        <f>IF(inputs_ok,IF(9&lt;n_bars,(c_nom+phi_w+phi/2+9*(b_w-2*c_nom-2*phi_w-phi)/MAX(n_bars-1,1))+(phi/2)*1.000000,NA()),NA())</f>
        <v/>
      </c>
      <c r="BM19">
        <f>IF(9&lt;n_bars,(IF(hog,h_sec-c_nom-phi_w-phi/2,c_nom+phi_w+phi/2))+(phi/2)*-0.000000,NA())</f>
        <v/>
      </c>
      <c r="BO19">
        <f>IF(inputs_ok,IF(9&lt;n_2,(c_nom+phi_w+phi_2/2+9*(b_w-2*c_nom-2*phi_w-phi_2)/MAX(n_2-1,1))+(phi_2/2)*1.000000,NA()),NA())</f>
        <v/>
      </c>
      <c r="BP19">
        <f>IF(9&lt;n_2,(IF(hog,c_nom+phi_w+phi_2/2,h_sec-c_nom-phi_w-phi_2/2))+(phi_2/2)*-0.000000,NA())</f>
        <v/>
      </c>
      <c r="BR19">
        <f>IF(inputs_ok,IF(10&lt;n_bars,(c_nom+phi_w+phi/2+10*(b_w-2*c_nom-2*phi_w-phi)/MAX(n_bars-1,1))+(phi/2)*1.000000,NA()),NA())</f>
        <v/>
      </c>
      <c r="BS19">
        <f>IF(10&lt;n_bars,(IF(hog,h_sec-c_nom-phi_w-phi/2,c_nom+phi_w+phi/2))+(phi/2)*-0.000000,NA())</f>
        <v/>
      </c>
      <c r="BU19">
        <f>IF(inputs_ok,IF(10&lt;n_2,(c_nom+phi_w+phi_2/2+10*(b_w-2*c_nom-2*phi_w-phi_2)/MAX(n_2-1,1))+(phi_2/2)*1.000000,NA()),NA())</f>
        <v/>
      </c>
      <c r="BV19">
        <f>IF(10&lt;n_2,(IF(hog,c_nom+phi_w+phi_2/2,h_sec-c_nom-phi_w-phi_2/2))+(phi_2/2)*-0.000000,NA())</f>
        <v/>
      </c>
      <c r="BX19">
        <f>IF(inputs_ok,IF(11&lt;n_bars,(c_nom+phi_w+phi/2+11*(b_w-2*c_nom-2*phi_w-phi)/MAX(n_bars-1,1))+(phi/2)*1.000000,NA()),NA())</f>
        <v/>
      </c>
      <c r="BY19">
        <f>IF(11&lt;n_bars,(IF(hog,h_sec-c_nom-phi_w-phi/2,c_nom+phi_w+phi/2))+(phi/2)*-0.000000,NA())</f>
        <v/>
      </c>
      <c r="CA19">
        <f>IF(inputs_ok,IF(11&lt;n_2,(c_nom+phi_w+phi_2/2+11*(b_w-2*c_nom-2*phi_w-phi_2)/MAX(n_2-1,1))+(phi_2/2)*1.000000,NA()),NA())</f>
        <v/>
      </c>
      <c r="CB19">
        <f>IF(11&lt;n_2,(IF(hog,c_nom+phi_w+phi_2/2,h_sec-c_nom-phi_w-phi_2/2))+(phi_2/2)*-0.000000,NA())</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6.xml><?xml version="1.0" encoding="utf-8"?>
<worksheet xmlns="http://schemas.openxmlformats.org/spreadsheetml/2006/main">
  <sheetPr>
    <outlinePr summaryBelow="1" summaryRight="1"/>
    <pageSetUpPr fitToPage="1"/>
  </sheetPr>
  <dimension ref="A1:H166"/>
  <sheetViews>
    <sheetView showGridLines="0" tabSelected="0"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Element design  ·  Tee beam</t>
        </is>
      </c>
      <c r="H2" s="1" t="n"/>
    </row>
    <row r="3" ht="16" customHeight="1">
      <c r="A3" s="1" t="n"/>
      <c r="B3" s="1" t="n"/>
      <c r="C3" s="15" t="inlineStr">
        <is>
          <t>NAE-RC-040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section</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3.2.2</t>
        </is>
      </c>
      <c r="C13" s="24" t="inlineStr">
        <is>
          <t>Reinforcement characteristic yield strength  (≤ 500 MPa)</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6" t="inlineStr">
        <is>
          <t>Annex C</t>
        </is>
      </c>
      <c r="C14" s="24" t="inlineStr">
        <is>
          <t>Reinforcement ductility class</t>
        </is>
      </c>
      <c r="D14" s="23" t="n"/>
      <c r="E14" s="25" t="inlineStr">
        <is>
          <t>B</t>
        </is>
      </c>
      <c r="F14" s="23" t="n"/>
      <c r="G14" s="26" t="inlineStr">
        <is>
          <t>δ ≥ 0.7 (B, C) / 0.8 (A)</t>
        </is>
      </c>
    </row>
    <row r="15" ht="17" customHeight="1">
      <c r="B15" s="26" t="inlineStr">
        <is>
          <t>8.2(2)</t>
        </is>
      </c>
      <c r="C15" s="24" t="inlineStr">
        <is>
          <t>Maximum aggregate size</t>
        </is>
      </c>
      <c r="D15" s="27" t="inlineStr">
        <is>
          <r>
            <rPr>
              <rFont val="Calibri"/>
              <i val="1"/>
              <color rgb="002B2B2B"/>
              <sz val="10"/>
            </rPr>
            <t>d</t>
          </r>
          <r>
            <rPr>
              <rFont val="Calibri"/>
              <i val="1"/>
              <color rgb="002B2B2B"/>
              <sz val="10"/>
              <vertAlign val="subscript"/>
            </rPr>
            <t>g</t>
          </r>
        </is>
      </c>
      <c r="E15" s="25" t="n">
        <v>20</v>
      </c>
      <c r="F15" s="28" t="inlineStr">
        <is>
          <t>mm</t>
        </is>
      </c>
      <c r="G15" s="23" t="n"/>
    </row>
    <row r="16" ht="17" customHeight="1">
      <c r="B16" s="26" t="inlineStr">
        <is>
          <t>Table 7.4N</t>
        </is>
      </c>
      <c r="C16" s="24" t="inlineStr">
        <is>
          <t>Section location</t>
        </is>
      </c>
      <c r="D16" s="23" t="n"/>
      <c r="E16" s="25" t="inlineStr">
        <is>
          <t>End span</t>
        </is>
      </c>
      <c r="F16" s="23" t="n"/>
      <c r="G16" s="26" t="inlineStr">
        <is>
          <t>Support: hogging, no l/d</t>
        </is>
      </c>
    </row>
    <row r="17" ht="17" customHeight="1">
      <c r="B17" s="23" t="n"/>
      <c r="C17" s="24" t="inlineStr">
        <is>
          <t>Section</t>
        </is>
      </c>
      <c r="D17" s="23" t="n"/>
      <c r="E17" s="25" t="inlineStr">
        <is>
          <t>T-beam  (flange both sides)</t>
        </is>
      </c>
      <c r="F17" s="23" t="n"/>
      <c r="G17" s="23" t="n"/>
    </row>
    <row r="18" ht="17" customHeight="1">
      <c r="B18" s="23" t="n"/>
      <c r="C18" s="24" t="inlineStr">
        <is>
          <t>Web width</t>
        </is>
      </c>
      <c r="D18" s="27" t="inlineStr">
        <is>
          <r>
            <rPr>
              <rFont val="Calibri"/>
              <i val="1"/>
              <color rgb="002B2B2B"/>
              <sz val="10"/>
            </rPr>
            <t>b</t>
          </r>
          <r>
            <rPr>
              <rFont val="Calibri"/>
              <i val="1"/>
              <color rgb="002B2B2B"/>
              <sz val="10"/>
              <vertAlign val="subscript"/>
            </rPr>
            <t>w</t>
          </r>
        </is>
      </c>
      <c r="E18" s="25" t="n">
        <v>300</v>
      </c>
      <c r="F18" s="28" t="inlineStr">
        <is>
          <t>mm</t>
        </is>
      </c>
      <c r="G18" s="23" t="n"/>
    </row>
    <row r="19" ht="17" customHeight="1">
      <c r="B19" s="23" t="n"/>
      <c r="C19" s="24" t="inlineStr">
        <is>
          <t>Overall depth</t>
        </is>
      </c>
      <c r="D19" s="27" t="inlineStr">
        <is>
          <r>
            <rPr>
              <rFont val="Calibri"/>
              <i val="1"/>
              <color rgb="002B2B2B"/>
              <sz val="10"/>
            </rPr>
            <t>h</t>
          </r>
        </is>
      </c>
      <c r="E19" s="25" t="n">
        <v>600</v>
      </c>
      <c r="F19" s="28" t="inlineStr">
        <is>
          <t>mm</t>
        </is>
      </c>
      <c r="G19" s="23" t="n"/>
    </row>
    <row r="20" ht="17" customHeight="1">
      <c r="B20" s="23" t="n"/>
      <c r="C20" s="24" t="inlineStr">
        <is>
          <t>Flange thickness</t>
        </is>
      </c>
      <c r="D20" s="27" t="inlineStr">
        <is>
          <r>
            <rPr>
              <rFont val="Calibri"/>
              <i val="1"/>
              <color rgb="002B2B2B"/>
              <sz val="10"/>
            </rPr>
            <t>h</t>
          </r>
          <r>
            <rPr>
              <rFont val="Calibri"/>
              <i val="1"/>
              <color rgb="002B2B2B"/>
              <sz val="10"/>
              <vertAlign val="subscript"/>
            </rPr>
            <t>f</t>
          </r>
        </is>
      </c>
      <c r="E20" s="25" t="n">
        <v>150</v>
      </c>
      <c r="F20" s="28" t="inlineStr">
        <is>
          <t>mm</t>
        </is>
      </c>
      <c r="G20" s="23" t="n"/>
    </row>
    <row r="21" ht="17" customHeight="1">
      <c r="B21" s="26" t="inlineStr">
        <is>
          <t>Figure 5.3</t>
        </is>
      </c>
      <c r="C21" s="24" t="inlineStr">
        <is>
          <t>Half the clear distance to the next web, side 1</t>
        </is>
      </c>
      <c r="D21" s="27" t="inlineStr">
        <is>
          <r>
            <rPr>
              <rFont val="Calibri"/>
              <i val="1"/>
              <color rgb="002B2B2B"/>
              <sz val="10"/>
            </rPr>
            <t>b</t>
          </r>
          <r>
            <rPr>
              <rFont val="Calibri"/>
              <i val="1"/>
              <color rgb="002B2B2B"/>
              <sz val="10"/>
              <vertAlign val="subscript"/>
            </rPr>
            <t>1</t>
          </r>
        </is>
      </c>
      <c r="E21" s="25" t="n">
        <v>1350</v>
      </c>
      <c r="F21" s="28" t="inlineStr">
        <is>
          <t>mm</t>
        </is>
      </c>
      <c r="G21" s="23" t="n"/>
    </row>
    <row r="22" ht="17" customHeight="1">
      <c r="B22" s="26" t="inlineStr">
        <is>
          <t>Figure 5.3</t>
        </is>
      </c>
      <c r="C22" s="24" t="inlineStr">
        <is>
          <t>Side 2  (T-beam only)</t>
        </is>
      </c>
      <c r="D22" s="27" t="inlineStr">
        <is>
          <r>
            <rPr>
              <rFont val="Calibri"/>
              <i val="1"/>
              <color rgb="002B2B2B"/>
              <sz val="10"/>
            </rPr>
            <t>b</t>
          </r>
          <r>
            <rPr>
              <rFont val="Calibri"/>
              <i val="1"/>
              <color rgb="002B2B2B"/>
              <sz val="10"/>
              <vertAlign val="subscript"/>
            </rPr>
            <t>2</t>
          </r>
        </is>
      </c>
      <c r="E22" s="25" t="n">
        <v>1350</v>
      </c>
      <c r="F22" s="28" t="inlineStr">
        <is>
          <t>mm</t>
        </is>
      </c>
      <c r="G22" s="23" t="n"/>
    </row>
    <row r="23" ht="17" customHeight="1">
      <c r="B23" s="26" t="inlineStr">
        <is>
          <t>Figure 5.2</t>
        </is>
      </c>
      <c r="C23" s="24" t="inlineStr">
        <is>
          <t>Distance between points of zero moment</t>
        </is>
      </c>
      <c r="D23" s="27" t="inlineStr">
        <is>
          <r>
            <rPr>
              <rFont val="Calibri"/>
              <i val="1"/>
              <color rgb="002B2B2B"/>
              <sz val="10"/>
            </rPr>
            <t>l</t>
          </r>
          <r>
            <rPr>
              <rFont val="Calibri"/>
              <i val="1"/>
              <color rgb="002B2B2B"/>
              <sz val="10"/>
              <vertAlign val="subscript"/>
            </rPr>
            <t>0</t>
          </r>
        </is>
      </c>
      <c r="E23" s="25" t="n">
        <v>6000</v>
      </c>
      <c r="F23" s="28" t="inlineStr">
        <is>
          <t>mm</t>
        </is>
      </c>
      <c r="G23" s="26" t="inlineStr">
        <is>
          <t>Support: 0.15 (l1 + l2)</t>
        </is>
      </c>
    </row>
    <row r="24" ht="17" customHeight="1">
      <c r="B24" s="26" t="inlineStr">
        <is>
          <t>4.4.1</t>
        </is>
      </c>
      <c r="C24" s="24" t="inlineStr">
        <is>
          <t>Nominal cover to links</t>
        </is>
      </c>
      <c r="D24" s="27" t="inlineStr">
        <is>
          <r>
            <rPr>
              <rFont val="Calibri"/>
              <i val="1"/>
              <color rgb="002B2B2B"/>
              <sz val="10"/>
            </rPr>
            <t>c</t>
          </r>
          <r>
            <rPr>
              <rFont val="Calibri"/>
              <i val="1"/>
              <color rgb="002B2B2B"/>
              <sz val="10"/>
              <vertAlign val="subscript"/>
            </rPr>
            <t>nom</t>
          </r>
        </is>
      </c>
      <c r="E24" s="25" t="n">
        <v>35</v>
      </c>
      <c r="F24" s="28" t="inlineStr">
        <is>
          <t>mm</t>
        </is>
      </c>
      <c r="G24" s="23" t="n"/>
    </row>
    <row r="25" ht="17" customHeight="1">
      <c r="B25" s="23" t="n"/>
      <c r="C25" s="24" t="inlineStr">
        <is>
          <t>Link diameter</t>
        </is>
      </c>
      <c r="D25" s="27" t="inlineStr">
        <is>
          <r>
            <rPr>
              <rFont val="Calibri"/>
              <i val="1"/>
              <color rgb="002B2B2B"/>
              <sz val="10"/>
            </rPr>
            <t>φ</t>
          </r>
          <r>
            <rPr>
              <rFont val="Calibri"/>
              <i val="1"/>
              <color rgb="002B2B2B"/>
              <sz val="10"/>
              <vertAlign val="subscript"/>
            </rPr>
            <t>w</t>
          </r>
        </is>
      </c>
      <c r="E25" s="25" t="n">
        <v>10</v>
      </c>
      <c r="F25" s="28" t="inlineStr">
        <is>
          <t>mm</t>
        </is>
      </c>
      <c r="G25" s="23" t="n"/>
    </row>
    <row r="26" ht="17" customHeight="1">
      <c r="B26" s="23" t="n"/>
      <c r="C26" s="24" t="inlineStr">
        <is>
          <t>Tension bars: number  (one layer, ≤ 12)</t>
        </is>
      </c>
      <c r="D26" s="27" t="inlineStr">
        <is>
          <r>
            <rPr>
              <rFont val="Calibri"/>
              <i val="1"/>
              <color rgb="002B2B2B"/>
              <sz val="10"/>
            </rPr>
            <t>n</t>
          </r>
        </is>
      </c>
      <c r="E26" s="49" t="n">
        <v>4</v>
      </c>
      <c r="F26" s="23" t="n"/>
      <c r="G26" s="23" t="n"/>
    </row>
    <row r="27" ht="17" customHeight="1">
      <c r="B27" s="23" t="n"/>
      <c r="C27" s="24" t="inlineStr">
        <is>
          <t>Tension bars: diameter</t>
        </is>
      </c>
      <c r="D27" s="27" t="inlineStr">
        <is>
          <r>
            <rPr>
              <rFont val="Calibri"/>
              <i val="1"/>
              <color rgb="002B2B2B"/>
              <sz val="10"/>
            </rPr>
            <t>φ</t>
          </r>
        </is>
      </c>
      <c r="E27" s="25" t="n">
        <v>25</v>
      </c>
      <c r="F27" s="28" t="inlineStr">
        <is>
          <t>mm</t>
        </is>
      </c>
      <c r="G27" s="23" t="n"/>
    </row>
    <row r="28" ht="17" customHeight="1">
      <c r="B28" s="23" t="n"/>
      <c r="C28" s="24" t="inlineStr">
        <is>
          <t>Compression bars: number  (0 = none, ≤ 12)</t>
        </is>
      </c>
      <c r="D28" s="27" t="inlineStr">
        <is>
          <r>
            <rPr>
              <rFont val="Calibri"/>
              <i val="1"/>
              <color rgb="002B2B2B"/>
              <sz val="10"/>
            </rPr>
            <t>n</t>
          </r>
          <r>
            <rPr>
              <rFont val="Calibri"/>
              <i val="1"/>
              <color rgb="002B2B2B"/>
              <sz val="10"/>
              <vertAlign val="subscript"/>
            </rPr>
            <t>2</t>
          </r>
        </is>
      </c>
      <c r="E28" s="49" t="n">
        <v>2</v>
      </c>
      <c r="F28" s="23" t="n"/>
      <c r="G28" s="23" t="n"/>
    </row>
    <row r="29" ht="17" customHeight="1">
      <c r="B29" s="23" t="n"/>
      <c r="C29" s="24" t="inlineStr">
        <is>
          <t>Compression bars: diameter</t>
        </is>
      </c>
      <c r="D29" s="27" t="inlineStr">
        <is>
          <r>
            <rPr>
              <rFont val="Calibri"/>
              <i val="1"/>
              <color rgb="002B2B2B"/>
              <sz val="10"/>
            </rPr>
            <t>φ</t>
          </r>
          <r>
            <rPr>
              <rFont val="Calibri"/>
              <i val="1"/>
              <color rgb="002B2B2B"/>
              <sz val="10"/>
              <vertAlign val="subscript"/>
            </rPr>
            <t>2</t>
          </r>
        </is>
      </c>
      <c r="E29" s="25" t="n">
        <v>16</v>
      </c>
      <c r="F29" s="28" t="inlineStr">
        <is>
          <t>mm</t>
        </is>
      </c>
      <c r="G29" s="23" t="n"/>
    </row>
    <row r="31" ht="22" customHeight="1">
      <c r="B31" s="20" t="inlineStr">
        <is>
          <t>Inputs  ·  actions and serviceability</t>
        </is>
      </c>
      <c r="C31" s="21" t="n"/>
      <c r="D31" s="21" t="n"/>
      <c r="E31" s="21" t="n"/>
      <c r="F31" s="21" t="n"/>
      <c r="G31" s="22" t="inlineStr">
        <is>
          <t>ULS moment;  characteristic loads for σs</t>
        </is>
      </c>
    </row>
    <row r="32" ht="17" customHeight="1">
      <c r="B32" s="23" t="n"/>
      <c r="C32" s="24" t="inlineStr">
        <is>
          <t>Design moment at the section  (support, cantilever: hogging)</t>
        </is>
      </c>
      <c r="D32" s="27" t="inlineStr">
        <is>
          <r>
            <rPr>
              <rFont val="Calibri"/>
              <i val="1"/>
              <color rgb="002B2B2B"/>
              <sz val="10"/>
            </rPr>
            <t>M</t>
          </r>
          <r>
            <rPr>
              <rFont val="Calibri"/>
              <i val="1"/>
              <color rgb="002B2B2B"/>
              <sz val="10"/>
              <vertAlign val="subscript"/>
            </rPr>
            <t>Ed</t>
          </r>
        </is>
      </c>
      <c r="E32" s="29" t="n">
        <v>420</v>
      </c>
      <c r="F32" s="28" t="inlineStr">
        <is>
          <t>kNm</t>
        </is>
      </c>
      <c r="G32" s="23" t="n"/>
    </row>
    <row r="33" ht="17" customHeight="1">
      <c r="B33" s="26" t="inlineStr">
        <is>
          <t>5.5(4)</t>
        </is>
      </c>
      <c r="C33" s="24" t="inlineStr">
        <is>
          <t>Moment redistribution ratio  (1.0 = none)</t>
        </is>
      </c>
      <c r="D33" s="27" t="inlineStr">
        <is>
          <r>
            <rPr>
              <rFont val="Calibri"/>
              <i val="1"/>
              <color rgb="002B2B2B"/>
              <sz val="10"/>
            </rPr>
            <t>δ</t>
          </r>
        </is>
      </c>
      <c r="E33" s="30" t="n">
        <v>1</v>
      </c>
      <c r="F33" s="23" t="n"/>
      <c r="G33" s="23" t="n"/>
    </row>
    <row r="34" ht="17" customHeight="1">
      <c r="B34" s="26" t="inlineStr">
        <is>
          <t>7.4.2</t>
        </is>
      </c>
      <c r="C34" s="24" t="inlineStr">
        <is>
          <t>Span for l/d  (cantilever: its length;  flat slab: the longer span)</t>
        </is>
      </c>
      <c r="D34" s="27" t="inlineStr">
        <is>
          <r>
            <rPr>
              <rFont val="Calibri"/>
              <i val="1"/>
              <color rgb="002B2B2B"/>
              <sz val="10"/>
            </rPr>
            <t>l</t>
          </r>
        </is>
      </c>
      <c r="E34" s="30" t="n">
        <v>7</v>
      </c>
      <c r="F34" s="28" t="inlineStr">
        <is>
          <t>m</t>
        </is>
      </c>
      <c r="G34" s="23" t="n"/>
    </row>
    <row r="35" ht="17" customHeight="1">
      <c r="B35" s="23" t="n"/>
      <c r="C35" s="24" t="inlineStr">
        <is>
          <t>Characteristic permanent load  (any unit: only the ratio is used)</t>
        </is>
      </c>
      <c r="D35" s="27" t="inlineStr">
        <is>
          <r>
            <rPr>
              <rFont val="Calibri"/>
              <i val="1"/>
              <color rgb="002B2B2B"/>
              <sz val="10"/>
            </rPr>
            <t>g</t>
          </r>
          <r>
            <rPr>
              <rFont val="Calibri"/>
              <i val="1"/>
              <color rgb="002B2B2B"/>
              <sz val="10"/>
              <vertAlign val="subscript"/>
            </rPr>
            <t>k</t>
          </r>
        </is>
      </c>
      <c r="E35" s="30" t="n">
        <v>25</v>
      </c>
      <c r="F35" s="23" t="n"/>
      <c r="G35" s="23" t="n"/>
    </row>
    <row r="36" ht="17" customHeight="1">
      <c r="B36" s="23" t="n"/>
      <c r="C36" s="24" t="inlineStr">
        <is>
          <t>Characteristic variable load</t>
        </is>
      </c>
      <c r="D36" s="27" t="inlineStr">
        <is>
          <r>
            <rPr>
              <rFont val="Calibri"/>
              <i val="1"/>
              <color rgb="002B2B2B"/>
              <sz val="10"/>
            </rPr>
            <t>q</t>
          </r>
          <r>
            <rPr>
              <rFont val="Calibri"/>
              <i val="1"/>
              <color rgb="002B2B2B"/>
              <sz val="10"/>
              <vertAlign val="subscript"/>
            </rPr>
            <t>k</t>
          </r>
        </is>
      </c>
      <c r="E36" s="30" t="n">
        <v>15</v>
      </c>
      <c r="F36" s="23" t="n"/>
      <c r="G36" s="23" t="n"/>
    </row>
    <row r="37" ht="17" customHeight="1">
      <c r="B37" s="26" t="inlineStr">
        <is>
          <t>EN 1990 A1.2(B)</t>
        </is>
      </c>
      <c r="C37" s="24" t="inlineStr">
        <is>
          <t>Partial factor, permanent</t>
        </is>
      </c>
      <c r="D37" s="27" t="inlineStr">
        <is>
          <r>
            <rPr>
              <rFont val="Calibri"/>
              <i val="1"/>
              <color rgb="002B2B2B"/>
              <sz val="10"/>
            </rPr>
            <t>γ</t>
          </r>
          <r>
            <rPr>
              <rFont val="Calibri"/>
              <i val="1"/>
              <color rgb="002B2B2B"/>
              <sz val="10"/>
              <vertAlign val="subscript"/>
            </rPr>
            <t>G</t>
          </r>
        </is>
      </c>
      <c r="E37" s="30" t="n">
        <v>1.35</v>
      </c>
      <c r="F37" s="23" t="n"/>
      <c r="G37" s="23" t="n"/>
    </row>
    <row r="38" ht="17" customHeight="1">
      <c r="B38" s="26" t="inlineStr">
        <is>
          <t>EN 1990 A1.2(B)</t>
        </is>
      </c>
      <c r="C38" s="24" t="inlineStr">
        <is>
          <t>Partial factor, variable</t>
        </is>
      </c>
      <c r="D38" s="27" t="inlineStr">
        <is>
          <r>
            <rPr>
              <rFont val="Calibri"/>
              <i val="1"/>
              <color rgb="002B2B2B"/>
              <sz val="10"/>
            </rPr>
            <t>γ</t>
          </r>
          <r>
            <rPr>
              <rFont val="Calibri"/>
              <i val="1"/>
              <color rgb="002B2B2B"/>
              <sz val="10"/>
              <vertAlign val="subscript"/>
            </rPr>
            <t>Q</t>
          </r>
        </is>
      </c>
      <c r="E38" s="30" t="n">
        <v>1.5</v>
      </c>
      <c r="F38" s="23" t="n"/>
      <c r="G38" s="23" t="n"/>
    </row>
    <row r="39" ht="17" customHeight="1">
      <c r="B39" s="26" t="inlineStr">
        <is>
          <t>EN 1990 A1.1</t>
        </is>
      </c>
      <c r="C39" s="24" t="inlineStr">
        <is>
          <t>Category of use  (gives ψ2)</t>
        </is>
      </c>
      <c r="D39" s="23" t="n"/>
      <c r="E39" s="25" t="inlineStr">
        <is>
          <t>B  office</t>
        </is>
      </c>
      <c r="F39" s="23" t="n"/>
      <c r="G39" s="23" t="n"/>
    </row>
    <row r="40" ht="17" customHeight="1">
      <c r="B40" s="23" t="n"/>
      <c r="C40" s="24" t="inlineStr">
        <is>
          <t>ψ2  (category Other only)</t>
        </is>
      </c>
      <c r="D40" s="27" t="inlineStr">
        <is>
          <r>
            <rPr>
              <rFont val="Calibri"/>
              <i val="1"/>
              <color rgb="002B2B2B"/>
              <sz val="10"/>
            </rPr>
            <t>ψ</t>
          </r>
          <r>
            <rPr>
              <rFont val="Calibri"/>
              <i val="1"/>
              <color rgb="002B2B2B"/>
              <sz val="10"/>
              <vertAlign val="subscript"/>
            </rPr>
            <t>2</t>
          </r>
        </is>
      </c>
      <c r="E40" s="30" t="n">
        <v>0.3</v>
      </c>
      <c r="F40" s="23" t="n"/>
      <c r="G40" s="23" t="n"/>
    </row>
    <row r="41" ht="17" customHeight="1">
      <c r="B41" s="26" t="inlineStr">
        <is>
          <t>7.4.2(2)</t>
        </is>
      </c>
      <c r="C41" s="24" t="inlineStr">
        <is>
          <t>Brittle partitions supported?</t>
        </is>
      </c>
      <c r="D41" s="23" t="n"/>
      <c r="E41" s="25" t="inlineStr">
        <is>
          <t>No</t>
        </is>
      </c>
      <c r="F41" s="23" t="n"/>
      <c r="G41" s="23" t="n"/>
    </row>
    <row r="42" ht="17" customHeight="1">
      <c r="B42" s="26" t="inlineStr">
        <is>
          <t>7.3.1(5)</t>
        </is>
      </c>
      <c r="C42" s="24" t="inlineStr">
        <is>
          <t>Limiting crack width</t>
        </is>
      </c>
      <c r="D42" s="27" t="inlineStr">
        <is>
          <r>
            <rPr>
              <rFont val="Calibri"/>
              <i val="1"/>
              <color rgb="002B2B2B"/>
              <sz val="10"/>
            </rPr>
            <t>w</t>
          </r>
          <r>
            <rPr>
              <rFont val="Calibri"/>
              <i val="1"/>
              <color rgb="002B2B2B"/>
              <sz val="10"/>
              <vertAlign val="subscript"/>
            </rPr>
            <t>max</t>
          </r>
        </is>
      </c>
      <c r="E42" s="25" t="n">
        <v>0.3</v>
      </c>
      <c r="F42" s="28" t="inlineStr">
        <is>
          <t>mm</t>
        </is>
      </c>
      <c r="G42" s="26" t="inlineStr">
        <is>
          <t>UK NA Table NA.4; Table 7.1N</t>
        </is>
      </c>
    </row>
    <row r="43" ht="17" customHeight="1">
      <c r="B43" s="23" t="n"/>
      <c r="C43" s="24" t="inlineStr">
        <is>
          <t>Inputs valid and consistent</t>
        </is>
      </c>
      <c r="D43" s="23" t="n"/>
      <c r="E43" s="9" t="n"/>
      <c r="F43" s="23" t="n"/>
      <c r="G43" s="31">
        <f>IF(inputs_ok,"OK","FAIL")</f>
        <v/>
      </c>
    </row>
    <row r="45" ht="22" customHeight="1">
      <c r="B45" s="20" t="inlineStr">
        <is>
          <t>Results</t>
        </is>
      </c>
      <c r="C45" s="21" t="n"/>
      <c r="D45" s="21" t="n"/>
      <c r="E45" s="21" t="n"/>
      <c r="F45" s="21" t="n"/>
      <c r="G45" s="21" t="n"/>
    </row>
    <row r="46" ht="26" customHeight="1">
      <c r="B46" s="32" t="n"/>
      <c r="C46" s="33" t="inlineStr">
        <is>
          <t>Bending  max(As,req; As,min) / As,prov</t>
        </is>
      </c>
      <c r="D46" s="34" t="inlineStr">
        <is>
          <r>
            <rPr>
              <rFont val="Calibri"/>
              <i val="1"/>
              <color rgb="002B2B2B"/>
              <sz val="11"/>
            </rPr>
            <t>A</t>
          </r>
          <r>
            <rPr>
              <rFont val="Calibri"/>
              <i val="1"/>
              <color rgb="002B2B2B"/>
              <sz val="11"/>
              <vertAlign val="subscript"/>
            </rPr>
            <t>s</t>
          </r>
        </is>
      </c>
      <c r="E46" s="35">
        <f>IF(inputs_ok,IFERROR(MAX(A_s1req,A_smin)/A_s1prov,"K &gt; K′"),"–")</f>
        <v/>
      </c>
      <c r="F46" s="36" t="inlineStr"/>
      <c r="G46" s="37">
        <f>IF(NOT(inputs_ok),"FAIL",IF(bend_ok,"OK","FAIL"))</f>
        <v/>
      </c>
    </row>
    <row r="47" ht="26" customHeight="1">
      <c r="B47" s="32" t="n"/>
      <c r="C47" s="33" t="inlineStr">
        <is>
          <t>Compression reinforcement  required / provided</t>
        </is>
      </c>
      <c r="D47" s="34" t="inlineStr">
        <is>
          <r>
            <rPr>
              <rFont val="Calibri"/>
              <i val="1"/>
              <color rgb="002B2B2B"/>
              <sz val="11"/>
            </rPr>
            <t>A</t>
          </r>
          <r>
            <rPr>
              <rFont val="Calibri"/>
              <i val="1"/>
              <color rgb="002B2B2B"/>
              <sz val="11"/>
              <vertAlign val="subscript"/>
            </rPr>
            <t>s2</t>
          </r>
        </is>
      </c>
      <c r="E47" s="39">
        <f>IF(inputs_ok,IFERROR(TEXT(A_s2req,"0")&amp;" / "&amp;TEXT(A_s2prov,"0"),"–"),"–")</f>
        <v/>
      </c>
      <c r="F47" s="36" t="inlineStr">
        <is>
          <t>mm²</t>
        </is>
      </c>
      <c r="G47" s="37">
        <f>IF(NOT(inputs_ok),"FAIL",IF(NOT(dbl),"Not needed",IF(comp_bad,"FAIL","! Needed")))</f>
        <v/>
      </c>
    </row>
    <row r="48" ht="26" customHeight="1">
      <c r="B48" s="32" t="n"/>
      <c r="C48" s="33" t="inlineStr">
        <is>
          <t>Effective flange width</t>
        </is>
      </c>
      <c r="D48" s="34" t="inlineStr">
        <is>
          <r>
            <rPr>
              <rFont val="Calibri"/>
              <i val="1"/>
              <color rgb="002B2B2B"/>
              <sz val="11"/>
            </rPr>
            <t>b</t>
          </r>
          <r>
            <rPr>
              <rFont val="Calibri"/>
              <i val="1"/>
              <color rgb="002B2B2B"/>
              <sz val="11"/>
              <vertAlign val="subscript"/>
            </rPr>
            <t>eff</t>
          </r>
        </is>
      </c>
      <c r="E48" s="38">
        <f>IF(inputs_ok,b_eff,"–")</f>
        <v/>
      </c>
      <c r="F48" s="36" t="inlineStr">
        <is>
          <t>mm</t>
        </is>
      </c>
      <c r="G48" s="32" t="n"/>
    </row>
    <row r="49" ht="26" customHeight="1">
      <c r="B49" s="32" t="n"/>
      <c r="C49" s="33" t="inlineStr">
        <is>
          <t>Neutral axis  (stress block in the flange or reaching the web)</t>
        </is>
      </c>
      <c r="D49" s="34" t="inlineStr">
        <is>
          <r>
            <rPr>
              <rFont val="Calibri"/>
              <i val="1"/>
              <color rgb="002B2B2B"/>
              <sz val="11"/>
            </rPr>
            <t>x</t>
          </r>
        </is>
      </c>
      <c r="E49" s="38">
        <f>IF(inputs_ok,x_na,"–")</f>
        <v/>
      </c>
      <c r="F49" s="36" t="inlineStr">
        <is>
          <t>mm</t>
        </is>
      </c>
      <c r="G49" s="37">
        <f>IF(NOT(inputs_ok),"FAIL",IF(hog,"web (hogging)",IF(in_flange,"block in flange","block in web")))</f>
        <v/>
      </c>
    </row>
    <row r="50" ht="26" customHeight="1">
      <c r="B50" s="32" t="n"/>
      <c r="C50" s="33" t="inlineStr">
        <is>
          <t>Deflection  actual l/d ÷ limiting l/d</t>
        </is>
      </c>
      <c r="D50" s="32" t="n"/>
      <c r="E50" s="35">
        <f>IF(inputs_ok,IF(span,IFERROR(ld_act/ld_lim,"–"),"n/a"),"–")</f>
        <v/>
      </c>
      <c r="F50" s="36" t="inlineStr"/>
      <c r="G50" s="37">
        <f>IF(NOT(inputs_ok),"FAIL",IF(NOT(span),"n/a",IF(defl_ok,"OK","FAIL")))</f>
        <v/>
      </c>
    </row>
    <row r="51" ht="26" customHeight="1">
      <c r="B51" s="32" t="n"/>
      <c r="C51" s="33" t="inlineStr">
        <is>
          <t>Cracking  (Table 7.2N bar size or Table 7.3N spacing)</t>
        </is>
      </c>
      <c r="D51" s="34" t="inlineStr">
        <is>
          <r>
            <rPr>
              <rFont val="Calibri"/>
              <i val="1"/>
              <color rgb="002B2B2B"/>
              <sz val="11"/>
            </rPr>
            <t>σ</t>
          </r>
          <r>
            <rPr>
              <rFont val="Calibri"/>
              <i val="1"/>
              <color rgb="002B2B2B"/>
              <sz val="11"/>
              <vertAlign val="subscript"/>
            </rPr>
            <t>s</t>
          </r>
        </is>
      </c>
      <c r="E51" s="38">
        <f>IF(inputs_ok,IFERROR(sig_cr,"–"),"–")</f>
        <v/>
      </c>
      <c r="F51" s="36" t="inlineStr">
        <is>
          <t>MPa</t>
        </is>
      </c>
      <c r="G51" s="37">
        <f>IF(NOT(inputs_ok),"FAIL",IF(cr_exempt,"OK",IF(OR(size_ok,spac_ok),IF(hog,"! Flange bars 9.2.1.2(2)","OK"),"FAIL")))</f>
        <v/>
      </c>
    </row>
    <row r="52" ht="26" customHeight="1">
      <c r="B52" s="32" t="n"/>
      <c r="C52" s="33" t="inlineStr">
        <is>
          <t>Detailing  (clear gaps, layers)</t>
        </is>
      </c>
      <c r="D52" s="32" t="n"/>
      <c r="E52" s="38">
        <f>IF(inputs_ok,gap_1,"–")</f>
        <v/>
      </c>
      <c r="F52" s="36" t="inlineStr">
        <is>
          <t>mm</t>
        </is>
      </c>
      <c r="G52" s="37">
        <f>IF(NOT(inputs_ok),"FAIL",IF(det_ok,"OK","FAIL"))</f>
        <v/>
      </c>
    </row>
    <row r="53" ht="26" customHeight="1">
      <c r="B53" s="32" t="n"/>
      <c r="C53" s="33" t="inlineStr">
        <is>
          <t>Tension reinforcement  required / provided</t>
        </is>
      </c>
      <c r="D53" s="32" t="n"/>
      <c r="E53" s="39">
        <f>IF(inputs_ok,IFERROR(TEXT(MAX(A_s1req,A_smin),"0")&amp;" / "&amp;TEXT(A_s1prov,"0"),"–"),"–")</f>
        <v/>
      </c>
      <c r="F53" s="36" t="inlineStr">
        <is>
          <t>mm²</t>
        </is>
      </c>
      <c r="G53" s="32" t="n"/>
    </row>
    <row r="54"/>
    <row r="55">
      <c r="B55" s="40" t="inlineStr">
        <is>
          <t>Your section, to scale  ·  tension face at the bottom in a span, at the top at a support or cantilever  ·  neutral axis (dashed)</t>
        </is>
      </c>
    </row>
    <row r="56"/>
    <row r="57"/>
    <row r="58"/>
    <row r="59"/>
    <row r="60"/>
    <row r="61"/>
    <row r="62"/>
    <row r="63"/>
    <row r="64"/>
    <row r="65"/>
    <row r="66"/>
    <row r="67"/>
    <row r="68"/>
    <row r="69"/>
    <row r="70"/>
    <row r="71"/>
    <row r="72"/>
    <row r="73"/>
    <row r="74"/>
    <row r="75"/>
    <row r="76" ht="22" customHeight="1">
      <c r="B76" s="20" t="inlineStr">
        <is>
          <t>Calculation  ·  materials and section</t>
        </is>
      </c>
      <c r="C76" s="21" t="n"/>
      <c r="D76" s="21" t="n"/>
      <c r="E76" s="21" t="n"/>
      <c r="F76" s="21" t="n"/>
      <c r="G76" s="21" t="n"/>
    </row>
    <row r="77" ht="17" customHeight="1">
      <c r="B77" s="26" t="inlineStr">
        <is>
          <t>2.4.2.4(1)</t>
        </is>
      </c>
      <c r="C77" s="24" t="inlineStr">
        <is>
          <t>Partial factor, concrete</t>
        </is>
      </c>
      <c r="D77" s="27" t="inlineStr">
        <is>
          <r>
            <rPr>
              <rFont val="Calibri"/>
              <i val="1"/>
              <color rgb="002B2B2B"/>
              <sz val="10"/>
            </rPr>
            <t>γ</t>
          </r>
          <r>
            <rPr>
              <rFont val="Calibri"/>
              <i val="1"/>
              <color rgb="002B2B2B"/>
              <sz val="10"/>
              <vertAlign val="subscript"/>
            </rPr>
            <t>c</t>
          </r>
        </is>
      </c>
      <c r="E77" s="41">
        <f>IF(inputs_ok,ndp_gamma_c,NA())</f>
        <v/>
      </c>
      <c r="F77" s="23" t="n"/>
      <c r="G77" s="26" t="inlineStr">
        <is>
          <t>NDP sheet</t>
        </is>
      </c>
    </row>
    <row r="78" ht="17" customHeight="1">
      <c r="B78" s="26" t="inlineStr">
        <is>
          <t>2.4.2.4(1)</t>
        </is>
      </c>
      <c r="C78" s="24" t="inlineStr">
        <is>
          <t>Partial factor, reinforcement</t>
        </is>
      </c>
      <c r="D78" s="27" t="inlineStr">
        <is>
          <r>
            <rPr>
              <rFont val="Calibri"/>
              <i val="1"/>
              <color rgb="002B2B2B"/>
              <sz val="10"/>
            </rPr>
            <t>γ</t>
          </r>
          <r>
            <rPr>
              <rFont val="Calibri"/>
              <i val="1"/>
              <color rgb="002B2B2B"/>
              <sz val="10"/>
              <vertAlign val="subscript"/>
            </rPr>
            <t>s</t>
          </r>
        </is>
      </c>
      <c r="E78" s="41">
        <f>IF(inputs_ok,ndp_gamma_s,NA())</f>
        <v/>
      </c>
      <c r="F78" s="23" t="n"/>
      <c r="G78" s="26" t="inlineStr">
        <is>
          <t>NDP sheet</t>
        </is>
      </c>
    </row>
    <row r="79" ht="17" customHeight="1">
      <c r="B79" s="26" t="inlineStr">
        <is>
          <t>3.1.6(1)</t>
        </is>
      </c>
      <c r="C79" s="24" t="inlineStr">
        <is>
          <t>Coefficient on compressive strength (flexure)</t>
        </is>
      </c>
      <c r="D79" s="27" t="inlineStr">
        <is>
          <r>
            <rPr>
              <rFont val="Calibri"/>
              <i val="1"/>
              <color rgb="002B2B2B"/>
              <sz val="10"/>
            </rPr>
            <t>α</t>
          </r>
          <r>
            <rPr>
              <rFont val="Calibri"/>
              <i val="1"/>
              <color rgb="002B2B2B"/>
              <sz val="10"/>
              <vertAlign val="subscript"/>
            </rPr>
            <t>cc</t>
          </r>
        </is>
      </c>
      <c r="E79" s="41">
        <f>IF(inputs_ok,ndp_alpha_cc,NA())</f>
        <v/>
      </c>
      <c r="F79" s="23" t="n"/>
      <c r="G79" s="26" t="inlineStr">
        <is>
          <t>NDP sheet</t>
        </is>
      </c>
    </row>
    <row r="80" ht="17" customHeight="1">
      <c r="B80" s="26" t="inlineStr">
        <is>
          <t>5.5(4)</t>
        </is>
      </c>
      <c r="C80" s="24" t="inlineStr">
        <is>
          <t>Coefficient for x/d limit</t>
        </is>
      </c>
      <c r="D80" s="27" t="inlineStr">
        <is>
          <r>
            <rPr>
              <rFont val="Calibri"/>
              <i val="1"/>
              <color rgb="002B2B2B"/>
              <sz val="10"/>
            </rPr>
            <t>k</t>
          </r>
          <r>
            <rPr>
              <rFont val="Calibri"/>
              <i val="1"/>
              <color rgb="002B2B2B"/>
              <sz val="10"/>
              <vertAlign val="subscript"/>
            </rPr>
            <t>1</t>
          </r>
        </is>
      </c>
      <c r="E80" s="41">
        <f>IF(inputs_ok,ndp_k1_red,NA())</f>
        <v/>
      </c>
      <c r="F80" s="23" t="n"/>
      <c r="G80" s="26" t="inlineStr">
        <is>
          <t>NDP sheet</t>
        </is>
      </c>
    </row>
    <row r="81" ht="17" customHeight="1">
      <c r="B81" s="26" t="inlineStr">
        <is>
          <t>5.5(4)</t>
        </is>
      </c>
      <c r="C81" s="24" t="inlineStr">
        <is>
          <t>Coefficient for x/d limit</t>
        </is>
      </c>
      <c r="D81" s="27" t="inlineStr">
        <is>
          <r>
            <rPr>
              <rFont val="Calibri"/>
              <i val="1"/>
              <color rgb="002B2B2B"/>
              <sz val="10"/>
            </rPr>
            <t>k</t>
          </r>
          <r>
            <rPr>
              <rFont val="Calibri"/>
              <i val="1"/>
              <color rgb="002B2B2B"/>
              <sz val="10"/>
              <vertAlign val="subscript"/>
            </rPr>
            <t>2</t>
          </r>
        </is>
      </c>
      <c r="E81" s="41">
        <f>IF(inputs_ok,ndp_k2_red,NA())</f>
        <v/>
      </c>
      <c r="F81" s="23" t="n"/>
      <c r="G81" s="26" t="inlineStr">
        <is>
          <t>NDP sheet</t>
        </is>
      </c>
    </row>
    <row r="82" ht="17" customHeight="1">
      <c r="B82" s="26" t="inlineStr">
        <is>
          <t>7.4.2(2)</t>
        </is>
      </c>
      <c r="C82" s="24" t="inlineStr">
        <is>
          <t>Upper limit on the stress / area factor</t>
        </is>
      </c>
      <c r="D82" s="23" t="n"/>
      <c r="E82" s="41">
        <f>IF(inputs_ok,ndp_ld_mod_max,NA())</f>
        <v/>
      </c>
      <c r="F82" s="23" t="n"/>
      <c r="G82" s="26" t="inlineStr">
        <is>
          <t>NDP sheet</t>
        </is>
      </c>
    </row>
    <row r="83" ht="17" customHeight="1">
      <c r="B83" s="26" t="inlineStr">
        <is>
          <t>7.4.2(2)</t>
        </is>
      </c>
      <c r="C83" s="24" t="inlineStr">
        <is>
          <t>L/d ≤ 40K applies (1 = yes)</t>
        </is>
      </c>
      <c r="D83" s="23" t="n"/>
      <c r="E83" s="41">
        <f>IF(inputs_ok,ndp_ld_cap_40K,NA())</f>
        <v/>
      </c>
      <c r="F83" s="23" t="n"/>
      <c r="G83" s="26" t="inlineStr">
        <is>
          <t>NDP sheet</t>
        </is>
      </c>
    </row>
    <row r="84" ht="17" customHeight="1">
      <c r="B84" s="26" t="inlineStr">
        <is>
          <t>Table 3.1</t>
        </is>
      </c>
      <c r="C84" s="24" t="inlineStr">
        <is>
          <t>Characteristic cylinder strength</t>
        </is>
      </c>
      <c r="D84" s="27" t="inlineStr">
        <is>
          <r>
            <rPr>
              <rFont val="Calibri"/>
              <i val="1"/>
              <color rgb="002B2B2B"/>
              <sz val="10"/>
            </rPr>
            <t>f</t>
          </r>
          <r>
            <rPr>
              <rFont val="Calibri"/>
              <i val="1"/>
              <color rgb="002B2B2B"/>
              <sz val="10"/>
              <vertAlign val="subscript"/>
            </rPr>
            <t>ck</t>
          </r>
        </is>
      </c>
      <c r="E84" s="42">
        <f>IF(inputs_ok,VALUE(MID(conc_class,2,FIND("/",conc_class)-2)),NA())</f>
        <v/>
      </c>
      <c r="F84" s="28" t="inlineStr">
        <is>
          <t>MPa</t>
        </is>
      </c>
      <c r="G84" s="23" t="n"/>
    </row>
    <row r="85" ht="17" customHeight="1">
      <c r="B85" s="26" t="inlineStr">
        <is>
          <t>Table 3.1</t>
        </is>
      </c>
      <c r="C85" s="24" t="inlineStr">
        <is>
          <t>Mean tensile strength</t>
        </is>
      </c>
      <c r="D85" s="27" t="inlineStr">
        <is>
          <r>
            <rPr>
              <rFont val="Calibri"/>
              <i val="1"/>
              <color rgb="002B2B2B"/>
              <sz val="10"/>
            </rPr>
            <t>f</t>
          </r>
          <r>
            <rPr>
              <rFont val="Calibri"/>
              <i val="1"/>
              <color rgb="002B2B2B"/>
              <sz val="10"/>
              <vertAlign val="subscript"/>
            </rPr>
            <t>ctm</t>
          </r>
        </is>
      </c>
      <c r="E85" s="41">
        <f>IF(inputs_ok,IF(f_ck&lt;=50,0.3*f_ck^(2/3),2.12*LN(1+(f_ck+8)/10)),NA())</f>
        <v/>
      </c>
      <c r="F85" s="28" t="inlineStr">
        <is>
          <t>MPa</t>
        </is>
      </c>
      <c r="G85" s="23" t="n"/>
    </row>
    <row r="86" ht="17" customHeight="1">
      <c r="B86" s="26" t="inlineStr">
        <is>
          <t>3.1.6(1)</t>
        </is>
      </c>
      <c r="C86" s="24" t="inlineStr">
        <is>
          <t>Design compressive strength  αcc fck / γc</t>
        </is>
      </c>
      <c r="D86" s="27" t="inlineStr">
        <is>
          <r>
            <rPr>
              <rFont val="Calibri"/>
              <i val="1"/>
              <color rgb="002B2B2B"/>
              <sz val="10"/>
            </rPr>
            <t>f</t>
          </r>
          <r>
            <rPr>
              <rFont val="Calibri"/>
              <i val="1"/>
              <color rgb="002B2B2B"/>
              <sz val="10"/>
              <vertAlign val="subscript"/>
            </rPr>
            <t>cd</t>
          </r>
        </is>
      </c>
      <c r="E86" s="41">
        <f>IF(inputs_ok,alpha_cc*f_ck/gamma_c,NA())</f>
        <v/>
      </c>
      <c r="F86" s="28" t="inlineStr">
        <is>
          <t>MPa</t>
        </is>
      </c>
      <c r="G86" s="23" t="n"/>
    </row>
    <row r="87" ht="17" customHeight="1">
      <c r="B87" s="26" t="inlineStr">
        <is>
          <t>3.2.7</t>
        </is>
      </c>
      <c r="C87" s="24" t="inlineStr">
        <is>
          <t>Design yield strength  fyk / γs</t>
        </is>
      </c>
      <c r="D87" s="27" t="inlineStr">
        <is>
          <r>
            <rPr>
              <rFont val="Calibri"/>
              <i val="1"/>
              <color rgb="002B2B2B"/>
              <sz val="10"/>
            </rPr>
            <t>f</t>
          </r>
          <r>
            <rPr>
              <rFont val="Calibri"/>
              <i val="1"/>
              <color rgb="002B2B2B"/>
              <sz val="10"/>
              <vertAlign val="subscript"/>
            </rPr>
            <t>yd</t>
          </r>
        </is>
      </c>
      <c r="E87" s="43">
        <f>IF(inputs_ok,f_yk/gamma_s,NA())</f>
        <v/>
      </c>
      <c r="F87" s="28" t="inlineStr">
        <is>
          <t>MPa</t>
        </is>
      </c>
      <c r="G87" s="23" t="n"/>
    </row>
    <row r="88" ht="17" customHeight="1">
      <c r="B88" s="23" t="n"/>
      <c r="C88" s="24" t="inlineStr">
        <is>
          <t>Effective depth  h − c − φw − φ/2</t>
        </is>
      </c>
      <c r="D88" s="27" t="inlineStr">
        <is>
          <r>
            <rPr>
              <rFont val="Calibri"/>
              <i val="1"/>
              <color rgb="002B2B2B"/>
              <sz val="10"/>
            </rPr>
            <t>d</t>
          </r>
        </is>
      </c>
      <c r="E88" s="42">
        <f>IF(inputs_ok,h_sec-c_nom-phi_w-phi/2,NA())</f>
        <v/>
      </c>
      <c r="F88" s="28" t="inlineStr">
        <is>
          <t>mm</t>
        </is>
      </c>
      <c r="G88" s="23" t="n"/>
    </row>
    <row r="89" ht="17" customHeight="1">
      <c r="B89" s="23" t="n"/>
      <c r="C89" s="24" t="inlineStr">
        <is>
          <t>Depth to the compression bars  c + φw + φ2/2</t>
        </is>
      </c>
      <c r="D89" s="27" t="inlineStr">
        <is>
          <r>
            <rPr>
              <rFont val="Calibri"/>
              <i val="1"/>
              <color rgb="002B2B2B"/>
              <sz val="10"/>
            </rPr>
            <t>d</t>
          </r>
          <r>
            <rPr>
              <rFont val="Calibri"/>
              <i val="1"/>
              <color rgb="002B2B2B"/>
              <sz val="10"/>
              <vertAlign val="subscript"/>
            </rPr>
            <t>2</t>
          </r>
        </is>
      </c>
      <c r="E89" s="42">
        <f>IF(inputs_ok,c_nom+phi_w+phi_2/2,NA())</f>
        <v/>
      </c>
      <c r="F89" s="28" t="inlineStr">
        <is>
          <t>mm</t>
        </is>
      </c>
      <c r="G89" s="23" t="n"/>
    </row>
    <row r="90" ht="17" customHeight="1">
      <c r="B90" s="26" t="inlineStr">
        <is>
          <t>(5.7a), (5.7b)</t>
        </is>
      </c>
      <c r="C90" s="24" t="inlineStr">
        <is>
          <t>Side 1  min(0.2 b1 + 0.1 l0; 0.2 l0; b1)</t>
        </is>
      </c>
      <c r="D90" s="27" t="inlineStr">
        <is>
          <r>
            <rPr>
              <rFont val="Calibri"/>
              <i val="1"/>
              <color rgb="002B2B2B"/>
              <sz val="10"/>
            </rPr>
            <t>b</t>
          </r>
          <r>
            <rPr>
              <rFont val="Calibri"/>
              <i val="1"/>
              <color rgb="002B2B2B"/>
              <sz val="10"/>
              <vertAlign val="subscript"/>
            </rPr>
            <t>eff,1</t>
          </r>
        </is>
      </c>
      <c r="E90" s="42">
        <f>IF(inputs_ok,IF(OR(1=1,t_T),MIN(0.2*b_1+0.1*l_0,0.2*l_0,b_1),0),NA())</f>
        <v/>
      </c>
      <c r="F90" s="28" t="inlineStr">
        <is>
          <t>mm</t>
        </is>
      </c>
      <c r="G90" s="23" t="n"/>
    </row>
    <row r="91" ht="17" customHeight="1">
      <c r="B91" s="26" t="inlineStr">
        <is>
          <t>(5.7a), (5.7b)</t>
        </is>
      </c>
      <c r="C91" s="24" t="inlineStr">
        <is>
          <t>Side 2  min(0.2 b2 + 0.1 l0; 0.2 l0; b2)  (0 for an L-beam)</t>
        </is>
      </c>
      <c r="D91" s="27" t="inlineStr">
        <is>
          <r>
            <rPr>
              <rFont val="Calibri"/>
              <i val="1"/>
              <color rgb="002B2B2B"/>
              <sz val="10"/>
            </rPr>
            <t>b</t>
          </r>
          <r>
            <rPr>
              <rFont val="Calibri"/>
              <i val="1"/>
              <color rgb="002B2B2B"/>
              <sz val="10"/>
              <vertAlign val="subscript"/>
            </rPr>
            <t>eff,2</t>
          </r>
        </is>
      </c>
      <c r="E91" s="42">
        <f>IF(inputs_ok,IF(OR(2=1,t_T),MIN(0.2*b_2+0.1*l_0,0.2*l_0,b_2),0),NA())</f>
        <v/>
      </c>
      <c r="F91" s="28" t="inlineStr">
        <is>
          <t>mm</t>
        </is>
      </c>
      <c r="G91" s="23" t="n"/>
    </row>
    <row r="92" ht="17" customHeight="1">
      <c r="B92" s="26" t="inlineStr">
        <is>
          <t>(5.7)</t>
        </is>
      </c>
      <c r="C92" s="24" t="inlineStr">
        <is>
          <t>Effective flange width  bw + Σ beff,i</t>
        </is>
      </c>
      <c r="D92" s="27" t="inlineStr">
        <is>
          <r>
            <rPr>
              <rFont val="Calibri"/>
              <i val="1"/>
              <color rgb="002B2B2B"/>
              <sz val="10"/>
            </rPr>
            <t>b</t>
          </r>
          <r>
            <rPr>
              <rFont val="Calibri"/>
              <i val="1"/>
              <color rgb="002B2B2B"/>
              <sz val="10"/>
              <vertAlign val="subscript"/>
            </rPr>
            <t>eff</t>
          </r>
        </is>
      </c>
      <c r="E92" s="45">
        <f>IF(inputs_ok,b_w+beff1_ed+beff2_ed,NA())</f>
        <v/>
      </c>
      <c r="F92" s="28" t="inlineStr">
        <is>
          <t>mm</t>
        </is>
      </c>
      <c r="G92" s="23" t="n"/>
    </row>
    <row r="93" ht="17" customHeight="1">
      <c r="B93" s="23" t="n"/>
      <c r="C93" s="24" t="inlineStr">
        <is>
          <t>Compression face width  (support, cantilever: the web)</t>
        </is>
      </c>
      <c r="D93" s="27" t="inlineStr">
        <is>
          <r>
            <rPr>
              <rFont val="Calibri"/>
              <i val="1"/>
              <color rgb="002B2B2B"/>
              <sz val="10"/>
            </rPr>
            <t>b</t>
          </r>
          <r>
            <rPr>
              <rFont val="Calibri"/>
              <i val="1"/>
              <color rgb="002B2B2B"/>
              <sz val="10"/>
              <vertAlign val="subscript"/>
            </rPr>
            <t>c</t>
          </r>
        </is>
      </c>
      <c r="E93" s="42">
        <f>IF(inputs_ok,IF(hog,b_w,b_eff),NA())</f>
        <v/>
      </c>
      <c r="F93" s="28" t="inlineStr">
        <is>
          <t>mm</t>
        </is>
      </c>
      <c r="G93" s="23" t="n"/>
    </row>
    <row r="94" ht="17" customHeight="1">
      <c r="B94" s="23" t="n"/>
      <c r="C94" s="24" t="inlineStr">
        <is>
          <t>Compression flange depth  (support, cantilever: whole depth)</t>
        </is>
      </c>
      <c r="D94" s="27" t="inlineStr">
        <is>
          <r>
            <rPr>
              <rFont val="Calibri"/>
              <i val="1"/>
              <color rgb="002B2B2B"/>
              <sz val="10"/>
            </rPr>
            <t>h</t>
          </r>
          <r>
            <rPr>
              <rFont val="Calibri"/>
              <i val="1"/>
              <color rgb="002B2B2B"/>
              <sz val="10"/>
              <vertAlign val="subscript"/>
            </rPr>
            <t>f,c</t>
          </r>
        </is>
      </c>
      <c r="E94" s="42">
        <f>IF(inputs_ok,IF(hog,h_sec,h_f),NA())</f>
        <v/>
      </c>
      <c r="F94" s="28" t="inlineStr">
        <is>
          <t>mm</t>
        </is>
      </c>
      <c r="G94" s="23" t="n"/>
    </row>
    <row r="95"/>
    <row r="96" ht="22" customHeight="1">
      <c r="B96" s="20" t="inlineStr">
        <is>
          <t>Calculation  ·  bending  (rectangular block λ = 0.8, η = 1)</t>
        </is>
      </c>
      <c r="C96" s="21" t="n"/>
      <c r="D96" s="21" t="n"/>
      <c r="E96" s="21" t="n"/>
      <c r="F96" s="21" t="n"/>
      <c r="G96" s="21" t="n"/>
    </row>
    <row r="97" ht="17" customHeight="1">
      <c r="B97" s="26" t="inlineStr">
        <is>
          <t>3.2.7</t>
        </is>
      </c>
      <c r="C97" s="24" t="inlineStr">
        <is>
          <t>Neutral axis depth at first yield  εcu2 / (εcu2 + fyd/Es)</t>
        </is>
      </c>
      <c r="D97" s="27" t="inlineStr">
        <is>
          <r>
            <rPr>
              <rFont val="Calibri"/>
              <i val="1"/>
              <color rgb="002B2B2B"/>
              <sz val="10"/>
            </rPr>
            <t>ξ</t>
          </r>
          <r>
            <rPr>
              <rFont val="Calibri"/>
              <i val="1"/>
              <color rgb="002B2B2B"/>
              <sz val="10"/>
              <vertAlign val="subscript"/>
            </rPr>
            <t>y</t>
          </r>
        </is>
      </c>
      <c r="E97" s="44">
        <f>IF(inputs_ok,0.0035/(0.0035+f_yd/200000),NA())</f>
        <v/>
      </c>
      <c r="F97" s="23" t="n"/>
      <c r="G97" s="23" t="n"/>
    </row>
    <row r="98" ht="17" customHeight="1">
      <c r="B98" s="26" t="inlineStr">
        <is>
          <t>5.5(4)</t>
        </is>
      </c>
      <c r="C98" s="24" t="inlineStr">
        <is>
          <t>Limiting neutral axis depth  min((δ − k1) / k2; ξy)</t>
        </is>
      </c>
      <c r="D98" s="27" t="inlineStr">
        <is>
          <r>
            <rPr>
              <rFont val="Calibri"/>
              <i val="1"/>
              <color rgb="002B2B2B"/>
              <sz val="10"/>
            </rPr>
            <t>x</t>
          </r>
          <r>
            <rPr>
              <rFont val="Calibri"/>
              <i val="1"/>
              <color rgb="002B2B2B"/>
              <sz val="10"/>
              <vertAlign val="subscript"/>
            </rPr>
            <t>u/d</t>
          </r>
        </is>
      </c>
      <c r="E98" s="44">
        <f>IF(inputs_ok,MIN(xi_y,(delta_r-k1_red)/k2_red),NA())</f>
        <v/>
      </c>
      <c r="F98" s="23" t="n"/>
      <c r="G98" s="23" t="n"/>
    </row>
    <row r="99" ht="17" customHeight="1">
      <c r="B99" s="26" t="inlineStr">
        <is>
          <t>3.1.7(3)</t>
        </is>
      </c>
      <c r="C99" s="24" t="inlineStr">
        <is>
          <t>Limiting K  (αcc/γc) 0.8 ξ (1 − 0.4 ξ)</t>
        </is>
      </c>
      <c r="D99" s="27" t="inlineStr">
        <is>
          <r>
            <rPr>
              <rFont val="Calibri"/>
              <i val="1"/>
              <color rgb="002B2B2B"/>
              <sz val="10"/>
            </rPr>
            <t>K'</t>
          </r>
        </is>
      </c>
      <c r="E99" s="44">
        <f>IF(inputs_ok,alpha_cc/gamma_c*0.8*xi_lim*(1-0.4*xi_lim),NA())</f>
        <v/>
      </c>
      <c r="F99" s="23" t="n"/>
      <c r="G99" s="23" t="n"/>
    </row>
    <row r="100" ht="17" customHeight="1">
      <c r="B100" s="23" t="n"/>
      <c r="C100" s="24" t="inlineStr">
        <is>
          <t>Limiting neutral axis depth</t>
        </is>
      </c>
      <c r="D100" s="27" t="inlineStr">
        <is>
          <r>
            <rPr>
              <rFont val="Calibri"/>
              <i val="1"/>
              <color rgb="002B2B2B"/>
              <sz val="10"/>
            </rPr>
            <t>x</t>
          </r>
          <r>
            <rPr>
              <rFont val="Calibri"/>
              <i val="1"/>
              <color rgb="002B2B2B"/>
              <sz val="10"/>
              <vertAlign val="subscript"/>
            </rPr>
            <t>lim</t>
          </r>
        </is>
      </c>
      <c r="E100" s="42">
        <f>IF(inputs_ok,xi_lim*d_eff,NA())</f>
        <v/>
      </c>
      <c r="F100" s="28" t="inlineStr">
        <is>
          <t>mm</t>
        </is>
      </c>
      <c r="G100" s="23" t="n"/>
    </row>
    <row r="101" ht="17" customHeight="1">
      <c r="B101" s="26" t="inlineStr">
        <is>
          <t>3.1.7(3)</t>
        </is>
      </c>
      <c r="C101" s="24" t="inlineStr">
        <is>
          <t>Flange alone  fcd bc hf,c (d − hf,c / 2)</t>
        </is>
      </c>
      <c r="D101" s="27" t="inlineStr">
        <is>
          <r>
            <rPr>
              <rFont val="Calibri"/>
              <i val="1"/>
              <color rgb="002B2B2B"/>
              <sz val="10"/>
            </rPr>
            <t>M</t>
          </r>
          <r>
            <rPr>
              <rFont val="Calibri"/>
              <i val="1"/>
              <color rgb="002B2B2B"/>
              <sz val="10"/>
              <vertAlign val="subscript"/>
            </rPr>
            <t>f</t>
          </r>
        </is>
      </c>
      <c r="E101" s="43">
        <f>IF(inputs_ok,f_cd*b_top*hf_c*(d_eff-hf_c/2)/1E6,NA())</f>
        <v/>
      </c>
      <c r="F101" s="28" t="inlineStr">
        <is>
          <t>kNm</t>
        </is>
      </c>
      <c r="G101" s="23" t="n"/>
    </row>
    <row r="102" ht="17" customHeight="1">
      <c r="B102" s="23" t="n"/>
      <c r="C102" s="24" t="inlineStr">
        <is>
          <t>Outstands when the block reaches the web  fcd (bc − bw) hf,c</t>
        </is>
      </c>
      <c r="D102" s="27" t="inlineStr">
        <is>
          <r>
            <rPr>
              <rFont val="Calibri"/>
              <i val="1"/>
              <color rgb="002B2B2B"/>
              <sz val="10"/>
            </rPr>
            <t>F</t>
          </r>
          <r>
            <rPr>
              <rFont val="Calibri"/>
              <i val="1"/>
              <color rgb="002B2B2B"/>
              <sz val="10"/>
              <vertAlign val="subscript"/>
            </rPr>
            <t>out</t>
          </r>
        </is>
      </c>
      <c r="E102" s="43">
        <f>IF(inputs_ok,IF(in_flange,0,f_cd*(b_top-b_web)*hf_c/1000),NA())</f>
        <v/>
      </c>
      <c r="F102" s="28" t="inlineStr">
        <is>
          <t>kN</t>
        </is>
      </c>
      <c r="G102" s="23" t="n"/>
    </row>
    <row r="103" ht="17" customHeight="1">
      <c r="B103" s="23" t="n"/>
      <c r="C103" s="24" t="inlineStr">
        <is>
          <t>Concrete force at x_lim  (block 0.8 x_lim in the flange, or outstands + web)</t>
        </is>
      </c>
      <c r="D103" s="27" t="inlineStr">
        <is>
          <r>
            <rPr>
              <rFont val="Calibri"/>
              <i val="1"/>
              <color rgb="002B2B2B"/>
              <sz val="10"/>
            </rPr>
            <t>C</t>
          </r>
          <r>
            <rPr>
              <rFont val="Calibri"/>
              <i val="1"/>
              <color rgb="002B2B2B"/>
              <sz val="10"/>
              <vertAlign val="subscript"/>
            </rPr>
            <t>lim</t>
          </r>
        </is>
      </c>
      <c r="E103" s="43">
        <f>IF(inputs_ok,IF(0.8*x_lim&lt;=hf_c,f_cd*b_top*0.8*x_lim,f_cd*(b_top-b_web)*hf_c+f_cd*b_web*0.8*x_lim)/1000,NA())</f>
        <v/>
      </c>
      <c r="F103" s="28" t="inlineStr">
        <is>
          <t>kN</t>
        </is>
      </c>
      <c r="G103" s="23" t="n"/>
    </row>
    <row r="104" ht="17" customHeight="1">
      <c r="B104" s="26" t="inlineStr">
        <is>
          <t>3.1.7(3)</t>
        </is>
      </c>
      <c r="C104" s="24" t="inlineStr">
        <is>
          <t>Moment of the concrete at x_lim  (K′ fck b d², outstands added)</t>
        </is>
      </c>
      <c r="D104" s="27" t="inlineStr">
        <is>
          <r>
            <rPr>
              <rFont val="Calibri"/>
              <i val="1"/>
              <color rgb="002B2B2B"/>
              <sz val="10"/>
            </rPr>
            <t>M</t>
          </r>
          <r>
            <rPr>
              <rFont val="Calibri"/>
              <i val="1"/>
              <color rgb="002B2B2B"/>
              <sz val="10"/>
              <vertAlign val="subscript"/>
            </rPr>
            <t>lim</t>
          </r>
        </is>
      </c>
      <c r="E104" s="43">
        <f>IF(inputs_ok,IF(0.8*x_lim&lt;=hf_c,K_lim*f_ck*b_top*d_eff^2,f_cd*(b_top-b_web)*hf_c*(d_eff-hf_c/2)+K_lim*f_ck*b_web*d_eff^2)/1E6,NA())</f>
        <v/>
      </c>
      <c r="F104" s="28" t="inlineStr">
        <is>
          <t>kNm</t>
        </is>
      </c>
      <c r="G104" s="23" t="n"/>
    </row>
    <row r="105" ht="17" customHeight="1">
      <c r="B105" s="23" t="n"/>
      <c r="C105" s="24" t="inlineStr">
        <is>
          <t>Moment for the rectangle  MEd − Fout (d − hf/2)</t>
        </is>
      </c>
      <c r="D105" s="27" t="inlineStr">
        <is>
          <r>
            <rPr>
              <rFont val="Calibri"/>
              <i val="1"/>
              <color rgb="002B2B2B"/>
              <sz val="10"/>
            </rPr>
            <t>M</t>
          </r>
          <r>
            <rPr>
              <rFont val="Calibri"/>
              <i val="1"/>
              <color rgb="002B2B2B"/>
              <sz val="10"/>
              <vertAlign val="subscript"/>
            </rPr>
            <t>r</t>
          </r>
        </is>
      </c>
      <c r="E105" s="43">
        <f>IF(inputs_ok,M_Ed-F_out*(d_eff-hf_c/2)/1000,NA())</f>
        <v/>
      </c>
      <c r="F105" s="28" t="inlineStr">
        <is>
          <t>kNm</t>
        </is>
      </c>
      <c r="G105" s="23" t="n"/>
    </row>
    <row r="106" ht="17" customHeight="1">
      <c r="B106" s="23" t="n"/>
      <c r="C106" s="24" t="inlineStr">
        <is>
          <t>Width of the rectangle  (bc in the flange, else bw)</t>
        </is>
      </c>
      <c r="D106" s="27" t="inlineStr">
        <is>
          <r>
            <rPr>
              <rFont val="Calibri"/>
              <i val="1"/>
              <color rgb="002B2B2B"/>
              <sz val="10"/>
            </rPr>
            <t>b</t>
          </r>
          <r>
            <rPr>
              <rFont val="Calibri"/>
              <i val="1"/>
              <color rgb="002B2B2B"/>
              <sz val="10"/>
              <vertAlign val="subscript"/>
            </rPr>
            <t>r</t>
          </r>
        </is>
      </c>
      <c r="E106" s="42">
        <f>IF(inputs_ok,IF(in_flange,b_top,b_web),NA())</f>
        <v/>
      </c>
      <c r="F106" s="28" t="inlineStr">
        <is>
          <t>mm</t>
        </is>
      </c>
      <c r="G106" s="23" t="n"/>
    </row>
    <row r="107" ht="17" customHeight="1">
      <c r="B107" s="26" t="inlineStr">
        <is>
          <t>3.1.7(3)</t>
        </is>
      </c>
      <c r="C107" s="24" t="inlineStr">
        <is>
          <t>K = Mr / (br d² fck)</t>
        </is>
      </c>
      <c r="D107" s="27" t="inlineStr">
        <is>
          <r>
            <rPr>
              <rFont val="Calibri"/>
              <i val="1"/>
              <color rgb="002B2B2B"/>
              <sz val="10"/>
            </rPr>
            <t>K</t>
          </r>
        </is>
      </c>
      <c r="E107" s="44">
        <f>IF(inputs_ok,MAX(0,M_r)*1E6/(b_r*d_eff^2*f_ck),NA())</f>
        <v/>
      </c>
      <c r="F107" s="23" t="n"/>
      <c r="G107" s="23" t="n"/>
    </row>
    <row r="108" ht="17" customHeight="1">
      <c r="B108" s="26" t="inlineStr">
        <is>
          <t>3.1.7(3)</t>
        </is>
      </c>
      <c r="C108" s="24" t="inlineStr">
        <is>
          <t>Neutral axis  x/d = (1 − √(1 − 2K/(αcc/γc)))/0.8;  x_lim if MEd &gt; Mlim</t>
        </is>
      </c>
      <c r="D108" s="27" t="inlineStr">
        <is>
          <r>
            <rPr>
              <rFont val="Calibri"/>
              <i val="1"/>
              <color rgb="002B2B2B"/>
              <sz val="10"/>
            </rPr>
            <t>x/d</t>
          </r>
        </is>
      </c>
      <c r="E108" s="44">
        <f>IF(inputs_ok,IF(dbl,xi_lim,(1-SQRT(1-2*K_m/(alpha_cc/gamma_c)))/0.8),NA())</f>
        <v/>
      </c>
      <c r="F108" s="23" t="n"/>
      <c r="G108" s="23" t="n"/>
    </row>
    <row r="109" ht="17" customHeight="1">
      <c r="B109" s="23" t="n"/>
      <c r="C109" s="24" t="inlineStr">
        <is>
          <t>Neutral axis depth</t>
        </is>
      </c>
      <c r="D109" s="27" t="inlineStr">
        <is>
          <r>
            <rPr>
              <rFont val="Calibri"/>
              <i val="1"/>
              <color rgb="002B2B2B"/>
              <sz val="10"/>
            </rPr>
            <t>x</t>
          </r>
        </is>
      </c>
      <c r="E109" s="42">
        <f>IF(inputs_ok,xi*d_eff,NA())</f>
        <v/>
      </c>
      <c r="F109" s="28" t="inlineStr">
        <is>
          <t>mm</t>
        </is>
      </c>
      <c r="G109" s="23" t="n"/>
    </row>
    <row r="110" ht="17" customHeight="1">
      <c r="B110" s="23" t="n"/>
      <c r="C110" s="24" t="inlineStr">
        <is>
          <t>Lever arm  d (1 − 0.4 x/d) ≤ 0.95 d</t>
        </is>
      </c>
      <c r="D110" s="27" t="inlineStr">
        <is>
          <r>
            <rPr>
              <rFont val="Calibri"/>
              <i val="1"/>
              <color rgb="002B2B2B"/>
              <sz val="10"/>
            </rPr>
            <t>z</t>
          </r>
        </is>
      </c>
      <c r="E110" s="42">
        <f>IF(inputs_ok,MIN(0.95*d_eff,d_eff*(1-0.4*xi)),NA())</f>
        <v/>
      </c>
      <c r="F110" s="28" t="inlineStr">
        <is>
          <t>mm</t>
        </is>
      </c>
      <c r="G110" s="26" t="inlineStr">
        <is>
          <t>0.95 d: common practice</t>
        </is>
      </c>
    </row>
    <row r="111" ht="17" customHeight="1">
      <c r="B111" s="26" t="inlineStr">
        <is>
          <t>3.2.7</t>
        </is>
      </c>
      <c r="C111" s="24" t="inlineStr">
        <is>
          <t>Compression bar stress at x_lim  Es εcu2 (x − d2)/x, |σ| ≤ fyd</t>
        </is>
      </c>
      <c r="D111" s="27" t="inlineStr">
        <is>
          <r>
            <rPr>
              <rFont val="Calibri"/>
              <i val="1"/>
              <color rgb="002B2B2B"/>
              <sz val="10"/>
            </rPr>
            <t>f</t>
          </r>
          <r>
            <rPr>
              <rFont val="Calibri"/>
              <i val="1"/>
              <color rgb="002B2B2B"/>
              <sz val="10"/>
              <vertAlign val="subscript"/>
            </rPr>
            <t>sc</t>
          </r>
        </is>
      </c>
      <c r="E111" s="43">
        <f>IF(inputs_ok,MAX(-f_yd,MIN(f_yd,200000*0.0035*(x_lim-d_2)/x_lim)),NA())</f>
        <v/>
      </c>
      <c r="F111" s="28" t="inlineStr">
        <is>
          <t>MPa</t>
        </is>
      </c>
      <c r="G111" s="23" t="n"/>
    </row>
    <row r="112" ht="17" customHeight="1">
      <c r="B112" s="23" t="n"/>
      <c r="C112" s="24" t="inlineStr">
        <is>
          <t>Net of the concrete displaced  (bars inside the block: − fcd)</t>
        </is>
      </c>
      <c r="D112" s="27" t="inlineStr">
        <is>
          <r>
            <rPr>
              <rFont val="Calibri"/>
              <i val="1"/>
              <color rgb="002B2B2B"/>
              <sz val="10"/>
            </rPr>
            <t>f</t>
          </r>
          <r>
            <rPr>
              <rFont val="Calibri"/>
              <i val="1"/>
              <color rgb="002B2B2B"/>
              <sz val="10"/>
              <vertAlign val="subscript"/>
            </rPr>
            <t>sc,net</t>
          </r>
        </is>
      </c>
      <c r="E112" s="43">
        <f>IF(inputs_ok,f_sc-IF(d_2&lt;0.8*x_lim,f_cd,0),NA())</f>
        <v/>
      </c>
      <c r="F112" s="28" t="inlineStr">
        <is>
          <t>MPa</t>
        </is>
      </c>
      <c r="G112" s="23" t="n"/>
    </row>
    <row r="113" ht="17" customHeight="1">
      <c r="B113" s="23" t="n"/>
      <c r="C113" s="24" t="inlineStr">
        <is>
          <t>Compression reinforcement  (MEd − Mlim) / (fsc,net (d − d2))</t>
        </is>
      </c>
      <c r="D113" s="27" t="inlineStr">
        <is>
          <r>
            <rPr>
              <rFont val="Calibri"/>
              <i val="1"/>
              <color rgb="002B2B2B"/>
              <sz val="10"/>
            </rPr>
            <t>A</t>
          </r>
          <r>
            <rPr>
              <rFont val="Calibri"/>
              <i val="1"/>
              <color rgb="002B2B2B"/>
              <sz val="10"/>
              <vertAlign val="subscript"/>
            </rPr>
            <t>s2,req</t>
          </r>
        </is>
      </c>
      <c r="E113" s="45">
        <f>IF(inputs_ok,IF(comp_bad,NA(),IF(dbl,(M_Ed-M_lim)*1E6/(fsc_net*(d_eff-d_2)),0)),NA())</f>
        <v/>
      </c>
      <c r="F113" s="28" t="inlineStr">
        <is>
          <t>mm²</t>
        </is>
      </c>
      <c r="G113" s="23" t="n"/>
    </row>
    <row r="114" ht="17" customHeight="1">
      <c r="B114" s="23" t="n"/>
      <c r="C114" s="24" t="inlineStr">
        <is>
          <t>Tension reinforcement  Fout/fyd + Mr/(fyd z);  doubly: (C_lim + As2 fsc,net)/fyd</t>
        </is>
      </c>
      <c r="D114" s="27" t="inlineStr">
        <is>
          <r>
            <rPr>
              <rFont val="Calibri"/>
              <i val="1"/>
              <color rgb="002B2B2B"/>
              <sz val="10"/>
            </rPr>
            <t>A</t>
          </r>
          <r>
            <rPr>
              <rFont val="Calibri"/>
              <i val="1"/>
              <color rgb="002B2B2B"/>
              <sz val="10"/>
              <vertAlign val="subscript"/>
            </rPr>
            <t>s1,req</t>
          </r>
        </is>
      </c>
      <c r="E114" s="45">
        <f>IF(inputs_ok,IF(comp_bad,NA(),IF(dbl,(C_lim*1000+A_s2req*fsc_net)/f_yd,F_out*1000/f_yd+M_r*1E6/(f_yd*z_b))),NA())</f>
        <v/>
      </c>
      <c r="F114" s="28" t="inlineStr">
        <is>
          <t>mm²</t>
        </is>
      </c>
      <c r="G114" s="23" t="n"/>
    </row>
    <row r="115" ht="17" customHeight="1">
      <c r="B115" s="23" t="n"/>
      <c r="C115" s="24" t="inlineStr">
        <is>
          <t>Gross area  bw (h − hf) + beff hf</t>
        </is>
      </c>
      <c r="D115" s="27" t="inlineStr">
        <is>
          <r>
            <rPr>
              <rFont val="Calibri"/>
              <i val="1"/>
              <color rgb="002B2B2B"/>
              <sz val="10"/>
            </rPr>
            <t>A</t>
          </r>
          <r>
            <rPr>
              <rFont val="Calibri"/>
              <i val="1"/>
              <color rgb="002B2B2B"/>
              <sz val="10"/>
              <vertAlign val="subscript"/>
            </rPr>
            <t>c</t>
          </r>
        </is>
      </c>
      <c r="E115" s="42">
        <f>IF(inputs_ok,b_w*(h_sec-h_f)+b_eff*h_f,NA())</f>
        <v/>
      </c>
      <c r="F115" s="28" t="inlineStr">
        <is>
          <t>mm²</t>
        </is>
      </c>
      <c r="G115" s="23" t="n"/>
    </row>
    <row r="116" ht="17" customHeight="1">
      <c r="B116" s="23" t="n"/>
      <c r="C116" s="24" t="inlineStr">
        <is>
          <t>Centroid of the gross section from the top</t>
        </is>
      </c>
      <c r="D116" s="27" t="inlineStr">
        <is>
          <r>
            <rPr>
              <rFont val="Calibri"/>
              <i val="1"/>
              <color rgb="002B2B2B"/>
              <sz val="10"/>
            </rPr>
            <t>y</t>
          </r>
          <r>
            <rPr>
              <rFont val="Calibri"/>
              <i val="1"/>
              <color rgb="002B2B2B"/>
              <sz val="10"/>
              <vertAlign val="subscript"/>
            </rPr>
            <t>g</t>
          </r>
        </is>
      </c>
      <c r="E116" s="43">
        <f>IF(inputs_ok,(b_eff*h_f^2/2+b_w*(h_sec-h_f)*(h_sec+h_f)/2)/A_c,NA())</f>
        <v/>
      </c>
      <c r="F116" s="28" t="inlineStr">
        <is>
          <t>mm</t>
        </is>
      </c>
      <c r="G116" s="23" t="n"/>
    </row>
    <row r="117" ht="17" customHeight="1">
      <c r="B117" s="26" t="inlineStr">
        <is>
          <t>9.2.1.1(1)</t>
        </is>
      </c>
      <c r="C117" s="24" t="inlineStr">
        <is>
          <t>Mean width of the tension zone  (flange in compression: bw; in tension: gross section above the centroid)</t>
        </is>
      </c>
      <c r="D117" s="27" t="inlineStr">
        <is>
          <r>
            <rPr>
              <rFont val="Calibri"/>
              <i val="1"/>
              <color rgb="002B2B2B"/>
              <sz val="10"/>
            </rPr>
            <t>b</t>
          </r>
          <r>
            <rPr>
              <rFont val="Calibri"/>
              <i val="1"/>
              <color rgb="002B2B2B"/>
              <sz val="10"/>
              <vertAlign val="subscript"/>
            </rPr>
            <t>t</t>
          </r>
        </is>
      </c>
      <c r="E117" s="42">
        <f>IF(inputs_ok,IF(hog,IF(y_g&lt;=h_f,b_eff*y_g,b_eff*h_f+b_w*(y_g-h_f))/y_g,b_w),NA())</f>
        <v/>
      </c>
      <c r="F117" s="28" t="inlineStr">
        <is>
          <t>mm</t>
        </is>
      </c>
      <c r="G117" s="23" t="n"/>
    </row>
    <row r="118" ht="17" customHeight="1">
      <c r="B118" s="26" t="inlineStr">
        <is>
          <t>(9.1N)</t>
        </is>
      </c>
      <c r="C118" s="24" t="inlineStr">
        <is>
          <t>Minimum tension reinforcement  max(0.26 fctm/fyk; 0.0013) bt d</t>
        </is>
      </c>
      <c r="D118" s="27" t="inlineStr">
        <is>
          <r>
            <rPr>
              <rFont val="Calibri"/>
              <i val="1"/>
              <color rgb="002B2B2B"/>
              <sz val="10"/>
            </rPr>
            <t>A</t>
          </r>
          <r>
            <rPr>
              <rFont val="Calibri"/>
              <i val="1"/>
              <color rgb="002B2B2B"/>
              <sz val="10"/>
              <vertAlign val="subscript"/>
            </rPr>
            <t>s,min</t>
          </r>
        </is>
      </c>
      <c r="E118" s="42">
        <f>IF(inputs_ok,MAX(0.26*f_ctm/f_yk,0.0013)*b_t*d_eff,NA())</f>
        <v/>
      </c>
      <c r="F118" s="28" t="inlineStr">
        <is>
          <t>mm²</t>
        </is>
      </c>
      <c r="G118" s="23" t="n"/>
    </row>
    <row r="119" ht="17" customHeight="1">
      <c r="B119" s="26" t="inlineStr">
        <is>
          <t>9.2.1.1(3)</t>
        </is>
      </c>
      <c r="C119" s="24" t="inlineStr">
        <is>
          <t>Maximum reinforcement  0.04 Ac</t>
        </is>
      </c>
      <c r="D119" s="27" t="inlineStr">
        <is>
          <r>
            <rPr>
              <rFont val="Calibri"/>
              <i val="1"/>
              <color rgb="002B2B2B"/>
              <sz val="10"/>
            </rPr>
            <t>A</t>
          </r>
          <r>
            <rPr>
              <rFont val="Calibri"/>
              <i val="1"/>
              <color rgb="002B2B2B"/>
              <sz val="10"/>
              <vertAlign val="subscript"/>
            </rPr>
            <t>s,max</t>
          </r>
        </is>
      </c>
      <c r="E119" s="42">
        <f>IF(inputs_ok,0.04*A_c,NA())</f>
        <v/>
      </c>
      <c r="F119" s="28" t="inlineStr">
        <is>
          <t>mm²</t>
        </is>
      </c>
      <c r="G119" s="26" t="inlineStr">
        <is>
          <t>Outside lap locations</t>
        </is>
      </c>
    </row>
    <row r="120" ht="17" customHeight="1">
      <c r="B120" s="23" t="n"/>
      <c r="C120" s="24" t="inlineStr">
        <is>
          <t>Tension bars provided  n π φ² / 4</t>
        </is>
      </c>
      <c r="D120" s="27" t="inlineStr">
        <is>
          <r>
            <rPr>
              <rFont val="Calibri"/>
              <i val="1"/>
              <color rgb="002B2B2B"/>
              <sz val="10"/>
            </rPr>
            <t>A</t>
          </r>
          <r>
            <rPr>
              <rFont val="Calibri"/>
              <i val="1"/>
              <color rgb="002B2B2B"/>
              <sz val="10"/>
              <vertAlign val="subscript"/>
            </rPr>
            <t>s1,prov</t>
          </r>
        </is>
      </c>
      <c r="E120" s="42">
        <f>IF(inputs_ok,n_bars*PI()*phi^2/4,NA())</f>
        <v/>
      </c>
      <c r="F120" s="28" t="inlineStr">
        <is>
          <t>mm²</t>
        </is>
      </c>
      <c r="G120" s="23" t="n"/>
    </row>
    <row r="121" ht="17" customHeight="1">
      <c r="B121" s="23" t="n"/>
      <c r="C121" s="24" t="inlineStr">
        <is>
          <t>Compression bars provided  n2 π φ2² / 4</t>
        </is>
      </c>
      <c r="D121" s="27" t="inlineStr">
        <is>
          <r>
            <rPr>
              <rFont val="Calibri"/>
              <i val="1"/>
              <color rgb="002B2B2B"/>
              <sz val="10"/>
            </rPr>
            <t>A</t>
          </r>
          <r>
            <rPr>
              <rFont val="Calibri"/>
              <i val="1"/>
              <color rgb="002B2B2B"/>
              <sz val="10"/>
              <vertAlign val="subscript"/>
            </rPr>
            <t>s2,prov</t>
          </r>
        </is>
      </c>
      <c r="E121" s="42">
        <f>IF(inputs_ok,n_2*PI()*phi_2^2/4,NA())</f>
        <v/>
      </c>
      <c r="F121" s="28" t="inlineStr">
        <is>
          <t>mm²</t>
        </is>
      </c>
      <c r="G121" s="23" t="n"/>
    </row>
    <row r="122" ht="17" customHeight="1">
      <c r="B122" s="26" t="inlineStr">
        <is>
          <t>5.5(4)</t>
        </is>
      </c>
      <c r="C122" s="24" t="inlineStr">
        <is>
          <t>Bars provided, tension force  As,prov fyd</t>
        </is>
      </c>
      <c r="D122" s="27" t="inlineStr">
        <is>
          <r>
            <rPr>
              <rFont val="Calibri"/>
              <i val="1"/>
              <color rgb="002B2B2B"/>
              <sz val="10"/>
            </rPr>
            <t>T</t>
          </r>
        </is>
      </c>
      <c r="E122" s="43">
        <f>IF(inputs_ok,A_s1prov*f_yd/1000,NA())</f>
        <v/>
      </c>
      <c r="F122" s="28" t="inlineStr">
        <is>
          <t>kN</t>
        </is>
      </c>
      <c r="G122" s="23" t="n"/>
    </row>
    <row r="123" ht="17" customHeight="1">
      <c r="B123" s="26" t="inlineStr">
        <is>
          <t>5.5(4)</t>
        </is>
      </c>
      <c r="C123" s="24" t="inlineStr">
        <is>
          <t>Compression at x_lim  C_lim + As2,prov fsc,net  (T ≤ this: x ≤ x_lim)</t>
        </is>
      </c>
      <c r="D123" s="27" t="inlineStr">
        <is>
          <r>
            <rPr>
              <rFont val="Calibri"/>
              <i val="1"/>
              <color rgb="002B2B2B"/>
              <sz val="10"/>
            </rPr>
            <t>C</t>
          </r>
        </is>
      </c>
      <c r="E123" s="43">
        <f>IF(inputs_ok,C_lim+A_s2prov*fsc_net/1000,NA())</f>
        <v/>
      </c>
      <c r="F123" s="28" t="inlineStr">
        <is>
          <t>kN</t>
        </is>
      </c>
      <c r="G123" s="26" t="inlineStr">
        <is>
          <t>Checked when δ &lt; 1</t>
        </is>
      </c>
    </row>
    <row r="124" ht="17" customHeight="1">
      <c r="B124" s="26" t="inlineStr">
        <is>
          <t>6.1, 9.2.1.1</t>
        </is>
      </c>
      <c r="C124" s="24" t="inlineStr">
        <is>
          <t>As,prov ≥ max(As,req; As,min), ≤ As,max, As2 ≥ As2,req; δ &lt; 1: x ≤ x_lim</t>
        </is>
      </c>
      <c r="D124" s="23" t="n"/>
      <c r="E124" s="42">
        <f>IF(inputs_ok,A_s1prov,NA())</f>
        <v/>
      </c>
      <c r="F124" s="28" t="inlineStr">
        <is>
          <t>mm²</t>
        </is>
      </c>
      <c r="G124" s="31">
        <f>IF(NOT(inputs_ok),"FAIL",IF(bend_ok,"OK","FAIL"))</f>
        <v/>
      </c>
    </row>
    <row r="125"/>
    <row r="126" ht="22" customHeight="1">
      <c r="B126" s="20" t="inlineStr">
        <is>
          <t>Calculation  ·  detailing</t>
        </is>
      </c>
      <c r="C126" s="21" t="n"/>
      <c r="D126" s="21" t="n"/>
      <c r="E126" s="21" t="n"/>
      <c r="F126" s="21" t="n"/>
      <c r="G126" s="21" t="n"/>
    </row>
    <row r="127" ht="17" customHeight="1">
      <c r="B127" s="26" t="inlineStr">
        <is>
          <t>8.2(2)</t>
        </is>
      </c>
      <c r="C127" s="24" t="inlineStr">
        <is>
          <t>Minimum clear gap, tension bars  max(φ; dg + 5; 20)</t>
        </is>
      </c>
      <c r="D127" s="27" t="inlineStr">
        <is>
          <r>
            <rPr>
              <rFont val="Calibri"/>
              <i val="1"/>
              <color rgb="002B2B2B"/>
              <sz val="10"/>
            </rPr>
            <t>a</t>
          </r>
          <r>
            <rPr>
              <rFont val="Calibri"/>
              <i val="1"/>
              <color rgb="002B2B2B"/>
              <sz val="10"/>
              <vertAlign val="subscript"/>
            </rPr>
            <t>min,1</t>
          </r>
        </is>
      </c>
      <c r="E127" s="42">
        <f>IF(inputs_ok,MAX(phi,d_g+5,20),NA())</f>
        <v/>
      </c>
      <c r="F127" s="28" t="inlineStr">
        <is>
          <t>mm</t>
        </is>
      </c>
      <c r="G127" s="23" t="n"/>
    </row>
    <row r="128" ht="17" customHeight="1">
      <c r="B128" s="26" t="inlineStr">
        <is>
          <t>8.2(2)</t>
        </is>
      </c>
      <c r="C128" s="24" t="inlineStr">
        <is>
          <t>Minimum clear gap, compression bars  max(φ2; dg + 5; 20)</t>
        </is>
      </c>
      <c r="D128" s="27" t="inlineStr">
        <is>
          <r>
            <rPr>
              <rFont val="Calibri"/>
              <i val="1"/>
              <color rgb="002B2B2B"/>
              <sz val="10"/>
            </rPr>
            <t>a</t>
          </r>
          <r>
            <rPr>
              <rFont val="Calibri"/>
              <i val="1"/>
              <color rgb="002B2B2B"/>
              <sz val="10"/>
              <vertAlign val="subscript"/>
            </rPr>
            <t>min,2</t>
          </r>
        </is>
      </c>
      <c r="E128" s="42">
        <f>IF(inputs_ok,MAX(phi_2,d_g+5,20),NA())</f>
        <v/>
      </c>
      <c r="F128" s="28" t="inlineStr">
        <is>
          <t>mm</t>
        </is>
      </c>
      <c r="G128" s="23" t="n"/>
    </row>
    <row r="129" ht="17" customHeight="1">
      <c r="B129" s="23" t="n"/>
      <c r="C129" s="24" t="inlineStr">
        <is>
          <t>Clear gap, tension bars  (bw − 2c − 2φw − nφ)/(n − 1)</t>
        </is>
      </c>
      <c r="D129" s="27" t="inlineStr">
        <is>
          <r>
            <rPr>
              <rFont val="Calibri"/>
              <i val="1"/>
              <color rgb="002B2B2B"/>
              <sz val="10"/>
            </rPr>
            <t>a</t>
          </r>
          <r>
            <rPr>
              <rFont val="Calibri"/>
              <i val="1"/>
              <color rgb="002B2B2B"/>
              <sz val="10"/>
              <vertAlign val="subscript"/>
            </rPr>
            <t>1</t>
          </r>
        </is>
      </c>
      <c r="E129" s="42">
        <f>IF(inputs_ok,(b_w-2*c_nom-2*phi_w-n_bars*phi)/(n_bars-1),NA())</f>
        <v/>
      </c>
      <c r="F129" s="28" t="inlineStr">
        <is>
          <t>mm</t>
        </is>
      </c>
      <c r="G129" s="23" t="n"/>
    </row>
    <row r="130" ht="17" customHeight="1">
      <c r="B130" s="23" t="n"/>
      <c r="C130" s="24" t="inlineStr">
        <is>
          <t>Clear gap, compression bars</t>
        </is>
      </c>
      <c r="D130" s="27" t="inlineStr">
        <is>
          <r>
            <rPr>
              <rFont val="Calibri"/>
              <i val="1"/>
              <color rgb="002B2B2B"/>
              <sz val="10"/>
            </rPr>
            <t>a</t>
          </r>
          <r>
            <rPr>
              <rFont val="Calibri"/>
              <i val="1"/>
              <color rgb="002B2B2B"/>
              <sz val="10"/>
              <vertAlign val="subscript"/>
            </rPr>
            <t>2</t>
          </r>
        </is>
      </c>
      <c r="E130" s="42">
        <f>IF(inputs_ok,IF(n_2&gt;=2,(b_w-2*c_nom-2*phi_w-n_2*phi_2)/(n_2-1),0),NA())</f>
        <v/>
      </c>
      <c r="F130" s="28" t="inlineStr">
        <is>
          <t>mm</t>
        </is>
      </c>
      <c r="G130" s="23" t="n"/>
    </row>
    <row r="131" ht="17" customHeight="1">
      <c r="B131" s="26" t="inlineStr">
        <is>
          <t>8.2(2)</t>
        </is>
      </c>
      <c r="C131" s="24" t="inlineStr">
        <is>
          <t>Vertical clear distance between layers  h − 2c − 2φw − φ − φ2</t>
        </is>
      </c>
      <c r="D131" s="27" t="inlineStr">
        <is>
          <r>
            <rPr>
              <rFont val="Calibri"/>
              <i val="1"/>
              <color rgb="002B2B2B"/>
              <sz val="10"/>
            </rPr>
            <t>a</t>
          </r>
          <r>
            <rPr>
              <rFont val="Calibri"/>
              <i val="1"/>
              <color rgb="002B2B2B"/>
              <sz val="10"/>
              <vertAlign val="subscript"/>
            </rPr>
            <t>v</t>
          </r>
        </is>
      </c>
      <c r="E131" s="42">
        <f>IF(inputs_ok,h_sec-2*c_nom-2*phi_w-phi-phi_2,NA())</f>
        <v/>
      </c>
      <c r="F131" s="28" t="inlineStr">
        <is>
          <t>mm</t>
        </is>
      </c>
      <c r="G131" s="23" t="n"/>
    </row>
    <row r="132" ht="17" customHeight="1">
      <c r="B132" s="26" t="inlineStr">
        <is>
          <t>8.2(2)</t>
        </is>
      </c>
      <c r="C132" s="24" t="inlineStr">
        <is>
          <t>Minimum vertical clear distance  max(φ; φ2; dg + 5; 20)</t>
        </is>
      </c>
      <c r="D132" s="27" t="inlineStr">
        <is>
          <r>
            <rPr>
              <rFont val="Calibri"/>
              <i val="1"/>
              <color rgb="002B2B2B"/>
              <sz val="10"/>
            </rPr>
            <t>a</t>
          </r>
          <r>
            <rPr>
              <rFont val="Calibri"/>
              <i val="1"/>
              <color rgb="002B2B2B"/>
              <sz val="10"/>
              <vertAlign val="subscript"/>
            </rPr>
            <t>min,v</t>
          </r>
        </is>
      </c>
      <c r="E132" s="42">
        <f>IF(inputs_ok,MAX(phi,phi_2,d_g+5,20),NA())</f>
        <v/>
      </c>
      <c r="F132" s="28" t="inlineStr">
        <is>
          <t>mm</t>
        </is>
      </c>
      <c r="G132" s="23" t="n"/>
    </row>
    <row r="133" ht="17" customHeight="1">
      <c r="B133" s="26" t="inlineStr">
        <is>
          <t>8.2(2)</t>
        </is>
      </c>
      <c r="C133" s="24" t="inlineStr">
        <is>
          <t>Bars fit in one layer each, layers apart</t>
        </is>
      </c>
      <c r="D133" s="27" t="inlineStr">
        <is>
          <r>
            <rPr>
              <rFont val="Calibri"/>
              <i val="1"/>
              <color rgb="002B2B2B"/>
              <sz val="10"/>
            </rPr>
            <t>a</t>
          </r>
          <r>
            <rPr>
              <rFont val="Calibri"/>
              <i val="1"/>
              <color rgb="002B2B2B"/>
              <sz val="10"/>
              <vertAlign val="subscript"/>
            </rPr>
            <t>1</t>
          </r>
        </is>
      </c>
      <c r="E133" s="42">
        <f>IF(inputs_ok,gap_1,NA())</f>
        <v/>
      </c>
      <c r="F133" s="28" t="inlineStr">
        <is>
          <t>mm</t>
        </is>
      </c>
      <c r="G133" s="31">
        <f>IF(NOT(inputs_ok),"FAIL",IF(det_ok,"OK","FAIL"))</f>
        <v/>
      </c>
    </row>
    <row r="134"/>
    <row r="135" ht="22" customHeight="1">
      <c r="B135" s="20" t="inlineStr">
        <is>
          <t>Calculation  ·  serviceability stress and deflection  (7.4.2)</t>
        </is>
      </c>
      <c r="C135" s="21" t="n"/>
      <c r="D135" s="21" t="n"/>
      <c r="E135" s="21" t="n"/>
      <c r="F135" s="21" t="n"/>
      <c r="G135" s="21" t="n"/>
    </row>
    <row r="136" ht="17" customHeight="1">
      <c r="B136" s="26" t="inlineStr">
        <is>
          <t>EN 1990 A1.1</t>
        </is>
      </c>
      <c r="C136" s="24" t="inlineStr">
        <is>
          <t>ψ2 for the category of use</t>
        </is>
      </c>
      <c r="D136" s="27" t="inlineStr">
        <is>
          <r>
            <rPr>
              <rFont val="Calibri"/>
              <i val="1"/>
              <color rgb="002B2B2B"/>
              <sz val="10"/>
            </rPr>
            <t>ψ</t>
          </r>
          <r>
            <rPr>
              <rFont val="Calibri"/>
              <i val="1"/>
              <color rgb="002B2B2B"/>
              <sz val="10"/>
              <vertAlign val="subscript"/>
            </rPr>
            <t>2</t>
          </r>
        </is>
      </c>
      <c r="E136" s="41">
        <f>IF(inputs_ok,IF(usage="Other  (enter ψ2)",psi2_in,CHOOSE(usage_i,0.3,0.3,0.6,0.6,0.8,0.6,0.3,0.0)),NA())</f>
        <v/>
      </c>
      <c r="F136" s="23" t="n"/>
      <c r="G136" s="23" t="n"/>
    </row>
    <row r="137" ht="17" customHeight="1">
      <c r="B137" s="26" t="inlineStr">
        <is>
          <t>7.4.2(2)</t>
        </is>
      </c>
      <c r="C137" s="24" t="inlineStr">
        <is>
          <t>Quasi-permanent / ULS load  (gk + ψ2 qk)/(γG gk + γQ qk)</t>
        </is>
      </c>
      <c r="D137" s="23" t="n"/>
      <c r="E137" s="44">
        <f>IF(inputs_ok,(g_k+psi_2c*q_k)/(gamma_G*g_k+gamma_Q*q_k),NA())</f>
        <v/>
      </c>
      <c r="F137" s="23" t="n"/>
      <c r="G137" s="23" t="n"/>
    </row>
    <row r="138" ht="17" customHeight="1">
      <c r="B138" s="23" t="n"/>
      <c r="C138" s="24" t="inlineStr">
        <is>
          <t>Tension steel for the ratios  max(As,req; As,min)</t>
        </is>
      </c>
      <c r="D138" s="27" t="inlineStr">
        <is>
          <r>
            <rPr>
              <rFont val="Calibri"/>
              <i val="1"/>
              <color rgb="002B2B2B"/>
              <sz val="10"/>
            </rPr>
            <t>A</t>
          </r>
          <r>
            <rPr>
              <rFont val="Calibri"/>
              <i val="1"/>
              <color rgb="002B2B2B"/>
              <sz val="10"/>
              <vertAlign val="subscript"/>
            </rPr>
            <t>s,req</t>
          </r>
        </is>
      </c>
      <c r="E138" s="42">
        <f>IF(inputs_ok,MAX(A_s1req,A_smin),NA())</f>
        <v/>
      </c>
      <c r="F138" s="28" t="inlineStr">
        <is>
          <t>mm²</t>
        </is>
      </c>
      <c r="G138" s="23" t="n"/>
    </row>
    <row r="139" ht="17" customHeight="1">
      <c r="B139" s="26" t="inlineStr">
        <is>
          <t>7.4.2(2), 7.3.3</t>
        </is>
      </c>
      <c r="C139" s="24" t="inlineStr">
        <is>
          <t>Steel stress, quasi-permanent  fyd × ratio × As,req / As,prov / δ</t>
        </is>
      </c>
      <c r="D139" s="27" t="inlineStr">
        <is>
          <r>
            <rPr>
              <rFont val="Calibri"/>
              <i val="1"/>
              <color rgb="002B2B2B"/>
              <sz val="10"/>
            </rPr>
            <t>σ</t>
          </r>
          <r>
            <rPr>
              <rFont val="Calibri"/>
              <i val="1"/>
              <color rgb="002B2B2B"/>
              <sz val="10"/>
              <vertAlign val="subscript"/>
            </rPr>
            <t>s</t>
          </r>
        </is>
      </c>
      <c r="E139" s="46">
        <f>IF(inputs_ok,f_yd*qp*As_d/A_s1prov/delta_r,NA())</f>
        <v/>
      </c>
      <c r="F139" s="28" t="inlineStr">
        <is>
          <t>MPa</t>
        </is>
      </c>
      <c r="G139" s="23" t="n"/>
    </row>
    <row r="140" ht="17" customHeight="1">
      <c r="B140" s="26" t="inlineStr">
        <is>
          <t>Table 7.4N</t>
        </is>
      </c>
      <c r="C140" s="24" t="inlineStr">
        <is>
          <t>K for the section location</t>
        </is>
      </c>
      <c r="D140" s="27" t="inlineStr">
        <is>
          <r>
            <rPr>
              <rFont val="Calibri"/>
              <i val="1"/>
              <color rgb="002B2B2B"/>
              <sz val="10"/>
            </rPr>
            <t>K</t>
          </r>
        </is>
      </c>
      <c r="E140" s="43">
        <f>IF(inputs_ok,IF(span,CHOOSE(loc_i,1.0,1.3,1.5,0.4),"n/a"),NA())</f>
        <v/>
      </c>
      <c r="F140" s="23" t="n"/>
      <c r="G140" s="23" t="n"/>
    </row>
    <row r="141" ht="17" customHeight="1">
      <c r="B141" s="26" t="inlineStr">
        <is>
          <t>(7.16)</t>
        </is>
      </c>
      <c r="C141" s="24" t="inlineStr">
        <is>
          <t>Reference ratio  ρ0 = √fck · 10⁻³</t>
        </is>
      </c>
      <c r="D141" s="27" t="inlineStr">
        <is>
          <r>
            <rPr>
              <rFont val="Calibri"/>
              <i val="1"/>
              <color rgb="002B2B2B"/>
              <sz val="10"/>
            </rPr>
            <t>ρ</t>
          </r>
          <r>
            <rPr>
              <rFont val="Calibri"/>
              <i val="1"/>
              <color rgb="002B2B2B"/>
              <sz val="10"/>
              <vertAlign val="subscript"/>
            </rPr>
            <t>0</t>
          </r>
        </is>
      </c>
      <c r="E141" s="47">
        <f>IF(inputs_ok,SQRT(f_ck)/1000,NA())</f>
        <v/>
      </c>
      <c r="F141" s="23" t="n"/>
      <c r="G141" s="23" t="n"/>
    </row>
    <row r="142" ht="17" customHeight="1">
      <c r="B142" s="26" t="inlineStr">
        <is>
          <t>Concise EC2 10.5.2</t>
        </is>
      </c>
      <c r="C142" s="24" t="inlineStr">
        <is>
          <t>Concrete above the tension steel  (hogging: bw d)</t>
        </is>
      </c>
      <c r="D142" s="27" t="inlineStr">
        <is>
          <r>
            <rPr>
              <rFont val="Calibri"/>
              <i val="1"/>
              <color rgb="002B2B2B"/>
              <sz val="10"/>
            </rPr>
            <t>A</t>
          </r>
          <r>
            <rPr>
              <rFont val="Calibri"/>
              <i val="1"/>
              <color rgb="002B2B2B"/>
              <sz val="10"/>
              <vertAlign val="subscript"/>
            </rPr>
            <t>ρ</t>
          </r>
        </is>
      </c>
      <c r="E142" s="42">
        <f>IF(inputs_ok,IF(hog,b_w*d_eff,b_eff*h_f+b_w*(d_eff-h_f)),NA())</f>
        <v/>
      </c>
      <c r="F142" s="28" t="inlineStr">
        <is>
          <t>mm²</t>
        </is>
      </c>
      <c r="G142" s="23" t="n"/>
    </row>
    <row r="143" ht="17" customHeight="1">
      <c r="B143" s="26" t="inlineStr">
        <is>
          <t>(7.16)</t>
        </is>
      </c>
      <c r="C143" s="24" t="inlineStr">
        <is>
          <t>Tension reinforcement ratio  As,req / Aρ</t>
        </is>
      </c>
      <c r="D143" s="27" t="inlineStr">
        <is>
          <r>
            <rPr>
              <rFont val="Calibri"/>
              <i val="1"/>
              <color rgb="002B2B2B"/>
              <sz val="10"/>
            </rPr>
            <t>ρ</t>
          </r>
        </is>
      </c>
      <c r="E143" s="47">
        <f>IF(inputs_ok,As_d/A_rho,NA())</f>
        <v/>
      </c>
      <c r="F143" s="23" t="n"/>
      <c r="G143" s="23" t="n"/>
    </row>
    <row r="144" ht="17" customHeight="1">
      <c r="B144" s="26" t="inlineStr">
        <is>
          <t>(7.16b)</t>
        </is>
      </c>
      <c r="C144" s="24" t="inlineStr">
        <is>
          <t>Compression reinforcement ratio  As2,req / Aρ</t>
        </is>
      </c>
      <c r="D144" s="27" t="inlineStr">
        <is>
          <r>
            <rPr>
              <rFont val="Calibri"/>
              <i val="1"/>
              <color rgb="002B2B2B"/>
              <sz val="10"/>
            </rPr>
            <t>ρ'</t>
          </r>
        </is>
      </c>
      <c r="E144" s="47">
        <f>IF(inputs_ok,A_s2req/A_rho,NA())</f>
        <v/>
      </c>
      <c r="F144" s="23" t="n"/>
      <c r="G144" s="23" t="n"/>
    </row>
    <row r="145" ht="17" customHeight="1">
      <c r="B145" s="26" t="inlineStr">
        <is>
          <t>(7.16a), (7.16b)</t>
        </is>
      </c>
      <c r="C145" s="24" t="inlineStr">
        <is>
          <t>Basic span / effective depth ratio</t>
        </is>
      </c>
      <c r="D145" s="27" t="inlineStr">
        <is>
          <r>
            <rPr>
              <rFont val="Calibri"/>
              <i val="1"/>
              <color rgb="002B2B2B"/>
              <sz val="10"/>
            </rPr>
            <t>l/d</t>
          </r>
        </is>
      </c>
      <c r="E145" s="43">
        <f>IF(inputs_ok,IF(span,K_d*IF(rho_t&lt;=rho_0,11+1.5*SQRT(f_ck)*rho_0/rho_t+3.2*SQRT(f_ck)*(rho_0/rho_t-1)^1.5,11+1.5*SQRT(f_ck)*rho_0/(rho_t-rho_c)+SQRT(f_ck)/12*SQRT(rho_c/rho_0)),"n/a"),NA())</f>
        <v/>
      </c>
      <c r="F145" s="23" t="n"/>
      <c r="G145" s="23" t="n"/>
    </row>
    <row r="146" ht="17" customHeight="1">
      <c r="B146" s="26" t="inlineStr">
        <is>
          <t>7.4.2(2)</t>
        </is>
      </c>
      <c r="C146" s="24" t="inlineStr">
        <is>
          <t>Flanged section  beff / bw &gt; 3: 0.8  (sagging)</t>
        </is>
      </c>
      <c r="D146" s="27" t="inlineStr">
        <is>
          <r>
            <rPr>
              <rFont val="Calibri"/>
              <i val="1"/>
              <color rgb="002B2B2B"/>
              <sz val="10"/>
            </rPr>
            <t>F</t>
          </r>
          <r>
            <rPr>
              <rFont val="Calibri"/>
              <i val="1"/>
              <color rgb="002B2B2B"/>
              <sz val="10"/>
              <vertAlign val="subscript"/>
            </rPr>
            <t>1</t>
          </r>
        </is>
      </c>
      <c r="E146" s="41">
        <f>IF(inputs_ok,IF(AND(NOT(hog),b_eff/b_w&gt;3),0.8,1),NA())</f>
        <v/>
      </c>
      <c r="F146" s="23" t="n"/>
      <c r="G146" s="23" t="n"/>
    </row>
    <row r="147" ht="17" customHeight="1">
      <c r="B147" s="26" t="inlineStr">
        <is>
          <t>7.4.2(2)</t>
        </is>
      </c>
      <c r="C147" s="24" t="inlineStr">
        <is>
          <t>Brittle partitions: 7 / l over 7 m  (flat slab: 8.5 / l over 8.5 m)</t>
        </is>
      </c>
      <c r="D147" s="27" t="inlineStr">
        <is>
          <r>
            <rPr>
              <rFont val="Calibri"/>
              <i val="1"/>
              <color rgb="002B2B2B"/>
              <sz val="10"/>
            </rPr>
            <t>F</t>
          </r>
          <r>
            <rPr>
              <rFont val="Calibri"/>
              <i val="1"/>
              <color rgb="002B2B2B"/>
              <sz val="10"/>
              <vertAlign val="subscript"/>
            </rPr>
            <t>2</t>
          </r>
        </is>
      </c>
      <c r="E147" s="44">
        <f>IF(inputs_ok,IF(span,IF(partitions="No",1,IF(loc="Flat slab span",IF(L_span&gt;8.5,8.5/L_span,1),IF(L_span&gt;7,7/L_span,1))),"n/a"),NA())</f>
        <v/>
      </c>
      <c r="F147" s="23" t="n"/>
      <c r="G147" s="23" t="n"/>
    </row>
    <row r="148" ht="17" customHeight="1">
      <c r="B148" s="26" t="inlineStr">
        <is>
          <t>(7.17)</t>
        </is>
      </c>
      <c r="C148" s="24" t="inlineStr">
        <is>
          <t>Steel stress factor  310 / σs  (σs ≥ 1 MPa;  UK NA: ≤ 1.5)</t>
        </is>
      </c>
      <c r="D148" s="27" t="inlineStr">
        <is>
          <r>
            <rPr>
              <rFont val="Calibri"/>
              <i val="1"/>
              <color rgb="002B2B2B"/>
              <sz val="10"/>
            </rPr>
            <t>F</t>
          </r>
          <r>
            <rPr>
              <rFont val="Calibri"/>
              <i val="1"/>
              <color rgb="002B2B2B"/>
              <sz val="10"/>
              <vertAlign val="subscript"/>
            </rPr>
            <t>3</t>
          </r>
        </is>
      </c>
      <c r="E148" s="44">
        <f>IF(inputs_ok,IF(ld_mod_max&gt;0,MIN(ld_mod_max,310/MAX(1,sig_cr)),310/MAX(1,sig_cr)),NA())</f>
        <v/>
      </c>
      <c r="F148" s="23" t="n"/>
      <c r="G148" s="23" t="n"/>
    </row>
    <row r="149" ht="17" customHeight="1">
      <c r="B149" s="26" t="inlineStr">
        <is>
          <t>7.4.2</t>
        </is>
      </c>
      <c r="C149" s="24" t="inlineStr">
        <is>
          <t>Limiting span / effective depth  (UK NA: ≤ 40 K)</t>
        </is>
      </c>
      <c r="D149" s="27" t="inlineStr">
        <is>
          <r>
            <rPr>
              <rFont val="Calibri"/>
              <i val="1"/>
              <color rgb="002B2B2B"/>
              <sz val="10"/>
            </rPr>
            <t>l/d</t>
          </r>
          <r>
            <rPr>
              <rFont val="Calibri"/>
              <i val="1"/>
              <color rgb="002B2B2B"/>
              <sz val="10"/>
              <vertAlign val="subscript"/>
            </rPr>
            <t>lim</t>
          </r>
        </is>
      </c>
      <c r="E149" s="46">
        <f>IF(inputs_ok,IF(span,IF(ld_cap_40K=1,MIN(40*K_d,ld_basic*F_1*F_2*F_3),ld_basic*F_1*F_2*F_3),"n/a"),NA())</f>
        <v/>
      </c>
      <c r="F149" s="23" t="n"/>
      <c r="G149" s="23" t="n"/>
    </row>
    <row r="150" ht="17" customHeight="1">
      <c r="B150" s="23" t="n"/>
      <c r="C150" s="24" t="inlineStr">
        <is>
          <t>Actual span / effective depth</t>
        </is>
      </c>
      <c r="D150" s="27" t="inlineStr">
        <is>
          <r>
            <rPr>
              <rFont val="Calibri"/>
              <i val="1"/>
              <color rgb="002B2B2B"/>
              <sz val="10"/>
            </rPr>
            <t>l/d</t>
          </r>
        </is>
      </c>
      <c r="E150" s="46">
        <f>IF(inputs_ok,IF(span,L_span*1000/d_eff,"n/a"),NA())</f>
        <v/>
      </c>
      <c r="F150" s="23" t="n"/>
      <c r="G150" s="23" t="n"/>
    </row>
    <row r="151" ht="17" customHeight="1">
      <c r="B151" s="26" t="inlineStr">
        <is>
          <t>7.4.2</t>
        </is>
      </c>
      <c r="C151" s="24" t="inlineStr">
        <is>
          <t>Deflection  l/d ≤ limiting l/d  (support: not checked)</t>
        </is>
      </c>
      <c r="D151" s="27" t="inlineStr">
        <is>
          <r>
            <rPr>
              <rFont val="Calibri"/>
              <i val="1"/>
              <color rgb="002B2B2B"/>
              <sz val="10"/>
            </rPr>
            <t>l/d</t>
          </r>
        </is>
      </c>
      <c r="E151" s="43">
        <f>IF(inputs_ok,ld_act,NA())</f>
        <v/>
      </c>
      <c r="F151" s="23" t="n"/>
      <c r="G151" s="31">
        <f>IF(NOT(inputs_ok),"FAIL",IF(defl_ok,"OK","FAIL"))</f>
        <v/>
      </c>
    </row>
    <row r="152"/>
    <row r="153" ht="22" customHeight="1">
      <c r="B153" s="20" t="inlineStr">
        <is>
          <t>Calculation  ·  cracking without direct calculation  (7.3.3)</t>
        </is>
      </c>
      <c r="C153" s="21" t="n"/>
      <c r="D153" s="21" t="n"/>
      <c r="E153" s="21" t="n"/>
      <c r="F153" s="21" t="n"/>
      <c r="G153" s="21" t="n"/>
    </row>
    <row r="154" ht="17" customHeight="1">
      <c r="B154" s="26" t="inlineStr">
        <is>
          <t>7.3.2(2)</t>
        </is>
      </c>
      <c r="C154" s="24" t="inlineStr">
        <is>
          <t>Tensile strength when the cracks form  fct,eff = fctm</t>
        </is>
      </c>
      <c r="D154" s="27" t="inlineStr">
        <is>
          <r>
            <rPr>
              <rFont val="Calibri"/>
              <i val="1"/>
              <color rgb="002B2B2B"/>
              <sz val="10"/>
            </rPr>
            <t>f</t>
          </r>
          <r>
            <rPr>
              <rFont val="Calibri"/>
              <i val="1"/>
              <color rgb="002B2B2B"/>
              <sz val="10"/>
              <vertAlign val="subscript"/>
            </rPr>
            <t>ct,eff</t>
          </r>
        </is>
      </c>
      <c r="E154" s="41">
        <f>IF(inputs_ok,f_ctm,NA())</f>
        <v/>
      </c>
      <c r="F154" s="28" t="inlineStr">
        <is>
          <t>MPa</t>
        </is>
      </c>
      <c r="G154" s="23" t="n"/>
    </row>
    <row r="155" ht="17" customHeight="1">
      <c r="B155" s="26" t="inlineStr">
        <is>
          <t>(7.6N)</t>
        </is>
      </c>
      <c r="C155" s="24" t="inlineStr">
        <is>
          <t>Tension zone before cracking  (gross section: h − y_g; hogging y_g)</t>
        </is>
      </c>
      <c r="D155" s="27" t="inlineStr">
        <is>
          <r>
            <rPr>
              <rFont val="Calibri"/>
              <i val="1"/>
              <color rgb="002B2B2B"/>
              <sz val="10"/>
            </rPr>
            <t>h</t>
          </r>
          <r>
            <rPr>
              <rFont val="Calibri"/>
              <i val="1"/>
              <color rgb="002B2B2B"/>
              <sz val="10"/>
              <vertAlign val="subscript"/>
            </rPr>
            <t>cr</t>
          </r>
        </is>
      </c>
      <c r="E155" s="42">
        <f>IF(inputs_ok,IF(hog,y_g,h_sec-y_g),NA())</f>
        <v/>
      </c>
      <c r="F155" s="28" t="inlineStr">
        <is>
          <t>mm</t>
        </is>
      </c>
      <c r="G155" s="23" t="n"/>
    </row>
    <row r="156" ht="17" customHeight="1">
      <c r="B156" s="26" t="inlineStr">
        <is>
          <t>(7.6N)</t>
        </is>
      </c>
      <c r="C156" s="24" t="inlineStr">
        <is>
          <t>Bar size factor  (fct,eff / 2.9) kc hcr / (2 (h − d)),  kc = 0.4</t>
        </is>
      </c>
      <c r="D156" s="23" t="n"/>
      <c r="E156" s="44">
        <f>IF(inputs_ok,fct_eff/2.9*0.4*h_cr/(2*(h_sec-d_eff)),NA())</f>
        <v/>
      </c>
      <c r="F156" s="23" t="n"/>
      <c r="G156" s="23" t="n"/>
    </row>
    <row r="157" ht="17" customHeight="1">
      <c r="B157" s="26" t="inlineStr">
        <is>
          <t>Table 7.2N</t>
        </is>
      </c>
      <c r="C157" s="24" t="inlineStr">
        <is>
          <t>Maximum bar size from the table at σs  φs*</t>
        </is>
      </c>
      <c r="D157" s="27" t="inlineStr">
        <is>
          <r>
            <rPr>
              <rFont val="Calibri"/>
              <i val="1"/>
              <color rgb="002B2B2B"/>
              <sz val="10"/>
            </rPr>
            <t>φ</t>
          </r>
          <r>
            <rPr>
              <rFont val="Calibri"/>
              <i val="1"/>
              <color rgb="002B2B2B"/>
              <sz val="10"/>
              <vertAlign val="subscript"/>
            </rPr>
            <t>s*</t>
          </r>
        </is>
      </c>
      <c r="E157" s="43">
        <f>IF(inputs_ok,IF(sig_cr&gt;450,0,IF(OR(INDEX(cr_phi,MATCH(MAX(160,sig_cr),cr_s,1))=0,AND(sig_cr&gt;INDEX(cr_s,MATCH(MAX(160,sig_cr),cr_s,1)),INDEX(cr_phi,MIN(MATCH(MAX(160,sig_cr),cr_s,1)+1,8))=0)),0,IF(INDEX(cr_s,MIN(MATCH(MAX(160,sig_cr),cr_s,1)+1,8))=INDEX(cr_s,MATCH(MAX(160,sig_cr),cr_s,1)),INDEX(cr_phi,MATCH(MAX(160,sig_cr),cr_s,1)),INDEX(cr_phi,MATCH(MAX(160,sig_cr),cr_s,1))+(INDEX(cr_phi,MIN(MATCH(MAX(160,sig_cr),cr_s,1)+1,8))-INDEX(cr_phi,MATCH(MAX(160,sig_cr),cr_s,1)))*(MAX(160,sig_cr)-INDEX(cr_s,MATCH(MAX(160,sig_cr),cr_s,1)))/(INDEX(cr_s,MIN(MATCH(MAX(160,sig_cr),cr_s,1)+1,8))-INDEX(cr_s,MATCH(MAX(160,sig_cr),cr_s,1)))))),NA())</f>
        <v/>
      </c>
      <c r="F157" s="28" t="inlineStr">
        <is>
          <t>mm</t>
        </is>
      </c>
      <c r="G157" s="26" t="inlineStr">
        <is>
          <t>0: no value in the table</t>
        </is>
      </c>
    </row>
    <row r="158" ht="17" customHeight="1">
      <c r="B158" s="26" t="inlineStr">
        <is>
          <t>(7.6N)</t>
        </is>
      </c>
      <c r="C158" s="24" t="inlineStr">
        <is>
          <t>Adjusted maximum bar size  φs* × factor</t>
        </is>
      </c>
      <c r="D158" s="27" t="inlineStr">
        <is>
          <r>
            <rPr>
              <rFont val="Calibri"/>
              <i val="1"/>
              <color rgb="002B2B2B"/>
              <sz val="10"/>
            </rPr>
            <t>φ</t>
          </r>
          <r>
            <rPr>
              <rFont val="Calibri"/>
              <i val="1"/>
              <color rgb="002B2B2B"/>
              <sz val="10"/>
              <vertAlign val="subscript"/>
            </rPr>
            <t>s</t>
          </r>
        </is>
      </c>
      <c r="E158" s="46">
        <f>IF(inputs_ok,phit_cr*cr_adj,NA())</f>
        <v/>
      </c>
      <c r="F158" s="28" t="inlineStr">
        <is>
          <t>mm</t>
        </is>
      </c>
      <c r="G158" s="23" t="n"/>
    </row>
    <row r="159" ht="17" customHeight="1">
      <c r="B159" s="26" t="inlineStr">
        <is>
          <t>Table 7.3N</t>
        </is>
      </c>
      <c r="C159" s="24" t="inlineStr">
        <is>
          <t>Maximum bar spacing at σs</t>
        </is>
      </c>
      <c r="D159" s="27" t="inlineStr">
        <is>
          <r>
            <rPr>
              <rFont val="Calibri"/>
              <i val="1"/>
              <color rgb="002B2B2B"/>
              <sz val="10"/>
            </rPr>
            <t>s</t>
          </r>
          <r>
            <rPr>
              <rFont val="Calibri"/>
              <i val="1"/>
              <color rgb="002B2B2B"/>
              <sz val="10"/>
              <vertAlign val="subscript"/>
            </rPr>
            <t>max</t>
          </r>
        </is>
      </c>
      <c r="E159" s="45">
        <f>IF(inputs_ok,IF(sig_cr&gt;450,0,IF(OR(INDEX(cr_sp,MATCH(MAX(160,sig_cr),cr_s,1))=0,AND(sig_cr&gt;INDEX(cr_s,MATCH(MAX(160,sig_cr),cr_s,1)),INDEX(cr_sp,MIN(MATCH(MAX(160,sig_cr),cr_s,1)+1,8))=0)),0,IF(INDEX(cr_s,MIN(MATCH(MAX(160,sig_cr),cr_s,1)+1,8))=INDEX(cr_s,MATCH(MAX(160,sig_cr),cr_s,1)),INDEX(cr_sp,MATCH(MAX(160,sig_cr),cr_s,1)),INDEX(cr_sp,MATCH(MAX(160,sig_cr),cr_s,1))+(INDEX(cr_sp,MIN(MATCH(MAX(160,sig_cr),cr_s,1)+1,8))-INDEX(cr_sp,MATCH(MAX(160,sig_cr),cr_s,1)))*(MAX(160,sig_cr)-INDEX(cr_s,MATCH(MAX(160,sig_cr),cr_s,1)))/(INDEX(cr_s,MIN(MATCH(MAX(160,sig_cr),cr_s,1)+1,8))-INDEX(cr_s,MATCH(MAX(160,sig_cr),cr_s,1)))))),NA())</f>
        <v/>
      </c>
      <c r="F159" s="28" t="inlineStr">
        <is>
          <t>mm</t>
        </is>
      </c>
      <c r="G159" s="26" t="inlineStr">
        <is>
          <t>0: no value in the table</t>
        </is>
      </c>
    </row>
    <row r="160" ht="17" customHeight="1">
      <c r="B160" s="23" t="n"/>
      <c r="C160" s="24" t="inlineStr">
        <is>
          <t>Bar spacing  (centres, one layer)</t>
        </is>
      </c>
      <c r="D160" s="27" t="inlineStr">
        <is>
          <r>
            <rPr>
              <rFont val="Calibri"/>
              <i val="1"/>
              <color rgb="002B2B2B"/>
              <sz val="10"/>
            </rPr>
            <t>s</t>
          </r>
        </is>
      </c>
      <c r="E160" s="42">
        <f>IF(inputs_ok,s_cr,NA())</f>
        <v/>
      </c>
      <c r="F160" s="28" t="inlineStr">
        <is>
          <t>mm</t>
        </is>
      </c>
      <c r="G160" s="23" t="n"/>
    </row>
    <row r="161" ht="17" customHeight="1">
      <c r="B161" s="26" t="inlineStr">
        <is>
          <t>Table 7.2N</t>
        </is>
      </c>
      <c r="C161" s="24" t="inlineStr">
        <is>
          <t>Bar size  φ ≤ φs</t>
        </is>
      </c>
      <c r="D161" s="27" t="inlineStr">
        <is>
          <r>
            <rPr>
              <rFont val="Calibri"/>
              <i val="1"/>
              <color rgb="002B2B2B"/>
              <sz val="10"/>
            </rPr>
            <t>φ</t>
          </r>
        </is>
      </c>
      <c r="E161" s="42">
        <f>IF(inputs_ok,phi,NA())</f>
        <v/>
      </c>
      <c r="F161" s="28" t="inlineStr">
        <is>
          <t>mm</t>
        </is>
      </c>
      <c r="G161" s="31">
        <f>IF(NOT(inputs_ok),"FAIL",IF(size_ok,"OK","FAIL"))</f>
        <v/>
      </c>
    </row>
    <row r="162" ht="17" customHeight="1">
      <c r="B162" s="26" t="inlineStr">
        <is>
          <t>Table 7.3N</t>
        </is>
      </c>
      <c r="C162" s="24" t="inlineStr">
        <is>
          <t>Bar spacing  s ≤ s_max</t>
        </is>
      </c>
      <c r="D162" s="27" t="inlineStr">
        <is>
          <r>
            <rPr>
              <rFont val="Calibri"/>
              <i val="1"/>
              <color rgb="002B2B2B"/>
              <sz val="10"/>
            </rPr>
            <t>s</t>
          </r>
        </is>
      </c>
      <c r="E162" s="42">
        <f>IF(inputs_ok,s_cr,NA())</f>
        <v/>
      </c>
      <c r="F162" s="28" t="inlineStr">
        <is>
          <t>mm</t>
        </is>
      </c>
      <c r="G162" s="31">
        <f>IF(NOT(inputs_ok),"FAIL",IF(spac_ok,"OK","FAIL"))</f>
        <v/>
      </c>
    </row>
    <row r="163" ht="17" customHeight="1">
      <c r="B163" s="26" t="inlineStr">
        <is>
          <t>7.3.3(3)</t>
        </is>
      </c>
      <c r="C163" s="24" t="inlineStr">
        <is>
          <t>Beams deeper than 1 m: skin reinforcement  (Annex J)</t>
        </is>
      </c>
      <c r="D163" s="23" t="n"/>
      <c r="E163" s="9" t="n"/>
      <c r="F163" s="23" t="n"/>
      <c r="G163" s="31">
        <f>IF(NOT(inputs_ok),"FAIL",IF(h_sec&gt;1000,"! Provide","n/a"))</f>
        <v/>
      </c>
    </row>
    <row r="164" ht="41.5" customHeight="1">
      <c r="B164" s="48" t="inlineStr">
        <is>
          <t>Either table is enough for cracking caused mainly by loading (7.3.3(2)). Beams deeper than 1 m need skin reinforcement (7.3.3(3), Annex J). The minimum reinforcement for crack control (7.3.2) and restraint cracking (RC-022) are separate checks. σs uses As,req / As,prov and 1/δ (TCC How to); the same stress gives 310/σs for the deflection check.</t>
        </is>
      </c>
    </row>
    <row r="165"/>
    <row r="166" ht="29" customHeight="1">
      <c r="B166" s="48"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7">
    <mergeCell ref="B164:G164"/>
    <mergeCell ref="E5:G5"/>
    <mergeCell ref="B166:G166"/>
    <mergeCell ref="D2:G2"/>
    <mergeCell ref="E7:G7"/>
    <mergeCell ref="E6:G6"/>
    <mergeCell ref="C3:G3"/>
  </mergeCells>
  <conditionalFormatting sqref="G9:G167">
    <cfRule type="expression" priority="1" dxfId="0">
      <formula>G9="OK"</formula>
    </cfRule>
    <cfRule type="expression" priority="2" dxfId="1">
      <formula>G9="FAIL"</formula>
    </cfRule>
    <cfRule type="expression" priority="3" dxfId="2">
      <formula>LEFT(G9,1)="!"</formula>
    </cfRule>
  </conditionalFormatting>
  <dataValidations count="29">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Pick a value from the list." type="list" errorStyle="stop">
      <formula1>"A,B,C"</formula1>
    </dataValidation>
    <dataValidation sqref="E15" showDropDown="0" showInputMessage="0" showErrorMessage="1" allowBlank="0" errorTitle="NA Engineering" error="Enter a number greater than 0." type="decimal" errorStyle="stop" operator="greaterThan">
      <formula1>0</formula1>
    </dataValidation>
    <dataValidation sqref="E16" showDropDown="0" showInputMessage="0" showErrorMessage="1" allowBlank="0" errorTitle="NA Engineering" error="Pick a value from the list." type="list" errorStyle="stop">
      <formula1>"Simply supported span,End span,Interior span,Cantilever,Support"</formula1>
    </dataValidation>
    <dataValidation sqref="E17" showDropDown="0" showInputMessage="0" showErrorMessage="1" allowBlank="0" errorTitle="NA Engineering" error="Pick a value from the list." type="list" errorStyle="stop">
      <formula1>"T-beam  (flange both sides),L-beam  (flange one side)"</formula1>
    </dataValidation>
    <dataValidation sqref="E18" showDropDown="0" showInputMessage="0" showErrorMessage="1" allowBlank="0" errorTitle="NA Engineering" error="Enter a number greater than 0." type="decimal" errorStyle="stop" operator="greaterThan">
      <formula1>0</formula1>
    </dataValidation>
    <dataValidation sqref="E19" showDropDown="0" showInputMessage="0" showErrorMessage="1" allowBlank="0" errorTitle="NA Engineering" error="Enter a number greater than 0." type="decimal" errorStyle="stop" operator="greaterThan">
      <formula1>0</formula1>
    </dataValidation>
    <dataValidation sqref="E20" showDropDown="0" showInputMessage="0" showErrorMessage="1" allowBlank="0" errorTitle="NA Engineering" error="Enter a number greater than 0." type="decimal" errorStyle="stop" operator="greaterThan">
      <formula1>0</formula1>
    </dataValidation>
    <dataValidation sqref="E21" showDropDown="0" showInputMessage="0" showErrorMessage="1" allowBlank="0" errorTitle="NA Engineering" error="Enter a number ≥ 0." type="decimal" errorStyle="stop" operator="greaterThanOrEqual">
      <formula1>0</formula1>
    </dataValidation>
    <dataValidation sqref="E22" showDropDown="0" showInputMessage="0" showErrorMessage="1" allowBlank="1" errorTitle="NA Engineering" error="Enter a number ≥ 0." type="custom" errorStyle="stop">
      <formula1>IF(t_type="T-beam  (flange both sides)",AND(ISNUMBER(E22),E22&gt;=0),TRUE)</formula1>
    </dataValidation>
    <dataValidation sqref="E23" showDropDown="0" showInputMessage="0" showErrorMessage="1" allowBlank="0" errorTitle="NA Engineering" error="Enter a number greater than 0." type="decimal" errorStyle="stop" operator="greaterThan">
      <formula1>0</formula1>
    </dataValidation>
    <dataValidation sqref="E24" showDropDown="0" showInputMessage="0" showErrorMessage="1" allowBlank="0" errorTitle="NA Engineering" error="Enter a number greater than 0." type="decimal" errorStyle="stop" operator="greaterThan">
      <formula1>0</formula1>
    </dataValidation>
    <dataValidation sqref="E25" showDropDown="0" showInputMessage="0" showErrorMessage="1" allowBlank="0" errorTitle="NA Engineering" error="Pick a value from the list." type="list" errorStyle="stop">
      <formula1>"6,8,10,12,16"</formula1>
    </dataValidation>
    <dataValidation sqref="E26" showDropDown="0" showInputMessage="0" showErrorMessage="1" allowBlank="0" errorTitle="NA Engineering" error="Enter a number greater than 0." type="decimal" errorStyle="stop" operator="greaterThan">
      <formula1>0</formula1>
    </dataValidation>
    <dataValidation sqref="E27 E29" showDropDown="0" showInputMessage="0" showErrorMessage="1" allowBlank="0" errorTitle="NA Engineering" error="Pick a value from the list." type="list" errorStyle="stop">
      <formula1>"8,10,12,16,20,25,32,40"</formula1>
    </dataValidation>
    <dataValidation sqref="E28" showDropDown="0" showInputMessage="0" showErrorMessage="1" allowBlank="0" errorTitle="NA Engineering" error="Enter a number ≥ 0." type="decimal" errorStyle="stop" operator="greaterThanOrEqual">
      <formula1>0</formula1>
    </dataValidation>
    <dataValidation sqref="E32" showDropDown="0" showInputMessage="0" showErrorMessage="1" allowBlank="0" errorTitle="NA Engineering" error="Enter a number ≥ 0." type="decimal" errorStyle="stop" operator="greaterThanOrEqual">
      <formula1>0</formula1>
    </dataValidation>
    <dataValidation sqref="E33" showDropDown="0" showInputMessage="0" showErrorMessage="1" allowBlank="0" errorTitle="NA Engineering" error="Enter a number greater than 0." type="decimal" errorStyle="stop" operator="greaterThan">
      <formula1>0</formula1>
    </dataValidation>
    <dataValidation sqref="E34" showDropDown="0" showInputMessage="0" showErrorMessage="1" allowBlank="1" errorTitle="NA Engineering" error="Enter a number greater than 0." type="custom" errorStyle="stop">
      <formula1>IF(loc&lt;&gt;"Support",AND(ISNUMBER(E34),E34&gt;0),TRUE)</formula1>
    </dataValidation>
    <dataValidation sqref="E35" showDropDown="0" showInputMessage="0" showErrorMessage="1" allowBlank="0" errorTitle="NA Engineering" error="Enter a number ≥ 0." type="decimal" errorStyle="stop" operator="greaterThanOrEqual">
      <formula1>0</formula1>
    </dataValidation>
    <dataValidation sqref="E36" showDropDown="0" showInputMessage="0" showErrorMessage="1" allowBlank="0" errorTitle="NA Engineering" error="Enter a number ≥ 0." type="decimal" errorStyle="stop" operator="greaterThanOrEqual">
      <formula1>0</formula1>
    </dataValidation>
    <dataValidation sqref="E37" showDropDown="0" showInputMessage="0" showErrorMessage="1" allowBlank="0" errorTitle="NA Engineering" error="Enter a number greater than 0." type="decimal" errorStyle="stop" operator="greaterThan">
      <formula1>0</formula1>
    </dataValidation>
    <dataValidation sqref="E38" showDropDown="0" showInputMessage="0" showErrorMessage="1" allowBlank="0" errorTitle="NA Engineering" error="Enter a number greater than 0." type="decimal" errorStyle="stop" operator="greaterThan">
      <formula1>0</formula1>
    </dataValidation>
    <dataValidation sqref="E39" showDropDown="0" showInputMessage="0" showErrorMessage="1" allowBlank="0" errorTitle="NA Engineering" error="Pick a value from the list." type="list" errorStyle="stop">
      <formula1>"A  domestic or residential,B  office,C  congregation  (crowds),D  shopping,E  storage,F  traffic  (vehicles ≤ 30 kN),G  traffic  (30 – 160 kN),H  roof,Other  (enter ψ2)"</formula1>
    </dataValidation>
    <dataValidation sqref="E40" showDropDown="0" showInputMessage="0" showErrorMessage="1" allowBlank="1" errorTitle="NA Engineering" error="Enter a number ≥ 0." type="custom" errorStyle="stop">
      <formula1>IF(usage="Other  (enter ψ2)",AND(ISNUMBER(E40),E40&gt;=0),TRUE)</formula1>
    </dataValidation>
    <dataValidation sqref="E41" showDropDown="0" showInputMessage="0" showErrorMessage="1" allowBlank="0" errorTitle="NA Engineering" error="Pick a value from the list." type="list" errorStyle="stop">
      <formula1>"No,Yes"</formula1>
    </dataValidation>
    <dataValidation sqref="E42" showDropDown="0" showInputMessage="0" showErrorMessage="1" allowBlank="0" errorTitle="NA Engineering" error="Pick a value from the list." type="list" errorStyle="stop">
      <formula1>"0.4,0.3,0.2"</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&amp;K8A8A8ANAE-RC-040  v1.0</oddFooter>
    <evenHeader/>
    <evenFooter/>
    <firstHeader/>
    <firstFooter/>
  </headerFooter>
  <rowBreaks count="1" manualBreakCount="1">
    <brk id="44" min="0" max="16383" man="1"/>
  </rowBreaks>
  <drawing xmlns:r="http://schemas.openxmlformats.org/officeDocument/2006/relationships" r:id="rId1"/>
</worksheet>
</file>

<file path=xl/worksheets/sheet7.xml><?xml version="1.0" encoding="utf-8"?>
<worksheet xmlns="http://schemas.openxmlformats.org/spreadsheetml/2006/main">
  <sheetPr>
    <outlinePr summaryBelow="1" summaryRight="1"/>
    <pageSetUpPr/>
  </sheetPr>
  <dimension ref="A1:DR19"/>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section</t>
        </is>
      </c>
      <c r="G2" t="inlineStr">
        <is>
          <t>link</t>
        </is>
      </c>
      <c r="J2" t="inlineStr">
        <is>
          <t>bar t0</t>
        </is>
      </c>
      <c r="M2" t="inlineStr">
        <is>
          <t>bar c0</t>
        </is>
      </c>
      <c r="P2" t="inlineStr">
        <is>
          <t>bar t1</t>
        </is>
      </c>
      <c r="S2" t="inlineStr">
        <is>
          <t>bar c1</t>
        </is>
      </c>
      <c r="V2" t="inlineStr">
        <is>
          <t>bar t2</t>
        </is>
      </c>
      <c r="Y2" t="inlineStr">
        <is>
          <t>bar c2</t>
        </is>
      </c>
      <c r="AB2" t="inlineStr">
        <is>
          <t>bar t3</t>
        </is>
      </c>
      <c r="AE2" t="inlineStr">
        <is>
          <t>bar c3</t>
        </is>
      </c>
      <c r="AH2" t="inlineStr">
        <is>
          <t>bar t4</t>
        </is>
      </c>
      <c r="AK2" t="inlineStr">
        <is>
          <t>bar c4</t>
        </is>
      </c>
      <c r="AN2" t="inlineStr">
        <is>
          <t>bar t5</t>
        </is>
      </c>
      <c r="AQ2" t="inlineStr">
        <is>
          <t>bar c5</t>
        </is>
      </c>
      <c r="AT2" t="inlineStr">
        <is>
          <t>bar t6</t>
        </is>
      </c>
      <c r="AW2" t="inlineStr">
        <is>
          <t>bar c6</t>
        </is>
      </c>
      <c r="AZ2" t="inlineStr">
        <is>
          <t>bar t7</t>
        </is>
      </c>
      <c r="BC2" t="inlineStr">
        <is>
          <t>bar c7</t>
        </is>
      </c>
      <c r="BF2" t="inlineStr">
        <is>
          <t>bar t8</t>
        </is>
      </c>
      <c r="BI2" t="inlineStr">
        <is>
          <t>bar c8</t>
        </is>
      </c>
      <c r="BL2" t="inlineStr">
        <is>
          <t>bar t9</t>
        </is>
      </c>
      <c r="BO2" t="inlineStr">
        <is>
          <t>bar c9</t>
        </is>
      </c>
      <c r="BR2" t="inlineStr">
        <is>
          <t>bar t10</t>
        </is>
      </c>
      <c r="BU2" t="inlineStr">
        <is>
          <t>bar c10</t>
        </is>
      </c>
      <c r="BX2" t="inlineStr">
        <is>
          <t>bar t11</t>
        </is>
      </c>
      <c r="CA2" t="inlineStr">
        <is>
          <t>bar c11</t>
        </is>
      </c>
      <c r="CD2" t="inlineStr">
        <is>
          <t>neutral axis</t>
        </is>
      </c>
      <c r="CG2" t="inlineStr">
        <is>
          <t>dim</t>
        </is>
      </c>
      <c r="CJ2">
        <f>IF(inputs_ok,"h "&amp;TEXT(h_sec,"0"),"")</f>
        <v/>
      </c>
      <c r="CM2" t="inlineStr">
        <is>
          <t>dim</t>
        </is>
      </c>
      <c r="CP2">
        <f>IF(inputs_ok,"d "&amp;TEXT(d_eff,"0"),"")</f>
        <v/>
      </c>
      <c r="CS2" t="inlineStr">
        <is>
          <t>dim</t>
        </is>
      </c>
      <c r="CV2">
        <f>IF(inputs_ok,"b_w "&amp;TEXT(b_w,"0"),"")</f>
        <v/>
      </c>
      <c r="CY2">
        <f>IF(inputs_ok,n_bars&amp;" × φ"&amp;phi,"")</f>
        <v/>
      </c>
      <c r="DB2">
        <f>IF(inputs_ok,IF(n_2&gt;0,n_2&amp;" × φ"&amp;phi_2,""),"")</f>
        <v/>
      </c>
      <c r="DE2" t="inlineStr">
        <is>
          <t>dim</t>
        </is>
      </c>
      <c r="DH2">
        <f>IF(inputs_ok,"b_eff "&amp;TEXT(b_eff,"0"),"")</f>
        <v/>
      </c>
      <c r="DK2">
        <f>IF(inputs_ok,IF(M_Ed&gt;0,"x "&amp;TEXT(x_na,"0"),""),"")</f>
        <v/>
      </c>
      <c r="DN2">
        <f>IF(inputs_ok,IF(hog,"hogging: tension at the top","sagging: tension at the bottom"),"")</f>
        <v/>
      </c>
      <c r="DQ2" t="inlineStr">
        <is>
          <t>frame</t>
        </is>
      </c>
    </row>
    <row r="3">
      <c r="A3">
        <f>0</f>
        <v/>
      </c>
      <c r="B3">
        <f>0</f>
        <v/>
      </c>
      <c r="D3">
        <f>IF(inputs_ok,0,NA())</f>
        <v/>
      </c>
      <c r="E3">
        <f>0</f>
        <v/>
      </c>
      <c r="G3">
        <f>IF(inputs_ok,(c_nom+phi_w/2),NA())</f>
        <v/>
      </c>
      <c r="H3">
        <f>(c_nom+phi_w/2)</f>
        <v/>
      </c>
      <c r="J3">
        <f>IF(inputs_ok,IF(0&lt;n_bars,(c_nom+phi_w+phi/2+0*(b_w-2*c_nom-2*phi_w-phi)/MAX(n_bars-1,1))+(phi/2)*1.000000,NA()),NA())</f>
        <v/>
      </c>
      <c r="K3">
        <f>IF(0&lt;n_bars,(IF(hog,h_sec-c_nom-phi_w-phi/2,c_nom+phi_w+phi/2))+(phi/2)*0.000000,NA())</f>
        <v/>
      </c>
      <c r="M3">
        <f>IF(inputs_ok,IF(0&lt;n_2,(c_nom+phi_w+phi_2/2+0*(b_w-2*c_nom-2*phi_w-phi_2)/MAX(n_2-1,1))+(phi_2/2)*1.000000,NA()),NA())</f>
        <v/>
      </c>
      <c r="N3">
        <f>IF(0&lt;n_2,(IF(hog,c_nom+phi_w+phi_2/2,h_sec-c_nom-phi_w-phi_2/2))+(phi_2/2)*0.000000,NA())</f>
        <v/>
      </c>
      <c r="P3">
        <f>IF(inputs_ok,IF(1&lt;n_bars,(c_nom+phi_w+phi/2+1*(b_w-2*c_nom-2*phi_w-phi)/MAX(n_bars-1,1))+(phi/2)*1.000000,NA()),NA())</f>
        <v/>
      </c>
      <c r="Q3">
        <f>IF(1&lt;n_bars,(IF(hog,h_sec-c_nom-phi_w-phi/2,c_nom+phi_w+phi/2))+(phi/2)*0.000000,NA())</f>
        <v/>
      </c>
      <c r="S3">
        <f>IF(inputs_ok,IF(1&lt;n_2,(c_nom+phi_w+phi_2/2+1*(b_w-2*c_nom-2*phi_w-phi_2)/MAX(n_2-1,1))+(phi_2/2)*1.000000,NA()),NA())</f>
        <v/>
      </c>
      <c r="T3">
        <f>IF(1&lt;n_2,(IF(hog,c_nom+phi_w+phi_2/2,h_sec-c_nom-phi_w-phi_2/2))+(phi_2/2)*0.000000,NA())</f>
        <v/>
      </c>
      <c r="V3">
        <f>IF(inputs_ok,IF(2&lt;n_bars,(c_nom+phi_w+phi/2+2*(b_w-2*c_nom-2*phi_w-phi)/MAX(n_bars-1,1))+(phi/2)*1.000000,NA()),NA())</f>
        <v/>
      </c>
      <c r="W3">
        <f>IF(2&lt;n_bars,(IF(hog,h_sec-c_nom-phi_w-phi/2,c_nom+phi_w+phi/2))+(phi/2)*0.000000,NA())</f>
        <v/>
      </c>
      <c r="Y3">
        <f>IF(inputs_ok,IF(2&lt;n_2,(c_nom+phi_w+phi_2/2+2*(b_w-2*c_nom-2*phi_w-phi_2)/MAX(n_2-1,1))+(phi_2/2)*1.000000,NA()),NA())</f>
        <v/>
      </c>
      <c r="Z3">
        <f>IF(2&lt;n_2,(IF(hog,c_nom+phi_w+phi_2/2,h_sec-c_nom-phi_w-phi_2/2))+(phi_2/2)*0.000000,NA())</f>
        <v/>
      </c>
      <c r="AB3">
        <f>IF(inputs_ok,IF(3&lt;n_bars,(c_nom+phi_w+phi/2+3*(b_w-2*c_nom-2*phi_w-phi)/MAX(n_bars-1,1))+(phi/2)*1.000000,NA()),NA())</f>
        <v/>
      </c>
      <c r="AC3">
        <f>IF(3&lt;n_bars,(IF(hog,h_sec-c_nom-phi_w-phi/2,c_nom+phi_w+phi/2))+(phi/2)*0.000000,NA())</f>
        <v/>
      </c>
      <c r="AE3">
        <f>IF(inputs_ok,IF(3&lt;n_2,(c_nom+phi_w+phi_2/2+3*(b_w-2*c_nom-2*phi_w-phi_2)/MAX(n_2-1,1))+(phi_2/2)*1.000000,NA()),NA())</f>
        <v/>
      </c>
      <c r="AF3">
        <f>IF(3&lt;n_2,(IF(hog,c_nom+phi_w+phi_2/2,h_sec-c_nom-phi_w-phi_2/2))+(phi_2/2)*0.000000,NA())</f>
        <v/>
      </c>
      <c r="AH3">
        <f>IF(inputs_ok,IF(4&lt;n_bars,(c_nom+phi_w+phi/2+4*(b_w-2*c_nom-2*phi_w-phi)/MAX(n_bars-1,1))+(phi/2)*1.000000,NA()),NA())</f>
        <v/>
      </c>
      <c r="AI3">
        <f>IF(4&lt;n_bars,(IF(hog,h_sec-c_nom-phi_w-phi/2,c_nom+phi_w+phi/2))+(phi/2)*0.000000,NA())</f>
        <v/>
      </c>
      <c r="AK3">
        <f>IF(inputs_ok,IF(4&lt;n_2,(c_nom+phi_w+phi_2/2+4*(b_w-2*c_nom-2*phi_w-phi_2)/MAX(n_2-1,1))+(phi_2/2)*1.000000,NA()),NA())</f>
        <v/>
      </c>
      <c r="AL3">
        <f>IF(4&lt;n_2,(IF(hog,c_nom+phi_w+phi_2/2,h_sec-c_nom-phi_w-phi_2/2))+(phi_2/2)*0.000000,NA())</f>
        <v/>
      </c>
      <c r="AN3">
        <f>IF(inputs_ok,IF(5&lt;n_bars,(c_nom+phi_w+phi/2+5*(b_w-2*c_nom-2*phi_w-phi)/MAX(n_bars-1,1))+(phi/2)*1.000000,NA()),NA())</f>
        <v/>
      </c>
      <c r="AO3">
        <f>IF(5&lt;n_bars,(IF(hog,h_sec-c_nom-phi_w-phi/2,c_nom+phi_w+phi/2))+(phi/2)*0.000000,NA())</f>
        <v/>
      </c>
      <c r="AQ3">
        <f>IF(inputs_ok,IF(5&lt;n_2,(c_nom+phi_w+phi_2/2+5*(b_w-2*c_nom-2*phi_w-phi_2)/MAX(n_2-1,1))+(phi_2/2)*1.000000,NA()),NA())</f>
        <v/>
      </c>
      <c r="AR3">
        <f>IF(5&lt;n_2,(IF(hog,c_nom+phi_w+phi_2/2,h_sec-c_nom-phi_w-phi_2/2))+(phi_2/2)*0.000000,NA())</f>
        <v/>
      </c>
      <c r="AT3">
        <f>IF(inputs_ok,IF(6&lt;n_bars,(c_nom+phi_w+phi/2+6*(b_w-2*c_nom-2*phi_w-phi)/MAX(n_bars-1,1))+(phi/2)*1.000000,NA()),NA())</f>
        <v/>
      </c>
      <c r="AU3">
        <f>IF(6&lt;n_bars,(IF(hog,h_sec-c_nom-phi_w-phi/2,c_nom+phi_w+phi/2))+(phi/2)*0.000000,NA())</f>
        <v/>
      </c>
      <c r="AW3">
        <f>IF(inputs_ok,IF(6&lt;n_2,(c_nom+phi_w+phi_2/2+6*(b_w-2*c_nom-2*phi_w-phi_2)/MAX(n_2-1,1))+(phi_2/2)*1.000000,NA()),NA())</f>
        <v/>
      </c>
      <c r="AX3">
        <f>IF(6&lt;n_2,(IF(hog,c_nom+phi_w+phi_2/2,h_sec-c_nom-phi_w-phi_2/2))+(phi_2/2)*0.000000,NA())</f>
        <v/>
      </c>
      <c r="AZ3">
        <f>IF(inputs_ok,IF(7&lt;n_bars,(c_nom+phi_w+phi/2+7*(b_w-2*c_nom-2*phi_w-phi)/MAX(n_bars-1,1))+(phi/2)*1.000000,NA()),NA())</f>
        <v/>
      </c>
      <c r="BA3">
        <f>IF(7&lt;n_bars,(IF(hog,h_sec-c_nom-phi_w-phi/2,c_nom+phi_w+phi/2))+(phi/2)*0.000000,NA())</f>
        <v/>
      </c>
      <c r="BC3">
        <f>IF(inputs_ok,IF(7&lt;n_2,(c_nom+phi_w+phi_2/2+7*(b_w-2*c_nom-2*phi_w-phi_2)/MAX(n_2-1,1))+(phi_2/2)*1.000000,NA()),NA())</f>
        <v/>
      </c>
      <c r="BD3">
        <f>IF(7&lt;n_2,(IF(hog,c_nom+phi_w+phi_2/2,h_sec-c_nom-phi_w-phi_2/2))+(phi_2/2)*0.000000,NA())</f>
        <v/>
      </c>
      <c r="BF3">
        <f>IF(inputs_ok,IF(8&lt;n_bars,(c_nom+phi_w+phi/2+8*(b_w-2*c_nom-2*phi_w-phi)/MAX(n_bars-1,1))+(phi/2)*1.000000,NA()),NA())</f>
        <v/>
      </c>
      <c r="BG3">
        <f>IF(8&lt;n_bars,(IF(hog,h_sec-c_nom-phi_w-phi/2,c_nom+phi_w+phi/2))+(phi/2)*0.000000,NA())</f>
        <v/>
      </c>
      <c r="BI3">
        <f>IF(inputs_ok,IF(8&lt;n_2,(c_nom+phi_w+phi_2/2+8*(b_w-2*c_nom-2*phi_w-phi_2)/MAX(n_2-1,1))+(phi_2/2)*1.000000,NA()),NA())</f>
        <v/>
      </c>
      <c r="BJ3">
        <f>IF(8&lt;n_2,(IF(hog,c_nom+phi_w+phi_2/2,h_sec-c_nom-phi_w-phi_2/2))+(phi_2/2)*0.000000,NA())</f>
        <v/>
      </c>
      <c r="BL3">
        <f>IF(inputs_ok,IF(9&lt;n_bars,(c_nom+phi_w+phi/2+9*(b_w-2*c_nom-2*phi_w-phi)/MAX(n_bars-1,1))+(phi/2)*1.000000,NA()),NA())</f>
        <v/>
      </c>
      <c r="BM3">
        <f>IF(9&lt;n_bars,(IF(hog,h_sec-c_nom-phi_w-phi/2,c_nom+phi_w+phi/2))+(phi/2)*0.000000,NA())</f>
        <v/>
      </c>
      <c r="BO3">
        <f>IF(inputs_ok,IF(9&lt;n_2,(c_nom+phi_w+phi_2/2+9*(b_w-2*c_nom-2*phi_w-phi_2)/MAX(n_2-1,1))+(phi_2/2)*1.000000,NA()),NA())</f>
        <v/>
      </c>
      <c r="BP3">
        <f>IF(9&lt;n_2,(IF(hog,c_nom+phi_w+phi_2/2,h_sec-c_nom-phi_w-phi_2/2))+(phi_2/2)*0.000000,NA())</f>
        <v/>
      </c>
      <c r="BR3">
        <f>IF(inputs_ok,IF(10&lt;n_bars,(c_nom+phi_w+phi/2+10*(b_w-2*c_nom-2*phi_w-phi)/MAX(n_bars-1,1))+(phi/2)*1.000000,NA()),NA())</f>
        <v/>
      </c>
      <c r="BS3">
        <f>IF(10&lt;n_bars,(IF(hog,h_sec-c_nom-phi_w-phi/2,c_nom+phi_w+phi/2))+(phi/2)*0.000000,NA())</f>
        <v/>
      </c>
      <c r="BU3">
        <f>IF(inputs_ok,IF(10&lt;n_2,(c_nom+phi_w+phi_2/2+10*(b_w-2*c_nom-2*phi_w-phi_2)/MAX(n_2-1,1))+(phi_2/2)*1.000000,NA()),NA())</f>
        <v/>
      </c>
      <c r="BV3">
        <f>IF(10&lt;n_2,(IF(hog,c_nom+phi_w+phi_2/2,h_sec-c_nom-phi_w-phi_2/2))+(phi_2/2)*0.000000,NA())</f>
        <v/>
      </c>
      <c r="BX3">
        <f>IF(inputs_ok,IF(11&lt;n_bars,(c_nom+phi_w+phi/2+11*(b_w-2*c_nom-2*phi_w-phi)/MAX(n_bars-1,1))+(phi/2)*1.000000,NA()),NA())</f>
        <v/>
      </c>
      <c r="BY3">
        <f>IF(11&lt;n_bars,(IF(hog,h_sec-c_nom-phi_w-phi/2,c_nom+phi_w+phi/2))+(phi/2)*0.000000,NA())</f>
        <v/>
      </c>
      <c r="CA3">
        <f>IF(inputs_ok,IF(11&lt;n_2,(c_nom+phi_w+phi_2/2+11*(b_w-2*c_nom-2*phi_w-phi_2)/MAX(n_2-1,1))+(phi_2/2)*1.000000,NA()),NA())</f>
        <v/>
      </c>
      <c r="CB3">
        <f>IF(11&lt;n_2,(IF(hog,c_nom+phi_w+phi_2/2,h_sec-c_nom-phi_w-phi_2/2))+(phi_2/2)*0.000000,NA())</f>
        <v/>
      </c>
      <c r="CD3">
        <f>IF(inputs_ok,IF(AND(M_Ed&gt;0,ISNUMBER(x_na)),(-tl_L)-0.04*h_sec,NA()),NA())</f>
        <v/>
      </c>
      <c r="CE3">
        <f>IF(AND(M_Ed&gt;0,ISNUMBER(x_na)),IF(hog,x_na,h_sec-x_na),NA())</f>
        <v/>
      </c>
      <c r="CG3">
        <f>IF(inputs_ok,IF(TRUE,(-tl_L)-0.08*h_sec,NA()),NA())</f>
        <v/>
      </c>
      <c r="CH3">
        <f>IF(TRUE,0,NA())</f>
        <v/>
      </c>
      <c r="CJ3">
        <f>IF(inputs_ok,IF(TRUE,(((-tl_L)-0.08*h_sec)+((-tl_L)-0.08*h_sec))/2,NA()),NA())</f>
        <v/>
      </c>
      <c r="CK3">
        <f>IF(TRUE,((0)+(h_sec))/2,NA())</f>
        <v/>
      </c>
      <c r="CM3">
        <f>IF(inputs_ok,IF(TRUE,(b_w+tl_R)+0.08*h_sec,NA()),NA())</f>
        <v/>
      </c>
      <c r="CN3">
        <f>IF(TRUE,IF(hog,0,h_sec),NA())</f>
        <v/>
      </c>
      <c r="CP3">
        <f>IF(inputs_ok,IF(TRUE,(((b_w+tl_R)+0.08*h_sec)+((b_w+tl_R)+0.08*h_sec))/2,NA()),NA())</f>
        <v/>
      </c>
      <c r="CQ3">
        <f>IF(TRUE,((IF(hog,0,h_sec))+(IF(hog,d_eff,h_sec-d_eff)))/2,NA())</f>
        <v/>
      </c>
      <c r="CS3">
        <f>IF(inputs_ok,IF(TRUE,0,NA()),NA())</f>
        <v/>
      </c>
      <c r="CT3">
        <f>IF(TRUE,-0.08*h_sec,NA())</f>
        <v/>
      </c>
      <c r="CV3">
        <f>IF(inputs_ok,IF(TRUE,((0)+(b_w))/2,NA()),NA())</f>
        <v/>
      </c>
      <c r="CW3">
        <f>IF(TRUE,((-0.08*h_sec)+(-0.08*h_sec))/2,NA())</f>
        <v/>
      </c>
      <c r="CY3">
        <f>IF(inputs_ok,(b_w+tl_R)+2.6*0.08*h_sec,NA())</f>
        <v/>
      </c>
      <c r="CZ3">
        <f>IF(hog,d_eff,h_sec-d_eff)</f>
        <v/>
      </c>
      <c r="DB3">
        <f>IF(inputs_ok,(b_w+tl_R)+2.6*0.08*h_sec,NA())</f>
        <v/>
      </c>
      <c r="DC3">
        <f>IF(hog,c_nom+phi_w+phi_2/2,h_sec-c_nom-phi_w-phi_2/2)</f>
        <v/>
      </c>
      <c r="DE3">
        <f>IF(inputs_ok,IF(TRUE,(-tl_L),NA()),NA())</f>
        <v/>
      </c>
      <c r="DF3">
        <f>IF(TRUE,h_sec+0.08*h_sec,NA())</f>
        <v/>
      </c>
      <c r="DH3">
        <f>IF(inputs_ok,IF(TRUE,(((-tl_L))+((b_w+tl_R)))/2,NA()),NA())</f>
        <v/>
      </c>
      <c r="DI3">
        <f>IF(TRUE,((h_sec+0.08*h_sec)+(h_sec+0.08*h_sec))/2,NA())</f>
        <v/>
      </c>
      <c r="DK3">
        <f>IF(inputs_ok,(-tl_L),NA())</f>
        <v/>
      </c>
      <c r="DL3">
        <f>IF(hog,x_na,h_sec-x_na)</f>
        <v/>
      </c>
      <c r="DN3">
        <f>IF(inputs_ok,((-tl_L)+(b_w+tl_R))/2,NA())</f>
        <v/>
      </c>
      <c r="DO3">
        <f>-1.8*0.08*h_sec</f>
        <v/>
      </c>
      <c r="DQ3">
        <f>((((-tl_L)+(b_w+tl_R))/2-0.75*MAX((b_w+tl_R)-(-tl_L),h_sec))+(((-tl_L)+(b_w+tl_R))/2+0.75*MAX((b_w+tl_R)-(-tl_L),h_sec)))/2-MAX((h_sec+2*0.08*h_sec)-(-3*0.08*h_sec),((((-tl_L)+(b_w+tl_R))/2+0.75*MAX((b_w+tl_R)-(-tl_L),h_sec))-(((-tl_L)+(b_w+tl_R))/2-0.75*MAX((b_w+tl_R)-(-tl_L),h_sec)))/1.55)*0.53*1.55</f>
        <v/>
      </c>
      <c r="DR3">
        <f>((-3*0.08*h_sec)+(h_sec+2*0.08*h_sec))/2-MAX((h_sec+2*0.08*h_sec)-(-3*0.08*h_sec),((((-tl_L)+(b_w+tl_R))/2+0.75*MAX((b_w+tl_R)-(-tl_L),h_sec))-(((-tl_L)+(b_w+tl_R))/2-0.75*MAX((b_w+tl_R)-(-tl_L),h_sec)))/1.55)*0.53</f>
        <v/>
      </c>
    </row>
    <row r="4">
      <c r="D4">
        <f>IF(inputs_ok,b_w,NA())</f>
        <v/>
      </c>
      <c r="E4">
        <f>0</f>
        <v/>
      </c>
      <c r="G4">
        <f>IF(inputs_ok,b_w-(c_nom+phi_w/2),NA())</f>
        <v/>
      </c>
      <c r="H4">
        <f>(c_nom+phi_w/2)</f>
        <v/>
      </c>
      <c r="J4">
        <f>IF(inputs_ok,IF(0&lt;n_bars,(c_nom+phi_w+phi/2+0*(b_w-2*c_nom-2*phi_w-phi)/MAX(n_bars-1,1))+(phi/2)*0.923880,NA()),NA())</f>
        <v/>
      </c>
      <c r="K4">
        <f>IF(0&lt;n_bars,(IF(hog,h_sec-c_nom-phi_w-phi/2,c_nom+phi_w+phi/2))+(phi/2)*0.382683,NA())</f>
        <v/>
      </c>
      <c r="M4">
        <f>IF(inputs_ok,IF(0&lt;n_2,(c_nom+phi_w+phi_2/2+0*(b_w-2*c_nom-2*phi_w-phi_2)/MAX(n_2-1,1))+(phi_2/2)*0.923880,NA()),NA())</f>
        <v/>
      </c>
      <c r="N4">
        <f>IF(0&lt;n_2,(IF(hog,c_nom+phi_w+phi_2/2,h_sec-c_nom-phi_w-phi_2/2))+(phi_2/2)*0.382683,NA())</f>
        <v/>
      </c>
      <c r="P4">
        <f>IF(inputs_ok,IF(1&lt;n_bars,(c_nom+phi_w+phi/2+1*(b_w-2*c_nom-2*phi_w-phi)/MAX(n_bars-1,1))+(phi/2)*0.923880,NA()),NA())</f>
        <v/>
      </c>
      <c r="Q4">
        <f>IF(1&lt;n_bars,(IF(hog,h_sec-c_nom-phi_w-phi/2,c_nom+phi_w+phi/2))+(phi/2)*0.382683,NA())</f>
        <v/>
      </c>
      <c r="S4">
        <f>IF(inputs_ok,IF(1&lt;n_2,(c_nom+phi_w+phi_2/2+1*(b_w-2*c_nom-2*phi_w-phi_2)/MAX(n_2-1,1))+(phi_2/2)*0.923880,NA()),NA())</f>
        <v/>
      </c>
      <c r="T4">
        <f>IF(1&lt;n_2,(IF(hog,c_nom+phi_w+phi_2/2,h_sec-c_nom-phi_w-phi_2/2))+(phi_2/2)*0.382683,NA())</f>
        <v/>
      </c>
      <c r="V4">
        <f>IF(inputs_ok,IF(2&lt;n_bars,(c_nom+phi_w+phi/2+2*(b_w-2*c_nom-2*phi_w-phi)/MAX(n_bars-1,1))+(phi/2)*0.923880,NA()),NA())</f>
        <v/>
      </c>
      <c r="W4">
        <f>IF(2&lt;n_bars,(IF(hog,h_sec-c_nom-phi_w-phi/2,c_nom+phi_w+phi/2))+(phi/2)*0.382683,NA())</f>
        <v/>
      </c>
      <c r="Y4">
        <f>IF(inputs_ok,IF(2&lt;n_2,(c_nom+phi_w+phi_2/2+2*(b_w-2*c_nom-2*phi_w-phi_2)/MAX(n_2-1,1))+(phi_2/2)*0.923880,NA()),NA())</f>
        <v/>
      </c>
      <c r="Z4">
        <f>IF(2&lt;n_2,(IF(hog,c_nom+phi_w+phi_2/2,h_sec-c_nom-phi_w-phi_2/2))+(phi_2/2)*0.382683,NA())</f>
        <v/>
      </c>
      <c r="AB4">
        <f>IF(inputs_ok,IF(3&lt;n_bars,(c_nom+phi_w+phi/2+3*(b_w-2*c_nom-2*phi_w-phi)/MAX(n_bars-1,1))+(phi/2)*0.923880,NA()),NA())</f>
        <v/>
      </c>
      <c r="AC4">
        <f>IF(3&lt;n_bars,(IF(hog,h_sec-c_nom-phi_w-phi/2,c_nom+phi_w+phi/2))+(phi/2)*0.382683,NA())</f>
        <v/>
      </c>
      <c r="AE4">
        <f>IF(inputs_ok,IF(3&lt;n_2,(c_nom+phi_w+phi_2/2+3*(b_w-2*c_nom-2*phi_w-phi_2)/MAX(n_2-1,1))+(phi_2/2)*0.923880,NA()),NA())</f>
        <v/>
      </c>
      <c r="AF4">
        <f>IF(3&lt;n_2,(IF(hog,c_nom+phi_w+phi_2/2,h_sec-c_nom-phi_w-phi_2/2))+(phi_2/2)*0.382683,NA())</f>
        <v/>
      </c>
      <c r="AH4">
        <f>IF(inputs_ok,IF(4&lt;n_bars,(c_nom+phi_w+phi/2+4*(b_w-2*c_nom-2*phi_w-phi)/MAX(n_bars-1,1))+(phi/2)*0.923880,NA()),NA())</f>
        <v/>
      </c>
      <c r="AI4">
        <f>IF(4&lt;n_bars,(IF(hog,h_sec-c_nom-phi_w-phi/2,c_nom+phi_w+phi/2))+(phi/2)*0.382683,NA())</f>
        <v/>
      </c>
      <c r="AK4">
        <f>IF(inputs_ok,IF(4&lt;n_2,(c_nom+phi_w+phi_2/2+4*(b_w-2*c_nom-2*phi_w-phi_2)/MAX(n_2-1,1))+(phi_2/2)*0.923880,NA()),NA())</f>
        <v/>
      </c>
      <c r="AL4">
        <f>IF(4&lt;n_2,(IF(hog,c_nom+phi_w+phi_2/2,h_sec-c_nom-phi_w-phi_2/2))+(phi_2/2)*0.382683,NA())</f>
        <v/>
      </c>
      <c r="AN4">
        <f>IF(inputs_ok,IF(5&lt;n_bars,(c_nom+phi_w+phi/2+5*(b_w-2*c_nom-2*phi_w-phi)/MAX(n_bars-1,1))+(phi/2)*0.923880,NA()),NA())</f>
        <v/>
      </c>
      <c r="AO4">
        <f>IF(5&lt;n_bars,(IF(hog,h_sec-c_nom-phi_w-phi/2,c_nom+phi_w+phi/2))+(phi/2)*0.382683,NA())</f>
        <v/>
      </c>
      <c r="AQ4">
        <f>IF(inputs_ok,IF(5&lt;n_2,(c_nom+phi_w+phi_2/2+5*(b_w-2*c_nom-2*phi_w-phi_2)/MAX(n_2-1,1))+(phi_2/2)*0.923880,NA()),NA())</f>
        <v/>
      </c>
      <c r="AR4">
        <f>IF(5&lt;n_2,(IF(hog,c_nom+phi_w+phi_2/2,h_sec-c_nom-phi_w-phi_2/2))+(phi_2/2)*0.382683,NA())</f>
        <v/>
      </c>
      <c r="AT4">
        <f>IF(inputs_ok,IF(6&lt;n_bars,(c_nom+phi_w+phi/2+6*(b_w-2*c_nom-2*phi_w-phi)/MAX(n_bars-1,1))+(phi/2)*0.923880,NA()),NA())</f>
        <v/>
      </c>
      <c r="AU4">
        <f>IF(6&lt;n_bars,(IF(hog,h_sec-c_nom-phi_w-phi/2,c_nom+phi_w+phi/2))+(phi/2)*0.382683,NA())</f>
        <v/>
      </c>
      <c r="AW4">
        <f>IF(inputs_ok,IF(6&lt;n_2,(c_nom+phi_w+phi_2/2+6*(b_w-2*c_nom-2*phi_w-phi_2)/MAX(n_2-1,1))+(phi_2/2)*0.923880,NA()),NA())</f>
        <v/>
      </c>
      <c r="AX4">
        <f>IF(6&lt;n_2,(IF(hog,c_nom+phi_w+phi_2/2,h_sec-c_nom-phi_w-phi_2/2))+(phi_2/2)*0.382683,NA())</f>
        <v/>
      </c>
      <c r="AZ4">
        <f>IF(inputs_ok,IF(7&lt;n_bars,(c_nom+phi_w+phi/2+7*(b_w-2*c_nom-2*phi_w-phi)/MAX(n_bars-1,1))+(phi/2)*0.923880,NA()),NA())</f>
        <v/>
      </c>
      <c r="BA4">
        <f>IF(7&lt;n_bars,(IF(hog,h_sec-c_nom-phi_w-phi/2,c_nom+phi_w+phi/2))+(phi/2)*0.382683,NA())</f>
        <v/>
      </c>
      <c r="BC4">
        <f>IF(inputs_ok,IF(7&lt;n_2,(c_nom+phi_w+phi_2/2+7*(b_w-2*c_nom-2*phi_w-phi_2)/MAX(n_2-1,1))+(phi_2/2)*0.923880,NA()),NA())</f>
        <v/>
      </c>
      <c r="BD4">
        <f>IF(7&lt;n_2,(IF(hog,c_nom+phi_w+phi_2/2,h_sec-c_nom-phi_w-phi_2/2))+(phi_2/2)*0.382683,NA())</f>
        <v/>
      </c>
      <c r="BF4">
        <f>IF(inputs_ok,IF(8&lt;n_bars,(c_nom+phi_w+phi/2+8*(b_w-2*c_nom-2*phi_w-phi)/MAX(n_bars-1,1))+(phi/2)*0.923880,NA()),NA())</f>
        <v/>
      </c>
      <c r="BG4">
        <f>IF(8&lt;n_bars,(IF(hog,h_sec-c_nom-phi_w-phi/2,c_nom+phi_w+phi/2))+(phi/2)*0.382683,NA())</f>
        <v/>
      </c>
      <c r="BI4">
        <f>IF(inputs_ok,IF(8&lt;n_2,(c_nom+phi_w+phi_2/2+8*(b_w-2*c_nom-2*phi_w-phi_2)/MAX(n_2-1,1))+(phi_2/2)*0.923880,NA()),NA())</f>
        <v/>
      </c>
      <c r="BJ4">
        <f>IF(8&lt;n_2,(IF(hog,c_nom+phi_w+phi_2/2,h_sec-c_nom-phi_w-phi_2/2))+(phi_2/2)*0.382683,NA())</f>
        <v/>
      </c>
      <c r="BL4">
        <f>IF(inputs_ok,IF(9&lt;n_bars,(c_nom+phi_w+phi/2+9*(b_w-2*c_nom-2*phi_w-phi)/MAX(n_bars-1,1))+(phi/2)*0.923880,NA()),NA())</f>
        <v/>
      </c>
      <c r="BM4">
        <f>IF(9&lt;n_bars,(IF(hog,h_sec-c_nom-phi_w-phi/2,c_nom+phi_w+phi/2))+(phi/2)*0.382683,NA())</f>
        <v/>
      </c>
      <c r="BO4">
        <f>IF(inputs_ok,IF(9&lt;n_2,(c_nom+phi_w+phi_2/2+9*(b_w-2*c_nom-2*phi_w-phi_2)/MAX(n_2-1,1))+(phi_2/2)*0.923880,NA()),NA())</f>
        <v/>
      </c>
      <c r="BP4">
        <f>IF(9&lt;n_2,(IF(hog,c_nom+phi_w+phi_2/2,h_sec-c_nom-phi_w-phi_2/2))+(phi_2/2)*0.382683,NA())</f>
        <v/>
      </c>
      <c r="BR4">
        <f>IF(inputs_ok,IF(10&lt;n_bars,(c_nom+phi_w+phi/2+10*(b_w-2*c_nom-2*phi_w-phi)/MAX(n_bars-1,1))+(phi/2)*0.923880,NA()),NA())</f>
        <v/>
      </c>
      <c r="BS4">
        <f>IF(10&lt;n_bars,(IF(hog,h_sec-c_nom-phi_w-phi/2,c_nom+phi_w+phi/2))+(phi/2)*0.382683,NA())</f>
        <v/>
      </c>
      <c r="BU4">
        <f>IF(inputs_ok,IF(10&lt;n_2,(c_nom+phi_w+phi_2/2+10*(b_w-2*c_nom-2*phi_w-phi_2)/MAX(n_2-1,1))+(phi_2/2)*0.923880,NA()),NA())</f>
        <v/>
      </c>
      <c r="BV4">
        <f>IF(10&lt;n_2,(IF(hog,c_nom+phi_w+phi_2/2,h_sec-c_nom-phi_w-phi_2/2))+(phi_2/2)*0.382683,NA())</f>
        <v/>
      </c>
      <c r="BX4">
        <f>IF(inputs_ok,IF(11&lt;n_bars,(c_nom+phi_w+phi/2+11*(b_w-2*c_nom-2*phi_w-phi)/MAX(n_bars-1,1))+(phi/2)*0.923880,NA()),NA())</f>
        <v/>
      </c>
      <c r="BY4">
        <f>IF(11&lt;n_bars,(IF(hog,h_sec-c_nom-phi_w-phi/2,c_nom+phi_w+phi/2))+(phi/2)*0.382683,NA())</f>
        <v/>
      </c>
      <c r="CA4">
        <f>IF(inputs_ok,IF(11&lt;n_2,(c_nom+phi_w+phi_2/2+11*(b_w-2*c_nom-2*phi_w-phi_2)/MAX(n_2-1,1))+(phi_2/2)*0.923880,NA()),NA())</f>
        <v/>
      </c>
      <c r="CB4">
        <f>IF(11&lt;n_2,(IF(hog,c_nom+phi_w+phi_2/2,h_sec-c_nom-phi_w-phi_2/2))+(phi_2/2)*0.382683,NA())</f>
        <v/>
      </c>
      <c r="CD4">
        <f>IF(inputs_ok,IF(AND(M_Ed&gt;0,ISNUMBER(x_na)),(b_w+tl_R)+0.04*h_sec,NA()),NA())</f>
        <v/>
      </c>
      <c r="CE4">
        <f>IF(AND(M_Ed&gt;0,ISNUMBER(x_na)),IF(hog,x_na,h_sec-x_na),NA())</f>
        <v/>
      </c>
      <c r="CG4">
        <f>IF(inputs_ok,IF(TRUE,(-tl_L)-0.08*h_sec,NA()),NA())</f>
        <v/>
      </c>
      <c r="CH4">
        <f>IF(TRUE,h_sec,NA())</f>
        <v/>
      </c>
      <c r="CM4">
        <f>IF(inputs_ok,IF(TRUE,(b_w+tl_R)+0.08*h_sec,NA()),NA())</f>
        <v/>
      </c>
      <c r="CN4">
        <f>IF(TRUE,IF(hog,d_eff,h_sec-d_eff),NA())</f>
        <v/>
      </c>
      <c r="CS4">
        <f>IF(inputs_ok,IF(TRUE,b_w,NA()),NA())</f>
        <v/>
      </c>
      <c r="CT4">
        <f>IF(TRUE,-0.08*h_sec,NA())</f>
        <v/>
      </c>
      <c r="DE4">
        <f>IF(inputs_ok,IF(TRUE,(b_w+tl_R),NA()),NA())</f>
        <v/>
      </c>
      <c r="DF4">
        <f>IF(TRUE,h_sec+0.08*h_sec,NA())</f>
        <v/>
      </c>
      <c r="DQ4">
        <f>((((-tl_L)+(b_w+tl_R))/2-0.75*MAX((b_w+tl_R)-(-tl_L),h_sec))+(((-tl_L)+(b_w+tl_R))/2+0.75*MAX((b_w+tl_R)-(-tl_L),h_sec)))/2+MAX((h_sec+2*0.08*h_sec)-(-3*0.08*h_sec),((((-tl_L)+(b_w+tl_R))/2+0.75*MAX((b_w+tl_R)-(-tl_L),h_sec))-(((-tl_L)+(b_w+tl_R))/2-0.75*MAX((b_w+tl_R)-(-tl_L),h_sec)))/1.55)*0.53*1.55</f>
        <v/>
      </c>
      <c r="DR4">
        <f>((-3*0.08*h_sec)+(h_sec+2*0.08*h_sec))/2+MAX((h_sec+2*0.08*h_sec)-(-3*0.08*h_sec),((((-tl_L)+(b_w+tl_R))/2+0.75*MAX((b_w+tl_R)-(-tl_L),h_sec))-(((-tl_L)+(b_w+tl_R))/2-0.75*MAX((b_w+tl_R)-(-tl_L),h_sec)))/1.55)*0.53</f>
        <v/>
      </c>
    </row>
    <row r="5">
      <c r="D5">
        <f>IF(inputs_ok,b_w,NA())</f>
        <v/>
      </c>
      <c r="E5">
        <f>h_sec-h_f</f>
        <v/>
      </c>
      <c r="G5">
        <f>IF(inputs_ok,b_w-(c_nom+phi_w/2),NA())</f>
        <v/>
      </c>
      <c r="H5">
        <f>h_sec-(c_nom+phi_w/2)</f>
        <v/>
      </c>
      <c r="J5">
        <f>IF(inputs_ok,IF(0&lt;n_bars,(c_nom+phi_w+phi/2+0*(b_w-2*c_nom-2*phi_w-phi)/MAX(n_bars-1,1))+(phi/2)*0.707107,NA()),NA())</f>
        <v/>
      </c>
      <c r="K5">
        <f>IF(0&lt;n_bars,(IF(hog,h_sec-c_nom-phi_w-phi/2,c_nom+phi_w+phi/2))+(phi/2)*0.707107,NA())</f>
        <v/>
      </c>
      <c r="M5">
        <f>IF(inputs_ok,IF(0&lt;n_2,(c_nom+phi_w+phi_2/2+0*(b_w-2*c_nom-2*phi_w-phi_2)/MAX(n_2-1,1))+(phi_2/2)*0.707107,NA()),NA())</f>
        <v/>
      </c>
      <c r="N5">
        <f>IF(0&lt;n_2,(IF(hog,c_nom+phi_w+phi_2/2,h_sec-c_nom-phi_w-phi_2/2))+(phi_2/2)*0.707107,NA())</f>
        <v/>
      </c>
      <c r="P5">
        <f>IF(inputs_ok,IF(1&lt;n_bars,(c_nom+phi_w+phi/2+1*(b_w-2*c_nom-2*phi_w-phi)/MAX(n_bars-1,1))+(phi/2)*0.707107,NA()),NA())</f>
        <v/>
      </c>
      <c r="Q5">
        <f>IF(1&lt;n_bars,(IF(hog,h_sec-c_nom-phi_w-phi/2,c_nom+phi_w+phi/2))+(phi/2)*0.707107,NA())</f>
        <v/>
      </c>
      <c r="S5">
        <f>IF(inputs_ok,IF(1&lt;n_2,(c_nom+phi_w+phi_2/2+1*(b_w-2*c_nom-2*phi_w-phi_2)/MAX(n_2-1,1))+(phi_2/2)*0.707107,NA()),NA())</f>
        <v/>
      </c>
      <c r="T5">
        <f>IF(1&lt;n_2,(IF(hog,c_nom+phi_w+phi_2/2,h_sec-c_nom-phi_w-phi_2/2))+(phi_2/2)*0.707107,NA())</f>
        <v/>
      </c>
      <c r="V5">
        <f>IF(inputs_ok,IF(2&lt;n_bars,(c_nom+phi_w+phi/2+2*(b_w-2*c_nom-2*phi_w-phi)/MAX(n_bars-1,1))+(phi/2)*0.707107,NA()),NA())</f>
        <v/>
      </c>
      <c r="W5">
        <f>IF(2&lt;n_bars,(IF(hog,h_sec-c_nom-phi_w-phi/2,c_nom+phi_w+phi/2))+(phi/2)*0.707107,NA())</f>
        <v/>
      </c>
      <c r="Y5">
        <f>IF(inputs_ok,IF(2&lt;n_2,(c_nom+phi_w+phi_2/2+2*(b_w-2*c_nom-2*phi_w-phi_2)/MAX(n_2-1,1))+(phi_2/2)*0.707107,NA()),NA())</f>
        <v/>
      </c>
      <c r="Z5">
        <f>IF(2&lt;n_2,(IF(hog,c_nom+phi_w+phi_2/2,h_sec-c_nom-phi_w-phi_2/2))+(phi_2/2)*0.707107,NA())</f>
        <v/>
      </c>
      <c r="AB5">
        <f>IF(inputs_ok,IF(3&lt;n_bars,(c_nom+phi_w+phi/2+3*(b_w-2*c_nom-2*phi_w-phi)/MAX(n_bars-1,1))+(phi/2)*0.707107,NA()),NA())</f>
        <v/>
      </c>
      <c r="AC5">
        <f>IF(3&lt;n_bars,(IF(hog,h_sec-c_nom-phi_w-phi/2,c_nom+phi_w+phi/2))+(phi/2)*0.707107,NA())</f>
        <v/>
      </c>
      <c r="AE5">
        <f>IF(inputs_ok,IF(3&lt;n_2,(c_nom+phi_w+phi_2/2+3*(b_w-2*c_nom-2*phi_w-phi_2)/MAX(n_2-1,1))+(phi_2/2)*0.707107,NA()),NA())</f>
        <v/>
      </c>
      <c r="AF5">
        <f>IF(3&lt;n_2,(IF(hog,c_nom+phi_w+phi_2/2,h_sec-c_nom-phi_w-phi_2/2))+(phi_2/2)*0.707107,NA())</f>
        <v/>
      </c>
      <c r="AH5">
        <f>IF(inputs_ok,IF(4&lt;n_bars,(c_nom+phi_w+phi/2+4*(b_w-2*c_nom-2*phi_w-phi)/MAX(n_bars-1,1))+(phi/2)*0.707107,NA()),NA())</f>
        <v/>
      </c>
      <c r="AI5">
        <f>IF(4&lt;n_bars,(IF(hog,h_sec-c_nom-phi_w-phi/2,c_nom+phi_w+phi/2))+(phi/2)*0.707107,NA())</f>
        <v/>
      </c>
      <c r="AK5">
        <f>IF(inputs_ok,IF(4&lt;n_2,(c_nom+phi_w+phi_2/2+4*(b_w-2*c_nom-2*phi_w-phi_2)/MAX(n_2-1,1))+(phi_2/2)*0.707107,NA()),NA())</f>
        <v/>
      </c>
      <c r="AL5">
        <f>IF(4&lt;n_2,(IF(hog,c_nom+phi_w+phi_2/2,h_sec-c_nom-phi_w-phi_2/2))+(phi_2/2)*0.707107,NA())</f>
        <v/>
      </c>
      <c r="AN5">
        <f>IF(inputs_ok,IF(5&lt;n_bars,(c_nom+phi_w+phi/2+5*(b_w-2*c_nom-2*phi_w-phi)/MAX(n_bars-1,1))+(phi/2)*0.707107,NA()),NA())</f>
        <v/>
      </c>
      <c r="AO5">
        <f>IF(5&lt;n_bars,(IF(hog,h_sec-c_nom-phi_w-phi/2,c_nom+phi_w+phi/2))+(phi/2)*0.707107,NA())</f>
        <v/>
      </c>
      <c r="AQ5">
        <f>IF(inputs_ok,IF(5&lt;n_2,(c_nom+phi_w+phi_2/2+5*(b_w-2*c_nom-2*phi_w-phi_2)/MAX(n_2-1,1))+(phi_2/2)*0.707107,NA()),NA())</f>
        <v/>
      </c>
      <c r="AR5">
        <f>IF(5&lt;n_2,(IF(hog,c_nom+phi_w+phi_2/2,h_sec-c_nom-phi_w-phi_2/2))+(phi_2/2)*0.707107,NA())</f>
        <v/>
      </c>
      <c r="AT5">
        <f>IF(inputs_ok,IF(6&lt;n_bars,(c_nom+phi_w+phi/2+6*(b_w-2*c_nom-2*phi_w-phi)/MAX(n_bars-1,1))+(phi/2)*0.707107,NA()),NA())</f>
        <v/>
      </c>
      <c r="AU5">
        <f>IF(6&lt;n_bars,(IF(hog,h_sec-c_nom-phi_w-phi/2,c_nom+phi_w+phi/2))+(phi/2)*0.707107,NA())</f>
        <v/>
      </c>
      <c r="AW5">
        <f>IF(inputs_ok,IF(6&lt;n_2,(c_nom+phi_w+phi_2/2+6*(b_w-2*c_nom-2*phi_w-phi_2)/MAX(n_2-1,1))+(phi_2/2)*0.707107,NA()),NA())</f>
        <v/>
      </c>
      <c r="AX5">
        <f>IF(6&lt;n_2,(IF(hog,c_nom+phi_w+phi_2/2,h_sec-c_nom-phi_w-phi_2/2))+(phi_2/2)*0.707107,NA())</f>
        <v/>
      </c>
      <c r="AZ5">
        <f>IF(inputs_ok,IF(7&lt;n_bars,(c_nom+phi_w+phi/2+7*(b_w-2*c_nom-2*phi_w-phi)/MAX(n_bars-1,1))+(phi/2)*0.707107,NA()),NA())</f>
        <v/>
      </c>
      <c r="BA5">
        <f>IF(7&lt;n_bars,(IF(hog,h_sec-c_nom-phi_w-phi/2,c_nom+phi_w+phi/2))+(phi/2)*0.707107,NA())</f>
        <v/>
      </c>
      <c r="BC5">
        <f>IF(inputs_ok,IF(7&lt;n_2,(c_nom+phi_w+phi_2/2+7*(b_w-2*c_nom-2*phi_w-phi_2)/MAX(n_2-1,1))+(phi_2/2)*0.707107,NA()),NA())</f>
        <v/>
      </c>
      <c r="BD5">
        <f>IF(7&lt;n_2,(IF(hog,c_nom+phi_w+phi_2/2,h_sec-c_nom-phi_w-phi_2/2))+(phi_2/2)*0.707107,NA())</f>
        <v/>
      </c>
      <c r="BF5">
        <f>IF(inputs_ok,IF(8&lt;n_bars,(c_nom+phi_w+phi/2+8*(b_w-2*c_nom-2*phi_w-phi)/MAX(n_bars-1,1))+(phi/2)*0.707107,NA()),NA())</f>
        <v/>
      </c>
      <c r="BG5">
        <f>IF(8&lt;n_bars,(IF(hog,h_sec-c_nom-phi_w-phi/2,c_nom+phi_w+phi/2))+(phi/2)*0.707107,NA())</f>
        <v/>
      </c>
      <c r="BI5">
        <f>IF(inputs_ok,IF(8&lt;n_2,(c_nom+phi_w+phi_2/2+8*(b_w-2*c_nom-2*phi_w-phi_2)/MAX(n_2-1,1))+(phi_2/2)*0.707107,NA()),NA())</f>
        <v/>
      </c>
      <c r="BJ5">
        <f>IF(8&lt;n_2,(IF(hog,c_nom+phi_w+phi_2/2,h_sec-c_nom-phi_w-phi_2/2))+(phi_2/2)*0.707107,NA())</f>
        <v/>
      </c>
      <c r="BL5">
        <f>IF(inputs_ok,IF(9&lt;n_bars,(c_nom+phi_w+phi/2+9*(b_w-2*c_nom-2*phi_w-phi)/MAX(n_bars-1,1))+(phi/2)*0.707107,NA()),NA())</f>
        <v/>
      </c>
      <c r="BM5">
        <f>IF(9&lt;n_bars,(IF(hog,h_sec-c_nom-phi_w-phi/2,c_nom+phi_w+phi/2))+(phi/2)*0.707107,NA())</f>
        <v/>
      </c>
      <c r="BO5">
        <f>IF(inputs_ok,IF(9&lt;n_2,(c_nom+phi_w+phi_2/2+9*(b_w-2*c_nom-2*phi_w-phi_2)/MAX(n_2-1,1))+(phi_2/2)*0.707107,NA()),NA())</f>
        <v/>
      </c>
      <c r="BP5">
        <f>IF(9&lt;n_2,(IF(hog,c_nom+phi_w+phi_2/2,h_sec-c_nom-phi_w-phi_2/2))+(phi_2/2)*0.707107,NA())</f>
        <v/>
      </c>
      <c r="BR5">
        <f>IF(inputs_ok,IF(10&lt;n_bars,(c_nom+phi_w+phi/2+10*(b_w-2*c_nom-2*phi_w-phi)/MAX(n_bars-1,1))+(phi/2)*0.707107,NA()),NA())</f>
        <v/>
      </c>
      <c r="BS5">
        <f>IF(10&lt;n_bars,(IF(hog,h_sec-c_nom-phi_w-phi/2,c_nom+phi_w+phi/2))+(phi/2)*0.707107,NA())</f>
        <v/>
      </c>
      <c r="BU5">
        <f>IF(inputs_ok,IF(10&lt;n_2,(c_nom+phi_w+phi_2/2+10*(b_w-2*c_nom-2*phi_w-phi_2)/MAX(n_2-1,1))+(phi_2/2)*0.707107,NA()),NA())</f>
        <v/>
      </c>
      <c r="BV5">
        <f>IF(10&lt;n_2,(IF(hog,c_nom+phi_w+phi_2/2,h_sec-c_nom-phi_w-phi_2/2))+(phi_2/2)*0.707107,NA())</f>
        <v/>
      </c>
      <c r="BX5">
        <f>IF(inputs_ok,IF(11&lt;n_bars,(c_nom+phi_w+phi/2+11*(b_w-2*c_nom-2*phi_w-phi)/MAX(n_bars-1,1))+(phi/2)*0.707107,NA()),NA())</f>
        <v/>
      </c>
      <c r="BY5">
        <f>IF(11&lt;n_bars,(IF(hog,h_sec-c_nom-phi_w-phi/2,c_nom+phi_w+phi/2))+(phi/2)*0.707107,NA())</f>
        <v/>
      </c>
      <c r="CA5">
        <f>IF(inputs_ok,IF(11&lt;n_2,(c_nom+phi_w+phi_2/2+11*(b_w-2*c_nom-2*phi_w-phi_2)/MAX(n_2-1,1))+(phi_2/2)*0.707107,NA()),NA())</f>
        <v/>
      </c>
      <c r="CB5">
        <f>IF(11&lt;n_2,(IF(hog,c_nom+phi_w+phi_2/2,h_sec-c_nom-phi_w-phi_2/2))+(phi_2/2)*0.707107,NA())</f>
        <v/>
      </c>
    </row>
    <row r="6">
      <c r="D6">
        <f>IF(inputs_ok,(b_w+tl_R),NA())</f>
        <v/>
      </c>
      <c r="E6">
        <f>h_sec-h_f</f>
        <v/>
      </c>
      <c r="G6">
        <f>IF(inputs_ok,(c_nom+phi_w/2),NA())</f>
        <v/>
      </c>
      <c r="H6">
        <f>h_sec-(c_nom+phi_w/2)</f>
        <v/>
      </c>
      <c r="J6">
        <f>IF(inputs_ok,IF(0&lt;n_bars,(c_nom+phi_w+phi/2+0*(b_w-2*c_nom-2*phi_w-phi)/MAX(n_bars-1,1))+(phi/2)*0.382683,NA()),NA())</f>
        <v/>
      </c>
      <c r="K6">
        <f>IF(0&lt;n_bars,(IF(hog,h_sec-c_nom-phi_w-phi/2,c_nom+phi_w+phi/2))+(phi/2)*0.923880,NA())</f>
        <v/>
      </c>
      <c r="M6">
        <f>IF(inputs_ok,IF(0&lt;n_2,(c_nom+phi_w+phi_2/2+0*(b_w-2*c_nom-2*phi_w-phi_2)/MAX(n_2-1,1))+(phi_2/2)*0.382683,NA()),NA())</f>
        <v/>
      </c>
      <c r="N6">
        <f>IF(0&lt;n_2,(IF(hog,c_nom+phi_w+phi_2/2,h_sec-c_nom-phi_w-phi_2/2))+(phi_2/2)*0.923880,NA())</f>
        <v/>
      </c>
      <c r="P6">
        <f>IF(inputs_ok,IF(1&lt;n_bars,(c_nom+phi_w+phi/2+1*(b_w-2*c_nom-2*phi_w-phi)/MAX(n_bars-1,1))+(phi/2)*0.382683,NA()),NA())</f>
        <v/>
      </c>
      <c r="Q6">
        <f>IF(1&lt;n_bars,(IF(hog,h_sec-c_nom-phi_w-phi/2,c_nom+phi_w+phi/2))+(phi/2)*0.923880,NA())</f>
        <v/>
      </c>
      <c r="S6">
        <f>IF(inputs_ok,IF(1&lt;n_2,(c_nom+phi_w+phi_2/2+1*(b_w-2*c_nom-2*phi_w-phi_2)/MAX(n_2-1,1))+(phi_2/2)*0.382683,NA()),NA())</f>
        <v/>
      </c>
      <c r="T6">
        <f>IF(1&lt;n_2,(IF(hog,c_nom+phi_w+phi_2/2,h_sec-c_nom-phi_w-phi_2/2))+(phi_2/2)*0.923880,NA())</f>
        <v/>
      </c>
      <c r="V6">
        <f>IF(inputs_ok,IF(2&lt;n_bars,(c_nom+phi_w+phi/2+2*(b_w-2*c_nom-2*phi_w-phi)/MAX(n_bars-1,1))+(phi/2)*0.382683,NA()),NA())</f>
        <v/>
      </c>
      <c r="W6">
        <f>IF(2&lt;n_bars,(IF(hog,h_sec-c_nom-phi_w-phi/2,c_nom+phi_w+phi/2))+(phi/2)*0.923880,NA())</f>
        <v/>
      </c>
      <c r="Y6">
        <f>IF(inputs_ok,IF(2&lt;n_2,(c_nom+phi_w+phi_2/2+2*(b_w-2*c_nom-2*phi_w-phi_2)/MAX(n_2-1,1))+(phi_2/2)*0.382683,NA()),NA())</f>
        <v/>
      </c>
      <c r="Z6">
        <f>IF(2&lt;n_2,(IF(hog,c_nom+phi_w+phi_2/2,h_sec-c_nom-phi_w-phi_2/2))+(phi_2/2)*0.923880,NA())</f>
        <v/>
      </c>
      <c r="AB6">
        <f>IF(inputs_ok,IF(3&lt;n_bars,(c_nom+phi_w+phi/2+3*(b_w-2*c_nom-2*phi_w-phi)/MAX(n_bars-1,1))+(phi/2)*0.382683,NA()),NA())</f>
        <v/>
      </c>
      <c r="AC6">
        <f>IF(3&lt;n_bars,(IF(hog,h_sec-c_nom-phi_w-phi/2,c_nom+phi_w+phi/2))+(phi/2)*0.923880,NA())</f>
        <v/>
      </c>
      <c r="AE6">
        <f>IF(inputs_ok,IF(3&lt;n_2,(c_nom+phi_w+phi_2/2+3*(b_w-2*c_nom-2*phi_w-phi_2)/MAX(n_2-1,1))+(phi_2/2)*0.382683,NA()),NA())</f>
        <v/>
      </c>
      <c r="AF6">
        <f>IF(3&lt;n_2,(IF(hog,c_nom+phi_w+phi_2/2,h_sec-c_nom-phi_w-phi_2/2))+(phi_2/2)*0.923880,NA())</f>
        <v/>
      </c>
      <c r="AH6">
        <f>IF(inputs_ok,IF(4&lt;n_bars,(c_nom+phi_w+phi/2+4*(b_w-2*c_nom-2*phi_w-phi)/MAX(n_bars-1,1))+(phi/2)*0.382683,NA()),NA())</f>
        <v/>
      </c>
      <c r="AI6">
        <f>IF(4&lt;n_bars,(IF(hog,h_sec-c_nom-phi_w-phi/2,c_nom+phi_w+phi/2))+(phi/2)*0.923880,NA())</f>
        <v/>
      </c>
      <c r="AK6">
        <f>IF(inputs_ok,IF(4&lt;n_2,(c_nom+phi_w+phi_2/2+4*(b_w-2*c_nom-2*phi_w-phi_2)/MAX(n_2-1,1))+(phi_2/2)*0.382683,NA()),NA())</f>
        <v/>
      </c>
      <c r="AL6">
        <f>IF(4&lt;n_2,(IF(hog,c_nom+phi_w+phi_2/2,h_sec-c_nom-phi_w-phi_2/2))+(phi_2/2)*0.923880,NA())</f>
        <v/>
      </c>
      <c r="AN6">
        <f>IF(inputs_ok,IF(5&lt;n_bars,(c_nom+phi_w+phi/2+5*(b_w-2*c_nom-2*phi_w-phi)/MAX(n_bars-1,1))+(phi/2)*0.382683,NA()),NA())</f>
        <v/>
      </c>
      <c r="AO6">
        <f>IF(5&lt;n_bars,(IF(hog,h_sec-c_nom-phi_w-phi/2,c_nom+phi_w+phi/2))+(phi/2)*0.923880,NA())</f>
        <v/>
      </c>
      <c r="AQ6">
        <f>IF(inputs_ok,IF(5&lt;n_2,(c_nom+phi_w+phi_2/2+5*(b_w-2*c_nom-2*phi_w-phi_2)/MAX(n_2-1,1))+(phi_2/2)*0.382683,NA()),NA())</f>
        <v/>
      </c>
      <c r="AR6">
        <f>IF(5&lt;n_2,(IF(hog,c_nom+phi_w+phi_2/2,h_sec-c_nom-phi_w-phi_2/2))+(phi_2/2)*0.923880,NA())</f>
        <v/>
      </c>
      <c r="AT6">
        <f>IF(inputs_ok,IF(6&lt;n_bars,(c_nom+phi_w+phi/2+6*(b_w-2*c_nom-2*phi_w-phi)/MAX(n_bars-1,1))+(phi/2)*0.382683,NA()),NA())</f>
        <v/>
      </c>
      <c r="AU6">
        <f>IF(6&lt;n_bars,(IF(hog,h_sec-c_nom-phi_w-phi/2,c_nom+phi_w+phi/2))+(phi/2)*0.923880,NA())</f>
        <v/>
      </c>
      <c r="AW6">
        <f>IF(inputs_ok,IF(6&lt;n_2,(c_nom+phi_w+phi_2/2+6*(b_w-2*c_nom-2*phi_w-phi_2)/MAX(n_2-1,1))+(phi_2/2)*0.382683,NA()),NA())</f>
        <v/>
      </c>
      <c r="AX6">
        <f>IF(6&lt;n_2,(IF(hog,c_nom+phi_w+phi_2/2,h_sec-c_nom-phi_w-phi_2/2))+(phi_2/2)*0.923880,NA())</f>
        <v/>
      </c>
      <c r="AZ6">
        <f>IF(inputs_ok,IF(7&lt;n_bars,(c_nom+phi_w+phi/2+7*(b_w-2*c_nom-2*phi_w-phi)/MAX(n_bars-1,1))+(phi/2)*0.382683,NA()),NA())</f>
        <v/>
      </c>
      <c r="BA6">
        <f>IF(7&lt;n_bars,(IF(hog,h_sec-c_nom-phi_w-phi/2,c_nom+phi_w+phi/2))+(phi/2)*0.923880,NA())</f>
        <v/>
      </c>
      <c r="BC6">
        <f>IF(inputs_ok,IF(7&lt;n_2,(c_nom+phi_w+phi_2/2+7*(b_w-2*c_nom-2*phi_w-phi_2)/MAX(n_2-1,1))+(phi_2/2)*0.382683,NA()),NA())</f>
        <v/>
      </c>
      <c r="BD6">
        <f>IF(7&lt;n_2,(IF(hog,c_nom+phi_w+phi_2/2,h_sec-c_nom-phi_w-phi_2/2))+(phi_2/2)*0.923880,NA())</f>
        <v/>
      </c>
      <c r="BF6">
        <f>IF(inputs_ok,IF(8&lt;n_bars,(c_nom+phi_w+phi/2+8*(b_w-2*c_nom-2*phi_w-phi)/MAX(n_bars-1,1))+(phi/2)*0.382683,NA()),NA())</f>
        <v/>
      </c>
      <c r="BG6">
        <f>IF(8&lt;n_bars,(IF(hog,h_sec-c_nom-phi_w-phi/2,c_nom+phi_w+phi/2))+(phi/2)*0.923880,NA())</f>
        <v/>
      </c>
      <c r="BI6">
        <f>IF(inputs_ok,IF(8&lt;n_2,(c_nom+phi_w+phi_2/2+8*(b_w-2*c_nom-2*phi_w-phi_2)/MAX(n_2-1,1))+(phi_2/2)*0.382683,NA()),NA())</f>
        <v/>
      </c>
      <c r="BJ6">
        <f>IF(8&lt;n_2,(IF(hog,c_nom+phi_w+phi_2/2,h_sec-c_nom-phi_w-phi_2/2))+(phi_2/2)*0.923880,NA())</f>
        <v/>
      </c>
      <c r="BL6">
        <f>IF(inputs_ok,IF(9&lt;n_bars,(c_nom+phi_w+phi/2+9*(b_w-2*c_nom-2*phi_w-phi)/MAX(n_bars-1,1))+(phi/2)*0.382683,NA()),NA())</f>
        <v/>
      </c>
      <c r="BM6">
        <f>IF(9&lt;n_bars,(IF(hog,h_sec-c_nom-phi_w-phi/2,c_nom+phi_w+phi/2))+(phi/2)*0.923880,NA())</f>
        <v/>
      </c>
      <c r="BO6">
        <f>IF(inputs_ok,IF(9&lt;n_2,(c_nom+phi_w+phi_2/2+9*(b_w-2*c_nom-2*phi_w-phi_2)/MAX(n_2-1,1))+(phi_2/2)*0.382683,NA()),NA())</f>
        <v/>
      </c>
      <c r="BP6">
        <f>IF(9&lt;n_2,(IF(hog,c_nom+phi_w+phi_2/2,h_sec-c_nom-phi_w-phi_2/2))+(phi_2/2)*0.923880,NA())</f>
        <v/>
      </c>
      <c r="BR6">
        <f>IF(inputs_ok,IF(10&lt;n_bars,(c_nom+phi_w+phi/2+10*(b_w-2*c_nom-2*phi_w-phi)/MAX(n_bars-1,1))+(phi/2)*0.382683,NA()),NA())</f>
        <v/>
      </c>
      <c r="BS6">
        <f>IF(10&lt;n_bars,(IF(hog,h_sec-c_nom-phi_w-phi/2,c_nom+phi_w+phi/2))+(phi/2)*0.923880,NA())</f>
        <v/>
      </c>
      <c r="BU6">
        <f>IF(inputs_ok,IF(10&lt;n_2,(c_nom+phi_w+phi_2/2+10*(b_w-2*c_nom-2*phi_w-phi_2)/MAX(n_2-1,1))+(phi_2/2)*0.382683,NA()),NA())</f>
        <v/>
      </c>
      <c r="BV6">
        <f>IF(10&lt;n_2,(IF(hog,c_nom+phi_w+phi_2/2,h_sec-c_nom-phi_w-phi_2/2))+(phi_2/2)*0.923880,NA())</f>
        <v/>
      </c>
      <c r="BX6">
        <f>IF(inputs_ok,IF(11&lt;n_bars,(c_nom+phi_w+phi/2+11*(b_w-2*c_nom-2*phi_w-phi)/MAX(n_bars-1,1))+(phi/2)*0.382683,NA()),NA())</f>
        <v/>
      </c>
      <c r="BY6">
        <f>IF(11&lt;n_bars,(IF(hog,h_sec-c_nom-phi_w-phi/2,c_nom+phi_w+phi/2))+(phi/2)*0.923880,NA())</f>
        <v/>
      </c>
      <c r="CA6">
        <f>IF(inputs_ok,IF(11&lt;n_2,(c_nom+phi_w+phi_2/2+11*(b_w-2*c_nom-2*phi_w-phi_2)/MAX(n_2-1,1))+(phi_2/2)*0.382683,NA()),NA())</f>
        <v/>
      </c>
      <c r="CB6">
        <f>IF(11&lt;n_2,(IF(hog,c_nom+phi_w+phi_2/2,h_sec-c_nom-phi_w-phi_2/2))+(phi_2/2)*0.923880,NA())</f>
        <v/>
      </c>
    </row>
    <row r="7">
      <c r="D7">
        <f>IF(inputs_ok,(b_w+tl_R),NA())</f>
        <v/>
      </c>
      <c r="E7">
        <f>h_sec</f>
        <v/>
      </c>
      <c r="G7">
        <f>IF(inputs_ok,(c_nom+phi_w/2),NA())</f>
        <v/>
      </c>
      <c r="H7">
        <f>(c_nom+phi_w/2)</f>
        <v/>
      </c>
      <c r="J7">
        <f>IF(inputs_ok,IF(0&lt;n_bars,(c_nom+phi_w+phi/2+0*(b_w-2*c_nom-2*phi_w-phi)/MAX(n_bars-1,1))+(phi/2)*0.000000,NA()),NA())</f>
        <v/>
      </c>
      <c r="K7">
        <f>IF(0&lt;n_bars,(IF(hog,h_sec-c_nom-phi_w-phi/2,c_nom+phi_w+phi/2))+(phi/2)*1.000000,NA())</f>
        <v/>
      </c>
      <c r="M7">
        <f>IF(inputs_ok,IF(0&lt;n_2,(c_nom+phi_w+phi_2/2+0*(b_w-2*c_nom-2*phi_w-phi_2)/MAX(n_2-1,1))+(phi_2/2)*0.000000,NA()),NA())</f>
        <v/>
      </c>
      <c r="N7">
        <f>IF(0&lt;n_2,(IF(hog,c_nom+phi_w+phi_2/2,h_sec-c_nom-phi_w-phi_2/2))+(phi_2/2)*1.000000,NA())</f>
        <v/>
      </c>
      <c r="P7">
        <f>IF(inputs_ok,IF(1&lt;n_bars,(c_nom+phi_w+phi/2+1*(b_w-2*c_nom-2*phi_w-phi)/MAX(n_bars-1,1))+(phi/2)*0.000000,NA()),NA())</f>
        <v/>
      </c>
      <c r="Q7">
        <f>IF(1&lt;n_bars,(IF(hog,h_sec-c_nom-phi_w-phi/2,c_nom+phi_w+phi/2))+(phi/2)*1.000000,NA())</f>
        <v/>
      </c>
      <c r="S7">
        <f>IF(inputs_ok,IF(1&lt;n_2,(c_nom+phi_w+phi_2/2+1*(b_w-2*c_nom-2*phi_w-phi_2)/MAX(n_2-1,1))+(phi_2/2)*0.000000,NA()),NA())</f>
        <v/>
      </c>
      <c r="T7">
        <f>IF(1&lt;n_2,(IF(hog,c_nom+phi_w+phi_2/2,h_sec-c_nom-phi_w-phi_2/2))+(phi_2/2)*1.000000,NA())</f>
        <v/>
      </c>
      <c r="V7">
        <f>IF(inputs_ok,IF(2&lt;n_bars,(c_nom+phi_w+phi/2+2*(b_w-2*c_nom-2*phi_w-phi)/MAX(n_bars-1,1))+(phi/2)*0.000000,NA()),NA())</f>
        <v/>
      </c>
      <c r="W7">
        <f>IF(2&lt;n_bars,(IF(hog,h_sec-c_nom-phi_w-phi/2,c_nom+phi_w+phi/2))+(phi/2)*1.000000,NA())</f>
        <v/>
      </c>
      <c r="Y7">
        <f>IF(inputs_ok,IF(2&lt;n_2,(c_nom+phi_w+phi_2/2+2*(b_w-2*c_nom-2*phi_w-phi_2)/MAX(n_2-1,1))+(phi_2/2)*0.000000,NA()),NA())</f>
        <v/>
      </c>
      <c r="Z7">
        <f>IF(2&lt;n_2,(IF(hog,c_nom+phi_w+phi_2/2,h_sec-c_nom-phi_w-phi_2/2))+(phi_2/2)*1.000000,NA())</f>
        <v/>
      </c>
      <c r="AB7">
        <f>IF(inputs_ok,IF(3&lt;n_bars,(c_nom+phi_w+phi/2+3*(b_w-2*c_nom-2*phi_w-phi)/MAX(n_bars-1,1))+(phi/2)*0.000000,NA()),NA())</f>
        <v/>
      </c>
      <c r="AC7">
        <f>IF(3&lt;n_bars,(IF(hog,h_sec-c_nom-phi_w-phi/2,c_nom+phi_w+phi/2))+(phi/2)*1.000000,NA())</f>
        <v/>
      </c>
      <c r="AE7">
        <f>IF(inputs_ok,IF(3&lt;n_2,(c_nom+phi_w+phi_2/2+3*(b_w-2*c_nom-2*phi_w-phi_2)/MAX(n_2-1,1))+(phi_2/2)*0.000000,NA()),NA())</f>
        <v/>
      </c>
      <c r="AF7">
        <f>IF(3&lt;n_2,(IF(hog,c_nom+phi_w+phi_2/2,h_sec-c_nom-phi_w-phi_2/2))+(phi_2/2)*1.000000,NA())</f>
        <v/>
      </c>
      <c r="AH7">
        <f>IF(inputs_ok,IF(4&lt;n_bars,(c_nom+phi_w+phi/2+4*(b_w-2*c_nom-2*phi_w-phi)/MAX(n_bars-1,1))+(phi/2)*0.000000,NA()),NA())</f>
        <v/>
      </c>
      <c r="AI7">
        <f>IF(4&lt;n_bars,(IF(hog,h_sec-c_nom-phi_w-phi/2,c_nom+phi_w+phi/2))+(phi/2)*1.000000,NA())</f>
        <v/>
      </c>
      <c r="AK7">
        <f>IF(inputs_ok,IF(4&lt;n_2,(c_nom+phi_w+phi_2/2+4*(b_w-2*c_nom-2*phi_w-phi_2)/MAX(n_2-1,1))+(phi_2/2)*0.000000,NA()),NA())</f>
        <v/>
      </c>
      <c r="AL7">
        <f>IF(4&lt;n_2,(IF(hog,c_nom+phi_w+phi_2/2,h_sec-c_nom-phi_w-phi_2/2))+(phi_2/2)*1.000000,NA())</f>
        <v/>
      </c>
      <c r="AN7">
        <f>IF(inputs_ok,IF(5&lt;n_bars,(c_nom+phi_w+phi/2+5*(b_w-2*c_nom-2*phi_w-phi)/MAX(n_bars-1,1))+(phi/2)*0.000000,NA()),NA())</f>
        <v/>
      </c>
      <c r="AO7">
        <f>IF(5&lt;n_bars,(IF(hog,h_sec-c_nom-phi_w-phi/2,c_nom+phi_w+phi/2))+(phi/2)*1.000000,NA())</f>
        <v/>
      </c>
      <c r="AQ7">
        <f>IF(inputs_ok,IF(5&lt;n_2,(c_nom+phi_w+phi_2/2+5*(b_w-2*c_nom-2*phi_w-phi_2)/MAX(n_2-1,1))+(phi_2/2)*0.000000,NA()),NA())</f>
        <v/>
      </c>
      <c r="AR7">
        <f>IF(5&lt;n_2,(IF(hog,c_nom+phi_w+phi_2/2,h_sec-c_nom-phi_w-phi_2/2))+(phi_2/2)*1.000000,NA())</f>
        <v/>
      </c>
      <c r="AT7">
        <f>IF(inputs_ok,IF(6&lt;n_bars,(c_nom+phi_w+phi/2+6*(b_w-2*c_nom-2*phi_w-phi)/MAX(n_bars-1,1))+(phi/2)*0.000000,NA()),NA())</f>
        <v/>
      </c>
      <c r="AU7">
        <f>IF(6&lt;n_bars,(IF(hog,h_sec-c_nom-phi_w-phi/2,c_nom+phi_w+phi/2))+(phi/2)*1.000000,NA())</f>
        <v/>
      </c>
      <c r="AW7">
        <f>IF(inputs_ok,IF(6&lt;n_2,(c_nom+phi_w+phi_2/2+6*(b_w-2*c_nom-2*phi_w-phi_2)/MAX(n_2-1,1))+(phi_2/2)*0.000000,NA()),NA())</f>
        <v/>
      </c>
      <c r="AX7">
        <f>IF(6&lt;n_2,(IF(hog,c_nom+phi_w+phi_2/2,h_sec-c_nom-phi_w-phi_2/2))+(phi_2/2)*1.000000,NA())</f>
        <v/>
      </c>
      <c r="AZ7">
        <f>IF(inputs_ok,IF(7&lt;n_bars,(c_nom+phi_w+phi/2+7*(b_w-2*c_nom-2*phi_w-phi)/MAX(n_bars-1,1))+(phi/2)*0.000000,NA()),NA())</f>
        <v/>
      </c>
      <c r="BA7">
        <f>IF(7&lt;n_bars,(IF(hog,h_sec-c_nom-phi_w-phi/2,c_nom+phi_w+phi/2))+(phi/2)*1.000000,NA())</f>
        <v/>
      </c>
      <c r="BC7">
        <f>IF(inputs_ok,IF(7&lt;n_2,(c_nom+phi_w+phi_2/2+7*(b_w-2*c_nom-2*phi_w-phi_2)/MAX(n_2-1,1))+(phi_2/2)*0.000000,NA()),NA())</f>
        <v/>
      </c>
      <c r="BD7">
        <f>IF(7&lt;n_2,(IF(hog,c_nom+phi_w+phi_2/2,h_sec-c_nom-phi_w-phi_2/2))+(phi_2/2)*1.000000,NA())</f>
        <v/>
      </c>
      <c r="BF7">
        <f>IF(inputs_ok,IF(8&lt;n_bars,(c_nom+phi_w+phi/2+8*(b_w-2*c_nom-2*phi_w-phi)/MAX(n_bars-1,1))+(phi/2)*0.000000,NA()),NA())</f>
        <v/>
      </c>
      <c r="BG7">
        <f>IF(8&lt;n_bars,(IF(hog,h_sec-c_nom-phi_w-phi/2,c_nom+phi_w+phi/2))+(phi/2)*1.000000,NA())</f>
        <v/>
      </c>
      <c r="BI7">
        <f>IF(inputs_ok,IF(8&lt;n_2,(c_nom+phi_w+phi_2/2+8*(b_w-2*c_nom-2*phi_w-phi_2)/MAX(n_2-1,1))+(phi_2/2)*0.000000,NA()),NA())</f>
        <v/>
      </c>
      <c r="BJ7">
        <f>IF(8&lt;n_2,(IF(hog,c_nom+phi_w+phi_2/2,h_sec-c_nom-phi_w-phi_2/2))+(phi_2/2)*1.000000,NA())</f>
        <v/>
      </c>
      <c r="BL7">
        <f>IF(inputs_ok,IF(9&lt;n_bars,(c_nom+phi_w+phi/2+9*(b_w-2*c_nom-2*phi_w-phi)/MAX(n_bars-1,1))+(phi/2)*0.000000,NA()),NA())</f>
        <v/>
      </c>
      <c r="BM7">
        <f>IF(9&lt;n_bars,(IF(hog,h_sec-c_nom-phi_w-phi/2,c_nom+phi_w+phi/2))+(phi/2)*1.000000,NA())</f>
        <v/>
      </c>
      <c r="BO7">
        <f>IF(inputs_ok,IF(9&lt;n_2,(c_nom+phi_w+phi_2/2+9*(b_w-2*c_nom-2*phi_w-phi_2)/MAX(n_2-1,1))+(phi_2/2)*0.000000,NA()),NA())</f>
        <v/>
      </c>
      <c r="BP7">
        <f>IF(9&lt;n_2,(IF(hog,c_nom+phi_w+phi_2/2,h_sec-c_nom-phi_w-phi_2/2))+(phi_2/2)*1.000000,NA())</f>
        <v/>
      </c>
      <c r="BR7">
        <f>IF(inputs_ok,IF(10&lt;n_bars,(c_nom+phi_w+phi/2+10*(b_w-2*c_nom-2*phi_w-phi)/MAX(n_bars-1,1))+(phi/2)*0.000000,NA()),NA())</f>
        <v/>
      </c>
      <c r="BS7">
        <f>IF(10&lt;n_bars,(IF(hog,h_sec-c_nom-phi_w-phi/2,c_nom+phi_w+phi/2))+(phi/2)*1.000000,NA())</f>
        <v/>
      </c>
      <c r="BU7">
        <f>IF(inputs_ok,IF(10&lt;n_2,(c_nom+phi_w+phi_2/2+10*(b_w-2*c_nom-2*phi_w-phi_2)/MAX(n_2-1,1))+(phi_2/2)*0.000000,NA()),NA())</f>
        <v/>
      </c>
      <c r="BV7">
        <f>IF(10&lt;n_2,(IF(hog,c_nom+phi_w+phi_2/2,h_sec-c_nom-phi_w-phi_2/2))+(phi_2/2)*1.000000,NA())</f>
        <v/>
      </c>
      <c r="BX7">
        <f>IF(inputs_ok,IF(11&lt;n_bars,(c_nom+phi_w+phi/2+11*(b_w-2*c_nom-2*phi_w-phi)/MAX(n_bars-1,1))+(phi/2)*0.000000,NA()),NA())</f>
        <v/>
      </c>
      <c r="BY7">
        <f>IF(11&lt;n_bars,(IF(hog,h_sec-c_nom-phi_w-phi/2,c_nom+phi_w+phi/2))+(phi/2)*1.000000,NA())</f>
        <v/>
      </c>
      <c r="CA7">
        <f>IF(inputs_ok,IF(11&lt;n_2,(c_nom+phi_w+phi_2/2+11*(b_w-2*c_nom-2*phi_w-phi_2)/MAX(n_2-1,1))+(phi_2/2)*0.000000,NA()),NA())</f>
        <v/>
      </c>
      <c r="CB7">
        <f>IF(11&lt;n_2,(IF(hog,c_nom+phi_w+phi_2/2,h_sec-c_nom-phi_w-phi_2/2))+(phi_2/2)*1.000000,NA())</f>
        <v/>
      </c>
    </row>
    <row r="8">
      <c r="D8">
        <f>IF(inputs_ok,(-tl_L),NA())</f>
        <v/>
      </c>
      <c r="E8">
        <f>h_sec</f>
        <v/>
      </c>
      <c r="J8">
        <f>IF(inputs_ok,IF(0&lt;n_bars,(c_nom+phi_w+phi/2+0*(b_w-2*c_nom-2*phi_w-phi)/MAX(n_bars-1,1))+(phi/2)*-0.382683,NA()),NA())</f>
        <v/>
      </c>
      <c r="K8">
        <f>IF(0&lt;n_bars,(IF(hog,h_sec-c_nom-phi_w-phi/2,c_nom+phi_w+phi/2))+(phi/2)*0.923880,NA())</f>
        <v/>
      </c>
      <c r="M8">
        <f>IF(inputs_ok,IF(0&lt;n_2,(c_nom+phi_w+phi_2/2+0*(b_w-2*c_nom-2*phi_w-phi_2)/MAX(n_2-1,1))+(phi_2/2)*-0.382683,NA()),NA())</f>
        <v/>
      </c>
      <c r="N8">
        <f>IF(0&lt;n_2,(IF(hog,c_nom+phi_w+phi_2/2,h_sec-c_nom-phi_w-phi_2/2))+(phi_2/2)*0.923880,NA())</f>
        <v/>
      </c>
      <c r="P8">
        <f>IF(inputs_ok,IF(1&lt;n_bars,(c_nom+phi_w+phi/2+1*(b_w-2*c_nom-2*phi_w-phi)/MAX(n_bars-1,1))+(phi/2)*-0.382683,NA()),NA())</f>
        <v/>
      </c>
      <c r="Q8">
        <f>IF(1&lt;n_bars,(IF(hog,h_sec-c_nom-phi_w-phi/2,c_nom+phi_w+phi/2))+(phi/2)*0.923880,NA())</f>
        <v/>
      </c>
      <c r="S8">
        <f>IF(inputs_ok,IF(1&lt;n_2,(c_nom+phi_w+phi_2/2+1*(b_w-2*c_nom-2*phi_w-phi_2)/MAX(n_2-1,1))+(phi_2/2)*-0.382683,NA()),NA())</f>
        <v/>
      </c>
      <c r="T8">
        <f>IF(1&lt;n_2,(IF(hog,c_nom+phi_w+phi_2/2,h_sec-c_nom-phi_w-phi_2/2))+(phi_2/2)*0.923880,NA())</f>
        <v/>
      </c>
      <c r="V8">
        <f>IF(inputs_ok,IF(2&lt;n_bars,(c_nom+phi_w+phi/2+2*(b_w-2*c_nom-2*phi_w-phi)/MAX(n_bars-1,1))+(phi/2)*-0.382683,NA()),NA())</f>
        <v/>
      </c>
      <c r="W8">
        <f>IF(2&lt;n_bars,(IF(hog,h_sec-c_nom-phi_w-phi/2,c_nom+phi_w+phi/2))+(phi/2)*0.923880,NA())</f>
        <v/>
      </c>
      <c r="Y8">
        <f>IF(inputs_ok,IF(2&lt;n_2,(c_nom+phi_w+phi_2/2+2*(b_w-2*c_nom-2*phi_w-phi_2)/MAX(n_2-1,1))+(phi_2/2)*-0.382683,NA()),NA())</f>
        <v/>
      </c>
      <c r="Z8">
        <f>IF(2&lt;n_2,(IF(hog,c_nom+phi_w+phi_2/2,h_sec-c_nom-phi_w-phi_2/2))+(phi_2/2)*0.923880,NA())</f>
        <v/>
      </c>
      <c r="AB8">
        <f>IF(inputs_ok,IF(3&lt;n_bars,(c_nom+phi_w+phi/2+3*(b_w-2*c_nom-2*phi_w-phi)/MAX(n_bars-1,1))+(phi/2)*-0.382683,NA()),NA())</f>
        <v/>
      </c>
      <c r="AC8">
        <f>IF(3&lt;n_bars,(IF(hog,h_sec-c_nom-phi_w-phi/2,c_nom+phi_w+phi/2))+(phi/2)*0.923880,NA())</f>
        <v/>
      </c>
      <c r="AE8">
        <f>IF(inputs_ok,IF(3&lt;n_2,(c_nom+phi_w+phi_2/2+3*(b_w-2*c_nom-2*phi_w-phi_2)/MAX(n_2-1,1))+(phi_2/2)*-0.382683,NA()),NA())</f>
        <v/>
      </c>
      <c r="AF8">
        <f>IF(3&lt;n_2,(IF(hog,c_nom+phi_w+phi_2/2,h_sec-c_nom-phi_w-phi_2/2))+(phi_2/2)*0.923880,NA())</f>
        <v/>
      </c>
      <c r="AH8">
        <f>IF(inputs_ok,IF(4&lt;n_bars,(c_nom+phi_w+phi/2+4*(b_w-2*c_nom-2*phi_w-phi)/MAX(n_bars-1,1))+(phi/2)*-0.382683,NA()),NA())</f>
        <v/>
      </c>
      <c r="AI8">
        <f>IF(4&lt;n_bars,(IF(hog,h_sec-c_nom-phi_w-phi/2,c_nom+phi_w+phi/2))+(phi/2)*0.923880,NA())</f>
        <v/>
      </c>
      <c r="AK8">
        <f>IF(inputs_ok,IF(4&lt;n_2,(c_nom+phi_w+phi_2/2+4*(b_w-2*c_nom-2*phi_w-phi_2)/MAX(n_2-1,1))+(phi_2/2)*-0.382683,NA()),NA())</f>
        <v/>
      </c>
      <c r="AL8">
        <f>IF(4&lt;n_2,(IF(hog,c_nom+phi_w+phi_2/2,h_sec-c_nom-phi_w-phi_2/2))+(phi_2/2)*0.923880,NA())</f>
        <v/>
      </c>
      <c r="AN8">
        <f>IF(inputs_ok,IF(5&lt;n_bars,(c_nom+phi_w+phi/2+5*(b_w-2*c_nom-2*phi_w-phi)/MAX(n_bars-1,1))+(phi/2)*-0.382683,NA()),NA())</f>
        <v/>
      </c>
      <c r="AO8">
        <f>IF(5&lt;n_bars,(IF(hog,h_sec-c_nom-phi_w-phi/2,c_nom+phi_w+phi/2))+(phi/2)*0.923880,NA())</f>
        <v/>
      </c>
      <c r="AQ8">
        <f>IF(inputs_ok,IF(5&lt;n_2,(c_nom+phi_w+phi_2/2+5*(b_w-2*c_nom-2*phi_w-phi_2)/MAX(n_2-1,1))+(phi_2/2)*-0.382683,NA()),NA())</f>
        <v/>
      </c>
      <c r="AR8">
        <f>IF(5&lt;n_2,(IF(hog,c_nom+phi_w+phi_2/2,h_sec-c_nom-phi_w-phi_2/2))+(phi_2/2)*0.923880,NA())</f>
        <v/>
      </c>
      <c r="AT8">
        <f>IF(inputs_ok,IF(6&lt;n_bars,(c_nom+phi_w+phi/2+6*(b_w-2*c_nom-2*phi_w-phi)/MAX(n_bars-1,1))+(phi/2)*-0.382683,NA()),NA())</f>
        <v/>
      </c>
      <c r="AU8">
        <f>IF(6&lt;n_bars,(IF(hog,h_sec-c_nom-phi_w-phi/2,c_nom+phi_w+phi/2))+(phi/2)*0.923880,NA())</f>
        <v/>
      </c>
      <c r="AW8">
        <f>IF(inputs_ok,IF(6&lt;n_2,(c_nom+phi_w+phi_2/2+6*(b_w-2*c_nom-2*phi_w-phi_2)/MAX(n_2-1,1))+(phi_2/2)*-0.382683,NA()),NA())</f>
        <v/>
      </c>
      <c r="AX8">
        <f>IF(6&lt;n_2,(IF(hog,c_nom+phi_w+phi_2/2,h_sec-c_nom-phi_w-phi_2/2))+(phi_2/2)*0.923880,NA())</f>
        <v/>
      </c>
      <c r="AZ8">
        <f>IF(inputs_ok,IF(7&lt;n_bars,(c_nom+phi_w+phi/2+7*(b_w-2*c_nom-2*phi_w-phi)/MAX(n_bars-1,1))+(phi/2)*-0.382683,NA()),NA())</f>
        <v/>
      </c>
      <c r="BA8">
        <f>IF(7&lt;n_bars,(IF(hog,h_sec-c_nom-phi_w-phi/2,c_nom+phi_w+phi/2))+(phi/2)*0.923880,NA())</f>
        <v/>
      </c>
      <c r="BC8">
        <f>IF(inputs_ok,IF(7&lt;n_2,(c_nom+phi_w+phi_2/2+7*(b_w-2*c_nom-2*phi_w-phi_2)/MAX(n_2-1,1))+(phi_2/2)*-0.382683,NA()),NA())</f>
        <v/>
      </c>
      <c r="BD8">
        <f>IF(7&lt;n_2,(IF(hog,c_nom+phi_w+phi_2/2,h_sec-c_nom-phi_w-phi_2/2))+(phi_2/2)*0.923880,NA())</f>
        <v/>
      </c>
      <c r="BF8">
        <f>IF(inputs_ok,IF(8&lt;n_bars,(c_nom+phi_w+phi/2+8*(b_w-2*c_nom-2*phi_w-phi)/MAX(n_bars-1,1))+(phi/2)*-0.382683,NA()),NA())</f>
        <v/>
      </c>
      <c r="BG8">
        <f>IF(8&lt;n_bars,(IF(hog,h_sec-c_nom-phi_w-phi/2,c_nom+phi_w+phi/2))+(phi/2)*0.923880,NA())</f>
        <v/>
      </c>
      <c r="BI8">
        <f>IF(inputs_ok,IF(8&lt;n_2,(c_nom+phi_w+phi_2/2+8*(b_w-2*c_nom-2*phi_w-phi_2)/MAX(n_2-1,1))+(phi_2/2)*-0.382683,NA()),NA())</f>
        <v/>
      </c>
      <c r="BJ8">
        <f>IF(8&lt;n_2,(IF(hog,c_nom+phi_w+phi_2/2,h_sec-c_nom-phi_w-phi_2/2))+(phi_2/2)*0.923880,NA())</f>
        <v/>
      </c>
      <c r="BL8">
        <f>IF(inputs_ok,IF(9&lt;n_bars,(c_nom+phi_w+phi/2+9*(b_w-2*c_nom-2*phi_w-phi)/MAX(n_bars-1,1))+(phi/2)*-0.382683,NA()),NA())</f>
        <v/>
      </c>
      <c r="BM8">
        <f>IF(9&lt;n_bars,(IF(hog,h_sec-c_nom-phi_w-phi/2,c_nom+phi_w+phi/2))+(phi/2)*0.923880,NA())</f>
        <v/>
      </c>
      <c r="BO8">
        <f>IF(inputs_ok,IF(9&lt;n_2,(c_nom+phi_w+phi_2/2+9*(b_w-2*c_nom-2*phi_w-phi_2)/MAX(n_2-1,1))+(phi_2/2)*-0.382683,NA()),NA())</f>
        <v/>
      </c>
      <c r="BP8">
        <f>IF(9&lt;n_2,(IF(hog,c_nom+phi_w+phi_2/2,h_sec-c_nom-phi_w-phi_2/2))+(phi_2/2)*0.923880,NA())</f>
        <v/>
      </c>
      <c r="BR8">
        <f>IF(inputs_ok,IF(10&lt;n_bars,(c_nom+phi_w+phi/2+10*(b_w-2*c_nom-2*phi_w-phi)/MAX(n_bars-1,1))+(phi/2)*-0.382683,NA()),NA())</f>
        <v/>
      </c>
      <c r="BS8">
        <f>IF(10&lt;n_bars,(IF(hog,h_sec-c_nom-phi_w-phi/2,c_nom+phi_w+phi/2))+(phi/2)*0.923880,NA())</f>
        <v/>
      </c>
      <c r="BU8">
        <f>IF(inputs_ok,IF(10&lt;n_2,(c_nom+phi_w+phi_2/2+10*(b_w-2*c_nom-2*phi_w-phi_2)/MAX(n_2-1,1))+(phi_2/2)*-0.382683,NA()),NA())</f>
        <v/>
      </c>
      <c r="BV8">
        <f>IF(10&lt;n_2,(IF(hog,c_nom+phi_w+phi_2/2,h_sec-c_nom-phi_w-phi_2/2))+(phi_2/2)*0.923880,NA())</f>
        <v/>
      </c>
      <c r="BX8">
        <f>IF(inputs_ok,IF(11&lt;n_bars,(c_nom+phi_w+phi/2+11*(b_w-2*c_nom-2*phi_w-phi)/MAX(n_bars-1,1))+(phi/2)*-0.382683,NA()),NA())</f>
        <v/>
      </c>
      <c r="BY8">
        <f>IF(11&lt;n_bars,(IF(hog,h_sec-c_nom-phi_w-phi/2,c_nom+phi_w+phi/2))+(phi/2)*0.923880,NA())</f>
        <v/>
      </c>
      <c r="CA8">
        <f>IF(inputs_ok,IF(11&lt;n_2,(c_nom+phi_w+phi_2/2+11*(b_w-2*c_nom-2*phi_w-phi_2)/MAX(n_2-1,1))+(phi_2/2)*-0.382683,NA()),NA())</f>
        <v/>
      </c>
      <c r="CB8">
        <f>IF(11&lt;n_2,(IF(hog,c_nom+phi_w+phi_2/2,h_sec-c_nom-phi_w-phi_2/2))+(phi_2/2)*0.923880,NA())</f>
        <v/>
      </c>
    </row>
    <row r="9">
      <c r="D9">
        <f>IF(inputs_ok,(-tl_L),NA())</f>
        <v/>
      </c>
      <c r="E9">
        <f>h_sec-h_f</f>
        <v/>
      </c>
      <c r="J9">
        <f>IF(inputs_ok,IF(0&lt;n_bars,(c_nom+phi_w+phi/2+0*(b_w-2*c_nom-2*phi_w-phi)/MAX(n_bars-1,1))+(phi/2)*-0.707107,NA()),NA())</f>
        <v/>
      </c>
      <c r="K9">
        <f>IF(0&lt;n_bars,(IF(hog,h_sec-c_nom-phi_w-phi/2,c_nom+phi_w+phi/2))+(phi/2)*0.707107,NA())</f>
        <v/>
      </c>
      <c r="M9">
        <f>IF(inputs_ok,IF(0&lt;n_2,(c_nom+phi_w+phi_2/2+0*(b_w-2*c_nom-2*phi_w-phi_2)/MAX(n_2-1,1))+(phi_2/2)*-0.707107,NA()),NA())</f>
        <v/>
      </c>
      <c r="N9">
        <f>IF(0&lt;n_2,(IF(hog,c_nom+phi_w+phi_2/2,h_sec-c_nom-phi_w-phi_2/2))+(phi_2/2)*0.707107,NA())</f>
        <v/>
      </c>
      <c r="P9">
        <f>IF(inputs_ok,IF(1&lt;n_bars,(c_nom+phi_w+phi/2+1*(b_w-2*c_nom-2*phi_w-phi)/MAX(n_bars-1,1))+(phi/2)*-0.707107,NA()),NA())</f>
        <v/>
      </c>
      <c r="Q9">
        <f>IF(1&lt;n_bars,(IF(hog,h_sec-c_nom-phi_w-phi/2,c_nom+phi_w+phi/2))+(phi/2)*0.707107,NA())</f>
        <v/>
      </c>
      <c r="S9">
        <f>IF(inputs_ok,IF(1&lt;n_2,(c_nom+phi_w+phi_2/2+1*(b_w-2*c_nom-2*phi_w-phi_2)/MAX(n_2-1,1))+(phi_2/2)*-0.707107,NA()),NA())</f>
        <v/>
      </c>
      <c r="T9">
        <f>IF(1&lt;n_2,(IF(hog,c_nom+phi_w+phi_2/2,h_sec-c_nom-phi_w-phi_2/2))+(phi_2/2)*0.707107,NA())</f>
        <v/>
      </c>
      <c r="V9">
        <f>IF(inputs_ok,IF(2&lt;n_bars,(c_nom+phi_w+phi/2+2*(b_w-2*c_nom-2*phi_w-phi)/MAX(n_bars-1,1))+(phi/2)*-0.707107,NA()),NA())</f>
        <v/>
      </c>
      <c r="W9">
        <f>IF(2&lt;n_bars,(IF(hog,h_sec-c_nom-phi_w-phi/2,c_nom+phi_w+phi/2))+(phi/2)*0.707107,NA())</f>
        <v/>
      </c>
      <c r="Y9">
        <f>IF(inputs_ok,IF(2&lt;n_2,(c_nom+phi_w+phi_2/2+2*(b_w-2*c_nom-2*phi_w-phi_2)/MAX(n_2-1,1))+(phi_2/2)*-0.707107,NA()),NA())</f>
        <v/>
      </c>
      <c r="Z9">
        <f>IF(2&lt;n_2,(IF(hog,c_nom+phi_w+phi_2/2,h_sec-c_nom-phi_w-phi_2/2))+(phi_2/2)*0.707107,NA())</f>
        <v/>
      </c>
      <c r="AB9">
        <f>IF(inputs_ok,IF(3&lt;n_bars,(c_nom+phi_w+phi/2+3*(b_w-2*c_nom-2*phi_w-phi)/MAX(n_bars-1,1))+(phi/2)*-0.707107,NA()),NA())</f>
        <v/>
      </c>
      <c r="AC9">
        <f>IF(3&lt;n_bars,(IF(hog,h_sec-c_nom-phi_w-phi/2,c_nom+phi_w+phi/2))+(phi/2)*0.707107,NA())</f>
        <v/>
      </c>
      <c r="AE9">
        <f>IF(inputs_ok,IF(3&lt;n_2,(c_nom+phi_w+phi_2/2+3*(b_w-2*c_nom-2*phi_w-phi_2)/MAX(n_2-1,1))+(phi_2/2)*-0.707107,NA()),NA())</f>
        <v/>
      </c>
      <c r="AF9">
        <f>IF(3&lt;n_2,(IF(hog,c_nom+phi_w+phi_2/2,h_sec-c_nom-phi_w-phi_2/2))+(phi_2/2)*0.707107,NA())</f>
        <v/>
      </c>
      <c r="AH9">
        <f>IF(inputs_ok,IF(4&lt;n_bars,(c_nom+phi_w+phi/2+4*(b_w-2*c_nom-2*phi_w-phi)/MAX(n_bars-1,1))+(phi/2)*-0.707107,NA()),NA())</f>
        <v/>
      </c>
      <c r="AI9">
        <f>IF(4&lt;n_bars,(IF(hog,h_sec-c_nom-phi_w-phi/2,c_nom+phi_w+phi/2))+(phi/2)*0.707107,NA())</f>
        <v/>
      </c>
      <c r="AK9">
        <f>IF(inputs_ok,IF(4&lt;n_2,(c_nom+phi_w+phi_2/2+4*(b_w-2*c_nom-2*phi_w-phi_2)/MAX(n_2-1,1))+(phi_2/2)*-0.707107,NA()),NA())</f>
        <v/>
      </c>
      <c r="AL9">
        <f>IF(4&lt;n_2,(IF(hog,c_nom+phi_w+phi_2/2,h_sec-c_nom-phi_w-phi_2/2))+(phi_2/2)*0.707107,NA())</f>
        <v/>
      </c>
      <c r="AN9">
        <f>IF(inputs_ok,IF(5&lt;n_bars,(c_nom+phi_w+phi/2+5*(b_w-2*c_nom-2*phi_w-phi)/MAX(n_bars-1,1))+(phi/2)*-0.707107,NA()),NA())</f>
        <v/>
      </c>
      <c r="AO9">
        <f>IF(5&lt;n_bars,(IF(hog,h_sec-c_nom-phi_w-phi/2,c_nom+phi_w+phi/2))+(phi/2)*0.707107,NA())</f>
        <v/>
      </c>
      <c r="AQ9">
        <f>IF(inputs_ok,IF(5&lt;n_2,(c_nom+phi_w+phi_2/2+5*(b_w-2*c_nom-2*phi_w-phi_2)/MAX(n_2-1,1))+(phi_2/2)*-0.707107,NA()),NA())</f>
        <v/>
      </c>
      <c r="AR9">
        <f>IF(5&lt;n_2,(IF(hog,c_nom+phi_w+phi_2/2,h_sec-c_nom-phi_w-phi_2/2))+(phi_2/2)*0.707107,NA())</f>
        <v/>
      </c>
      <c r="AT9">
        <f>IF(inputs_ok,IF(6&lt;n_bars,(c_nom+phi_w+phi/2+6*(b_w-2*c_nom-2*phi_w-phi)/MAX(n_bars-1,1))+(phi/2)*-0.707107,NA()),NA())</f>
        <v/>
      </c>
      <c r="AU9">
        <f>IF(6&lt;n_bars,(IF(hog,h_sec-c_nom-phi_w-phi/2,c_nom+phi_w+phi/2))+(phi/2)*0.707107,NA())</f>
        <v/>
      </c>
      <c r="AW9">
        <f>IF(inputs_ok,IF(6&lt;n_2,(c_nom+phi_w+phi_2/2+6*(b_w-2*c_nom-2*phi_w-phi_2)/MAX(n_2-1,1))+(phi_2/2)*-0.707107,NA()),NA())</f>
        <v/>
      </c>
      <c r="AX9">
        <f>IF(6&lt;n_2,(IF(hog,c_nom+phi_w+phi_2/2,h_sec-c_nom-phi_w-phi_2/2))+(phi_2/2)*0.707107,NA())</f>
        <v/>
      </c>
      <c r="AZ9">
        <f>IF(inputs_ok,IF(7&lt;n_bars,(c_nom+phi_w+phi/2+7*(b_w-2*c_nom-2*phi_w-phi)/MAX(n_bars-1,1))+(phi/2)*-0.707107,NA()),NA())</f>
        <v/>
      </c>
      <c r="BA9">
        <f>IF(7&lt;n_bars,(IF(hog,h_sec-c_nom-phi_w-phi/2,c_nom+phi_w+phi/2))+(phi/2)*0.707107,NA())</f>
        <v/>
      </c>
      <c r="BC9">
        <f>IF(inputs_ok,IF(7&lt;n_2,(c_nom+phi_w+phi_2/2+7*(b_w-2*c_nom-2*phi_w-phi_2)/MAX(n_2-1,1))+(phi_2/2)*-0.707107,NA()),NA())</f>
        <v/>
      </c>
      <c r="BD9">
        <f>IF(7&lt;n_2,(IF(hog,c_nom+phi_w+phi_2/2,h_sec-c_nom-phi_w-phi_2/2))+(phi_2/2)*0.707107,NA())</f>
        <v/>
      </c>
      <c r="BF9">
        <f>IF(inputs_ok,IF(8&lt;n_bars,(c_nom+phi_w+phi/2+8*(b_w-2*c_nom-2*phi_w-phi)/MAX(n_bars-1,1))+(phi/2)*-0.707107,NA()),NA())</f>
        <v/>
      </c>
      <c r="BG9">
        <f>IF(8&lt;n_bars,(IF(hog,h_sec-c_nom-phi_w-phi/2,c_nom+phi_w+phi/2))+(phi/2)*0.707107,NA())</f>
        <v/>
      </c>
      <c r="BI9">
        <f>IF(inputs_ok,IF(8&lt;n_2,(c_nom+phi_w+phi_2/2+8*(b_w-2*c_nom-2*phi_w-phi_2)/MAX(n_2-1,1))+(phi_2/2)*-0.707107,NA()),NA())</f>
        <v/>
      </c>
      <c r="BJ9">
        <f>IF(8&lt;n_2,(IF(hog,c_nom+phi_w+phi_2/2,h_sec-c_nom-phi_w-phi_2/2))+(phi_2/2)*0.707107,NA())</f>
        <v/>
      </c>
      <c r="BL9">
        <f>IF(inputs_ok,IF(9&lt;n_bars,(c_nom+phi_w+phi/2+9*(b_w-2*c_nom-2*phi_w-phi)/MAX(n_bars-1,1))+(phi/2)*-0.707107,NA()),NA())</f>
        <v/>
      </c>
      <c r="BM9">
        <f>IF(9&lt;n_bars,(IF(hog,h_sec-c_nom-phi_w-phi/2,c_nom+phi_w+phi/2))+(phi/2)*0.707107,NA())</f>
        <v/>
      </c>
      <c r="BO9">
        <f>IF(inputs_ok,IF(9&lt;n_2,(c_nom+phi_w+phi_2/2+9*(b_w-2*c_nom-2*phi_w-phi_2)/MAX(n_2-1,1))+(phi_2/2)*-0.707107,NA()),NA())</f>
        <v/>
      </c>
      <c r="BP9">
        <f>IF(9&lt;n_2,(IF(hog,c_nom+phi_w+phi_2/2,h_sec-c_nom-phi_w-phi_2/2))+(phi_2/2)*0.707107,NA())</f>
        <v/>
      </c>
      <c r="BR9">
        <f>IF(inputs_ok,IF(10&lt;n_bars,(c_nom+phi_w+phi/2+10*(b_w-2*c_nom-2*phi_w-phi)/MAX(n_bars-1,1))+(phi/2)*-0.707107,NA()),NA())</f>
        <v/>
      </c>
      <c r="BS9">
        <f>IF(10&lt;n_bars,(IF(hog,h_sec-c_nom-phi_w-phi/2,c_nom+phi_w+phi/2))+(phi/2)*0.707107,NA())</f>
        <v/>
      </c>
      <c r="BU9">
        <f>IF(inputs_ok,IF(10&lt;n_2,(c_nom+phi_w+phi_2/2+10*(b_w-2*c_nom-2*phi_w-phi_2)/MAX(n_2-1,1))+(phi_2/2)*-0.707107,NA()),NA())</f>
        <v/>
      </c>
      <c r="BV9">
        <f>IF(10&lt;n_2,(IF(hog,c_nom+phi_w+phi_2/2,h_sec-c_nom-phi_w-phi_2/2))+(phi_2/2)*0.707107,NA())</f>
        <v/>
      </c>
      <c r="BX9">
        <f>IF(inputs_ok,IF(11&lt;n_bars,(c_nom+phi_w+phi/2+11*(b_w-2*c_nom-2*phi_w-phi)/MAX(n_bars-1,1))+(phi/2)*-0.707107,NA()),NA())</f>
        <v/>
      </c>
      <c r="BY9">
        <f>IF(11&lt;n_bars,(IF(hog,h_sec-c_nom-phi_w-phi/2,c_nom+phi_w+phi/2))+(phi/2)*0.707107,NA())</f>
        <v/>
      </c>
      <c r="CA9">
        <f>IF(inputs_ok,IF(11&lt;n_2,(c_nom+phi_w+phi_2/2+11*(b_w-2*c_nom-2*phi_w-phi_2)/MAX(n_2-1,1))+(phi_2/2)*-0.707107,NA()),NA())</f>
        <v/>
      </c>
      <c r="CB9">
        <f>IF(11&lt;n_2,(IF(hog,c_nom+phi_w+phi_2/2,h_sec-c_nom-phi_w-phi_2/2))+(phi_2/2)*0.707107,NA())</f>
        <v/>
      </c>
    </row>
    <row r="10">
      <c r="D10">
        <f>IF(inputs_ok,0,NA())</f>
        <v/>
      </c>
      <c r="E10">
        <f>h_sec-h_f</f>
        <v/>
      </c>
      <c r="J10">
        <f>IF(inputs_ok,IF(0&lt;n_bars,(c_nom+phi_w+phi/2+0*(b_w-2*c_nom-2*phi_w-phi)/MAX(n_bars-1,1))+(phi/2)*-0.923880,NA()),NA())</f>
        <v/>
      </c>
      <c r="K10">
        <f>IF(0&lt;n_bars,(IF(hog,h_sec-c_nom-phi_w-phi/2,c_nom+phi_w+phi/2))+(phi/2)*0.382683,NA())</f>
        <v/>
      </c>
      <c r="M10">
        <f>IF(inputs_ok,IF(0&lt;n_2,(c_nom+phi_w+phi_2/2+0*(b_w-2*c_nom-2*phi_w-phi_2)/MAX(n_2-1,1))+(phi_2/2)*-0.923880,NA()),NA())</f>
        <v/>
      </c>
      <c r="N10">
        <f>IF(0&lt;n_2,(IF(hog,c_nom+phi_w+phi_2/2,h_sec-c_nom-phi_w-phi_2/2))+(phi_2/2)*0.382683,NA())</f>
        <v/>
      </c>
      <c r="P10">
        <f>IF(inputs_ok,IF(1&lt;n_bars,(c_nom+phi_w+phi/2+1*(b_w-2*c_nom-2*phi_w-phi)/MAX(n_bars-1,1))+(phi/2)*-0.923880,NA()),NA())</f>
        <v/>
      </c>
      <c r="Q10">
        <f>IF(1&lt;n_bars,(IF(hog,h_sec-c_nom-phi_w-phi/2,c_nom+phi_w+phi/2))+(phi/2)*0.382683,NA())</f>
        <v/>
      </c>
      <c r="S10">
        <f>IF(inputs_ok,IF(1&lt;n_2,(c_nom+phi_w+phi_2/2+1*(b_w-2*c_nom-2*phi_w-phi_2)/MAX(n_2-1,1))+(phi_2/2)*-0.923880,NA()),NA())</f>
        <v/>
      </c>
      <c r="T10">
        <f>IF(1&lt;n_2,(IF(hog,c_nom+phi_w+phi_2/2,h_sec-c_nom-phi_w-phi_2/2))+(phi_2/2)*0.382683,NA())</f>
        <v/>
      </c>
      <c r="V10">
        <f>IF(inputs_ok,IF(2&lt;n_bars,(c_nom+phi_w+phi/2+2*(b_w-2*c_nom-2*phi_w-phi)/MAX(n_bars-1,1))+(phi/2)*-0.923880,NA()),NA())</f>
        <v/>
      </c>
      <c r="W10">
        <f>IF(2&lt;n_bars,(IF(hog,h_sec-c_nom-phi_w-phi/2,c_nom+phi_w+phi/2))+(phi/2)*0.382683,NA())</f>
        <v/>
      </c>
      <c r="Y10">
        <f>IF(inputs_ok,IF(2&lt;n_2,(c_nom+phi_w+phi_2/2+2*(b_w-2*c_nom-2*phi_w-phi_2)/MAX(n_2-1,1))+(phi_2/2)*-0.923880,NA()),NA())</f>
        <v/>
      </c>
      <c r="Z10">
        <f>IF(2&lt;n_2,(IF(hog,c_nom+phi_w+phi_2/2,h_sec-c_nom-phi_w-phi_2/2))+(phi_2/2)*0.382683,NA())</f>
        <v/>
      </c>
      <c r="AB10">
        <f>IF(inputs_ok,IF(3&lt;n_bars,(c_nom+phi_w+phi/2+3*(b_w-2*c_nom-2*phi_w-phi)/MAX(n_bars-1,1))+(phi/2)*-0.923880,NA()),NA())</f>
        <v/>
      </c>
      <c r="AC10">
        <f>IF(3&lt;n_bars,(IF(hog,h_sec-c_nom-phi_w-phi/2,c_nom+phi_w+phi/2))+(phi/2)*0.382683,NA())</f>
        <v/>
      </c>
      <c r="AE10">
        <f>IF(inputs_ok,IF(3&lt;n_2,(c_nom+phi_w+phi_2/2+3*(b_w-2*c_nom-2*phi_w-phi_2)/MAX(n_2-1,1))+(phi_2/2)*-0.923880,NA()),NA())</f>
        <v/>
      </c>
      <c r="AF10">
        <f>IF(3&lt;n_2,(IF(hog,c_nom+phi_w+phi_2/2,h_sec-c_nom-phi_w-phi_2/2))+(phi_2/2)*0.382683,NA())</f>
        <v/>
      </c>
      <c r="AH10">
        <f>IF(inputs_ok,IF(4&lt;n_bars,(c_nom+phi_w+phi/2+4*(b_w-2*c_nom-2*phi_w-phi)/MAX(n_bars-1,1))+(phi/2)*-0.923880,NA()),NA())</f>
        <v/>
      </c>
      <c r="AI10">
        <f>IF(4&lt;n_bars,(IF(hog,h_sec-c_nom-phi_w-phi/2,c_nom+phi_w+phi/2))+(phi/2)*0.382683,NA())</f>
        <v/>
      </c>
      <c r="AK10">
        <f>IF(inputs_ok,IF(4&lt;n_2,(c_nom+phi_w+phi_2/2+4*(b_w-2*c_nom-2*phi_w-phi_2)/MAX(n_2-1,1))+(phi_2/2)*-0.923880,NA()),NA())</f>
        <v/>
      </c>
      <c r="AL10">
        <f>IF(4&lt;n_2,(IF(hog,c_nom+phi_w+phi_2/2,h_sec-c_nom-phi_w-phi_2/2))+(phi_2/2)*0.382683,NA())</f>
        <v/>
      </c>
      <c r="AN10">
        <f>IF(inputs_ok,IF(5&lt;n_bars,(c_nom+phi_w+phi/2+5*(b_w-2*c_nom-2*phi_w-phi)/MAX(n_bars-1,1))+(phi/2)*-0.923880,NA()),NA())</f>
        <v/>
      </c>
      <c r="AO10">
        <f>IF(5&lt;n_bars,(IF(hog,h_sec-c_nom-phi_w-phi/2,c_nom+phi_w+phi/2))+(phi/2)*0.382683,NA())</f>
        <v/>
      </c>
      <c r="AQ10">
        <f>IF(inputs_ok,IF(5&lt;n_2,(c_nom+phi_w+phi_2/2+5*(b_w-2*c_nom-2*phi_w-phi_2)/MAX(n_2-1,1))+(phi_2/2)*-0.923880,NA()),NA())</f>
        <v/>
      </c>
      <c r="AR10">
        <f>IF(5&lt;n_2,(IF(hog,c_nom+phi_w+phi_2/2,h_sec-c_nom-phi_w-phi_2/2))+(phi_2/2)*0.382683,NA())</f>
        <v/>
      </c>
      <c r="AT10">
        <f>IF(inputs_ok,IF(6&lt;n_bars,(c_nom+phi_w+phi/2+6*(b_w-2*c_nom-2*phi_w-phi)/MAX(n_bars-1,1))+(phi/2)*-0.923880,NA()),NA())</f>
        <v/>
      </c>
      <c r="AU10">
        <f>IF(6&lt;n_bars,(IF(hog,h_sec-c_nom-phi_w-phi/2,c_nom+phi_w+phi/2))+(phi/2)*0.382683,NA())</f>
        <v/>
      </c>
      <c r="AW10">
        <f>IF(inputs_ok,IF(6&lt;n_2,(c_nom+phi_w+phi_2/2+6*(b_w-2*c_nom-2*phi_w-phi_2)/MAX(n_2-1,1))+(phi_2/2)*-0.923880,NA()),NA())</f>
        <v/>
      </c>
      <c r="AX10">
        <f>IF(6&lt;n_2,(IF(hog,c_nom+phi_w+phi_2/2,h_sec-c_nom-phi_w-phi_2/2))+(phi_2/2)*0.382683,NA())</f>
        <v/>
      </c>
      <c r="AZ10">
        <f>IF(inputs_ok,IF(7&lt;n_bars,(c_nom+phi_w+phi/2+7*(b_w-2*c_nom-2*phi_w-phi)/MAX(n_bars-1,1))+(phi/2)*-0.923880,NA()),NA())</f>
        <v/>
      </c>
      <c r="BA10">
        <f>IF(7&lt;n_bars,(IF(hog,h_sec-c_nom-phi_w-phi/2,c_nom+phi_w+phi/2))+(phi/2)*0.382683,NA())</f>
        <v/>
      </c>
      <c r="BC10">
        <f>IF(inputs_ok,IF(7&lt;n_2,(c_nom+phi_w+phi_2/2+7*(b_w-2*c_nom-2*phi_w-phi_2)/MAX(n_2-1,1))+(phi_2/2)*-0.923880,NA()),NA())</f>
        <v/>
      </c>
      <c r="BD10">
        <f>IF(7&lt;n_2,(IF(hog,c_nom+phi_w+phi_2/2,h_sec-c_nom-phi_w-phi_2/2))+(phi_2/2)*0.382683,NA())</f>
        <v/>
      </c>
      <c r="BF10">
        <f>IF(inputs_ok,IF(8&lt;n_bars,(c_nom+phi_w+phi/2+8*(b_w-2*c_nom-2*phi_w-phi)/MAX(n_bars-1,1))+(phi/2)*-0.923880,NA()),NA())</f>
        <v/>
      </c>
      <c r="BG10">
        <f>IF(8&lt;n_bars,(IF(hog,h_sec-c_nom-phi_w-phi/2,c_nom+phi_w+phi/2))+(phi/2)*0.382683,NA())</f>
        <v/>
      </c>
      <c r="BI10">
        <f>IF(inputs_ok,IF(8&lt;n_2,(c_nom+phi_w+phi_2/2+8*(b_w-2*c_nom-2*phi_w-phi_2)/MAX(n_2-1,1))+(phi_2/2)*-0.923880,NA()),NA())</f>
        <v/>
      </c>
      <c r="BJ10">
        <f>IF(8&lt;n_2,(IF(hog,c_nom+phi_w+phi_2/2,h_sec-c_nom-phi_w-phi_2/2))+(phi_2/2)*0.382683,NA())</f>
        <v/>
      </c>
      <c r="BL10">
        <f>IF(inputs_ok,IF(9&lt;n_bars,(c_nom+phi_w+phi/2+9*(b_w-2*c_nom-2*phi_w-phi)/MAX(n_bars-1,1))+(phi/2)*-0.923880,NA()),NA())</f>
        <v/>
      </c>
      <c r="BM10">
        <f>IF(9&lt;n_bars,(IF(hog,h_sec-c_nom-phi_w-phi/2,c_nom+phi_w+phi/2))+(phi/2)*0.382683,NA())</f>
        <v/>
      </c>
      <c r="BO10">
        <f>IF(inputs_ok,IF(9&lt;n_2,(c_nom+phi_w+phi_2/2+9*(b_w-2*c_nom-2*phi_w-phi_2)/MAX(n_2-1,1))+(phi_2/2)*-0.923880,NA()),NA())</f>
        <v/>
      </c>
      <c r="BP10">
        <f>IF(9&lt;n_2,(IF(hog,c_nom+phi_w+phi_2/2,h_sec-c_nom-phi_w-phi_2/2))+(phi_2/2)*0.382683,NA())</f>
        <v/>
      </c>
      <c r="BR10">
        <f>IF(inputs_ok,IF(10&lt;n_bars,(c_nom+phi_w+phi/2+10*(b_w-2*c_nom-2*phi_w-phi)/MAX(n_bars-1,1))+(phi/2)*-0.923880,NA()),NA())</f>
        <v/>
      </c>
      <c r="BS10">
        <f>IF(10&lt;n_bars,(IF(hog,h_sec-c_nom-phi_w-phi/2,c_nom+phi_w+phi/2))+(phi/2)*0.382683,NA())</f>
        <v/>
      </c>
      <c r="BU10">
        <f>IF(inputs_ok,IF(10&lt;n_2,(c_nom+phi_w+phi_2/2+10*(b_w-2*c_nom-2*phi_w-phi_2)/MAX(n_2-1,1))+(phi_2/2)*-0.923880,NA()),NA())</f>
        <v/>
      </c>
      <c r="BV10">
        <f>IF(10&lt;n_2,(IF(hog,c_nom+phi_w+phi_2/2,h_sec-c_nom-phi_w-phi_2/2))+(phi_2/2)*0.382683,NA())</f>
        <v/>
      </c>
      <c r="BX10">
        <f>IF(inputs_ok,IF(11&lt;n_bars,(c_nom+phi_w+phi/2+11*(b_w-2*c_nom-2*phi_w-phi)/MAX(n_bars-1,1))+(phi/2)*-0.923880,NA()),NA())</f>
        <v/>
      </c>
      <c r="BY10">
        <f>IF(11&lt;n_bars,(IF(hog,h_sec-c_nom-phi_w-phi/2,c_nom+phi_w+phi/2))+(phi/2)*0.382683,NA())</f>
        <v/>
      </c>
      <c r="CA10">
        <f>IF(inputs_ok,IF(11&lt;n_2,(c_nom+phi_w+phi_2/2+11*(b_w-2*c_nom-2*phi_w-phi_2)/MAX(n_2-1,1))+(phi_2/2)*-0.923880,NA()),NA())</f>
        <v/>
      </c>
      <c r="CB10">
        <f>IF(11&lt;n_2,(IF(hog,c_nom+phi_w+phi_2/2,h_sec-c_nom-phi_w-phi_2/2))+(phi_2/2)*0.382683,NA())</f>
        <v/>
      </c>
    </row>
    <row r="11">
      <c r="D11">
        <f>IF(inputs_ok,0,NA())</f>
        <v/>
      </c>
      <c r="E11">
        <f>0</f>
        <v/>
      </c>
      <c r="J11">
        <f>IF(inputs_ok,IF(0&lt;n_bars,(c_nom+phi_w+phi/2+0*(b_w-2*c_nom-2*phi_w-phi)/MAX(n_bars-1,1))+(phi/2)*-1.000000,NA()),NA())</f>
        <v/>
      </c>
      <c r="K11">
        <f>IF(0&lt;n_bars,(IF(hog,h_sec-c_nom-phi_w-phi/2,c_nom+phi_w+phi/2))+(phi/2)*0.000000,NA())</f>
        <v/>
      </c>
      <c r="M11">
        <f>IF(inputs_ok,IF(0&lt;n_2,(c_nom+phi_w+phi_2/2+0*(b_w-2*c_nom-2*phi_w-phi_2)/MAX(n_2-1,1))+(phi_2/2)*-1.000000,NA()),NA())</f>
        <v/>
      </c>
      <c r="N11">
        <f>IF(0&lt;n_2,(IF(hog,c_nom+phi_w+phi_2/2,h_sec-c_nom-phi_w-phi_2/2))+(phi_2/2)*0.000000,NA())</f>
        <v/>
      </c>
      <c r="P11">
        <f>IF(inputs_ok,IF(1&lt;n_bars,(c_nom+phi_w+phi/2+1*(b_w-2*c_nom-2*phi_w-phi)/MAX(n_bars-1,1))+(phi/2)*-1.000000,NA()),NA())</f>
        <v/>
      </c>
      <c r="Q11">
        <f>IF(1&lt;n_bars,(IF(hog,h_sec-c_nom-phi_w-phi/2,c_nom+phi_w+phi/2))+(phi/2)*0.000000,NA())</f>
        <v/>
      </c>
      <c r="S11">
        <f>IF(inputs_ok,IF(1&lt;n_2,(c_nom+phi_w+phi_2/2+1*(b_w-2*c_nom-2*phi_w-phi_2)/MAX(n_2-1,1))+(phi_2/2)*-1.000000,NA()),NA())</f>
        <v/>
      </c>
      <c r="T11">
        <f>IF(1&lt;n_2,(IF(hog,c_nom+phi_w+phi_2/2,h_sec-c_nom-phi_w-phi_2/2))+(phi_2/2)*0.000000,NA())</f>
        <v/>
      </c>
      <c r="V11">
        <f>IF(inputs_ok,IF(2&lt;n_bars,(c_nom+phi_w+phi/2+2*(b_w-2*c_nom-2*phi_w-phi)/MAX(n_bars-1,1))+(phi/2)*-1.000000,NA()),NA())</f>
        <v/>
      </c>
      <c r="W11">
        <f>IF(2&lt;n_bars,(IF(hog,h_sec-c_nom-phi_w-phi/2,c_nom+phi_w+phi/2))+(phi/2)*0.000000,NA())</f>
        <v/>
      </c>
      <c r="Y11">
        <f>IF(inputs_ok,IF(2&lt;n_2,(c_nom+phi_w+phi_2/2+2*(b_w-2*c_nom-2*phi_w-phi_2)/MAX(n_2-1,1))+(phi_2/2)*-1.000000,NA()),NA())</f>
        <v/>
      </c>
      <c r="Z11">
        <f>IF(2&lt;n_2,(IF(hog,c_nom+phi_w+phi_2/2,h_sec-c_nom-phi_w-phi_2/2))+(phi_2/2)*0.000000,NA())</f>
        <v/>
      </c>
      <c r="AB11">
        <f>IF(inputs_ok,IF(3&lt;n_bars,(c_nom+phi_w+phi/2+3*(b_w-2*c_nom-2*phi_w-phi)/MAX(n_bars-1,1))+(phi/2)*-1.000000,NA()),NA())</f>
        <v/>
      </c>
      <c r="AC11">
        <f>IF(3&lt;n_bars,(IF(hog,h_sec-c_nom-phi_w-phi/2,c_nom+phi_w+phi/2))+(phi/2)*0.000000,NA())</f>
        <v/>
      </c>
      <c r="AE11">
        <f>IF(inputs_ok,IF(3&lt;n_2,(c_nom+phi_w+phi_2/2+3*(b_w-2*c_nom-2*phi_w-phi_2)/MAX(n_2-1,1))+(phi_2/2)*-1.000000,NA()),NA())</f>
        <v/>
      </c>
      <c r="AF11">
        <f>IF(3&lt;n_2,(IF(hog,c_nom+phi_w+phi_2/2,h_sec-c_nom-phi_w-phi_2/2))+(phi_2/2)*0.000000,NA())</f>
        <v/>
      </c>
      <c r="AH11">
        <f>IF(inputs_ok,IF(4&lt;n_bars,(c_nom+phi_w+phi/2+4*(b_w-2*c_nom-2*phi_w-phi)/MAX(n_bars-1,1))+(phi/2)*-1.000000,NA()),NA())</f>
        <v/>
      </c>
      <c r="AI11">
        <f>IF(4&lt;n_bars,(IF(hog,h_sec-c_nom-phi_w-phi/2,c_nom+phi_w+phi/2))+(phi/2)*0.000000,NA())</f>
        <v/>
      </c>
      <c r="AK11">
        <f>IF(inputs_ok,IF(4&lt;n_2,(c_nom+phi_w+phi_2/2+4*(b_w-2*c_nom-2*phi_w-phi_2)/MAX(n_2-1,1))+(phi_2/2)*-1.000000,NA()),NA())</f>
        <v/>
      </c>
      <c r="AL11">
        <f>IF(4&lt;n_2,(IF(hog,c_nom+phi_w+phi_2/2,h_sec-c_nom-phi_w-phi_2/2))+(phi_2/2)*0.000000,NA())</f>
        <v/>
      </c>
      <c r="AN11">
        <f>IF(inputs_ok,IF(5&lt;n_bars,(c_nom+phi_w+phi/2+5*(b_w-2*c_nom-2*phi_w-phi)/MAX(n_bars-1,1))+(phi/2)*-1.000000,NA()),NA())</f>
        <v/>
      </c>
      <c r="AO11">
        <f>IF(5&lt;n_bars,(IF(hog,h_sec-c_nom-phi_w-phi/2,c_nom+phi_w+phi/2))+(phi/2)*0.000000,NA())</f>
        <v/>
      </c>
      <c r="AQ11">
        <f>IF(inputs_ok,IF(5&lt;n_2,(c_nom+phi_w+phi_2/2+5*(b_w-2*c_nom-2*phi_w-phi_2)/MAX(n_2-1,1))+(phi_2/2)*-1.000000,NA()),NA())</f>
        <v/>
      </c>
      <c r="AR11">
        <f>IF(5&lt;n_2,(IF(hog,c_nom+phi_w+phi_2/2,h_sec-c_nom-phi_w-phi_2/2))+(phi_2/2)*0.000000,NA())</f>
        <v/>
      </c>
      <c r="AT11">
        <f>IF(inputs_ok,IF(6&lt;n_bars,(c_nom+phi_w+phi/2+6*(b_w-2*c_nom-2*phi_w-phi)/MAX(n_bars-1,1))+(phi/2)*-1.000000,NA()),NA())</f>
        <v/>
      </c>
      <c r="AU11">
        <f>IF(6&lt;n_bars,(IF(hog,h_sec-c_nom-phi_w-phi/2,c_nom+phi_w+phi/2))+(phi/2)*0.000000,NA())</f>
        <v/>
      </c>
      <c r="AW11">
        <f>IF(inputs_ok,IF(6&lt;n_2,(c_nom+phi_w+phi_2/2+6*(b_w-2*c_nom-2*phi_w-phi_2)/MAX(n_2-1,1))+(phi_2/2)*-1.000000,NA()),NA())</f>
        <v/>
      </c>
      <c r="AX11">
        <f>IF(6&lt;n_2,(IF(hog,c_nom+phi_w+phi_2/2,h_sec-c_nom-phi_w-phi_2/2))+(phi_2/2)*0.000000,NA())</f>
        <v/>
      </c>
      <c r="AZ11">
        <f>IF(inputs_ok,IF(7&lt;n_bars,(c_nom+phi_w+phi/2+7*(b_w-2*c_nom-2*phi_w-phi)/MAX(n_bars-1,1))+(phi/2)*-1.000000,NA()),NA())</f>
        <v/>
      </c>
      <c r="BA11">
        <f>IF(7&lt;n_bars,(IF(hog,h_sec-c_nom-phi_w-phi/2,c_nom+phi_w+phi/2))+(phi/2)*0.000000,NA())</f>
        <v/>
      </c>
      <c r="BC11">
        <f>IF(inputs_ok,IF(7&lt;n_2,(c_nom+phi_w+phi_2/2+7*(b_w-2*c_nom-2*phi_w-phi_2)/MAX(n_2-1,1))+(phi_2/2)*-1.000000,NA()),NA())</f>
        <v/>
      </c>
      <c r="BD11">
        <f>IF(7&lt;n_2,(IF(hog,c_nom+phi_w+phi_2/2,h_sec-c_nom-phi_w-phi_2/2))+(phi_2/2)*0.000000,NA())</f>
        <v/>
      </c>
      <c r="BF11">
        <f>IF(inputs_ok,IF(8&lt;n_bars,(c_nom+phi_w+phi/2+8*(b_w-2*c_nom-2*phi_w-phi)/MAX(n_bars-1,1))+(phi/2)*-1.000000,NA()),NA())</f>
        <v/>
      </c>
      <c r="BG11">
        <f>IF(8&lt;n_bars,(IF(hog,h_sec-c_nom-phi_w-phi/2,c_nom+phi_w+phi/2))+(phi/2)*0.000000,NA())</f>
        <v/>
      </c>
      <c r="BI11">
        <f>IF(inputs_ok,IF(8&lt;n_2,(c_nom+phi_w+phi_2/2+8*(b_w-2*c_nom-2*phi_w-phi_2)/MAX(n_2-1,1))+(phi_2/2)*-1.000000,NA()),NA())</f>
        <v/>
      </c>
      <c r="BJ11">
        <f>IF(8&lt;n_2,(IF(hog,c_nom+phi_w+phi_2/2,h_sec-c_nom-phi_w-phi_2/2))+(phi_2/2)*0.000000,NA())</f>
        <v/>
      </c>
      <c r="BL11">
        <f>IF(inputs_ok,IF(9&lt;n_bars,(c_nom+phi_w+phi/2+9*(b_w-2*c_nom-2*phi_w-phi)/MAX(n_bars-1,1))+(phi/2)*-1.000000,NA()),NA())</f>
        <v/>
      </c>
      <c r="BM11">
        <f>IF(9&lt;n_bars,(IF(hog,h_sec-c_nom-phi_w-phi/2,c_nom+phi_w+phi/2))+(phi/2)*0.000000,NA())</f>
        <v/>
      </c>
      <c r="BO11">
        <f>IF(inputs_ok,IF(9&lt;n_2,(c_nom+phi_w+phi_2/2+9*(b_w-2*c_nom-2*phi_w-phi_2)/MAX(n_2-1,1))+(phi_2/2)*-1.000000,NA()),NA())</f>
        <v/>
      </c>
      <c r="BP11">
        <f>IF(9&lt;n_2,(IF(hog,c_nom+phi_w+phi_2/2,h_sec-c_nom-phi_w-phi_2/2))+(phi_2/2)*0.000000,NA())</f>
        <v/>
      </c>
      <c r="BR11">
        <f>IF(inputs_ok,IF(10&lt;n_bars,(c_nom+phi_w+phi/2+10*(b_w-2*c_nom-2*phi_w-phi)/MAX(n_bars-1,1))+(phi/2)*-1.000000,NA()),NA())</f>
        <v/>
      </c>
      <c r="BS11">
        <f>IF(10&lt;n_bars,(IF(hog,h_sec-c_nom-phi_w-phi/2,c_nom+phi_w+phi/2))+(phi/2)*0.000000,NA())</f>
        <v/>
      </c>
      <c r="BU11">
        <f>IF(inputs_ok,IF(10&lt;n_2,(c_nom+phi_w+phi_2/2+10*(b_w-2*c_nom-2*phi_w-phi_2)/MAX(n_2-1,1))+(phi_2/2)*-1.000000,NA()),NA())</f>
        <v/>
      </c>
      <c r="BV11">
        <f>IF(10&lt;n_2,(IF(hog,c_nom+phi_w+phi_2/2,h_sec-c_nom-phi_w-phi_2/2))+(phi_2/2)*0.000000,NA())</f>
        <v/>
      </c>
      <c r="BX11">
        <f>IF(inputs_ok,IF(11&lt;n_bars,(c_nom+phi_w+phi/2+11*(b_w-2*c_nom-2*phi_w-phi)/MAX(n_bars-1,1))+(phi/2)*-1.000000,NA()),NA())</f>
        <v/>
      </c>
      <c r="BY11">
        <f>IF(11&lt;n_bars,(IF(hog,h_sec-c_nom-phi_w-phi/2,c_nom+phi_w+phi/2))+(phi/2)*0.000000,NA())</f>
        <v/>
      </c>
      <c r="CA11">
        <f>IF(inputs_ok,IF(11&lt;n_2,(c_nom+phi_w+phi_2/2+11*(b_w-2*c_nom-2*phi_w-phi_2)/MAX(n_2-1,1))+(phi_2/2)*-1.000000,NA()),NA())</f>
        <v/>
      </c>
      <c r="CB11">
        <f>IF(11&lt;n_2,(IF(hog,c_nom+phi_w+phi_2/2,h_sec-c_nom-phi_w-phi_2/2))+(phi_2/2)*0.000000,NA())</f>
        <v/>
      </c>
    </row>
    <row r="12">
      <c r="J12">
        <f>IF(inputs_ok,IF(0&lt;n_bars,(c_nom+phi_w+phi/2+0*(b_w-2*c_nom-2*phi_w-phi)/MAX(n_bars-1,1))+(phi/2)*-0.923880,NA()),NA())</f>
        <v/>
      </c>
      <c r="K12">
        <f>IF(0&lt;n_bars,(IF(hog,h_sec-c_nom-phi_w-phi/2,c_nom+phi_w+phi/2))+(phi/2)*-0.382683,NA())</f>
        <v/>
      </c>
      <c r="M12">
        <f>IF(inputs_ok,IF(0&lt;n_2,(c_nom+phi_w+phi_2/2+0*(b_w-2*c_nom-2*phi_w-phi_2)/MAX(n_2-1,1))+(phi_2/2)*-0.923880,NA()),NA())</f>
        <v/>
      </c>
      <c r="N12">
        <f>IF(0&lt;n_2,(IF(hog,c_nom+phi_w+phi_2/2,h_sec-c_nom-phi_w-phi_2/2))+(phi_2/2)*-0.382683,NA())</f>
        <v/>
      </c>
      <c r="P12">
        <f>IF(inputs_ok,IF(1&lt;n_bars,(c_nom+phi_w+phi/2+1*(b_w-2*c_nom-2*phi_w-phi)/MAX(n_bars-1,1))+(phi/2)*-0.923880,NA()),NA())</f>
        <v/>
      </c>
      <c r="Q12">
        <f>IF(1&lt;n_bars,(IF(hog,h_sec-c_nom-phi_w-phi/2,c_nom+phi_w+phi/2))+(phi/2)*-0.382683,NA())</f>
        <v/>
      </c>
      <c r="S12">
        <f>IF(inputs_ok,IF(1&lt;n_2,(c_nom+phi_w+phi_2/2+1*(b_w-2*c_nom-2*phi_w-phi_2)/MAX(n_2-1,1))+(phi_2/2)*-0.923880,NA()),NA())</f>
        <v/>
      </c>
      <c r="T12">
        <f>IF(1&lt;n_2,(IF(hog,c_nom+phi_w+phi_2/2,h_sec-c_nom-phi_w-phi_2/2))+(phi_2/2)*-0.382683,NA())</f>
        <v/>
      </c>
      <c r="V12">
        <f>IF(inputs_ok,IF(2&lt;n_bars,(c_nom+phi_w+phi/2+2*(b_w-2*c_nom-2*phi_w-phi)/MAX(n_bars-1,1))+(phi/2)*-0.923880,NA()),NA())</f>
        <v/>
      </c>
      <c r="W12">
        <f>IF(2&lt;n_bars,(IF(hog,h_sec-c_nom-phi_w-phi/2,c_nom+phi_w+phi/2))+(phi/2)*-0.382683,NA())</f>
        <v/>
      </c>
      <c r="Y12">
        <f>IF(inputs_ok,IF(2&lt;n_2,(c_nom+phi_w+phi_2/2+2*(b_w-2*c_nom-2*phi_w-phi_2)/MAX(n_2-1,1))+(phi_2/2)*-0.923880,NA()),NA())</f>
        <v/>
      </c>
      <c r="Z12">
        <f>IF(2&lt;n_2,(IF(hog,c_nom+phi_w+phi_2/2,h_sec-c_nom-phi_w-phi_2/2))+(phi_2/2)*-0.382683,NA())</f>
        <v/>
      </c>
      <c r="AB12">
        <f>IF(inputs_ok,IF(3&lt;n_bars,(c_nom+phi_w+phi/2+3*(b_w-2*c_nom-2*phi_w-phi)/MAX(n_bars-1,1))+(phi/2)*-0.923880,NA()),NA())</f>
        <v/>
      </c>
      <c r="AC12">
        <f>IF(3&lt;n_bars,(IF(hog,h_sec-c_nom-phi_w-phi/2,c_nom+phi_w+phi/2))+(phi/2)*-0.382683,NA())</f>
        <v/>
      </c>
      <c r="AE12">
        <f>IF(inputs_ok,IF(3&lt;n_2,(c_nom+phi_w+phi_2/2+3*(b_w-2*c_nom-2*phi_w-phi_2)/MAX(n_2-1,1))+(phi_2/2)*-0.923880,NA()),NA())</f>
        <v/>
      </c>
      <c r="AF12">
        <f>IF(3&lt;n_2,(IF(hog,c_nom+phi_w+phi_2/2,h_sec-c_nom-phi_w-phi_2/2))+(phi_2/2)*-0.382683,NA())</f>
        <v/>
      </c>
      <c r="AH12">
        <f>IF(inputs_ok,IF(4&lt;n_bars,(c_nom+phi_w+phi/2+4*(b_w-2*c_nom-2*phi_w-phi)/MAX(n_bars-1,1))+(phi/2)*-0.923880,NA()),NA())</f>
        <v/>
      </c>
      <c r="AI12">
        <f>IF(4&lt;n_bars,(IF(hog,h_sec-c_nom-phi_w-phi/2,c_nom+phi_w+phi/2))+(phi/2)*-0.382683,NA())</f>
        <v/>
      </c>
      <c r="AK12">
        <f>IF(inputs_ok,IF(4&lt;n_2,(c_nom+phi_w+phi_2/2+4*(b_w-2*c_nom-2*phi_w-phi_2)/MAX(n_2-1,1))+(phi_2/2)*-0.923880,NA()),NA())</f>
        <v/>
      </c>
      <c r="AL12">
        <f>IF(4&lt;n_2,(IF(hog,c_nom+phi_w+phi_2/2,h_sec-c_nom-phi_w-phi_2/2))+(phi_2/2)*-0.382683,NA())</f>
        <v/>
      </c>
      <c r="AN12">
        <f>IF(inputs_ok,IF(5&lt;n_bars,(c_nom+phi_w+phi/2+5*(b_w-2*c_nom-2*phi_w-phi)/MAX(n_bars-1,1))+(phi/2)*-0.923880,NA()),NA())</f>
        <v/>
      </c>
      <c r="AO12">
        <f>IF(5&lt;n_bars,(IF(hog,h_sec-c_nom-phi_w-phi/2,c_nom+phi_w+phi/2))+(phi/2)*-0.382683,NA())</f>
        <v/>
      </c>
      <c r="AQ12">
        <f>IF(inputs_ok,IF(5&lt;n_2,(c_nom+phi_w+phi_2/2+5*(b_w-2*c_nom-2*phi_w-phi_2)/MAX(n_2-1,1))+(phi_2/2)*-0.923880,NA()),NA())</f>
        <v/>
      </c>
      <c r="AR12">
        <f>IF(5&lt;n_2,(IF(hog,c_nom+phi_w+phi_2/2,h_sec-c_nom-phi_w-phi_2/2))+(phi_2/2)*-0.382683,NA())</f>
        <v/>
      </c>
      <c r="AT12">
        <f>IF(inputs_ok,IF(6&lt;n_bars,(c_nom+phi_w+phi/2+6*(b_w-2*c_nom-2*phi_w-phi)/MAX(n_bars-1,1))+(phi/2)*-0.923880,NA()),NA())</f>
        <v/>
      </c>
      <c r="AU12">
        <f>IF(6&lt;n_bars,(IF(hog,h_sec-c_nom-phi_w-phi/2,c_nom+phi_w+phi/2))+(phi/2)*-0.382683,NA())</f>
        <v/>
      </c>
      <c r="AW12">
        <f>IF(inputs_ok,IF(6&lt;n_2,(c_nom+phi_w+phi_2/2+6*(b_w-2*c_nom-2*phi_w-phi_2)/MAX(n_2-1,1))+(phi_2/2)*-0.923880,NA()),NA())</f>
        <v/>
      </c>
      <c r="AX12">
        <f>IF(6&lt;n_2,(IF(hog,c_nom+phi_w+phi_2/2,h_sec-c_nom-phi_w-phi_2/2))+(phi_2/2)*-0.382683,NA())</f>
        <v/>
      </c>
      <c r="AZ12">
        <f>IF(inputs_ok,IF(7&lt;n_bars,(c_nom+phi_w+phi/2+7*(b_w-2*c_nom-2*phi_w-phi)/MAX(n_bars-1,1))+(phi/2)*-0.923880,NA()),NA())</f>
        <v/>
      </c>
      <c r="BA12">
        <f>IF(7&lt;n_bars,(IF(hog,h_sec-c_nom-phi_w-phi/2,c_nom+phi_w+phi/2))+(phi/2)*-0.382683,NA())</f>
        <v/>
      </c>
      <c r="BC12">
        <f>IF(inputs_ok,IF(7&lt;n_2,(c_nom+phi_w+phi_2/2+7*(b_w-2*c_nom-2*phi_w-phi_2)/MAX(n_2-1,1))+(phi_2/2)*-0.923880,NA()),NA())</f>
        <v/>
      </c>
      <c r="BD12">
        <f>IF(7&lt;n_2,(IF(hog,c_nom+phi_w+phi_2/2,h_sec-c_nom-phi_w-phi_2/2))+(phi_2/2)*-0.382683,NA())</f>
        <v/>
      </c>
      <c r="BF12">
        <f>IF(inputs_ok,IF(8&lt;n_bars,(c_nom+phi_w+phi/2+8*(b_w-2*c_nom-2*phi_w-phi)/MAX(n_bars-1,1))+(phi/2)*-0.923880,NA()),NA())</f>
        <v/>
      </c>
      <c r="BG12">
        <f>IF(8&lt;n_bars,(IF(hog,h_sec-c_nom-phi_w-phi/2,c_nom+phi_w+phi/2))+(phi/2)*-0.382683,NA())</f>
        <v/>
      </c>
      <c r="BI12">
        <f>IF(inputs_ok,IF(8&lt;n_2,(c_nom+phi_w+phi_2/2+8*(b_w-2*c_nom-2*phi_w-phi_2)/MAX(n_2-1,1))+(phi_2/2)*-0.923880,NA()),NA())</f>
        <v/>
      </c>
      <c r="BJ12">
        <f>IF(8&lt;n_2,(IF(hog,c_nom+phi_w+phi_2/2,h_sec-c_nom-phi_w-phi_2/2))+(phi_2/2)*-0.382683,NA())</f>
        <v/>
      </c>
      <c r="BL12">
        <f>IF(inputs_ok,IF(9&lt;n_bars,(c_nom+phi_w+phi/2+9*(b_w-2*c_nom-2*phi_w-phi)/MAX(n_bars-1,1))+(phi/2)*-0.923880,NA()),NA())</f>
        <v/>
      </c>
      <c r="BM12">
        <f>IF(9&lt;n_bars,(IF(hog,h_sec-c_nom-phi_w-phi/2,c_nom+phi_w+phi/2))+(phi/2)*-0.382683,NA())</f>
        <v/>
      </c>
      <c r="BO12">
        <f>IF(inputs_ok,IF(9&lt;n_2,(c_nom+phi_w+phi_2/2+9*(b_w-2*c_nom-2*phi_w-phi_2)/MAX(n_2-1,1))+(phi_2/2)*-0.923880,NA()),NA())</f>
        <v/>
      </c>
      <c r="BP12">
        <f>IF(9&lt;n_2,(IF(hog,c_nom+phi_w+phi_2/2,h_sec-c_nom-phi_w-phi_2/2))+(phi_2/2)*-0.382683,NA())</f>
        <v/>
      </c>
      <c r="BR12">
        <f>IF(inputs_ok,IF(10&lt;n_bars,(c_nom+phi_w+phi/2+10*(b_w-2*c_nom-2*phi_w-phi)/MAX(n_bars-1,1))+(phi/2)*-0.923880,NA()),NA())</f>
        <v/>
      </c>
      <c r="BS12">
        <f>IF(10&lt;n_bars,(IF(hog,h_sec-c_nom-phi_w-phi/2,c_nom+phi_w+phi/2))+(phi/2)*-0.382683,NA())</f>
        <v/>
      </c>
      <c r="BU12">
        <f>IF(inputs_ok,IF(10&lt;n_2,(c_nom+phi_w+phi_2/2+10*(b_w-2*c_nom-2*phi_w-phi_2)/MAX(n_2-1,1))+(phi_2/2)*-0.923880,NA()),NA())</f>
        <v/>
      </c>
      <c r="BV12">
        <f>IF(10&lt;n_2,(IF(hog,c_nom+phi_w+phi_2/2,h_sec-c_nom-phi_w-phi_2/2))+(phi_2/2)*-0.382683,NA())</f>
        <v/>
      </c>
      <c r="BX12">
        <f>IF(inputs_ok,IF(11&lt;n_bars,(c_nom+phi_w+phi/2+11*(b_w-2*c_nom-2*phi_w-phi)/MAX(n_bars-1,1))+(phi/2)*-0.923880,NA()),NA())</f>
        <v/>
      </c>
      <c r="BY12">
        <f>IF(11&lt;n_bars,(IF(hog,h_sec-c_nom-phi_w-phi/2,c_nom+phi_w+phi/2))+(phi/2)*-0.382683,NA())</f>
        <v/>
      </c>
      <c r="CA12">
        <f>IF(inputs_ok,IF(11&lt;n_2,(c_nom+phi_w+phi_2/2+11*(b_w-2*c_nom-2*phi_w-phi_2)/MAX(n_2-1,1))+(phi_2/2)*-0.923880,NA()),NA())</f>
        <v/>
      </c>
      <c r="CB12">
        <f>IF(11&lt;n_2,(IF(hog,c_nom+phi_w+phi_2/2,h_sec-c_nom-phi_w-phi_2/2))+(phi_2/2)*-0.382683,NA())</f>
        <v/>
      </c>
    </row>
    <row r="13">
      <c r="J13">
        <f>IF(inputs_ok,IF(0&lt;n_bars,(c_nom+phi_w+phi/2+0*(b_w-2*c_nom-2*phi_w-phi)/MAX(n_bars-1,1))+(phi/2)*-0.707107,NA()),NA())</f>
        <v/>
      </c>
      <c r="K13">
        <f>IF(0&lt;n_bars,(IF(hog,h_sec-c_nom-phi_w-phi/2,c_nom+phi_w+phi/2))+(phi/2)*-0.707107,NA())</f>
        <v/>
      </c>
      <c r="M13">
        <f>IF(inputs_ok,IF(0&lt;n_2,(c_nom+phi_w+phi_2/2+0*(b_w-2*c_nom-2*phi_w-phi_2)/MAX(n_2-1,1))+(phi_2/2)*-0.707107,NA()),NA())</f>
        <v/>
      </c>
      <c r="N13">
        <f>IF(0&lt;n_2,(IF(hog,c_nom+phi_w+phi_2/2,h_sec-c_nom-phi_w-phi_2/2))+(phi_2/2)*-0.707107,NA())</f>
        <v/>
      </c>
      <c r="P13">
        <f>IF(inputs_ok,IF(1&lt;n_bars,(c_nom+phi_w+phi/2+1*(b_w-2*c_nom-2*phi_w-phi)/MAX(n_bars-1,1))+(phi/2)*-0.707107,NA()),NA())</f>
        <v/>
      </c>
      <c r="Q13">
        <f>IF(1&lt;n_bars,(IF(hog,h_sec-c_nom-phi_w-phi/2,c_nom+phi_w+phi/2))+(phi/2)*-0.707107,NA())</f>
        <v/>
      </c>
      <c r="S13">
        <f>IF(inputs_ok,IF(1&lt;n_2,(c_nom+phi_w+phi_2/2+1*(b_w-2*c_nom-2*phi_w-phi_2)/MAX(n_2-1,1))+(phi_2/2)*-0.707107,NA()),NA())</f>
        <v/>
      </c>
      <c r="T13">
        <f>IF(1&lt;n_2,(IF(hog,c_nom+phi_w+phi_2/2,h_sec-c_nom-phi_w-phi_2/2))+(phi_2/2)*-0.707107,NA())</f>
        <v/>
      </c>
      <c r="V13">
        <f>IF(inputs_ok,IF(2&lt;n_bars,(c_nom+phi_w+phi/2+2*(b_w-2*c_nom-2*phi_w-phi)/MAX(n_bars-1,1))+(phi/2)*-0.707107,NA()),NA())</f>
        <v/>
      </c>
      <c r="W13">
        <f>IF(2&lt;n_bars,(IF(hog,h_sec-c_nom-phi_w-phi/2,c_nom+phi_w+phi/2))+(phi/2)*-0.707107,NA())</f>
        <v/>
      </c>
      <c r="Y13">
        <f>IF(inputs_ok,IF(2&lt;n_2,(c_nom+phi_w+phi_2/2+2*(b_w-2*c_nom-2*phi_w-phi_2)/MAX(n_2-1,1))+(phi_2/2)*-0.707107,NA()),NA())</f>
        <v/>
      </c>
      <c r="Z13">
        <f>IF(2&lt;n_2,(IF(hog,c_nom+phi_w+phi_2/2,h_sec-c_nom-phi_w-phi_2/2))+(phi_2/2)*-0.707107,NA())</f>
        <v/>
      </c>
      <c r="AB13">
        <f>IF(inputs_ok,IF(3&lt;n_bars,(c_nom+phi_w+phi/2+3*(b_w-2*c_nom-2*phi_w-phi)/MAX(n_bars-1,1))+(phi/2)*-0.707107,NA()),NA())</f>
        <v/>
      </c>
      <c r="AC13">
        <f>IF(3&lt;n_bars,(IF(hog,h_sec-c_nom-phi_w-phi/2,c_nom+phi_w+phi/2))+(phi/2)*-0.707107,NA())</f>
        <v/>
      </c>
      <c r="AE13">
        <f>IF(inputs_ok,IF(3&lt;n_2,(c_nom+phi_w+phi_2/2+3*(b_w-2*c_nom-2*phi_w-phi_2)/MAX(n_2-1,1))+(phi_2/2)*-0.707107,NA()),NA())</f>
        <v/>
      </c>
      <c r="AF13">
        <f>IF(3&lt;n_2,(IF(hog,c_nom+phi_w+phi_2/2,h_sec-c_nom-phi_w-phi_2/2))+(phi_2/2)*-0.707107,NA())</f>
        <v/>
      </c>
      <c r="AH13">
        <f>IF(inputs_ok,IF(4&lt;n_bars,(c_nom+phi_w+phi/2+4*(b_w-2*c_nom-2*phi_w-phi)/MAX(n_bars-1,1))+(phi/2)*-0.707107,NA()),NA())</f>
        <v/>
      </c>
      <c r="AI13">
        <f>IF(4&lt;n_bars,(IF(hog,h_sec-c_nom-phi_w-phi/2,c_nom+phi_w+phi/2))+(phi/2)*-0.707107,NA())</f>
        <v/>
      </c>
      <c r="AK13">
        <f>IF(inputs_ok,IF(4&lt;n_2,(c_nom+phi_w+phi_2/2+4*(b_w-2*c_nom-2*phi_w-phi_2)/MAX(n_2-1,1))+(phi_2/2)*-0.707107,NA()),NA())</f>
        <v/>
      </c>
      <c r="AL13">
        <f>IF(4&lt;n_2,(IF(hog,c_nom+phi_w+phi_2/2,h_sec-c_nom-phi_w-phi_2/2))+(phi_2/2)*-0.707107,NA())</f>
        <v/>
      </c>
      <c r="AN13">
        <f>IF(inputs_ok,IF(5&lt;n_bars,(c_nom+phi_w+phi/2+5*(b_w-2*c_nom-2*phi_w-phi)/MAX(n_bars-1,1))+(phi/2)*-0.707107,NA()),NA())</f>
        <v/>
      </c>
      <c r="AO13">
        <f>IF(5&lt;n_bars,(IF(hog,h_sec-c_nom-phi_w-phi/2,c_nom+phi_w+phi/2))+(phi/2)*-0.707107,NA())</f>
        <v/>
      </c>
      <c r="AQ13">
        <f>IF(inputs_ok,IF(5&lt;n_2,(c_nom+phi_w+phi_2/2+5*(b_w-2*c_nom-2*phi_w-phi_2)/MAX(n_2-1,1))+(phi_2/2)*-0.707107,NA()),NA())</f>
        <v/>
      </c>
      <c r="AR13">
        <f>IF(5&lt;n_2,(IF(hog,c_nom+phi_w+phi_2/2,h_sec-c_nom-phi_w-phi_2/2))+(phi_2/2)*-0.707107,NA())</f>
        <v/>
      </c>
      <c r="AT13">
        <f>IF(inputs_ok,IF(6&lt;n_bars,(c_nom+phi_w+phi/2+6*(b_w-2*c_nom-2*phi_w-phi)/MAX(n_bars-1,1))+(phi/2)*-0.707107,NA()),NA())</f>
        <v/>
      </c>
      <c r="AU13">
        <f>IF(6&lt;n_bars,(IF(hog,h_sec-c_nom-phi_w-phi/2,c_nom+phi_w+phi/2))+(phi/2)*-0.707107,NA())</f>
        <v/>
      </c>
      <c r="AW13">
        <f>IF(inputs_ok,IF(6&lt;n_2,(c_nom+phi_w+phi_2/2+6*(b_w-2*c_nom-2*phi_w-phi_2)/MAX(n_2-1,1))+(phi_2/2)*-0.707107,NA()),NA())</f>
        <v/>
      </c>
      <c r="AX13">
        <f>IF(6&lt;n_2,(IF(hog,c_nom+phi_w+phi_2/2,h_sec-c_nom-phi_w-phi_2/2))+(phi_2/2)*-0.707107,NA())</f>
        <v/>
      </c>
      <c r="AZ13">
        <f>IF(inputs_ok,IF(7&lt;n_bars,(c_nom+phi_w+phi/2+7*(b_w-2*c_nom-2*phi_w-phi)/MAX(n_bars-1,1))+(phi/2)*-0.707107,NA()),NA())</f>
        <v/>
      </c>
      <c r="BA13">
        <f>IF(7&lt;n_bars,(IF(hog,h_sec-c_nom-phi_w-phi/2,c_nom+phi_w+phi/2))+(phi/2)*-0.707107,NA())</f>
        <v/>
      </c>
      <c r="BC13">
        <f>IF(inputs_ok,IF(7&lt;n_2,(c_nom+phi_w+phi_2/2+7*(b_w-2*c_nom-2*phi_w-phi_2)/MAX(n_2-1,1))+(phi_2/2)*-0.707107,NA()),NA())</f>
        <v/>
      </c>
      <c r="BD13">
        <f>IF(7&lt;n_2,(IF(hog,c_nom+phi_w+phi_2/2,h_sec-c_nom-phi_w-phi_2/2))+(phi_2/2)*-0.707107,NA())</f>
        <v/>
      </c>
      <c r="BF13">
        <f>IF(inputs_ok,IF(8&lt;n_bars,(c_nom+phi_w+phi/2+8*(b_w-2*c_nom-2*phi_w-phi)/MAX(n_bars-1,1))+(phi/2)*-0.707107,NA()),NA())</f>
        <v/>
      </c>
      <c r="BG13">
        <f>IF(8&lt;n_bars,(IF(hog,h_sec-c_nom-phi_w-phi/2,c_nom+phi_w+phi/2))+(phi/2)*-0.707107,NA())</f>
        <v/>
      </c>
      <c r="BI13">
        <f>IF(inputs_ok,IF(8&lt;n_2,(c_nom+phi_w+phi_2/2+8*(b_w-2*c_nom-2*phi_w-phi_2)/MAX(n_2-1,1))+(phi_2/2)*-0.707107,NA()),NA())</f>
        <v/>
      </c>
      <c r="BJ13">
        <f>IF(8&lt;n_2,(IF(hog,c_nom+phi_w+phi_2/2,h_sec-c_nom-phi_w-phi_2/2))+(phi_2/2)*-0.707107,NA())</f>
        <v/>
      </c>
      <c r="BL13">
        <f>IF(inputs_ok,IF(9&lt;n_bars,(c_nom+phi_w+phi/2+9*(b_w-2*c_nom-2*phi_w-phi)/MAX(n_bars-1,1))+(phi/2)*-0.707107,NA()),NA())</f>
        <v/>
      </c>
      <c r="BM13">
        <f>IF(9&lt;n_bars,(IF(hog,h_sec-c_nom-phi_w-phi/2,c_nom+phi_w+phi/2))+(phi/2)*-0.707107,NA())</f>
        <v/>
      </c>
      <c r="BO13">
        <f>IF(inputs_ok,IF(9&lt;n_2,(c_nom+phi_w+phi_2/2+9*(b_w-2*c_nom-2*phi_w-phi_2)/MAX(n_2-1,1))+(phi_2/2)*-0.707107,NA()),NA())</f>
        <v/>
      </c>
      <c r="BP13">
        <f>IF(9&lt;n_2,(IF(hog,c_nom+phi_w+phi_2/2,h_sec-c_nom-phi_w-phi_2/2))+(phi_2/2)*-0.707107,NA())</f>
        <v/>
      </c>
      <c r="BR13">
        <f>IF(inputs_ok,IF(10&lt;n_bars,(c_nom+phi_w+phi/2+10*(b_w-2*c_nom-2*phi_w-phi)/MAX(n_bars-1,1))+(phi/2)*-0.707107,NA()),NA())</f>
        <v/>
      </c>
      <c r="BS13">
        <f>IF(10&lt;n_bars,(IF(hog,h_sec-c_nom-phi_w-phi/2,c_nom+phi_w+phi/2))+(phi/2)*-0.707107,NA())</f>
        <v/>
      </c>
      <c r="BU13">
        <f>IF(inputs_ok,IF(10&lt;n_2,(c_nom+phi_w+phi_2/2+10*(b_w-2*c_nom-2*phi_w-phi_2)/MAX(n_2-1,1))+(phi_2/2)*-0.707107,NA()),NA())</f>
        <v/>
      </c>
      <c r="BV13">
        <f>IF(10&lt;n_2,(IF(hog,c_nom+phi_w+phi_2/2,h_sec-c_nom-phi_w-phi_2/2))+(phi_2/2)*-0.707107,NA())</f>
        <v/>
      </c>
      <c r="BX13">
        <f>IF(inputs_ok,IF(11&lt;n_bars,(c_nom+phi_w+phi/2+11*(b_w-2*c_nom-2*phi_w-phi)/MAX(n_bars-1,1))+(phi/2)*-0.707107,NA()),NA())</f>
        <v/>
      </c>
      <c r="BY13">
        <f>IF(11&lt;n_bars,(IF(hog,h_sec-c_nom-phi_w-phi/2,c_nom+phi_w+phi/2))+(phi/2)*-0.707107,NA())</f>
        <v/>
      </c>
      <c r="CA13">
        <f>IF(inputs_ok,IF(11&lt;n_2,(c_nom+phi_w+phi_2/2+11*(b_w-2*c_nom-2*phi_w-phi_2)/MAX(n_2-1,1))+(phi_2/2)*-0.707107,NA()),NA())</f>
        <v/>
      </c>
      <c r="CB13">
        <f>IF(11&lt;n_2,(IF(hog,c_nom+phi_w+phi_2/2,h_sec-c_nom-phi_w-phi_2/2))+(phi_2/2)*-0.707107,NA())</f>
        <v/>
      </c>
    </row>
    <row r="14">
      <c r="J14">
        <f>IF(inputs_ok,IF(0&lt;n_bars,(c_nom+phi_w+phi/2+0*(b_w-2*c_nom-2*phi_w-phi)/MAX(n_bars-1,1))+(phi/2)*-0.382683,NA()),NA())</f>
        <v/>
      </c>
      <c r="K14">
        <f>IF(0&lt;n_bars,(IF(hog,h_sec-c_nom-phi_w-phi/2,c_nom+phi_w+phi/2))+(phi/2)*-0.923880,NA())</f>
        <v/>
      </c>
      <c r="M14">
        <f>IF(inputs_ok,IF(0&lt;n_2,(c_nom+phi_w+phi_2/2+0*(b_w-2*c_nom-2*phi_w-phi_2)/MAX(n_2-1,1))+(phi_2/2)*-0.382683,NA()),NA())</f>
        <v/>
      </c>
      <c r="N14">
        <f>IF(0&lt;n_2,(IF(hog,c_nom+phi_w+phi_2/2,h_sec-c_nom-phi_w-phi_2/2))+(phi_2/2)*-0.923880,NA())</f>
        <v/>
      </c>
      <c r="P14">
        <f>IF(inputs_ok,IF(1&lt;n_bars,(c_nom+phi_w+phi/2+1*(b_w-2*c_nom-2*phi_w-phi)/MAX(n_bars-1,1))+(phi/2)*-0.382683,NA()),NA())</f>
        <v/>
      </c>
      <c r="Q14">
        <f>IF(1&lt;n_bars,(IF(hog,h_sec-c_nom-phi_w-phi/2,c_nom+phi_w+phi/2))+(phi/2)*-0.923880,NA())</f>
        <v/>
      </c>
      <c r="S14">
        <f>IF(inputs_ok,IF(1&lt;n_2,(c_nom+phi_w+phi_2/2+1*(b_w-2*c_nom-2*phi_w-phi_2)/MAX(n_2-1,1))+(phi_2/2)*-0.382683,NA()),NA())</f>
        <v/>
      </c>
      <c r="T14">
        <f>IF(1&lt;n_2,(IF(hog,c_nom+phi_w+phi_2/2,h_sec-c_nom-phi_w-phi_2/2))+(phi_2/2)*-0.923880,NA())</f>
        <v/>
      </c>
      <c r="V14">
        <f>IF(inputs_ok,IF(2&lt;n_bars,(c_nom+phi_w+phi/2+2*(b_w-2*c_nom-2*phi_w-phi)/MAX(n_bars-1,1))+(phi/2)*-0.382683,NA()),NA())</f>
        <v/>
      </c>
      <c r="W14">
        <f>IF(2&lt;n_bars,(IF(hog,h_sec-c_nom-phi_w-phi/2,c_nom+phi_w+phi/2))+(phi/2)*-0.923880,NA())</f>
        <v/>
      </c>
      <c r="Y14">
        <f>IF(inputs_ok,IF(2&lt;n_2,(c_nom+phi_w+phi_2/2+2*(b_w-2*c_nom-2*phi_w-phi_2)/MAX(n_2-1,1))+(phi_2/2)*-0.382683,NA()),NA())</f>
        <v/>
      </c>
      <c r="Z14">
        <f>IF(2&lt;n_2,(IF(hog,c_nom+phi_w+phi_2/2,h_sec-c_nom-phi_w-phi_2/2))+(phi_2/2)*-0.923880,NA())</f>
        <v/>
      </c>
      <c r="AB14">
        <f>IF(inputs_ok,IF(3&lt;n_bars,(c_nom+phi_w+phi/2+3*(b_w-2*c_nom-2*phi_w-phi)/MAX(n_bars-1,1))+(phi/2)*-0.382683,NA()),NA())</f>
        <v/>
      </c>
      <c r="AC14">
        <f>IF(3&lt;n_bars,(IF(hog,h_sec-c_nom-phi_w-phi/2,c_nom+phi_w+phi/2))+(phi/2)*-0.923880,NA())</f>
        <v/>
      </c>
      <c r="AE14">
        <f>IF(inputs_ok,IF(3&lt;n_2,(c_nom+phi_w+phi_2/2+3*(b_w-2*c_nom-2*phi_w-phi_2)/MAX(n_2-1,1))+(phi_2/2)*-0.382683,NA()),NA())</f>
        <v/>
      </c>
      <c r="AF14">
        <f>IF(3&lt;n_2,(IF(hog,c_nom+phi_w+phi_2/2,h_sec-c_nom-phi_w-phi_2/2))+(phi_2/2)*-0.923880,NA())</f>
        <v/>
      </c>
      <c r="AH14">
        <f>IF(inputs_ok,IF(4&lt;n_bars,(c_nom+phi_w+phi/2+4*(b_w-2*c_nom-2*phi_w-phi)/MAX(n_bars-1,1))+(phi/2)*-0.382683,NA()),NA())</f>
        <v/>
      </c>
      <c r="AI14">
        <f>IF(4&lt;n_bars,(IF(hog,h_sec-c_nom-phi_w-phi/2,c_nom+phi_w+phi/2))+(phi/2)*-0.923880,NA())</f>
        <v/>
      </c>
      <c r="AK14">
        <f>IF(inputs_ok,IF(4&lt;n_2,(c_nom+phi_w+phi_2/2+4*(b_w-2*c_nom-2*phi_w-phi_2)/MAX(n_2-1,1))+(phi_2/2)*-0.382683,NA()),NA())</f>
        <v/>
      </c>
      <c r="AL14">
        <f>IF(4&lt;n_2,(IF(hog,c_nom+phi_w+phi_2/2,h_sec-c_nom-phi_w-phi_2/2))+(phi_2/2)*-0.923880,NA())</f>
        <v/>
      </c>
      <c r="AN14">
        <f>IF(inputs_ok,IF(5&lt;n_bars,(c_nom+phi_w+phi/2+5*(b_w-2*c_nom-2*phi_w-phi)/MAX(n_bars-1,1))+(phi/2)*-0.382683,NA()),NA())</f>
        <v/>
      </c>
      <c r="AO14">
        <f>IF(5&lt;n_bars,(IF(hog,h_sec-c_nom-phi_w-phi/2,c_nom+phi_w+phi/2))+(phi/2)*-0.923880,NA())</f>
        <v/>
      </c>
      <c r="AQ14">
        <f>IF(inputs_ok,IF(5&lt;n_2,(c_nom+phi_w+phi_2/2+5*(b_w-2*c_nom-2*phi_w-phi_2)/MAX(n_2-1,1))+(phi_2/2)*-0.382683,NA()),NA())</f>
        <v/>
      </c>
      <c r="AR14">
        <f>IF(5&lt;n_2,(IF(hog,c_nom+phi_w+phi_2/2,h_sec-c_nom-phi_w-phi_2/2))+(phi_2/2)*-0.923880,NA())</f>
        <v/>
      </c>
      <c r="AT14">
        <f>IF(inputs_ok,IF(6&lt;n_bars,(c_nom+phi_w+phi/2+6*(b_w-2*c_nom-2*phi_w-phi)/MAX(n_bars-1,1))+(phi/2)*-0.382683,NA()),NA())</f>
        <v/>
      </c>
      <c r="AU14">
        <f>IF(6&lt;n_bars,(IF(hog,h_sec-c_nom-phi_w-phi/2,c_nom+phi_w+phi/2))+(phi/2)*-0.923880,NA())</f>
        <v/>
      </c>
      <c r="AW14">
        <f>IF(inputs_ok,IF(6&lt;n_2,(c_nom+phi_w+phi_2/2+6*(b_w-2*c_nom-2*phi_w-phi_2)/MAX(n_2-1,1))+(phi_2/2)*-0.382683,NA()),NA())</f>
        <v/>
      </c>
      <c r="AX14">
        <f>IF(6&lt;n_2,(IF(hog,c_nom+phi_w+phi_2/2,h_sec-c_nom-phi_w-phi_2/2))+(phi_2/2)*-0.923880,NA())</f>
        <v/>
      </c>
      <c r="AZ14">
        <f>IF(inputs_ok,IF(7&lt;n_bars,(c_nom+phi_w+phi/2+7*(b_w-2*c_nom-2*phi_w-phi)/MAX(n_bars-1,1))+(phi/2)*-0.382683,NA()),NA())</f>
        <v/>
      </c>
      <c r="BA14">
        <f>IF(7&lt;n_bars,(IF(hog,h_sec-c_nom-phi_w-phi/2,c_nom+phi_w+phi/2))+(phi/2)*-0.923880,NA())</f>
        <v/>
      </c>
      <c r="BC14">
        <f>IF(inputs_ok,IF(7&lt;n_2,(c_nom+phi_w+phi_2/2+7*(b_w-2*c_nom-2*phi_w-phi_2)/MAX(n_2-1,1))+(phi_2/2)*-0.382683,NA()),NA())</f>
        <v/>
      </c>
      <c r="BD14">
        <f>IF(7&lt;n_2,(IF(hog,c_nom+phi_w+phi_2/2,h_sec-c_nom-phi_w-phi_2/2))+(phi_2/2)*-0.923880,NA())</f>
        <v/>
      </c>
      <c r="BF14">
        <f>IF(inputs_ok,IF(8&lt;n_bars,(c_nom+phi_w+phi/2+8*(b_w-2*c_nom-2*phi_w-phi)/MAX(n_bars-1,1))+(phi/2)*-0.382683,NA()),NA())</f>
        <v/>
      </c>
      <c r="BG14">
        <f>IF(8&lt;n_bars,(IF(hog,h_sec-c_nom-phi_w-phi/2,c_nom+phi_w+phi/2))+(phi/2)*-0.923880,NA())</f>
        <v/>
      </c>
      <c r="BI14">
        <f>IF(inputs_ok,IF(8&lt;n_2,(c_nom+phi_w+phi_2/2+8*(b_w-2*c_nom-2*phi_w-phi_2)/MAX(n_2-1,1))+(phi_2/2)*-0.382683,NA()),NA())</f>
        <v/>
      </c>
      <c r="BJ14">
        <f>IF(8&lt;n_2,(IF(hog,c_nom+phi_w+phi_2/2,h_sec-c_nom-phi_w-phi_2/2))+(phi_2/2)*-0.923880,NA())</f>
        <v/>
      </c>
      <c r="BL14">
        <f>IF(inputs_ok,IF(9&lt;n_bars,(c_nom+phi_w+phi/2+9*(b_w-2*c_nom-2*phi_w-phi)/MAX(n_bars-1,1))+(phi/2)*-0.382683,NA()),NA())</f>
        <v/>
      </c>
      <c r="BM14">
        <f>IF(9&lt;n_bars,(IF(hog,h_sec-c_nom-phi_w-phi/2,c_nom+phi_w+phi/2))+(phi/2)*-0.923880,NA())</f>
        <v/>
      </c>
      <c r="BO14">
        <f>IF(inputs_ok,IF(9&lt;n_2,(c_nom+phi_w+phi_2/2+9*(b_w-2*c_nom-2*phi_w-phi_2)/MAX(n_2-1,1))+(phi_2/2)*-0.382683,NA()),NA())</f>
        <v/>
      </c>
      <c r="BP14">
        <f>IF(9&lt;n_2,(IF(hog,c_nom+phi_w+phi_2/2,h_sec-c_nom-phi_w-phi_2/2))+(phi_2/2)*-0.923880,NA())</f>
        <v/>
      </c>
      <c r="BR14">
        <f>IF(inputs_ok,IF(10&lt;n_bars,(c_nom+phi_w+phi/2+10*(b_w-2*c_nom-2*phi_w-phi)/MAX(n_bars-1,1))+(phi/2)*-0.382683,NA()),NA())</f>
        <v/>
      </c>
      <c r="BS14">
        <f>IF(10&lt;n_bars,(IF(hog,h_sec-c_nom-phi_w-phi/2,c_nom+phi_w+phi/2))+(phi/2)*-0.923880,NA())</f>
        <v/>
      </c>
      <c r="BU14">
        <f>IF(inputs_ok,IF(10&lt;n_2,(c_nom+phi_w+phi_2/2+10*(b_w-2*c_nom-2*phi_w-phi_2)/MAX(n_2-1,1))+(phi_2/2)*-0.382683,NA()),NA())</f>
        <v/>
      </c>
      <c r="BV14">
        <f>IF(10&lt;n_2,(IF(hog,c_nom+phi_w+phi_2/2,h_sec-c_nom-phi_w-phi_2/2))+(phi_2/2)*-0.923880,NA())</f>
        <v/>
      </c>
      <c r="BX14">
        <f>IF(inputs_ok,IF(11&lt;n_bars,(c_nom+phi_w+phi/2+11*(b_w-2*c_nom-2*phi_w-phi)/MAX(n_bars-1,1))+(phi/2)*-0.382683,NA()),NA())</f>
        <v/>
      </c>
      <c r="BY14">
        <f>IF(11&lt;n_bars,(IF(hog,h_sec-c_nom-phi_w-phi/2,c_nom+phi_w+phi/2))+(phi/2)*-0.923880,NA())</f>
        <v/>
      </c>
      <c r="CA14">
        <f>IF(inputs_ok,IF(11&lt;n_2,(c_nom+phi_w+phi_2/2+11*(b_w-2*c_nom-2*phi_w-phi_2)/MAX(n_2-1,1))+(phi_2/2)*-0.382683,NA()),NA())</f>
        <v/>
      </c>
      <c r="CB14">
        <f>IF(11&lt;n_2,(IF(hog,c_nom+phi_w+phi_2/2,h_sec-c_nom-phi_w-phi_2/2))+(phi_2/2)*-0.923880,NA())</f>
        <v/>
      </c>
    </row>
    <row r="15">
      <c r="J15">
        <f>IF(inputs_ok,IF(0&lt;n_bars,(c_nom+phi_w+phi/2+0*(b_w-2*c_nom-2*phi_w-phi)/MAX(n_bars-1,1))+(phi/2)*-0.000000,NA()),NA())</f>
        <v/>
      </c>
      <c r="K15">
        <f>IF(0&lt;n_bars,(IF(hog,h_sec-c_nom-phi_w-phi/2,c_nom+phi_w+phi/2))+(phi/2)*-1.000000,NA())</f>
        <v/>
      </c>
      <c r="M15">
        <f>IF(inputs_ok,IF(0&lt;n_2,(c_nom+phi_w+phi_2/2+0*(b_w-2*c_nom-2*phi_w-phi_2)/MAX(n_2-1,1))+(phi_2/2)*-0.000000,NA()),NA())</f>
        <v/>
      </c>
      <c r="N15">
        <f>IF(0&lt;n_2,(IF(hog,c_nom+phi_w+phi_2/2,h_sec-c_nom-phi_w-phi_2/2))+(phi_2/2)*-1.000000,NA())</f>
        <v/>
      </c>
      <c r="P15">
        <f>IF(inputs_ok,IF(1&lt;n_bars,(c_nom+phi_w+phi/2+1*(b_w-2*c_nom-2*phi_w-phi)/MAX(n_bars-1,1))+(phi/2)*-0.000000,NA()),NA())</f>
        <v/>
      </c>
      <c r="Q15">
        <f>IF(1&lt;n_bars,(IF(hog,h_sec-c_nom-phi_w-phi/2,c_nom+phi_w+phi/2))+(phi/2)*-1.000000,NA())</f>
        <v/>
      </c>
      <c r="S15">
        <f>IF(inputs_ok,IF(1&lt;n_2,(c_nom+phi_w+phi_2/2+1*(b_w-2*c_nom-2*phi_w-phi_2)/MAX(n_2-1,1))+(phi_2/2)*-0.000000,NA()),NA())</f>
        <v/>
      </c>
      <c r="T15">
        <f>IF(1&lt;n_2,(IF(hog,c_nom+phi_w+phi_2/2,h_sec-c_nom-phi_w-phi_2/2))+(phi_2/2)*-1.000000,NA())</f>
        <v/>
      </c>
      <c r="V15">
        <f>IF(inputs_ok,IF(2&lt;n_bars,(c_nom+phi_w+phi/2+2*(b_w-2*c_nom-2*phi_w-phi)/MAX(n_bars-1,1))+(phi/2)*-0.000000,NA()),NA())</f>
        <v/>
      </c>
      <c r="W15">
        <f>IF(2&lt;n_bars,(IF(hog,h_sec-c_nom-phi_w-phi/2,c_nom+phi_w+phi/2))+(phi/2)*-1.000000,NA())</f>
        <v/>
      </c>
      <c r="Y15">
        <f>IF(inputs_ok,IF(2&lt;n_2,(c_nom+phi_w+phi_2/2+2*(b_w-2*c_nom-2*phi_w-phi_2)/MAX(n_2-1,1))+(phi_2/2)*-0.000000,NA()),NA())</f>
        <v/>
      </c>
      <c r="Z15">
        <f>IF(2&lt;n_2,(IF(hog,c_nom+phi_w+phi_2/2,h_sec-c_nom-phi_w-phi_2/2))+(phi_2/2)*-1.000000,NA())</f>
        <v/>
      </c>
      <c r="AB15">
        <f>IF(inputs_ok,IF(3&lt;n_bars,(c_nom+phi_w+phi/2+3*(b_w-2*c_nom-2*phi_w-phi)/MAX(n_bars-1,1))+(phi/2)*-0.000000,NA()),NA())</f>
        <v/>
      </c>
      <c r="AC15">
        <f>IF(3&lt;n_bars,(IF(hog,h_sec-c_nom-phi_w-phi/2,c_nom+phi_w+phi/2))+(phi/2)*-1.000000,NA())</f>
        <v/>
      </c>
      <c r="AE15">
        <f>IF(inputs_ok,IF(3&lt;n_2,(c_nom+phi_w+phi_2/2+3*(b_w-2*c_nom-2*phi_w-phi_2)/MAX(n_2-1,1))+(phi_2/2)*-0.000000,NA()),NA())</f>
        <v/>
      </c>
      <c r="AF15">
        <f>IF(3&lt;n_2,(IF(hog,c_nom+phi_w+phi_2/2,h_sec-c_nom-phi_w-phi_2/2))+(phi_2/2)*-1.000000,NA())</f>
        <v/>
      </c>
      <c r="AH15">
        <f>IF(inputs_ok,IF(4&lt;n_bars,(c_nom+phi_w+phi/2+4*(b_w-2*c_nom-2*phi_w-phi)/MAX(n_bars-1,1))+(phi/2)*-0.000000,NA()),NA())</f>
        <v/>
      </c>
      <c r="AI15">
        <f>IF(4&lt;n_bars,(IF(hog,h_sec-c_nom-phi_w-phi/2,c_nom+phi_w+phi/2))+(phi/2)*-1.000000,NA())</f>
        <v/>
      </c>
      <c r="AK15">
        <f>IF(inputs_ok,IF(4&lt;n_2,(c_nom+phi_w+phi_2/2+4*(b_w-2*c_nom-2*phi_w-phi_2)/MAX(n_2-1,1))+(phi_2/2)*-0.000000,NA()),NA())</f>
        <v/>
      </c>
      <c r="AL15">
        <f>IF(4&lt;n_2,(IF(hog,c_nom+phi_w+phi_2/2,h_sec-c_nom-phi_w-phi_2/2))+(phi_2/2)*-1.000000,NA())</f>
        <v/>
      </c>
      <c r="AN15">
        <f>IF(inputs_ok,IF(5&lt;n_bars,(c_nom+phi_w+phi/2+5*(b_w-2*c_nom-2*phi_w-phi)/MAX(n_bars-1,1))+(phi/2)*-0.000000,NA()),NA())</f>
        <v/>
      </c>
      <c r="AO15">
        <f>IF(5&lt;n_bars,(IF(hog,h_sec-c_nom-phi_w-phi/2,c_nom+phi_w+phi/2))+(phi/2)*-1.000000,NA())</f>
        <v/>
      </c>
      <c r="AQ15">
        <f>IF(inputs_ok,IF(5&lt;n_2,(c_nom+phi_w+phi_2/2+5*(b_w-2*c_nom-2*phi_w-phi_2)/MAX(n_2-1,1))+(phi_2/2)*-0.000000,NA()),NA())</f>
        <v/>
      </c>
      <c r="AR15">
        <f>IF(5&lt;n_2,(IF(hog,c_nom+phi_w+phi_2/2,h_sec-c_nom-phi_w-phi_2/2))+(phi_2/2)*-1.000000,NA())</f>
        <v/>
      </c>
      <c r="AT15">
        <f>IF(inputs_ok,IF(6&lt;n_bars,(c_nom+phi_w+phi/2+6*(b_w-2*c_nom-2*phi_w-phi)/MAX(n_bars-1,1))+(phi/2)*-0.000000,NA()),NA())</f>
        <v/>
      </c>
      <c r="AU15">
        <f>IF(6&lt;n_bars,(IF(hog,h_sec-c_nom-phi_w-phi/2,c_nom+phi_w+phi/2))+(phi/2)*-1.000000,NA())</f>
        <v/>
      </c>
      <c r="AW15">
        <f>IF(inputs_ok,IF(6&lt;n_2,(c_nom+phi_w+phi_2/2+6*(b_w-2*c_nom-2*phi_w-phi_2)/MAX(n_2-1,1))+(phi_2/2)*-0.000000,NA()),NA())</f>
        <v/>
      </c>
      <c r="AX15">
        <f>IF(6&lt;n_2,(IF(hog,c_nom+phi_w+phi_2/2,h_sec-c_nom-phi_w-phi_2/2))+(phi_2/2)*-1.000000,NA())</f>
        <v/>
      </c>
      <c r="AZ15">
        <f>IF(inputs_ok,IF(7&lt;n_bars,(c_nom+phi_w+phi/2+7*(b_w-2*c_nom-2*phi_w-phi)/MAX(n_bars-1,1))+(phi/2)*-0.000000,NA()),NA())</f>
        <v/>
      </c>
      <c r="BA15">
        <f>IF(7&lt;n_bars,(IF(hog,h_sec-c_nom-phi_w-phi/2,c_nom+phi_w+phi/2))+(phi/2)*-1.000000,NA())</f>
        <v/>
      </c>
      <c r="BC15">
        <f>IF(inputs_ok,IF(7&lt;n_2,(c_nom+phi_w+phi_2/2+7*(b_w-2*c_nom-2*phi_w-phi_2)/MAX(n_2-1,1))+(phi_2/2)*-0.000000,NA()),NA())</f>
        <v/>
      </c>
      <c r="BD15">
        <f>IF(7&lt;n_2,(IF(hog,c_nom+phi_w+phi_2/2,h_sec-c_nom-phi_w-phi_2/2))+(phi_2/2)*-1.000000,NA())</f>
        <v/>
      </c>
      <c r="BF15">
        <f>IF(inputs_ok,IF(8&lt;n_bars,(c_nom+phi_w+phi/2+8*(b_w-2*c_nom-2*phi_w-phi)/MAX(n_bars-1,1))+(phi/2)*-0.000000,NA()),NA())</f>
        <v/>
      </c>
      <c r="BG15">
        <f>IF(8&lt;n_bars,(IF(hog,h_sec-c_nom-phi_w-phi/2,c_nom+phi_w+phi/2))+(phi/2)*-1.000000,NA())</f>
        <v/>
      </c>
      <c r="BI15">
        <f>IF(inputs_ok,IF(8&lt;n_2,(c_nom+phi_w+phi_2/2+8*(b_w-2*c_nom-2*phi_w-phi_2)/MAX(n_2-1,1))+(phi_2/2)*-0.000000,NA()),NA())</f>
        <v/>
      </c>
      <c r="BJ15">
        <f>IF(8&lt;n_2,(IF(hog,c_nom+phi_w+phi_2/2,h_sec-c_nom-phi_w-phi_2/2))+(phi_2/2)*-1.000000,NA())</f>
        <v/>
      </c>
      <c r="BL15">
        <f>IF(inputs_ok,IF(9&lt;n_bars,(c_nom+phi_w+phi/2+9*(b_w-2*c_nom-2*phi_w-phi)/MAX(n_bars-1,1))+(phi/2)*-0.000000,NA()),NA())</f>
        <v/>
      </c>
      <c r="BM15">
        <f>IF(9&lt;n_bars,(IF(hog,h_sec-c_nom-phi_w-phi/2,c_nom+phi_w+phi/2))+(phi/2)*-1.000000,NA())</f>
        <v/>
      </c>
      <c r="BO15">
        <f>IF(inputs_ok,IF(9&lt;n_2,(c_nom+phi_w+phi_2/2+9*(b_w-2*c_nom-2*phi_w-phi_2)/MAX(n_2-1,1))+(phi_2/2)*-0.000000,NA()),NA())</f>
        <v/>
      </c>
      <c r="BP15">
        <f>IF(9&lt;n_2,(IF(hog,c_nom+phi_w+phi_2/2,h_sec-c_nom-phi_w-phi_2/2))+(phi_2/2)*-1.000000,NA())</f>
        <v/>
      </c>
      <c r="BR15">
        <f>IF(inputs_ok,IF(10&lt;n_bars,(c_nom+phi_w+phi/2+10*(b_w-2*c_nom-2*phi_w-phi)/MAX(n_bars-1,1))+(phi/2)*-0.000000,NA()),NA())</f>
        <v/>
      </c>
      <c r="BS15">
        <f>IF(10&lt;n_bars,(IF(hog,h_sec-c_nom-phi_w-phi/2,c_nom+phi_w+phi/2))+(phi/2)*-1.000000,NA())</f>
        <v/>
      </c>
      <c r="BU15">
        <f>IF(inputs_ok,IF(10&lt;n_2,(c_nom+phi_w+phi_2/2+10*(b_w-2*c_nom-2*phi_w-phi_2)/MAX(n_2-1,1))+(phi_2/2)*-0.000000,NA()),NA())</f>
        <v/>
      </c>
      <c r="BV15">
        <f>IF(10&lt;n_2,(IF(hog,c_nom+phi_w+phi_2/2,h_sec-c_nom-phi_w-phi_2/2))+(phi_2/2)*-1.000000,NA())</f>
        <v/>
      </c>
      <c r="BX15">
        <f>IF(inputs_ok,IF(11&lt;n_bars,(c_nom+phi_w+phi/2+11*(b_w-2*c_nom-2*phi_w-phi)/MAX(n_bars-1,1))+(phi/2)*-0.000000,NA()),NA())</f>
        <v/>
      </c>
      <c r="BY15">
        <f>IF(11&lt;n_bars,(IF(hog,h_sec-c_nom-phi_w-phi/2,c_nom+phi_w+phi/2))+(phi/2)*-1.000000,NA())</f>
        <v/>
      </c>
      <c r="CA15">
        <f>IF(inputs_ok,IF(11&lt;n_2,(c_nom+phi_w+phi_2/2+11*(b_w-2*c_nom-2*phi_w-phi_2)/MAX(n_2-1,1))+(phi_2/2)*-0.000000,NA()),NA())</f>
        <v/>
      </c>
      <c r="CB15">
        <f>IF(11&lt;n_2,(IF(hog,c_nom+phi_w+phi_2/2,h_sec-c_nom-phi_w-phi_2/2))+(phi_2/2)*-1.000000,NA())</f>
        <v/>
      </c>
    </row>
    <row r="16">
      <c r="J16">
        <f>IF(inputs_ok,IF(0&lt;n_bars,(c_nom+phi_w+phi/2+0*(b_w-2*c_nom-2*phi_w-phi)/MAX(n_bars-1,1))+(phi/2)*0.382683,NA()),NA())</f>
        <v/>
      </c>
      <c r="K16">
        <f>IF(0&lt;n_bars,(IF(hog,h_sec-c_nom-phi_w-phi/2,c_nom+phi_w+phi/2))+(phi/2)*-0.923880,NA())</f>
        <v/>
      </c>
      <c r="M16">
        <f>IF(inputs_ok,IF(0&lt;n_2,(c_nom+phi_w+phi_2/2+0*(b_w-2*c_nom-2*phi_w-phi_2)/MAX(n_2-1,1))+(phi_2/2)*0.382683,NA()),NA())</f>
        <v/>
      </c>
      <c r="N16">
        <f>IF(0&lt;n_2,(IF(hog,c_nom+phi_w+phi_2/2,h_sec-c_nom-phi_w-phi_2/2))+(phi_2/2)*-0.923880,NA())</f>
        <v/>
      </c>
      <c r="P16">
        <f>IF(inputs_ok,IF(1&lt;n_bars,(c_nom+phi_w+phi/2+1*(b_w-2*c_nom-2*phi_w-phi)/MAX(n_bars-1,1))+(phi/2)*0.382683,NA()),NA())</f>
        <v/>
      </c>
      <c r="Q16">
        <f>IF(1&lt;n_bars,(IF(hog,h_sec-c_nom-phi_w-phi/2,c_nom+phi_w+phi/2))+(phi/2)*-0.923880,NA())</f>
        <v/>
      </c>
      <c r="S16">
        <f>IF(inputs_ok,IF(1&lt;n_2,(c_nom+phi_w+phi_2/2+1*(b_w-2*c_nom-2*phi_w-phi_2)/MAX(n_2-1,1))+(phi_2/2)*0.382683,NA()),NA())</f>
        <v/>
      </c>
      <c r="T16">
        <f>IF(1&lt;n_2,(IF(hog,c_nom+phi_w+phi_2/2,h_sec-c_nom-phi_w-phi_2/2))+(phi_2/2)*-0.923880,NA())</f>
        <v/>
      </c>
      <c r="V16">
        <f>IF(inputs_ok,IF(2&lt;n_bars,(c_nom+phi_w+phi/2+2*(b_w-2*c_nom-2*phi_w-phi)/MAX(n_bars-1,1))+(phi/2)*0.382683,NA()),NA())</f>
        <v/>
      </c>
      <c r="W16">
        <f>IF(2&lt;n_bars,(IF(hog,h_sec-c_nom-phi_w-phi/2,c_nom+phi_w+phi/2))+(phi/2)*-0.923880,NA())</f>
        <v/>
      </c>
      <c r="Y16">
        <f>IF(inputs_ok,IF(2&lt;n_2,(c_nom+phi_w+phi_2/2+2*(b_w-2*c_nom-2*phi_w-phi_2)/MAX(n_2-1,1))+(phi_2/2)*0.382683,NA()),NA())</f>
        <v/>
      </c>
      <c r="Z16">
        <f>IF(2&lt;n_2,(IF(hog,c_nom+phi_w+phi_2/2,h_sec-c_nom-phi_w-phi_2/2))+(phi_2/2)*-0.923880,NA())</f>
        <v/>
      </c>
      <c r="AB16">
        <f>IF(inputs_ok,IF(3&lt;n_bars,(c_nom+phi_w+phi/2+3*(b_w-2*c_nom-2*phi_w-phi)/MAX(n_bars-1,1))+(phi/2)*0.382683,NA()),NA())</f>
        <v/>
      </c>
      <c r="AC16">
        <f>IF(3&lt;n_bars,(IF(hog,h_sec-c_nom-phi_w-phi/2,c_nom+phi_w+phi/2))+(phi/2)*-0.923880,NA())</f>
        <v/>
      </c>
      <c r="AE16">
        <f>IF(inputs_ok,IF(3&lt;n_2,(c_nom+phi_w+phi_2/2+3*(b_w-2*c_nom-2*phi_w-phi_2)/MAX(n_2-1,1))+(phi_2/2)*0.382683,NA()),NA())</f>
        <v/>
      </c>
      <c r="AF16">
        <f>IF(3&lt;n_2,(IF(hog,c_nom+phi_w+phi_2/2,h_sec-c_nom-phi_w-phi_2/2))+(phi_2/2)*-0.923880,NA())</f>
        <v/>
      </c>
      <c r="AH16">
        <f>IF(inputs_ok,IF(4&lt;n_bars,(c_nom+phi_w+phi/2+4*(b_w-2*c_nom-2*phi_w-phi)/MAX(n_bars-1,1))+(phi/2)*0.382683,NA()),NA())</f>
        <v/>
      </c>
      <c r="AI16">
        <f>IF(4&lt;n_bars,(IF(hog,h_sec-c_nom-phi_w-phi/2,c_nom+phi_w+phi/2))+(phi/2)*-0.923880,NA())</f>
        <v/>
      </c>
      <c r="AK16">
        <f>IF(inputs_ok,IF(4&lt;n_2,(c_nom+phi_w+phi_2/2+4*(b_w-2*c_nom-2*phi_w-phi_2)/MAX(n_2-1,1))+(phi_2/2)*0.382683,NA()),NA())</f>
        <v/>
      </c>
      <c r="AL16">
        <f>IF(4&lt;n_2,(IF(hog,c_nom+phi_w+phi_2/2,h_sec-c_nom-phi_w-phi_2/2))+(phi_2/2)*-0.923880,NA())</f>
        <v/>
      </c>
      <c r="AN16">
        <f>IF(inputs_ok,IF(5&lt;n_bars,(c_nom+phi_w+phi/2+5*(b_w-2*c_nom-2*phi_w-phi)/MAX(n_bars-1,1))+(phi/2)*0.382683,NA()),NA())</f>
        <v/>
      </c>
      <c r="AO16">
        <f>IF(5&lt;n_bars,(IF(hog,h_sec-c_nom-phi_w-phi/2,c_nom+phi_w+phi/2))+(phi/2)*-0.923880,NA())</f>
        <v/>
      </c>
      <c r="AQ16">
        <f>IF(inputs_ok,IF(5&lt;n_2,(c_nom+phi_w+phi_2/2+5*(b_w-2*c_nom-2*phi_w-phi_2)/MAX(n_2-1,1))+(phi_2/2)*0.382683,NA()),NA())</f>
        <v/>
      </c>
      <c r="AR16">
        <f>IF(5&lt;n_2,(IF(hog,c_nom+phi_w+phi_2/2,h_sec-c_nom-phi_w-phi_2/2))+(phi_2/2)*-0.923880,NA())</f>
        <v/>
      </c>
      <c r="AT16">
        <f>IF(inputs_ok,IF(6&lt;n_bars,(c_nom+phi_w+phi/2+6*(b_w-2*c_nom-2*phi_w-phi)/MAX(n_bars-1,1))+(phi/2)*0.382683,NA()),NA())</f>
        <v/>
      </c>
      <c r="AU16">
        <f>IF(6&lt;n_bars,(IF(hog,h_sec-c_nom-phi_w-phi/2,c_nom+phi_w+phi/2))+(phi/2)*-0.923880,NA())</f>
        <v/>
      </c>
      <c r="AW16">
        <f>IF(inputs_ok,IF(6&lt;n_2,(c_nom+phi_w+phi_2/2+6*(b_w-2*c_nom-2*phi_w-phi_2)/MAX(n_2-1,1))+(phi_2/2)*0.382683,NA()),NA())</f>
        <v/>
      </c>
      <c r="AX16">
        <f>IF(6&lt;n_2,(IF(hog,c_nom+phi_w+phi_2/2,h_sec-c_nom-phi_w-phi_2/2))+(phi_2/2)*-0.923880,NA())</f>
        <v/>
      </c>
      <c r="AZ16">
        <f>IF(inputs_ok,IF(7&lt;n_bars,(c_nom+phi_w+phi/2+7*(b_w-2*c_nom-2*phi_w-phi)/MAX(n_bars-1,1))+(phi/2)*0.382683,NA()),NA())</f>
        <v/>
      </c>
      <c r="BA16">
        <f>IF(7&lt;n_bars,(IF(hog,h_sec-c_nom-phi_w-phi/2,c_nom+phi_w+phi/2))+(phi/2)*-0.923880,NA())</f>
        <v/>
      </c>
      <c r="BC16">
        <f>IF(inputs_ok,IF(7&lt;n_2,(c_nom+phi_w+phi_2/2+7*(b_w-2*c_nom-2*phi_w-phi_2)/MAX(n_2-1,1))+(phi_2/2)*0.382683,NA()),NA())</f>
        <v/>
      </c>
      <c r="BD16">
        <f>IF(7&lt;n_2,(IF(hog,c_nom+phi_w+phi_2/2,h_sec-c_nom-phi_w-phi_2/2))+(phi_2/2)*-0.923880,NA())</f>
        <v/>
      </c>
      <c r="BF16">
        <f>IF(inputs_ok,IF(8&lt;n_bars,(c_nom+phi_w+phi/2+8*(b_w-2*c_nom-2*phi_w-phi)/MAX(n_bars-1,1))+(phi/2)*0.382683,NA()),NA())</f>
        <v/>
      </c>
      <c r="BG16">
        <f>IF(8&lt;n_bars,(IF(hog,h_sec-c_nom-phi_w-phi/2,c_nom+phi_w+phi/2))+(phi/2)*-0.923880,NA())</f>
        <v/>
      </c>
      <c r="BI16">
        <f>IF(inputs_ok,IF(8&lt;n_2,(c_nom+phi_w+phi_2/2+8*(b_w-2*c_nom-2*phi_w-phi_2)/MAX(n_2-1,1))+(phi_2/2)*0.382683,NA()),NA())</f>
        <v/>
      </c>
      <c r="BJ16">
        <f>IF(8&lt;n_2,(IF(hog,c_nom+phi_w+phi_2/2,h_sec-c_nom-phi_w-phi_2/2))+(phi_2/2)*-0.923880,NA())</f>
        <v/>
      </c>
      <c r="BL16">
        <f>IF(inputs_ok,IF(9&lt;n_bars,(c_nom+phi_w+phi/2+9*(b_w-2*c_nom-2*phi_w-phi)/MAX(n_bars-1,1))+(phi/2)*0.382683,NA()),NA())</f>
        <v/>
      </c>
      <c r="BM16">
        <f>IF(9&lt;n_bars,(IF(hog,h_sec-c_nom-phi_w-phi/2,c_nom+phi_w+phi/2))+(phi/2)*-0.923880,NA())</f>
        <v/>
      </c>
      <c r="BO16">
        <f>IF(inputs_ok,IF(9&lt;n_2,(c_nom+phi_w+phi_2/2+9*(b_w-2*c_nom-2*phi_w-phi_2)/MAX(n_2-1,1))+(phi_2/2)*0.382683,NA()),NA())</f>
        <v/>
      </c>
      <c r="BP16">
        <f>IF(9&lt;n_2,(IF(hog,c_nom+phi_w+phi_2/2,h_sec-c_nom-phi_w-phi_2/2))+(phi_2/2)*-0.923880,NA())</f>
        <v/>
      </c>
      <c r="BR16">
        <f>IF(inputs_ok,IF(10&lt;n_bars,(c_nom+phi_w+phi/2+10*(b_w-2*c_nom-2*phi_w-phi)/MAX(n_bars-1,1))+(phi/2)*0.382683,NA()),NA())</f>
        <v/>
      </c>
      <c r="BS16">
        <f>IF(10&lt;n_bars,(IF(hog,h_sec-c_nom-phi_w-phi/2,c_nom+phi_w+phi/2))+(phi/2)*-0.923880,NA())</f>
        <v/>
      </c>
      <c r="BU16">
        <f>IF(inputs_ok,IF(10&lt;n_2,(c_nom+phi_w+phi_2/2+10*(b_w-2*c_nom-2*phi_w-phi_2)/MAX(n_2-1,1))+(phi_2/2)*0.382683,NA()),NA())</f>
        <v/>
      </c>
      <c r="BV16">
        <f>IF(10&lt;n_2,(IF(hog,c_nom+phi_w+phi_2/2,h_sec-c_nom-phi_w-phi_2/2))+(phi_2/2)*-0.923880,NA())</f>
        <v/>
      </c>
      <c r="BX16">
        <f>IF(inputs_ok,IF(11&lt;n_bars,(c_nom+phi_w+phi/2+11*(b_w-2*c_nom-2*phi_w-phi)/MAX(n_bars-1,1))+(phi/2)*0.382683,NA()),NA())</f>
        <v/>
      </c>
      <c r="BY16">
        <f>IF(11&lt;n_bars,(IF(hog,h_sec-c_nom-phi_w-phi/2,c_nom+phi_w+phi/2))+(phi/2)*-0.923880,NA())</f>
        <v/>
      </c>
      <c r="CA16">
        <f>IF(inputs_ok,IF(11&lt;n_2,(c_nom+phi_w+phi_2/2+11*(b_w-2*c_nom-2*phi_w-phi_2)/MAX(n_2-1,1))+(phi_2/2)*0.382683,NA()),NA())</f>
        <v/>
      </c>
      <c r="CB16">
        <f>IF(11&lt;n_2,(IF(hog,c_nom+phi_w+phi_2/2,h_sec-c_nom-phi_w-phi_2/2))+(phi_2/2)*-0.923880,NA())</f>
        <v/>
      </c>
    </row>
    <row r="17">
      <c r="J17">
        <f>IF(inputs_ok,IF(0&lt;n_bars,(c_nom+phi_w+phi/2+0*(b_w-2*c_nom-2*phi_w-phi)/MAX(n_bars-1,1))+(phi/2)*0.707107,NA()),NA())</f>
        <v/>
      </c>
      <c r="K17">
        <f>IF(0&lt;n_bars,(IF(hog,h_sec-c_nom-phi_w-phi/2,c_nom+phi_w+phi/2))+(phi/2)*-0.707107,NA())</f>
        <v/>
      </c>
      <c r="M17">
        <f>IF(inputs_ok,IF(0&lt;n_2,(c_nom+phi_w+phi_2/2+0*(b_w-2*c_nom-2*phi_w-phi_2)/MAX(n_2-1,1))+(phi_2/2)*0.707107,NA()),NA())</f>
        <v/>
      </c>
      <c r="N17">
        <f>IF(0&lt;n_2,(IF(hog,c_nom+phi_w+phi_2/2,h_sec-c_nom-phi_w-phi_2/2))+(phi_2/2)*-0.707107,NA())</f>
        <v/>
      </c>
      <c r="P17">
        <f>IF(inputs_ok,IF(1&lt;n_bars,(c_nom+phi_w+phi/2+1*(b_w-2*c_nom-2*phi_w-phi)/MAX(n_bars-1,1))+(phi/2)*0.707107,NA()),NA())</f>
        <v/>
      </c>
      <c r="Q17">
        <f>IF(1&lt;n_bars,(IF(hog,h_sec-c_nom-phi_w-phi/2,c_nom+phi_w+phi/2))+(phi/2)*-0.707107,NA())</f>
        <v/>
      </c>
      <c r="S17">
        <f>IF(inputs_ok,IF(1&lt;n_2,(c_nom+phi_w+phi_2/2+1*(b_w-2*c_nom-2*phi_w-phi_2)/MAX(n_2-1,1))+(phi_2/2)*0.707107,NA()),NA())</f>
        <v/>
      </c>
      <c r="T17">
        <f>IF(1&lt;n_2,(IF(hog,c_nom+phi_w+phi_2/2,h_sec-c_nom-phi_w-phi_2/2))+(phi_2/2)*-0.707107,NA())</f>
        <v/>
      </c>
      <c r="V17">
        <f>IF(inputs_ok,IF(2&lt;n_bars,(c_nom+phi_w+phi/2+2*(b_w-2*c_nom-2*phi_w-phi)/MAX(n_bars-1,1))+(phi/2)*0.707107,NA()),NA())</f>
        <v/>
      </c>
      <c r="W17">
        <f>IF(2&lt;n_bars,(IF(hog,h_sec-c_nom-phi_w-phi/2,c_nom+phi_w+phi/2))+(phi/2)*-0.707107,NA())</f>
        <v/>
      </c>
      <c r="Y17">
        <f>IF(inputs_ok,IF(2&lt;n_2,(c_nom+phi_w+phi_2/2+2*(b_w-2*c_nom-2*phi_w-phi_2)/MAX(n_2-1,1))+(phi_2/2)*0.707107,NA()),NA())</f>
        <v/>
      </c>
      <c r="Z17">
        <f>IF(2&lt;n_2,(IF(hog,c_nom+phi_w+phi_2/2,h_sec-c_nom-phi_w-phi_2/2))+(phi_2/2)*-0.707107,NA())</f>
        <v/>
      </c>
      <c r="AB17">
        <f>IF(inputs_ok,IF(3&lt;n_bars,(c_nom+phi_w+phi/2+3*(b_w-2*c_nom-2*phi_w-phi)/MAX(n_bars-1,1))+(phi/2)*0.707107,NA()),NA())</f>
        <v/>
      </c>
      <c r="AC17">
        <f>IF(3&lt;n_bars,(IF(hog,h_sec-c_nom-phi_w-phi/2,c_nom+phi_w+phi/2))+(phi/2)*-0.707107,NA())</f>
        <v/>
      </c>
      <c r="AE17">
        <f>IF(inputs_ok,IF(3&lt;n_2,(c_nom+phi_w+phi_2/2+3*(b_w-2*c_nom-2*phi_w-phi_2)/MAX(n_2-1,1))+(phi_2/2)*0.707107,NA()),NA())</f>
        <v/>
      </c>
      <c r="AF17">
        <f>IF(3&lt;n_2,(IF(hog,c_nom+phi_w+phi_2/2,h_sec-c_nom-phi_w-phi_2/2))+(phi_2/2)*-0.707107,NA())</f>
        <v/>
      </c>
      <c r="AH17">
        <f>IF(inputs_ok,IF(4&lt;n_bars,(c_nom+phi_w+phi/2+4*(b_w-2*c_nom-2*phi_w-phi)/MAX(n_bars-1,1))+(phi/2)*0.707107,NA()),NA())</f>
        <v/>
      </c>
      <c r="AI17">
        <f>IF(4&lt;n_bars,(IF(hog,h_sec-c_nom-phi_w-phi/2,c_nom+phi_w+phi/2))+(phi/2)*-0.707107,NA())</f>
        <v/>
      </c>
      <c r="AK17">
        <f>IF(inputs_ok,IF(4&lt;n_2,(c_nom+phi_w+phi_2/2+4*(b_w-2*c_nom-2*phi_w-phi_2)/MAX(n_2-1,1))+(phi_2/2)*0.707107,NA()),NA())</f>
        <v/>
      </c>
      <c r="AL17">
        <f>IF(4&lt;n_2,(IF(hog,c_nom+phi_w+phi_2/2,h_sec-c_nom-phi_w-phi_2/2))+(phi_2/2)*-0.707107,NA())</f>
        <v/>
      </c>
      <c r="AN17">
        <f>IF(inputs_ok,IF(5&lt;n_bars,(c_nom+phi_w+phi/2+5*(b_w-2*c_nom-2*phi_w-phi)/MAX(n_bars-1,1))+(phi/2)*0.707107,NA()),NA())</f>
        <v/>
      </c>
      <c r="AO17">
        <f>IF(5&lt;n_bars,(IF(hog,h_sec-c_nom-phi_w-phi/2,c_nom+phi_w+phi/2))+(phi/2)*-0.707107,NA())</f>
        <v/>
      </c>
      <c r="AQ17">
        <f>IF(inputs_ok,IF(5&lt;n_2,(c_nom+phi_w+phi_2/2+5*(b_w-2*c_nom-2*phi_w-phi_2)/MAX(n_2-1,1))+(phi_2/2)*0.707107,NA()),NA())</f>
        <v/>
      </c>
      <c r="AR17">
        <f>IF(5&lt;n_2,(IF(hog,c_nom+phi_w+phi_2/2,h_sec-c_nom-phi_w-phi_2/2))+(phi_2/2)*-0.707107,NA())</f>
        <v/>
      </c>
      <c r="AT17">
        <f>IF(inputs_ok,IF(6&lt;n_bars,(c_nom+phi_w+phi/2+6*(b_w-2*c_nom-2*phi_w-phi)/MAX(n_bars-1,1))+(phi/2)*0.707107,NA()),NA())</f>
        <v/>
      </c>
      <c r="AU17">
        <f>IF(6&lt;n_bars,(IF(hog,h_sec-c_nom-phi_w-phi/2,c_nom+phi_w+phi/2))+(phi/2)*-0.707107,NA())</f>
        <v/>
      </c>
      <c r="AW17">
        <f>IF(inputs_ok,IF(6&lt;n_2,(c_nom+phi_w+phi_2/2+6*(b_w-2*c_nom-2*phi_w-phi_2)/MAX(n_2-1,1))+(phi_2/2)*0.707107,NA()),NA())</f>
        <v/>
      </c>
      <c r="AX17">
        <f>IF(6&lt;n_2,(IF(hog,c_nom+phi_w+phi_2/2,h_sec-c_nom-phi_w-phi_2/2))+(phi_2/2)*-0.707107,NA())</f>
        <v/>
      </c>
      <c r="AZ17">
        <f>IF(inputs_ok,IF(7&lt;n_bars,(c_nom+phi_w+phi/2+7*(b_w-2*c_nom-2*phi_w-phi)/MAX(n_bars-1,1))+(phi/2)*0.707107,NA()),NA())</f>
        <v/>
      </c>
      <c r="BA17">
        <f>IF(7&lt;n_bars,(IF(hog,h_sec-c_nom-phi_w-phi/2,c_nom+phi_w+phi/2))+(phi/2)*-0.707107,NA())</f>
        <v/>
      </c>
      <c r="BC17">
        <f>IF(inputs_ok,IF(7&lt;n_2,(c_nom+phi_w+phi_2/2+7*(b_w-2*c_nom-2*phi_w-phi_2)/MAX(n_2-1,1))+(phi_2/2)*0.707107,NA()),NA())</f>
        <v/>
      </c>
      <c r="BD17">
        <f>IF(7&lt;n_2,(IF(hog,c_nom+phi_w+phi_2/2,h_sec-c_nom-phi_w-phi_2/2))+(phi_2/2)*-0.707107,NA())</f>
        <v/>
      </c>
      <c r="BF17">
        <f>IF(inputs_ok,IF(8&lt;n_bars,(c_nom+phi_w+phi/2+8*(b_w-2*c_nom-2*phi_w-phi)/MAX(n_bars-1,1))+(phi/2)*0.707107,NA()),NA())</f>
        <v/>
      </c>
      <c r="BG17">
        <f>IF(8&lt;n_bars,(IF(hog,h_sec-c_nom-phi_w-phi/2,c_nom+phi_w+phi/2))+(phi/2)*-0.707107,NA())</f>
        <v/>
      </c>
      <c r="BI17">
        <f>IF(inputs_ok,IF(8&lt;n_2,(c_nom+phi_w+phi_2/2+8*(b_w-2*c_nom-2*phi_w-phi_2)/MAX(n_2-1,1))+(phi_2/2)*0.707107,NA()),NA())</f>
        <v/>
      </c>
      <c r="BJ17">
        <f>IF(8&lt;n_2,(IF(hog,c_nom+phi_w+phi_2/2,h_sec-c_nom-phi_w-phi_2/2))+(phi_2/2)*-0.707107,NA())</f>
        <v/>
      </c>
      <c r="BL17">
        <f>IF(inputs_ok,IF(9&lt;n_bars,(c_nom+phi_w+phi/2+9*(b_w-2*c_nom-2*phi_w-phi)/MAX(n_bars-1,1))+(phi/2)*0.707107,NA()),NA())</f>
        <v/>
      </c>
      <c r="BM17">
        <f>IF(9&lt;n_bars,(IF(hog,h_sec-c_nom-phi_w-phi/2,c_nom+phi_w+phi/2))+(phi/2)*-0.707107,NA())</f>
        <v/>
      </c>
      <c r="BO17">
        <f>IF(inputs_ok,IF(9&lt;n_2,(c_nom+phi_w+phi_2/2+9*(b_w-2*c_nom-2*phi_w-phi_2)/MAX(n_2-1,1))+(phi_2/2)*0.707107,NA()),NA())</f>
        <v/>
      </c>
      <c r="BP17">
        <f>IF(9&lt;n_2,(IF(hog,c_nom+phi_w+phi_2/2,h_sec-c_nom-phi_w-phi_2/2))+(phi_2/2)*-0.707107,NA())</f>
        <v/>
      </c>
      <c r="BR17">
        <f>IF(inputs_ok,IF(10&lt;n_bars,(c_nom+phi_w+phi/2+10*(b_w-2*c_nom-2*phi_w-phi)/MAX(n_bars-1,1))+(phi/2)*0.707107,NA()),NA())</f>
        <v/>
      </c>
      <c r="BS17">
        <f>IF(10&lt;n_bars,(IF(hog,h_sec-c_nom-phi_w-phi/2,c_nom+phi_w+phi/2))+(phi/2)*-0.707107,NA())</f>
        <v/>
      </c>
      <c r="BU17">
        <f>IF(inputs_ok,IF(10&lt;n_2,(c_nom+phi_w+phi_2/2+10*(b_w-2*c_nom-2*phi_w-phi_2)/MAX(n_2-1,1))+(phi_2/2)*0.707107,NA()),NA())</f>
        <v/>
      </c>
      <c r="BV17">
        <f>IF(10&lt;n_2,(IF(hog,c_nom+phi_w+phi_2/2,h_sec-c_nom-phi_w-phi_2/2))+(phi_2/2)*-0.707107,NA())</f>
        <v/>
      </c>
      <c r="BX17">
        <f>IF(inputs_ok,IF(11&lt;n_bars,(c_nom+phi_w+phi/2+11*(b_w-2*c_nom-2*phi_w-phi)/MAX(n_bars-1,1))+(phi/2)*0.707107,NA()),NA())</f>
        <v/>
      </c>
      <c r="BY17">
        <f>IF(11&lt;n_bars,(IF(hog,h_sec-c_nom-phi_w-phi/2,c_nom+phi_w+phi/2))+(phi/2)*-0.707107,NA())</f>
        <v/>
      </c>
      <c r="CA17">
        <f>IF(inputs_ok,IF(11&lt;n_2,(c_nom+phi_w+phi_2/2+11*(b_w-2*c_nom-2*phi_w-phi_2)/MAX(n_2-1,1))+(phi_2/2)*0.707107,NA()),NA())</f>
        <v/>
      </c>
      <c r="CB17">
        <f>IF(11&lt;n_2,(IF(hog,c_nom+phi_w+phi_2/2,h_sec-c_nom-phi_w-phi_2/2))+(phi_2/2)*-0.707107,NA())</f>
        <v/>
      </c>
    </row>
    <row r="18">
      <c r="J18">
        <f>IF(inputs_ok,IF(0&lt;n_bars,(c_nom+phi_w+phi/2+0*(b_w-2*c_nom-2*phi_w-phi)/MAX(n_bars-1,1))+(phi/2)*0.923880,NA()),NA())</f>
        <v/>
      </c>
      <c r="K18">
        <f>IF(0&lt;n_bars,(IF(hog,h_sec-c_nom-phi_w-phi/2,c_nom+phi_w+phi/2))+(phi/2)*-0.382683,NA())</f>
        <v/>
      </c>
      <c r="M18">
        <f>IF(inputs_ok,IF(0&lt;n_2,(c_nom+phi_w+phi_2/2+0*(b_w-2*c_nom-2*phi_w-phi_2)/MAX(n_2-1,1))+(phi_2/2)*0.923880,NA()),NA())</f>
        <v/>
      </c>
      <c r="N18">
        <f>IF(0&lt;n_2,(IF(hog,c_nom+phi_w+phi_2/2,h_sec-c_nom-phi_w-phi_2/2))+(phi_2/2)*-0.382683,NA())</f>
        <v/>
      </c>
      <c r="P18">
        <f>IF(inputs_ok,IF(1&lt;n_bars,(c_nom+phi_w+phi/2+1*(b_w-2*c_nom-2*phi_w-phi)/MAX(n_bars-1,1))+(phi/2)*0.923880,NA()),NA())</f>
        <v/>
      </c>
      <c r="Q18">
        <f>IF(1&lt;n_bars,(IF(hog,h_sec-c_nom-phi_w-phi/2,c_nom+phi_w+phi/2))+(phi/2)*-0.382683,NA())</f>
        <v/>
      </c>
      <c r="S18">
        <f>IF(inputs_ok,IF(1&lt;n_2,(c_nom+phi_w+phi_2/2+1*(b_w-2*c_nom-2*phi_w-phi_2)/MAX(n_2-1,1))+(phi_2/2)*0.923880,NA()),NA())</f>
        <v/>
      </c>
      <c r="T18">
        <f>IF(1&lt;n_2,(IF(hog,c_nom+phi_w+phi_2/2,h_sec-c_nom-phi_w-phi_2/2))+(phi_2/2)*-0.382683,NA())</f>
        <v/>
      </c>
      <c r="V18">
        <f>IF(inputs_ok,IF(2&lt;n_bars,(c_nom+phi_w+phi/2+2*(b_w-2*c_nom-2*phi_w-phi)/MAX(n_bars-1,1))+(phi/2)*0.923880,NA()),NA())</f>
        <v/>
      </c>
      <c r="W18">
        <f>IF(2&lt;n_bars,(IF(hog,h_sec-c_nom-phi_w-phi/2,c_nom+phi_w+phi/2))+(phi/2)*-0.382683,NA())</f>
        <v/>
      </c>
      <c r="Y18">
        <f>IF(inputs_ok,IF(2&lt;n_2,(c_nom+phi_w+phi_2/2+2*(b_w-2*c_nom-2*phi_w-phi_2)/MAX(n_2-1,1))+(phi_2/2)*0.923880,NA()),NA())</f>
        <v/>
      </c>
      <c r="Z18">
        <f>IF(2&lt;n_2,(IF(hog,c_nom+phi_w+phi_2/2,h_sec-c_nom-phi_w-phi_2/2))+(phi_2/2)*-0.382683,NA())</f>
        <v/>
      </c>
      <c r="AB18">
        <f>IF(inputs_ok,IF(3&lt;n_bars,(c_nom+phi_w+phi/2+3*(b_w-2*c_nom-2*phi_w-phi)/MAX(n_bars-1,1))+(phi/2)*0.923880,NA()),NA())</f>
        <v/>
      </c>
      <c r="AC18">
        <f>IF(3&lt;n_bars,(IF(hog,h_sec-c_nom-phi_w-phi/2,c_nom+phi_w+phi/2))+(phi/2)*-0.382683,NA())</f>
        <v/>
      </c>
      <c r="AE18">
        <f>IF(inputs_ok,IF(3&lt;n_2,(c_nom+phi_w+phi_2/2+3*(b_w-2*c_nom-2*phi_w-phi_2)/MAX(n_2-1,1))+(phi_2/2)*0.923880,NA()),NA())</f>
        <v/>
      </c>
      <c r="AF18">
        <f>IF(3&lt;n_2,(IF(hog,c_nom+phi_w+phi_2/2,h_sec-c_nom-phi_w-phi_2/2))+(phi_2/2)*-0.382683,NA())</f>
        <v/>
      </c>
      <c r="AH18">
        <f>IF(inputs_ok,IF(4&lt;n_bars,(c_nom+phi_w+phi/2+4*(b_w-2*c_nom-2*phi_w-phi)/MAX(n_bars-1,1))+(phi/2)*0.923880,NA()),NA())</f>
        <v/>
      </c>
      <c r="AI18">
        <f>IF(4&lt;n_bars,(IF(hog,h_sec-c_nom-phi_w-phi/2,c_nom+phi_w+phi/2))+(phi/2)*-0.382683,NA())</f>
        <v/>
      </c>
      <c r="AK18">
        <f>IF(inputs_ok,IF(4&lt;n_2,(c_nom+phi_w+phi_2/2+4*(b_w-2*c_nom-2*phi_w-phi_2)/MAX(n_2-1,1))+(phi_2/2)*0.923880,NA()),NA())</f>
        <v/>
      </c>
      <c r="AL18">
        <f>IF(4&lt;n_2,(IF(hog,c_nom+phi_w+phi_2/2,h_sec-c_nom-phi_w-phi_2/2))+(phi_2/2)*-0.382683,NA())</f>
        <v/>
      </c>
      <c r="AN18">
        <f>IF(inputs_ok,IF(5&lt;n_bars,(c_nom+phi_w+phi/2+5*(b_w-2*c_nom-2*phi_w-phi)/MAX(n_bars-1,1))+(phi/2)*0.923880,NA()),NA())</f>
        <v/>
      </c>
      <c r="AO18">
        <f>IF(5&lt;n_bars,(IF(hog,h_sec-c_nom-phi_w-phi/2,c_nom+phi_w+phi/2))+(phi/2)*-0.382683,NA())</f>
        <v/>
      </c>
      <c r="AQ18">
        <f>IF(inputs_ok,IF(5&lt;n_2,(c_nom+phi_w+phi_2/2+5*(b_w-2*c_nom-2*phi_w-phi_2)/MAX(n_2-1,1))+(phi_2/2)*0.923880,NA()),NA())</f>
        <v/>
      </c>
      <c r="AR18">
        <f>IF(5&lt;n_2,(IF(hog,c_nom+phi_w+phi_2/2,h_sec-c_nom-phi_w-phi_2/2))+(phi_2/2)*-0.382683,NA())</f>
        <v/>
      </c>
      <c r="AT18">
        <f>IF(inputs_ok,IF(6&lt;n_bars,(c_nom+phi_w+phi/2+6*(b_w-2*c_nom-2*phi_w-phi)/MAX(n_bars-1,1))+(phi/2)*0.923880,NA()),NA())</f>
        <v/>
      </c>
      <c r="AU18">
        <f>IF(6&lt;n_bars,(IF(hog,h_sec-c_nom-phi_w-phi/2,c_nom+phi_w+phi/2))+(phi/2)*-0.382683,NA())</f>
        <v/>
      </c>
      <c r="AW18">
        <f>IF(inputs_ok,IF(6&lt;n_2,(c_nom+phi_w+phi_2/2+6*(b_w-2*c_nom-2*phi_w-phi_2)/MAX(n_2-1,1))+(phi_2/2)*0.923880,NA()),NA())</f>
        <v/>
      </c>
      <c r="AX18">
        <f>IF(6&lt;n_2,(IF(hog,c_nom+phi_w+phi_2/2,h_sec-c_nom-phi_w-phi_2/2))+(phi_2/2)*-0.382683,NA())</f>
        <v/>
      </c>
      <c r="AZ18">
        <f>IF(inputs_ok,IF(7&lt;n_bars,(c_nom+phi_w+phi/2+7*(b_w-2*c_nom-2*phi_w-phi)/MAX(n_bars-1,1))+(phi/2)*0.923880,NA()),NA())</f>
        <v/>
      </c>
      <c r="BA18">
        <f>IF(7&lt;n_bars,(IF(hog,h_sec-c_nom-phi_w-phi/2,c_nom+phi_w+phi/2))+(phi/2)*-0.382683,NA())</f>
        <v/>
      </c>
      <c r="BC18">
        <f>IF(inputs_ok,IF(7&lt;n_2,(c_nom+phi_w+phi_2/2+7*(b_w-2*c_nom-2*phi_w-phi_2)/MAX(n_2-1,1))+(phi_2/2)*0.923880,NA()),NA())</f>
        <v/>
      </c>
      <c r="BD18">
        <f>IF(7&lt;n_2,(IF(hog,c_nom+phi_w+phi_2/2,h_sec-c_nom-phi_w-phi_2/2))+(phi_2/2)*-0.382683,NA())</f>
        <v/>
      </c>
      <c r="BF18">
        <f>IF(inputs_ok,IF(8&lt;n_bars,(c_nom+phi_w+phi/2+8*(b_w-2*c_nom-2*phi_w-phi)/MAX(n_bars-1,1))+(phi/2)*0.923880,NA()),NA())</f>
        <v/>
      </c>
      <c r="BG18">
        <f>IF(8&lt;n_bars,(IF(hog,h_sec-c_nom-phi_w-phi/2,c_nom+phi_w+phi/2))+(phi/2)*-0.382683,NA())</f>
        <v/>
      </c>
      <c r="BI18">
        <f>IF(inputs_ok,IF(8&lt;n_2,(c_nom+phi_w+phi_2/2+8*(b_w-2*c_nom-2*phi_w-phi_2)/MAX(n_2-1,1))+(phi_2/2)*0.923880,NA()),NA())</f>
        <v/>
      </c>
      <c r="BJ18">
        <f>IF(8&lt;n_2,(IF(hog,c_nom+phi_w+phi_2/2,h_sec-c_nom-phi_w-phi_2/2))+(phi_2/2)*-0.382683,NA())</f>
        <v/>
      </c>
      <c r="BL18">
        <f>IF(inputs_ok,IF(9&lt;n_bars,(c_nom+phi_w+phi/2+9*(b_w-2*c_nom-2*phi_w-phi)/MAX(n_bars-1,1))+(phi/2)*0.923880,NA()),NA())</f>
        <v/>
      </c>
      <c r="BM18">
        <f>IF(9&lt;n_bars,(IF(hog,h_sec-c_nom-phi_w-phi/2,c_nom+phi_w+phi/2))+(phi/2)*-0.382683,NA())</f>
        <v/>
      </c>
      <c r="BO18">
        <f>IF(inputs_ok,IF(9&lt;n_2,(c_nom+phi_w+phi_2/2+9*(b_w-2*c_nom-2*phi_w-phi_2)/MAX(n_2-1,1))+(phi_2/2)*0.923880,NA()),NA())</f>
        <v/>
      </c>
      <c r="BP18">
        <f>IF(9&lt;n_2,(IF(hog,c_nom+phi_w+phi_2/2,h_sec-c_nom-phi_w-phi_2/2))+(phi_2/2)*-0.382683,NA())</f>
        <v/>
      </c>
      <c r="BR18">
        <f>IF(inputs_ok,IF(10&lt;n_bars,(c_nom+phi_w+phi/2+10*(b_w-2*c_nom-2*phi_w-phi)/MAX(n_bars-1,1))+(phi/2)*0.923880,NA()),NA())</f>
        <v/>
      </c>
      <c r="BS18">
        <f>IF(10&lt;n_bars,(IF(hog,h_sec-c_nom-phi_w-phi/2,c_nom+phi_w+phi/2))+(phi/2)*-0.382683,NA())</f>
        <v/>
      </c>
      <c r="BU18">
        <f>IF(inputs_ok,IF(10&lt;n_2,(c_nom+phi_w+phi_2/2+10*(b_w-2*c_nom-2*phi_w-phi_2)/MAX(n_2-1,1))+(phi_2/2)*0.923880,NA()),NA())</f>
        <v/>
      </c>
      <c r="BV18">
        <f>IF(10&lt;n_2,(IF(hog,c_nom+phi_w+phi_2/2,h_sec-c_nom-phi_w-phi_2/2))+(phi_2/2)*-0.382683,NA())</f>
        <v/>
      </c>
      <c r="BX18">
        <f>IF(inputs_ok,IF(11&lt;n_bars,(c_nom+phi_w+phi/2+11*(b_w-2*c_nom-2*phi_w-phi)/MAX(n_bars-1,1))+(phi/2)*0.923880,NA()),NA())</f>
        <v/>
      </c>
      <c r="BY18">
        <f>IF(11&lt;n_bars,(IF(hog,h_sec-c_nom-phi_w-phi/2,c_nom+phi_w+phi/2))+(phi/2)*-0.382683,NA())</f>
        <v/>
      </c>
      <c r="CA18">
        <f>IF(inputs_ok,IF(11&lt;n_2,(c_nom+phi_w+phi_2/2+11*(b_w-2*c_nom-2*phi_w-phi_2)/MAX(n_2-1,1))+(phi_2/2)*0.923880,NA()),NA())</f>
        <v/>
      </c>
      <c r="CB18">
        <f>IF(11&lt;n_2,(IF(hog,c_nom+phi_w+phi_2/2,h_sec-c_nom-phi_w-phi_2/2))+(phi_2/2)*-0.382683,NA())</f>
        <v/>
      </c>
    </row>
    <row r="19">
      <c r="J19">
        <f>IF(inputs_ok,IF(0&lt;n_bars,(c_nom+phi_w+phi/2+0*(b_w-2*c_nom-2*phi_w-phi)/MAX(n_bars-1,1))+(phi/2)*1.000000,NA()),NA())</f>
        <v/>
      </c>
      <c r="K19">
        <f>IF(0&lt;n_bars,(IF(hog,h_sec-c_nom-phi_w-phi/2,c_nom+phi_w+phi/2))+(phi/2)*-0.000000,NA())</f>
        <v/>
      </c>
      <c r="M19">
        <f>IF(inputs_ok,IF(0&lt;n_2,(c_nom+phi_w+phi_2/2+0*(b_w-2*c_nom-2*phi_w-phi_2)/MAX(n_2-1,1))+(phi_2/2)*1.000000,NA()),NA())</f>
        <v/>
      </c>
      <c r="N19">
        <f>IF(0&lt;n_2,(IF(hog,c_nom+phi_w+phi_2/2,h_sec-c_nom-phi_w-phi_2/2))+(phi_2/2)*-0.000000,NA())</f>
        <v/>
      </c>
      <c r="P19">
        <f>IF(inputs_ok,IF(1&lt;n_bars,(c_nom+phi_w+phi/2+1*(b_w-2*c_nom-2*phi_w-phi)/MAX(n_bars-1,1))+(phi/2)*1.000000,NA()),NA())</f>
        <v/>
      </c>
      <c r="Q19">
        <f>IF(1&lt;n_bars,(IF(hog,h_sec-c_nom-phi_w-phi/2,c_nom+phi_w+phi/2))+(phi/2)*-0.000000,NA())</f>
        <v/>
      </c>
      <c r="S19">
        <f>IF(inputs_ok,IF(1&lt;n_2,(c_nom+phi_w+phi_2/2+1*(b_w-2*c_nom-2*phi_w-phi_2)/MAX(n_2-1,1))+(phi_2/2)*1.000000,NA()),NA())</f>
        <v/>
      </c>
      <c r="T19">
        <f>IF(1&lt;n_2,(IF(hog,c_nom+phi_w+phi_2/2,h_sec-c_nom-phi_w-phi_2/2))+(phi_2/2)*-0.000000,NA())</f>
        <v/>
      </c>
      <c r="V19">
        <f>IF(inputs_ok,IF(2&lt;n_bars,(c_nom+phi_w+phi/2+2*(b_w-2*c_nom-2*phi_w-phi)/MAX(n_bars-1,1))+(phi/2)*1.000000,NA()),NA())</f>
        <v/>
      </c>
      <c r="W19">
        <f>IF(2&lt;n_bars,(IF(hog,h_sec-c_nom-phi_w-phi/2,c_nom+phi_w+phi/2))+(phi/2)*-0.000000,NA())</f>
        <v/>
      </c>
      <c r="Y19">
        <f>IF(inputs_ok,IF(2&lt;n_2,(c_nom+phi_w+phi_2/2+2*(b_w-2*c_nom-2*phi_w-phi_2)/MAX(n_2-1,1))+(phi_2/2)*1.000000,NA()),NA())</f>
        <v/>
      </c>
      <c r="Z19">
        <f>IF(2&lt;n_2,(IF(hog,c_nom+phi_w+phi_2/2,h_sec-c_nom-phi_w-phi_2/2))+(phi_2/2)*-0.000000,NA())</f>
        <v/>
      </c>
      <c r="AB19">
        <f>IF(inputs_ok,IF(3&lt;n_bars,(c_nom+phi_w+phi/2+3*(b_w-2*c_nom-2*phi_w-phi)/MAX(n_bars-1,1))+(phi/2)*1.000000,NA()),NA())</f>
        <v/>
      </c>
      <c r="AC19">
        <f>IF(3&lt;n_bars,(IF(hog,h_sec-c_nom-phi_w-phi/2,c_nom+phi_w+phi/2))+(phi/2)*-0.000000,NA())</f>
        <v/>
      </c>
      <c r="AE19">
        <f>IF(inputs_ok,IF(3&lt;n_2,(c_nom+phi_w+phi_2/2+3*(b_w-2*c_nom-2*phi_w-phi_2)/MAX(n_2-1,1))+(phi_2/2)*1.000000,NA()),NA())</f>
        <v/>
      </c>
      <c r="AF19">
        <f>IF(3&lt;n_2,(IF(hog,c_nom+phi_w+phi_2/2,h_sec-c_nom-phi_w-phi_2/2))+(phi_2/2)*-0.000000,NA())</f>
        <v/>
      </c>
      <c r="AH19">
        <f>IF(inputs_ok,IF(4&lt;n_bars,(c_nom+phi_w+phi/2+4*(b_w-2*c_nom-2*phi_w-phi)/MAX(n_bars-1,1))+(phi/2)*1.000000,NA()),NA())</f>
        <v/>
      </c>
      <c r="AI19">
        <f>IF(4&lt;n_bars,(IF(hog,h_sec-c_nom-phi_w-phi/2,c_nom+phi_w+phi/2))+(phi/2)*-0.000000,NA())</f>
        <v/>
      </c>
      <c r="AK19">
        <f>IF(inputs_ok,IF(4&lt;n_2,(c_nom+phi_w+phi_2/2+4*(b_w-2*c_nom-2*phi_w-phi_2)/MAX(n_2-1,1))+(phi_2/2)*1.000000,NA()),NA())</f>
        <v/>
      </c>
      <c r="AL19">
        <f>IF(4&lt;n_2,(IF(hog,c_nom+phi_w+phi_2/2,h_sec-c_nom-phi_w-phi_2/2))+(phi_2/2)*-0.000000,NA())</f>
        <v/>
      </c>
      <c r="AN19">
        <f>IF(inputs_ok,IF(5&lt;n_bars,(c_nom+phi_w+phi/2+5*(b_w-2*c_nom-2*phi_w-phi)/MAX(n_bars-1,1))+(phi/2)*1.000000,NA()),NA())</f>
        <v/>
      </c>
      <c r="AO19">
        <f>IF(5&lt;n_bars,(IF(hog,h_sec-c_nom-phi_w-phi/2,c_nom+phi_w+phi/2))+(phi/2)*-0.000000,NA())</f>
        <v/>
      </c>
      <c r="AQ19">
        <f>IF(inputs_ok,IF(5&lt;n_2,(c_nom+phi_w+phi_2/2+5*(b_w-2*c_nom-2*phi_w-phi_2)/MAX(n_2-1,1))+(phi_2/2)*1.000000,NA()),NA())</f>
        <v/>
      </c>
      <c r="AR19">
        <f>IF(5&lt;n_2,(IF(hog,c_nom+phi_w+phi_2/2,h_sec-c_nom-phi_w-phi_2/2))+(phi_2/2)*-0.000000,NA())</f>
        <v/>
      </c>
      <c r="AT19">
        <f>IF(inputs_ok,IF(6&lt;n_bars,(c_nom+phi_w+phi/2+6*(b_w-2*c_nom-2*phi_w-phi)/MAX(n_bars-1,1))+(phi/2)*1.000000,NA()),NA())</f>
        <v/>
      </c>
      <c r="AU19">
        <f>IF(6&lt;n_bars,(IF(hog,h_sec-c_nom-phi_w-phi/2,c_nom+phi_w+phi/2))+(phi/2)*-0.000000,NA())</f>
        <v/>
      </c>
      <c r="AW19">
        <f>IF(inputs_ok,IF(6&lt;n_2,(c_nom+phi_w+phi_2/2+6*(b_w-2*c_nom-2*phi_w-phi_2)/MAX(n_2-1,1))+(phi_2/2)*1.000000,NA()),NA())</f>
        <v/>
      </c>
      <c r="AX19">
        <f>IF(6&lt;n_2,(IF(hog,c_nom+phi_w+phi_2/2,h_sec-c_nom-phi_w-phi_2/2))+(phi_2/2)*-0.000000,NA())</f>
        <v/>
      </c>
      <c r="AZ19">
        <f>IF(inputs_ok,IF(7&lt;n_bars,(c_nom+phi_w+phi/2+7*(b_w-2*c_nom-2*phi_w-phi)/MAX(n_bars-1,1))+(phi/2)*1.000000,NA()),NA())</f>
        <v/>
      </c>
      <c r="BA19">
        <f>IF(7&lt;n_bars,(IF(hog,h_sec-c_nom-phi_w-phi/2,c_nom+phi_w+phi/2))+(phi/2)*-0.000000,NA())</f>
        <v/>
      </c>
      <c r="BC19">
        <f>IF(inputs_ok,IF(7&lt;n_2,(c_nom+phi_w+phi_2/2+7*(b_w-2*c_nom-2*phi_w-phi_2)/MAX(n_2-1,1))+(phi_2/2)*1.000000,NA()),NA())</f>
        <v/>
      </c>
      <c r="BD19">
        <f>IF(7&lt;n_2,(IF(hog,c_nom+phi_w+phi_2/2,h_sec-c_nom-phi_w-phi_2/2))+(phi_2/2)*-0.000000,NA())</f>
        <v/>
      </c>
      <c r="BF19">
        <f>IF(inputs_ok,IF(8&lt;n_bars,(c_nom+phi_w+phi/2+8*(b_w-2*c_nom-2*phi_w-phi)/MAX(n_bars-1,1))+(phi/2)*1.000000,NA()),NA())</f>
        <v/>
      </c>
      <c r="BG19">
        <f>IF(8&lt;n_bars,(IF(hog,h_sec-c_nom-phi_w-phi/2,c_nom+phi_w+phi/2))+(phi/2)*-0.000000,NA())</f>
        <v/>
      </c>
      <c r="BI19">
        <f>IF(inputs_ok,IF(8&lt;n_2,(c_nom+phi_w+phi_2/2+8*(b_w-2*c_nom-2*phi_w-phi_2)/MAX(n_2-1,1))+(phi_2/2)*1.000000,NA()),NA())</f>
        <v/>
      </c>
      <c r="BJ19">
        <f>IF(8&lt;n_2,(IF(hog,c_nom+phi_w+phi_2/2,h_sec-c_nom-phi_w-phi_2/2))+(phi_2/2)*-0.000000,NA())</f>
        <v/>
      </c>
      <c r="BL19">
        <f>IF(inputs_ok,IF(9&lt;n_bars,(c_nom+phi_w+phi/2+9*(b_w-2*c_nom-2*phi_w-phi)/MAX(n_bars-1,1))+(phi/2)*1.000000,NA()),NA())</f>
        <v/>
      </c>
      <c r="BM19">
        <f>IF(9&lt;n_bars,(IF(hog,h_sec-c_nom-phi_w-phi/2,c_nom+phi_w+phi/2))+(phi/2)*-0.000000,NA())</f>
        <v/>
      </c>
      <c r="BO19">
        <f>IF(inputs_ok,IF(9&lt;n_2,(c_nom+phi_w+phi_2/2+9*(b_w-2*c_nom-2*phi_w-phi_2)/MAX(n_2-1,1))+(phi_2/2)*1.000000,NA()),NA())</f>
        <v/>
      </c>
      <c r="BP19">
        <f>IF(9&lt;n_2,(IF(hog,c_nom+phi_w+phi_2/2,h_sec-c_nom-phi_w-phi_2/2))+(phi_2/2)*-0.000000,NA())</f>
        <v/>
      </c>
      <c r="BR19">
        <f>IF(inputs_ok,IF(10&lt;n_bars,(c_nom+phi_w+phi/2+10*(b_w-2*c_nom-2*phi_w-phi)/MAX(n_bars-1,1))+(phi/2)*1.000000,NA()),NA())</f>
        <v/>
      </c>
      <c r="BS19">
        <f>IF(10&lt;n_bars,(IF(hog,h_sec-c_nom-phi_w-phi/2,c_nom+phi_w+phi/2))+(phi/2)*-0.000000,NA())</f>
        <v/>
      </c>
      <c r="BU19">
        <f>IF(inputs_ok,IF(10&lt;n_2,(c_nom+phi_w+phi_2/2+10*(b_w-2*c_nom-2*phi_w-phi_2)/MAX(n_2-1,1))+(phi_2/2)*1.000000,NA()),NA())</f>
        <v/>
      </c>
      <c r="BV19">
        <f>IF(10&lt;n_2,(IF(hog,c_nom+phi_w+phi_2/2,h_sec-c_nom-phi_w-phi_2/2))+(phi_2/2)*-0.000000,NA())</f>
        <v/>
      </c>
      <c r="BX19">
        <f>IF(inputs_ok,IF(11&lt;n_bars,(c_nom+phi_w+phi/2+11*(b_w-2*c_nom-2*phi_w-phi)/MAX(n_bars-1,1))+(phi/2)*1.000000,NA()),NA())</f>
        <v/>
      </c>
      <c r="BY19">
        <f>IF(11&lt;n_bars,(IF(hog,h_sec-c_nom-phi_w-phi/2,c_nom+phi_w+phi/2))+(phi/2)*-0.000000,NA())</f>
        <v/>
      </c>
      <c r="CA19">
        <f>IF(inputs_ok,IF(11&lt;n_2,(c_nom+phi_w+phi_2/2+11*(b_w-2*c_nom-2*phi_w-phi_2)/MAX(n_2-1,1))+(phi_2/2)*1.000000,NA()),NA())</f>
        <v/>
      </c>
      <c r="CB19">
        <f>IF(11&lt;n_2,(IF(hog,c_nom+phi_w+phi_2/2,h_sec-c_nom-phi_w-phi_2/2))+(phi_2/2)*-0.000000,NA())</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8.xml><?xml version="1.0" encoding="utf-8"?>
<worksheet xmlns="http://schemas.openxmlformats.org/spreadsheetml/2006/main">
  <sheetPr>
    <outlinePr summaryBelow="1" summaryRight="1"/>
    <pageSetUpPr fitToPage="1"/>
  </sheetPr>
  <dimension ref="A1:H92"/>
  <sheetViews>
    <sheetView showGridLines="0" tabSelected="0"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Element design  ·  Shear</t>
        </is>
      </c>
      <c r="H2" s="1" t="n"/>
    </row>
    <row r="3" ht="16" customHeight="1">
      <c r="A3" s="1" t="n"/>
      <c r="B3" s="1" t="n"/>
      <c r="C3" s="15" t="inlineStr">
        <is>
          <t>NAE-RC-040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member</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6.2.2, 6.2.3</t>
        </is>
      </c>
      <c r="C13" s="24" t="inlineStr">
        <is>
          <t>Member</t>
        </is>
      </c>
      <c r="D13" s="23" t="n"/>
      <c r="E13" s="25" t="inlineStr">
        <is>
          <t>Beam  (with links)</t>
        </is>
      </c>
      <c r="F13" s="23" t="n"/>
      <c r="G13" s="23" t="n"/>
    </row>
    <row r="14" ht="17" customHeight="1">
      <c r="B14" s="23" t="n"/>
      <c r="C14" s="24" t="inlineStr">
        <is>
          <t>Width  (web; slab: 1000 per metre)</t>
        </is>
      </c>
      <c r="D14" s="27" t="inlineStr">
        <is>
          <r>
            <rPr>
              <rFont val="Calibri"/>
              <i val="1"/>
              <color rgb="002B2B2B"/>
              <sz val="10"/>
            </rPr>
            <t>b</t>
          </r>
          <r>
            <rPr>
              <rFont val="Calibri"/>
              <i val="1"/>
              <color rgb="002B2B2B"/>
              <sz val="10"/>
              <vertAlign val="subscript"/>
            </rPr>
            <t>w</t>
          </r>
        </is>
      </c>
      <c r="E14" s="25" t="n">
        <v>300</v>
      </c>
      <c r="F14" s="28" t="inlineStr">
        <is>
          <t>mm</t>
        </is>
      </c>
      <c r="G14" s="23" t="n"/>
    </row>
    <row r="15" ht="17" customHeight="1">
      <c r="B15" s="23" t="n"/>
      <c r="C15" s="24" t="inlineStr">
        <is>
          <t>Overall depth</t>
        </is>
      </c>
      <c r="D15" s="27" t="inlineStr">
        <is>
          <r>
            <rPr>
              <rFont val="Calibri"/>
              <i val="1"/>
              <color rgb="002B2B2B"/>
              <sz val="10"/>
            </rPr>
            <t>h</t>
          </r>
        </is>
      </c>
      <c r="E15" s="25" t="n">
        <v>600</v>
      </c>
      <c r="F15" s="28" t="inlineStr">
        <is>
          <t>mm</t>
        </is>
      </c>
      <c r="G15" s="23" t="n"/>
    </row>
    <row r="16" ht="17" customHeight="1">
      <c r="B16" s="23" t="n"/>
      <c r="C16" s="24" t="inlineStr">
        <is>
          <t>Effective depth</t>
        </is>
      </c>
      <c r="D16" s="27" t="inlineStr">
        <is>
          <r>
            <rPr>
              <rFont val="Calibri"/>
              <i val="1"/>
              <color rgb="002B2B2B"/>
              <sz val="10"/>
            </rPr>
            <t>d</t>
          </r>
        </is>
      </c>
      <c r="E16" s="25" t="n">
        <v>545</v>
      </c>
      <c r="F16" s="28" t="inlineStr">
        <is>
          <t>mm</t>
        </is>
      </c>
      <c r="G16" s="23" t="n"/>
    </row>
    <row r="17" ht="17" customHeight="1">
      <c r="B17" s="26" t="inlineStr">
        <is>
          <t>6.2.2(1)</t>
        </is>
      </c>
      <c r="C17" s="24" t="inlineStr">
        <is>
          <t>Tension bars anchored beyond the section  (≥ lbd + d)</t>
        </is>
      </c>
      <c r="D17" s="27" t="inlineStr">
        <is>
          <r>
            <rPr>
              <rFont val="Calibri"/>
              <i val="1"/>
              <color rgb="002B2B2B"/>
              <sz val="10"/>
            </rPr>
            <t>A</t>
          </r>
          <r>
            <rPr>
              <rFont val="Calibri"/>
              <i val="1"/>
              <color rgb="002B2B2B"/>
              <sz val="10"/>
              <vertAlign val="subscript"/>
            </rPr>
            <t>sl</t>
          </r>
        </is>
      </c>
      <c r="E17" s="25" t="n">
        <v>1473</v>
      </c>
      <c r="F17" s="28" t="inlineStr">
        <is>
          <t>mm²</t>
        </is>
      </c>
      <c r="G17" s="23" t="n"/>
    </row>
    <row r="19" ht="22" customHeight="1">
      <c r="B19" s="20" t="inlineStr">
        <is>
          <t>Inputs  ·  actions and links</t>
        </is>
      </c>
      <c r="C19" s="21" t="n"/>
      <c r="D19" s="21" t="n"/>
      <c r="E19" s="21" t="n"/>
      <c r="F19" s="21" t="n"/>
      <c r="G19" s="22" t="inlineStr">
        <is>
          <t>ULS design values</t>
        </is>
      </c>
    </row>
    <row r="20" ht="17" customHeight="1">
      <c r="B20" s="23" t="n"/>
      <c r="C20" s="24" t="inlineStr">
        <is>
          <t>Design shear force at the face of the support</t>
        </is>
      </c>
      <c r="D20" s="27" t="inlineStr">
        <is>
          <r>
            <rPr>
              <rFont val="Calibri"/>
              <i val="1"/>
              <color rgb="002B2B2B"/>
              <sz val="10"/>
            </rPr>
            <t>V</t>
          </r>
          <r>
            <rPr>
              <rFont val="Calibri"/>
              <i val="1"/>
              <color rgb="002B2B2B"/>
              <sz val="10"/>
              <vertAlign val="subscript"/>
            </rPr>
            <t>Ed</t>
          </r>
        </is>
      </c>
      <c r="E20" s="29" t="n">
        <v>300</v>
      </c>
      <c r="F20" s="28" t="inlineStr">
        <is>
          <t>kN</t>
        </is>
      </c>
      <c r="G20" s="23" t="n"/>
    </row>
    <row r="21" ht="17" customHeight="1">
      <c r="B21" s="26" t="inlineStr">
        <is>
          <t>6.2.1(8)</t>
        </is>
      </c>
      <c r="C21" s="24" t="inlineStr">
        <is>
          <t>Loading</t>
        </is>
      </c>
      <c r="D21" s="23" t="n"/>
      <c r="E21" s="25" t="inlineStr">
        <is>
          <t>Uniformly distributed</t>
        </is>
      </c>
      <c r="F21" s="23" t="n"/>
      <c r="G21" s="23" t="n"/>
    </row>
    <row r="22" ht="17" customHeight="1">
      <c r="B22" s="23" t="n"/>
      <c r="C22" s="24" t="inlineStr">
        <is>
          <t>Design uniformly distributed load  (uniform loading only)</t>
        </is>
      </c>
      <c r="D22" s="27" t="inlineStr">
        <is>
          <r>
            <rPr>
              <rFont val="Calibri"/>
              <i val="1"/>
              <color rgb="002B2B2B"/>
              <sz val="10"/>
            </rPr>
            <t>w</t>
          </r>
          <r>
            <rPr>
              <rFont val="Calibri"/>
              <i val="1"/>
              <color rgb="002B2B2B"/>
              <sz val="10"/>
              <vertAlign val="subscript"/>
            </rPr>
            <t>Ed</t>
          </r>
        </is>
      </c>
      <c r="E22" s="29" t="n">
        <v>80</v>
      </c>
      <c r="F22" s="28" t="inlineStr">
        <is>
          <t>kN/m</t>
        </is>
      </c>
      <c r="G22" s="23" t="n"/>
    </row>
    <row r="23" ht="17" customHeight="1">
      <c r="B23" s="23" t="n"/>
      <c r="C23" s="24" t="inlineStr">
        <is>
          <t>Link characteristic yield strength  (≤ 500 MPa)</t>
        </is>
      </c>
      <c r="D23" s="27" t="inlineStr">
        <is>
          <r>
            <rPr>
              <rFont val="Calibri"/>
              <i val="1"/>
              <color rgb="002B2B2B"/>
              <sz val="10"/>
            </rPr>
            <t>f</t>
          </r>
          <r>
            <rPr>
              <rFont val="Calibri"/>
              <i val="1"/>
              <color rgb="002B2B2B"/>
              <sz val="10"/>
              <vertAlign val="subscript"/>
            </rPr>
            <t>ywk</t>
          </r>
        </is>
      </c>
      <c r="E23" s="25" t="n">
        <v>500</v>
      </c>
      <c r="F23" s="28" t="inlineStr">
        <is>
          <t>MPa</t>
        </is>
      </c>
      <c r="G23" s="23" t="n"/>
    </row>
    <row r="24" ht="17" customHeight="1">
      <c r="B24" s="23" t="n"/>
      <c r="C24" s="24" t="inlineStr">
        <is>
          <t>Link diameter</t>
        </is>
      </c>
      <c r="D24" s="27" t="inlineStr">
        <is>
          <r>
            <rPr>
              <rFont val="Calibri"/>
              <i val="1"/>
              <color rgb="002B2B2B"/>
              <sz val="10"/>
            </rPr>
            <t>φ</t>
          </r>
          <r>
            <rPr>
              <rFont val="Calibri"/>
              <i val="1"/>
              <color rgb="002B2B2B"/>
              <sz val="10"/>
              <vertAlign val="subscript"/>
            </rPr>
            <t>w</t>
          </r>
        </is>
      </c>
      <c r="E24" s="25" t="n">
        <v>10</v>
      </c>
      <c r="F24" s="28" t="inlineStr">
        <is>
          <t>mm</t>
        </is>
      </c>
      <c r="G24" s="23" t="n"/>
    </row>
    <row r="25" ht="17" customHeight="1">
      <c r="B25" s="23" t="n"/>
      <c r="C25" s="24" t="inlineStr">
        <is>
          <t>Number of legs</t>
        </is>
      </c>
      <c r="D25" s="27" t="inlineStr">
        <is>
          <r>
            <rPr>
              <rFont val="Calibri"/>
              <i val="1"/>
              <color rgb="002B2B2B"/>
              <sz val="10"/>
            </rPr>
            <t>n</t>
          </r>
          <r>
            <rPr>
              <rFont val="Calibri"/>
              <i val="1"/>
              <color rgb="002B2B2B"/>
              <sz val="10"/>
              <vertAlign val="subscript"/>
            </rPr>
            <t>w</t>
          </r>
        </is>
      </c>
      <c r="E25" s="49" t="n">
        <v>2</v>
      </c>
      <c r="F25" s="23" t="n"/>
      <c r="G25" s="23" t="n"/>
    </row>
    <row r="26" ht="17" customHeight="1">
      <c r="B26" s="23" t="n"/>
      <c r="C26" s="24" t="inlineStr">
        <is>
          <t>Link spacing</t>
        </is>
      </c>
      <c r="D26" s="27" t="inlineStr">
        <is>
          <r>
            <rPr>
              <rFont val="Calibri"/>
              <i val="1"/>
              <color rgb="002B2B2B"/>
              <sz val="10"/>
            </rPr>
            <t>s</t>
          </r>
        </is>
      </c>
      <c r="E26" s="25" t="n">
        <v>200</v>
      </c>
      <c r="F26" s="28" t="inlineStr">
        <is>
          <t>mm</t>
        </is>
      </c>
      <c r="G26" s="23" t="n"/>
    </row>
    <row r="27" ht="17" customHeight="1">
      <c r="B27" s="26" t="inlineStr">
        <is>
          <t>4.4.1</t>
        </is>
      </c>
      <c r="C27" s="24" t="inlineStr">
        <is>
          <t>Nominal cover to links</t>
        </is>
      </c>
      <c r="D27" s="27" t="inlineStr">
        <is>
          <r>
            <rPr>
              <rFont val="Calibri"/>
              <i val="1"/>
              <color rgb="002B2B2B"/>
              <sz val="10"/>
            </rPr>
            <t>c</t>
          </r>
          <r>
            <rPr>
              <rFont val="Calibri"/>
              <i val="1"/>
              <color rgb="002B2B2B"/>
              <sz val="10"/>
              <vertAlign val="subscript"/>
            </rPr>
            <t>nom</t>
          </r>
        </is>
      </c>
      <c r="E27" s="25" t="n">
        <v>35</v>
      </c>
      <c r="F27" s="28" t="inlineStr">
        <is>
          <t>mm</t>
        </is>
      </c>
      <c r="G27" s="23" t="n"/>
    </row>
    <row r="28" ht="17" customHeight="1">
      <c r="B28" s="23" t="n"/>
      <c r="C28" s="24" t="inlineStr">
        <is>
          <t>Inputs valid and consistent</t>
        </is>
      </c>
      <c r="D28" s="23" t="n"/>
      <c r="E28" s="9" t="n"/>
      <c r="F28" s="23" t="n"/>
      <c r="G28" s="31">
        <f>IF(inputs_ok,"OK","FAIL")</f>
        <v/>
      </c>
    </row>
    <row r="30" ht="22" customHeight="1">
      <c r="B30" s="20" t="inlineStr">
        <is>
          <t>Results</t>
        </is>
      </c>
      <c r="C30" s="21" t="n"/>
      <c r="D30" s="21" t="n"/>
      <c r="E30" s="21" t="n"/>
      <c r="F30" s="21" t="n"/>
      <c r="G30" s="21" t="n"/>
    </row>
    <row r="31" ht="26" customHeight="1">
      <c r="B31" s="32" t="n"/>
      <c r="C31" s="33" t="inlineStr">
        <is>
          <t>Crushing at the face of the support  VEd / VRd,max</t>
        </is>
      </c>
      <c r="D31" s="32" t="n"/>
      <c r="E31" s="35">
        <f>IF(inputs_ok,V_Ed/V_Rdmax,"–")</f>
        <v/>
      </c>
      <c r="F31" s="36" t="inlineStr"/>
      <c r="G31" s="37">
        <f>IF(NOT(inputs_ok),"FAIL",IF(crush_ok,"OK","FAIL"))</f>
        <v/>
      </c>
    </row>
    <row r="32" ht="26" customHeight="1">
      <c r="B32" s="32" t="n"/>
      <c r="C32" s="33" t="inlineStr">
        <is>
          <t>Shear at the critical section  (beam: links prov / need; slab: VEd,d / VRd,c)</t>
        </is>
      </c>
      <c r="D32" s="32" t="n"/>
      <c r="E32" s="35">
        <f>IF(inputs_ok,IF(is_beam,Asw_prov/MAX(Asw_need,1E-6),V_Edd/V_Rdc),"–")</f>
        <v/>
      </c>
      <c r="F32" s="36" t="inlineStr"/>
      <c r="G32" s="37">
        <f>IF(NOT(inputs_ok),"FAIL",IF(shear_ok,"OK","FAIL"))</f>
        <v/>
      </c>
    </row>
    <row r="33" ht="26" customHeight="1">
      <c r="B33" s="32" t="n"/>
      <c r="C33" s="33" t="inlineStr">
        <is>
          <t>Link spacing  (longitudinal and across the web)</t>
        </is>
      </c>
      <c r="D33" s="32" t="n"/>
      <c r="E33" s="35">
        <f>IF(inputs_ok,IF(is_beam,MAX(s_link/s_lmax,s_t/s_tmax),"n/a"),"–")</f>
        <v/>
      </c>
      <c r="F33" s="36" t="inlineStr"/>
      <c r="G33" s="37">
        <f>IF(NOT(inputs_ok),"FAIL",IF(NOT(is_beam),"n/a",IF(sp_ok,"OK","FAIL")))</f>
        <v/>
      </c>
    </row>
    <row r="34" ht="26" customHeight="1">
      <c r="B34" s="32" t="n"/>
      <c r="C34" s="33" t="inlineStr">
        <is>
          <t>Design shear at the critical section</t>
        </is>
      </c>
      <c r="D34" s="34" t="inlineStr">
        <is>
          <r>
            <rPr>
              <rFont val="Calibri"/>
              <i val="1"/>
              <color rgb="002B2B2B"/>
              <sz val="11"/>
            </rPr>
            <t>V</t>
          </r>
          <r>
            <rPr>
              <rFont val="Calibri"/>
              <i val="1"/>
              <color rgb="002B2B2B"/>
              <sz val="11"/>
              <vertAlign val="subscript"/>
            </rPr>
            <t>Ed,d</t>
          </r>
        </is>
      </c>
      <c r="E34" s="50">
        <f>IF(inputs_ok,V_Edd,"–")</f>
        <v/>
      </c>
      <c r="F34" s="36" t="inlineStr">
        <is>
          <t>kN</t>
        </is>
      </c>
      <c r="G34" s="32" t="n"/>
    </row>
    <row r="35" ht="26" customHeight="1">
      <c r="B35" s="32" t="n"/>
      <c r="C35" s="33" t="inlineStr">
        <is>
          <t>Strut inclination used  (beam)</t>
        </is>
      </c>
      <c r="D35" s="34" t="inlineStr">
        <is>
          <r>
            <rPr>
              <rFont val="Calibri"/>
              <i val="1"/>
              <color rgb="002B2B2B"/>
              <sz val="11"/>
            </rPr>
            <t>cot θ</t>
          </r>
        </is>
      </c>
      <c r="E35" s="35">
        <f>IF(inputs_ok,IF(is_beam,cot_theta,"n/a"),"–")</f>
        <v/>
      </c>
      <c r="F35" s="36" t="inlineStr"/>
      <c r="G35" s="32" t="n"/>
    </row>
    <row r="36"/>
    <row r="37">
      <c r="B37" s="40" t="inlineStr">
        <is>
          <t>Your member near the support, to scale  ·  the section at d from the face (red, uniform load)  ·  links at the spacing entered</t>
        </is>
      </c>
    </row>
    <row r="38"/>
    <row r="39"/>
    <row r="40"/>
    <row r="41"/>
    <row r="42"/>
    <row r="43"/>
    <row r="44"/>
    <row r="45"/>
    <row r="46"/>
    <row r="47"/>
    <row r="48"/>
    <row r="49"/>
    <row r="50"/>
    <row r="51"/>
    <row r="52"/>
    <row r="53"/>
    <row r="54"/>
    <row r="55" ht="22" customHeight="1">
      <c r="B55" s="20" t="inlineStr">
        <is>
          <t>Calculation  ·  shear resistance</t>
        </is>
      </c>
      <c r="C55" s="21" t="n"/>
      <c r="D55" s="21" t="n"/>
      <c r="E55" s="21" t="n"/>
      <c r="F55" s="21" t="n"/>
      <c r="G55" s="21" t="n"/>
    </row>
    <row r="56" ht="17" customHeight="1">
      <c r="B56" s="26" t="inlineStr">
        <is>
          <t>2.4.2.4(1)</t>
        </is>
      </c>
      <c r="C56" s="24" t="inlineStr">
        <is>
          <t>Partial factor, concrete</t>
        </is>
      </c>
      <c r="D56" s="27" t="inlineStr">
        <is>
          <r>
            <rPr>
              <rFont val="Calibri"/>
              <i val="1"/>
              <color rgb="002B2B2B"/>
              <sz val="10"/>
            </rPr>
            <t>γ</t>
          </r>
          <r>
            <rPr>
              <rFont val="Calibri"/>
              <i val="1"/>
              <color rgb="002B2B2B"/>
              <sz val="10"/>
              <vertAlign val="subscript"/>
            </rPr>
            <t>c</t>
          </r>
        </is>
      </c>
      <c r="E56" s="41">
        <f>IF(inputs_ok,ndp_gamma_c,NA())</f>
        <v/>
      </c>
      <c r="F56" s="23" t="n"/>
      <c r="G56" s="26" t="inlineStr">
        <is>
          <t>NDP sheet</t>
        </is>
      </c>
    </row>
    <row r="57" ht="17" customHeight="1">
      <c r="B57" s="26" t="inlineStr">
        <is>
          <t>2.4.2.4(1)</t>
        </is>
      </c>
      <c r="C57" s="24" t="inlineStr">
        <is>
          <t>Partial factor, reinforcement</t>
        </is>
      </c>
      <c r="D57" s="27" t="inlineStr">
        <is>
          <r>
            <rPr>
              <rFont val="Calibri"/>
              <i val="1"/>
              <color rgb="002B2B2B"/>
              <sz val="10"/>
            </rPr>
            <t>γ</t>
          </r>
          <r>
            <rPr>
              <rFont val="Calibri"/>
              <i val="1"/>
              <color rgb="002B2B2B"/>
              <sz val="10"/>
              <vertAlign val="subscript"/>
            </rPr>
            <t>s</t>
          </r>
        </is>
      </c>
      <c r="E57" s="41">
        <f>IF(inputs_ok,ndp_gamma_s,NA())</f>
        <v/>
      </c>
      <c r="F57" s="23" t="n"/>
      <c r="G57" s="26" t="inlineStr">
        <is>
          <t>NDP sheet</t>
        </is>
      </c>
    </row>
    <row r="58" ht="17" customHeight="1">
      <c r="B58" s="26" t="inlineStr">
        <is>
          <t>3.1.6(1)</t>
        </is>
      </c>
      <c r="C58" s="24" t="inlineStr">
        <is>
          <t>Coefficient on compressive strength (shear)</t>
        </is>
      </c>
      <c r="D58" s="27" t="inlineStr">
        <is>
          <r>
            <rPr>
              <rFont val="Calibri"/>
              <i val="1"/>
              <color rgb="002B2B2B"/>
              <sz val="10"/>
            </rPr>
            <t>α</t>
          </r>
          <r>
            <rPr>
              <rFont val="Calibri"/>
              <i val="1"/>
              <color rgb="002B2B2B"/>
              <sz val="10"/>
              <vertAlign val="subscript"/>
            </rPr>
            <t>cc</t>
          </r>
        </is>
      </c>
      <c r="E58" s="41">
        <f>IF(inputs_ok,ndp_alpha_cc_shear,NA())</f>
        <v/>
      </c>
      <c r="F58" s="23" t="n"/>
      <c r="G58" s="26" t="inlineStr">
        <is>
          <t>NDP sheet</t>
        </is>
      </c>
    </row>
    <row r="59" ht="17" customHeight="1">
      <c r="B59" s="26" t="inlineStr">
        <is>
          <t>6.2.2(1), 6.4.4(1)</t>
        </is>
      </c>
      <c r="C59" s="24" t="inlineStr">
        <is>
          <t>Coefficient  0.18 / γc</t>
        </is>
      </c>
      <c r="D59" s="27" t="inlineStr">
        <is>
          <r>
            <rPr>
              <rFont val="Calibri"/>
              <i val="1"/>
              <color rgb="002B2B2B"/>
              <sz val="10"/>
            </rPr>
            <t>C</t>
          </r>
          <r>
            <rPr>
              <rFont val="Calibri"/>
              <i val="1"/>
              <color rgb="002B2B2B"/>
              <sz val="10"/>
              <vertAlign val="subscript"/>
            </rPr>
            <t>Rd,c</t>
          </r>
        </is>
      </c>
      <c r="E59" s="44">
        <f>IF(inputs_ok,ndp_C_Rdc/ndp_gamma_c,NA())</f>
        <v/>
      </c>
      <c r="F59" s="23" t="n"/>
      <c r="G59" s="26" t="inlineStr">
        <is>
          <t>NDP sheet</t>
        </is>
      </c>
    </row>
    <row r="60" ht="17" customHeight="1">
      <c r="B60" s="26" t="inlineStr">
        <is>
          <t>6.2.3(2)</t>
        </is>
      </c>
      <c r="C60" s="24" t="inlineStr">
        <is>
          <t>Upper limit of cot θ</t>
        </is>
      </c>
      <c r="D60" s="27" t="inlineStr">
        <is>
          <r>
            <rPr>
              <rFont val="Calibri"/>
              <i val="1"/>
              <color rgb="002B2B2B"/>
              <sz val="10"/>
            </rPr>
            <t>cot θ</t>
          </r>
          <r>
            <rPr>
              <rFont val="Calibri"/>
              <i val="1"/>
              <color rgb="002B2B2B"/>
              <sz val="10"/>
              <vertAlign val="subscript"/>
            </rPr>
            <t>max</t>
          </r>
        </is>
      </c>
      <c r="E60" s="41">
        <f>IF(inputs_ok,ndp_cot_max,NA())</f>
        <v/>
      </c>
      <c r="F60" s="23" t="n"/>
      <c r="G60" s="26" t="inlineStr">
        <is>
          <t>NDP sheet</t>
        </is>
      </c>
    </row>
    <row r="61" ht="17" customHeight="1">
      <c r="B61" s="26" t="inlineStr">
        <is>
          <t>Table 3.1</t>
        </is>
      </c>
      <c r="C61" s="24" t="inlineStr">
        <is>
          <t>Characteristic cylinder strength</t>
        </is>
      </c>
      <c r="D61" s="27" t="inlineStr">
        <is>
          <r>
            <rPr>
              <rFont val="Calibri"/>
              <i val="1"/>
              <color rgb="002B2B2B"/>
              <sz val="10"/>
            </rPr>
            <t>f</t>
          </r>
          <r>
            <rPr>
              <rFont val="Calibri"/>
              <i val="1"/>
              <color rgb="002B2B2B"/>
              <sz val="10"/>
              <vertAlign val="subscript"/>
            </rPr>
            <t>ck</t>
          </r>
        </is>
      </c>
      <c r="E61" s="42">
        <f>IF(inputs_ok,VALUE(MID(conc_class,2,FIND("/",conc_class)-2)),NA())</f>
        <v/>
      </c>
      <c r="F61" s="28" t="inlineStr">
        <is>
          <t>MPa</t>
        </is>
      </c>
      <c r="G61" s="23" t="n"/>
    </row>
    <row r="62" ht="17" customHeight="1">
      <c r="B62" s="26" t="inlineStr">
        <is>
          <t>Table 3.1</t>
        </is>
      </c>
      <c r="C62" s="24" t="inlineStr">
        <is>
          <t>Mean tensile strength</t>
        </is>
      </c>
      <c r="D62" s="27" t="inlineStr">
        <is>
          <r>
            <rPr>
              <rFont val="Calibri"/>
              <i val="1"/>
              <color rgb="002B2B2B"/>
              <sz val="10"/>
            </rPr>
            <t>f</t>
          </r>
          <r>
            <rPr>
              <rFont val="Calibri"/>
              <i val="1"/>
              <color rgb="002B2B2B"/>
              <sz val="10"/>
              <vertAlign val="subscript"/>
            </rPr>
            <t>ctm</t>
          </r>
        </is>
      </c>
      <c r="E62" s="41">
        <f>IF(inputs_ok,IF(f_ck&lt;=50,0.3*f_ck^(2/3),2.12*LN(1+(f_ck+8)/10)),NA())</f>
        <v/>
      </c>
      <c r="F62" s="28" t="inlineStr">
        <is>
          <t>MPa</t>
        </is>
      </c>
      <c r="G62" s="23" t="n"/>
    </row>
    <row r="63" ht="17" customHeight="1">
      <c r="B63" s="26" t="inlineStr">
        <is>
          <t>6.2.1(8)</t>
        </is>
      </c>
      <c r="C63" s="24" t="inlineStr">
        <is>
          <t>Shear at d from the face  (uniform load: VEd − w d; else VEd)</t>
        </is>
      </c>
      <c r="D63" s="27" t="inlineStr">
        <is>
          <r>
            <rPr>
              <rFont val="Calibri"/>
              <i val="1"/>
              <color rgb="002B2B2B"/>
              <sz val="10"/>
            </rPr>
            <t>V</t>
          </r>
          <r>
            <rPr>
              <rFont val="Calibri"/>
              <i val="1"/>
              <color rgb="002B2B2B"/>
              <sz val="10"/>
              <vertAlign val="subscript"/>
            </rPr>
            <t>Ed,d</t>
          </r>
        </is>
      </c>
      <c r="E63" s="46">
        <f>IF(inputs_ok,IF(udl,MAX(0,V_Ed-w_Ed*d_eff/1000),V_Ed),NA())</f>
        <v/>
      </c>
      <c r="F63" s="28" t="inlineStr">
        <is>
          <t>kN</t>
        </is>
      </c>
      <c r="G63" s="23" t="n"/>
    </row>
    <row r="64" ht="17" customHeight="1">
      <c r="B64" s="26" t="inlineStr">
        <is>
          <t>6.2.2(1)</t>
        </is>
      </c>
      <c r="C64" s="24" t="inlineStr">
        <is>
          <t>Size factor  1 + √(200/d) ≤ 2</t>
        </is>
      </c>
      <c r="D64" s="27" t="inlineStr">
        <is>
          <r>
            <rPr>
              <rFont val="Calibri"/>
              <i val="1"/>
              <color rgb="002B2B2B"/>
              <sz val="10"/>
            </rPr>
            <t>k</t>
          </r>
        </is>
      </c>
      <c r="E64" s="44">
        <f>IF(inputs_ok,MIN(2,1+SQRT(200/d_eff)),NA())</f>
        <v/>
      </c>
      <c r="F64" s="23" t="n"/>
      <c r="G64" s="23" t="n"/>
    </row>
    <row r="65" ht="17" customHeight="1">
      <c r="B65" s="26" t="inlineStr">
        <is>
          <t>6.2.2(1)</t>
        </is>
      </c>
      <c r="C65" s="24" t="inlineStr">
        <is>
          <t>ρl = Asl / (bw d) ≤ 0.02</t>
        </is>
      </c>
      <c r="D65" s="27" t="inlineStr">
        <is>
          <r>
            <rPr>
              <rFont val="Calibri"/>
              <i val="1"/>
              <color rgb="002B2B2B"/>
              <sz val="10"/>
            </rPr>
            <t>ρ</t>
          </r>
          <r>
            <rPr>
              <rFont val="Calibri"/>
              <i val="1"/>
              <color rgb="002B2B2B"/>
              <sz val="10"/>
              <vertAlign val="subscript"/>
            </rPr>
            <t>l</t>
          </r>
        </is>
      </c>
      <c r="E65" s="51">
        <f>IF(inputs_ok,MIN(0.02,A_sl/(b_w*d_eff)),NA())</f>
        <v/>
      </c>
      <c r="F65" s="23" t="n"/>
      <c r="G65" s="23" t="n"/>
    </row>
    <row r="66" ht="17" customHeight="1">
      <c r="B66" s="26" t="inlineStr">
        <is>
          <t>(6.3N)</t>
        </is>
      </c>
      <c r="C66" s="24" t="inlineStr">
        <is>
          <t>Minimum  0.035 k^1.5 √fck</t>
        </is>
      </c>
      <c r="D66" s="27" t="inlineStr">
        <is>
          <r>
            <rPr>
              <rFont val="Calibri"/>
              <i val="1"/>
              <color rgb="002B2B2B"/>
              <sz val="10"/>
            </rPr>
            <t>v</t>
          </r>
          <r>
            <rPr>
              <rFont val="Calibri"/>
              <i val="1"/>
              <color rgb="002B2B2B"/>
              <sz val="10"/>
              <vertAlign val="subscript"/>
            </rPr>
            <t>min</t>
          </r>
        </is>
      </c>
      <c r="E66" s="44">
        <f>IF(inputs_ok,0.035*k_size^1.5*SQRT(f_ck),NA())</f>
        <v/>
      </c>
      <c r="F66" s="28" t="inlineStr">
        <is>
          <t>MPa</t>
        </is>
      </c>
      <c r="G66" s="23" t="n"/>
    </row>
    <row r="67" ht="17" customHeight="1">
      <c r="B67" s="26" t="inlineStr">
        <is>
          <t>(6.2)</t>
        </is>
      </c>
      <c r="C67" s="24" t="inlineStr">
        <is>
          <t>Resistance without links  max(CRd,c k (100 ρl fck)^⅓; vmin) bw d</t>
        </is>
      </c>
      <c r="D67" s="27" t="inlineStr">
        <is>
          <r>
            <rPr>
              <rFont val="Calibri"/>
              <i val="1"/>
              <color rgb="002B2B2B"/>
              <sz val="10"/>
            </rPr>
            <t>V</t>
          </r>
          <r>
            <rPr>
              <rFont val="Calibri"/>
              <i val="1"/>
              <color rgb="002B2B2B"/>
              <sz val="10"/>
              <vertAlign val="subscript"/>
            </rPr>
            <t>Rd,c</t>
          </r>
        </is>
      </c>
      <c r="E67" s="46">
        <f>IF(inputs_ok,MAX(C_Rdc*k_size*(100*rho_l*f_ck)^(1/3),v_min)*b_w*d_eff/1000,NA())</f>
        <v/>
      </c>
      <c r="F67" s="28" t="inlineStr">
        <is>
          <t>kN</t>
        </is>
      </c>
      <c r="G67" s="23" t="n"/>
    </row>
    <row r="68" ht="17" customHeight="1">
      <c r="B68" s="26" t="inlineStr">
        <is>
          <t>(6.6N)</t>
        </is>
      </c>
      <c r="C68" s="24" t="inlineStr">
        <is>
          <t>Strength reduction  ν = 0.6 (1 − fck/250)</t>
        </is>
      </c>
      <c r="D68" s="27" t="inlineStr">
        <is>
          <r>
            <rPr>
              <rFont val="Calibri"/>
              <i val="1"/>
              <color rgb="002B2B2B"/>
              <sz val="10"/>
            </rPr>
            <t>ν</t>
          </r>
        </is>
      </c>
      <c r="E68" s="44">
        <f>IF(inputs_ok,0.6*(1-f_ck/250),NA())</f>
        <v/>
      </c>
      <c r="F68" s="23" t="n"/>
      <c r="G68" s="23" t="n"/>
    </row>
    <row r="69" ht="17" customHeight="1">
      <c r="B69" s="26" t="inlineStr">
        <is>
          <t>3.1.6(1)</t>
        </is>
      </c>
      <c r="C69" s="24" t="inlineStr">
        <is>
          <t>fcd for shear  αcc fck / γc</t>
        </is>
      </c>
      <c r="D69" s="27" t="inlineStr">
        <is>
          <r>
            <rPr>
              <rFont val="Calibri"/>
              <i val="1"/>
              <color rgb="002B2B2B"/>
              <sz val="10"/>
            </rPr>
            <t>f</t>
          </r>
          <r>
            <rPr>
              <rFont val="Calibri"/>
              <i val="1"/>
              <color rgb="002B2B2B"/>
              <sz val="10"/>
              <vertAlign val="subscript"/>
            </rPr>
            <t>cd</t>
          </r>
        </is>
      </c>
      <c r="E69" s="41">
        <f>IF(inputs_ok,alpha_cc_shear*f_ck/gamma_c,NA())</f>
        <v/>
      </c>
      <c r="F69" s="28" t="inlineStr">
        <is>
          <t>MPa</t>
        </is>
      </c>
      <c r="G69" s="23" t="n"/>
    </row>
    <row r="70" ht="17" customHeight="1">
      <c r="B70" s="26" t="inlineStr">
        <is>
          <t>6.2.3(1)</t>
        </is>
      </c>
      <c r="C70" s="24" t="inlineStr">
        <is>
          <t>Lever arm  z = 0.9 d</t>
        </is>
      </c>
      <c r="D70" s="27" t="inlineStr">
        <is>
          <r>
            <rPr>
              <rFont val="Calibri"/>
              <i val="1"/>
              <color rgb="002B2B2B"/>
              <sz val="10"/>
            </rPr>
            <t>z</t>
          </r>
        </is>
      </c>
      <c r="E70" s="42">
        <f>IF(inputs_ok,0.9*d_eff,NA())</f>
        <v/>
      </c>
      <c r="F70" s="28" t="inlineStr">
        <is>
          <t>mm</t>
        </is>
      </c>
      <c r="G70" s="23" t="n"/>
    </row>
    <row r="71" ht="17" customHeight="1">
      <c r="B71" s="26" t="inlineStr">
        <is>
          <t>(6.9)</t>
        </is>
      </c>
      <c r="C71" s="24" t="inlineStr">
        <is>
          <t>VEd / VRd,max at 45°  2 VEd / (bw z ν fcd)  (beam)</t>
        </is>
      </c>
      <c r="D71" s="23" t="n"/>
      <c r="E71" s="44">
        <f>IF(inputs_ok,2*V_Ed*1000/(b_w*z_v*nu_1*f_cdv),NA())</f>
        <v/>
      </c>
      <c r="F71" s="23" t="n"/>
      <c r="G71" s="23" t="n"/>
    </row>
    <row r="72" ht="17" customHeight="1">
      <c r="B72" s="26" t="inlineStr">
        <is>
          <t>6.2.3(2)</t>
        </is>
      </c>
      <c r="C72" s="24" t="inlineStr">
        <is>
          <t>Strut inclination for VEd at the face  1 ≤ cot θ ≤ cot θmax</t>
        </is>
      </c>
      <c r="D72" s="27" t="inlineStr">
        <is>
          <r>
            <rPr>
              <rFont val="Calibri"/>
              <i val="1"/>
              <color rgb="002B2B2B"/>
              <sz val="10"/>
            </rPr>
            <t>cot θ</t>
          </r>
        </is>
      </c>
      <c r="E72" s="44">
        <f>IF(inputs_ok,IF(ratio_v&lt;=0,cot_max,IF(ratio_v&gt;=1,1,MIN(cot_max,1/TAN(0.5*ASIN(ratio_v))))),NA())</f>
        <v/>
      </c>
      <c r="F72" s="23" t="n"/>
      <c r="G72" s="23" t="n"/>
    </row>
    <row r="73" ht="17" customHeight="1">
      <c r="B73" s="26" t="inlineStr">
        <is>
          <t>(6.9), (6.5)</t>
        </is>
      </c>
      <c r="C73" s="24" t="inlineStr">
        <is>
          <t>Crushing  beam: bw z ν fcd / (cot θ + tan θ);  slab: 0.5 bw d ν fcd</t>
        </is>
      </c>
      <c r="D73" s="27" t="inlineStr">
        <is>
          <r>
            <rPr>
              <rFont val="Calibri"/>
              <i val="1"/>
              <color rgb="002B2B2B"/>
              <sz val="10"/>
            </rPr>
            <t>V</t>
          </r>
          <r>
            <rPr>
              <rFont val="Calibri"/>
              <i val="1"/>
              <color rgb="002B2B2B"/>
              <sz val="10"/>
              <vertAlign val="subscript"/>
            </rPr>
            <t>Rd,max</t>
          </r>
        </is>
      </c>
      <c r="E73" s="46">
        <f>IF(inputs_ok,IF(is_beam,b_w*z_v*nu_1*f_cdv/(cot_theta+1/cot_theta),0.5*b_w*d_eff*nu_1*f_cdv)/1000,NA())</f>
        <v/>
      </c>
      <c r="F73" s="28" t="inlineStr">
        <is>
          <t>kN</t>
        </is>
      </c>
      <c r="G73" s="23" t="n"/>
    </row>
    <row r="74" ht="17" customHeight="1">
      <c r="B74" s="26" t="inlineStr">
        <is>
          <t>(6.9), 6.2.2(6)</t>
        </is>
      </c>
      <c r="C74" s="24" t="inlineStr">
        <is>
          <t>VEd at the face ≤ VRd,max</t>
        </is>
      </c>
      <c r="D74" s="27" t="inlineStr">
        <is>
          <r>
            <rPr>
              <rFont val="Calibri"/>
              <i val="1"/>
              <color rgb="002B2B2B"/>
              <sz val="10"/>
            </rPr>
            <t>V</t>
          </r>
          <r>
            <rPr>
              <rFont val="Calibri"/>
              <i val="1"/>
              <color rgb="002B2B2B"/>
              <sz val="10"/>
              <vertAlign val="subscript"/>
            </rPr>
            <t>Ed</t>
          </r>
        </is>
      </c>
      <c r="E74" s="43">
        <f>IF(inputs_ok,V_Ed,NA())</f>
        <v/>
      </c>
      <c r="F74" s="28" t="inlineStr">
        <is>
          <t>kN</t>
        </is>
      </c>
      <c r="G74" s="31">
        <f>IF(NOT(inputs_ok),"FAIL",IF(crush_ok,"OK","FAIL"))</f>
        <v/>
      </c>
    </row>
    <row r="75"/>
    <row r="76" ht="22" customHeight="1">
      <c r="B76" s="20" t="inlineStr">
        <is>
          <t>Calculation  ·  links  (beam)  ·  slab: VEd,d ≤ VRd,c</t>
        </is>
      </c>
      <c r="C76" s="21" t="n"/>
      <c r="D76" s="21" t="n"/>
      <c r="E76" s="21" t="n"/>
      <c r="F76" s="21" t="n"/>
      <c r="G76" s="21" t="n"/>
    </row>
    <row r="77" ht="17" customHeight="1">
      <c r="B77" s="26" t="inlineStr">
        <is>
          <t>3.2.7</t>
        </is>
      </c>
      <c r="C77" s="24" t="inlineStr">
        <is>
          <t>Link design strength  fywk / γs</t>
        </is>
      </c>
      <c r="D77" s="27" t="inlineStr">
        <is>
          <r>
            <rPr>
              <rFont val="Calibri"/>
              <i val="1"/>
              <color rgb="002B2B2B"/>
              <sz val="10"/>
            </rPr>
            <t>f</t>
          </r>
          <r>
            <rPr>
              <rFont val="Calibri"/>
              <i val="1"/>
              <color rgb="002B2B2B"/>
              <sz val="10"/>
              <vertAlign val="subscript"/>
            </rPr>
            <t>ywd</t>
          </r>
        </is>
      </c>
      <c r="E77" s="43">
        <f>IF(inputs_ok,IF(is_beam,f_ywk/gamma_s,"n/a"),NA())</f>
        <v/>
      </c>
      <c r="F77" s="28" t="inlineStr">
        <is>
          <t>MPa</t>
        </is>
      </c>
      <c r="G77" s="23" t="n"/>
    </row>
    <row r="78" ht="17" customHeight="1">
      <c r="B78" s="26" t="inlineStr">
        <is>
          <t>(6.8)</t>
        </is>
      </c>
      <c r="C78" s="24" t="inlineStr">
        <is>
          <t>Links for VEd,d  (0 if VEd,d ≤ VRd,c)  VEd,d / (z fywd cot θ)</t>
        </is>
      </c>
      <c r="D78" s="27" t="inlineStr">
        <is>
          <r>
            <rPr>
              <rFont val="Calibri"/>
              <i val="1"/>
              <color rgb="002B2B2B"/>
              <sz val="10"/>
            </rPr>
            <t>A</t>
          </r>
          <r>
            <rPr>
              <rFont val="Calibri"/>
              <i val="1"/>
              <color rgb="002B2B2B"/>
              <sz val="10"/>
              <vertAlign val="subscript"/>
            </rPr>
            <t>sw/s</t>
          </r>
        </is>
      </c>
      <c r="E78" s="44">
        <f>IF(inputs_ok,IF(is_beam,IF(V_Edd&lt;=V_Rdc,0,V_Edd*1000/(z_v*f_ywd*cot_theta)),"n/a"),NA())</f>
        <v/>
      </c>
      <c r="F78" s="28" t="inlineStr">
        <is>
          <t>mm²/mm</t>
        </is>
      </c>
      <c r="G78" s="23" t="n"/>
    </row>
    <row r="79" ht="17" customHeight="1">
      <c r="B79" s="26" t="inlineStr">
        <is>
          <t>(9.4), (9.5N)</t>
        </is>
      </c>
      <c r="C79" s="24" t="inlineStr">
        <is>
          <t>Minimum links  0.08 √fck / fywk · bw</t>
        </is>
      </c>
      <c r="D79" s="27" t="inlineStr">
        <is>
          <r>
            <rPr>
              <rFont val="Calibri"/>
              <i val="1"/>
              <color rgb="002B2B2B"/>
              <sz val="10"/>
            </rPr>
            <t>A</t>
          </r>
          <r>
            <rPr>
              <rFont val="Calibri"/>
              <i val="1"/>
              <color rgb="002B2B2B"/>
              <sz val="10"/>
              <vertAlign val="subscript"/>
            </rPr>
            <t>sw/s_min</t>
          </r>
        </is>
      </c>
      <c r="E79" s="44">
        <f>IF(inputs_ok,IF(is_beam,0.08*SQRT(f_ck)/f_ywk*b_w,"n/a"),NA())</f>
        <v/>
      </c>
      <c r="F79" s="28" t="inlineStr">
        <is>
          <t>mm²/mm</t>
        </is>
      </c>
      <c r="G79" s="23" t="n"/>
    </row>
    <row r="80" ht="17" customHeight="1">
      <c r="B80" s="23" t="n"/>
      <c r="C80" s="24" t="inlineStr">
        <is>
          <t>Links needed  max(required; minimum)</t>
        </is>
      </c>
      <c r="D80" s="23" t="n"/>
      <c r="E80" s="52">
        <f>IF(inputs_ok,IF(is_beam,MAX(Asw_req,Asw_min),"n/a"),NA())</f>
        <v/>
      </c>
      <c r="F80" s="28" t="inlineStr">
        <is>
          <t>mm²/mm</t>
        </is>
      </c>
      <c r="G80" s="23" t="n"/>
    </row>
    <row r="81" ht="17" customHeight="1">
      <c r="B81" s="23" t="n"/>
      <c r="C81" s="24" t="inlineStr">
        <is>
          <t>Links provided  nw π φw² / 4 / s</t>
        </is>
      </c>
      <c r="D81" s="27" t="inlineStr">
        <is>
          <r>
            <rPr>
              <rFont val="Calibri"/>
              <i val="1"/>
              <color rgb="002B2B2B"/>
              <sz val="10"/>
            </rPr>
            <t>A</t>
          </r>
          <r>
            <rPr>
              <rFont val="Calibri"/>
              <i val="1"/>
              <color rgb="002B2B2B"/>
              <sz val="10"/>
              <vertAlign val="subscript"/>
            </rPr>
            <t>sw/s_prov</t>
          </r>
        </is>
      </c>
      <c r="E81" s="44">
        <f>IF(inputs_ok,IF(is_beam,n_legs*PI()*phi_w^2/4/s_link,"n/a"),NA())</f>
        <v/>
      </c>
      <c r="F81" s="28" t="inlineStr">
        <is>
          <t>mm²/mm</t>
        </is>
      </c>
      <c r="G81" s="23" t="n"/>
    </row>
    <row r="82" ht="17" customHeight="1">
      <c r="B82" s="26" t="inlineStr">
        <is>
          <t>(6.8)</t>
        </is>
      </c>
      <c r="C82" s="24" t="inlineStr">
        <is>
          <t>Resistance of the links provided</t>
        </is>
      </c>
      <c r="D82" s="27" t="inlineStr">
        <is>
          <r>
            <rPr>
              <rFont val="Calibri"/>
              <i val="1"/>
              <color rgb="002B2B2B"/>
              <sz val="10"/>
            </rPr>
            <t>V</t>
          </r>
          <r>
            <rPr>
              <rFont val="Calibri"/>
              <i val="1"/>
              <color rgb="002B2B2B"/>
              <sz val="10"/>
              <vertAlign val="subscript"/>
            </rPr>
            <t>Rd,s</t>
          </r>
        </is>
      </c>
      <c r="E82" s="43">
        <f>IF(inputs_ok,IF(is_beam,Asw_prov*z_v*f_ywd*cot_theta/1000,"n/a"),NA())</f>
        <v/>
      </c>
      <c r="F82" s="28" t="inlineStr">
        <is>
          <t>kN</t>
        </is>
      </c>
      <c r="G82" s="23" t="n"/>
    </row>
    <row r="83" ht="17" customHeight="1">
      <c r="B83" s="26" t="inlineStr">
        <is>
          <t>(6.8), (6.2)</t>
        </is>
      </c>
      <c r="C83" s="24" t="inlineStr">
        <is>
          <t>Beam: links provided ≥ needed;  slab: VEd,d ≤ VRd,c</t>
        </is>
      </c>
      <c r="D83" s="23" t="n"/>
      <c r="E83" s="43">
        <f>IF(inputs_ok,V_Edd,NA())</f>
        <v/>
      </c>
      <c r="F83" s="28" t="inlineStr">
        <is>
          <t>kN</t>
        </is>
      </c>
      <c r="G83" s="31">
        <f>IF(NOT(inputs_ok),"FAIL",IF(shear_ok,"OK","FAIL"))</f>
        <v/>
      </c>
    </row>
    <row r="84" ht="17" customHeight="1">
      <c r="B84" s="26" t="inlineStr">
        <is>
          <t>(9.6N)</t>
        </is>
      </c>
      <c r="C84" s="24" t="inlineStr">
        <is>
          <t>Maximum longitudinal spacing  0.75 d</t>
        </is>
      </c>
      <c r="D84" s="27" t="inlineStr">
        <is>
          <r>
            <rPr>
              <rFont val="Calibri"/>
              <i val="1"/>
              <color rgb="002B2B2B"/>
              <sz val="10"/>
            </rPr>
            <t>s</t>
          </r>
          <r>
            <rPr>
              <rFont val="Calibri"/>
              <i val="1"/>
              <color rgb="002B2B2B"/>
              <sz val="10"/>
              <vertAlign val="subscript"/>
            </rPr>
            <t>l,max</t>
          </r>
        </is>
      </c>
      <c r="E84" s="42">
        <f>IF(inputs_ok,IF(is_beam,0.75*d_eff,"n/a"),NA())</f>
        <v/>
      </c>
      <c r="F84" s="28" t="inlineStr">
        <is>
          <t>mm</t>
        </is>
      </c>
      <c r="G84" s="23" t="n"/>
    </row>
    <row r="85" ht="17" customHeight="1">
      <c r="B85" s="26" t="inlineStr">
        <is>
          <t>(9.8N)</t>
        </is>
      </c>
      <c r="C85" s="24" t="inlineStr">
        <is>
          <t>Maximum spacing of legs across the web  min(0.75 d; 600)</t>
        </is>
      </c>
      <c r="D85" s="27" t="inlineStr">
        <is>
          <r>
            <rPr>
              <rFont val="Calibri"/>
              <i val="1"/>
              <color rgb="002B2B2B"/>
              <sz val="10"/>
            </rPr>
            <t>s</t>
          </r>
          <r>
            <rPr>
              <rFont val="Calibri"/>
              <i val="1"/>
              <color rgb="002B2B2B"/>
              <sz val="10"/>
              <vertAlign val="subscript"/>
            </rPr>
            <t>t,max</t>
          </r>
        </is>
      </c>
      <c r="E85" s="42">
        <f>IF(inputs_ok,IF(is_beam,MIN(0.75*d_eff,600),"n/a"),NA())</f>
        <v/>
      </c>
      <c r="F85" s="28" t="inlineStr">
        <is>
          <t>mm</t>
        </is>
      </c>
      <c r="G85" s="23" t="n"/>
    </row>
    <row r="86" ht="17" customHeight="1">
      <c r="B86" s="23" t="n"/>
      <c r="C86" s="24" t="inlineStr">
        <is>
          <t>Spacing of legs across the web  (bw − 2c − φw)/(nw − 1)</t>
        </is>
      </c>
      <c r="D86" s="27" t="inlineStr">
        <is>
          <r>
            <rPr>
              <rFont val="Calibri"/>
              <i val="1"/>
              <color rgb="002B2B2B"/>
              <sz val="10"/>
            </rPr>
            <t>s</t>
          </r>
          <r>
            <rPr>
              <rFont val="Calibri"/>
              <i val="1"/>
              <color rgb="002B2B2B"/>
              <sz val="10"/>
              <vertAlign val="subscript"/>
            </rPr>
            <t>t</t>
          </r>
        </is>
      </c>
      <c r="E86" s="42">
        <f>IF(inputs_ok,IF(is_beam,(b_w-2*c_nom-phi_w)/(n_legs-1),"n/a"),NA())</f>
        <v/>
      </c>
      <c r="F86" s="28" t="inlineStr">
        <is>
          <t>mm</t>
        </is>
      </c>
      <c r="G86" s="23" t="n"/>
    </row>
    <row r="87" ht="17" customHeight="1">
      <c r="B87" s="26" t="inlineStr">
        <is>
          <t>8.2(2)</t>
        </is>
      </c>
      <c r="C87" s="24" t="inlineStr">
        <is>
          <t>Minimum clear gap between links and between legs  max(φw; 20)</t>
        </is>
      </c>
      <c r="D87" s="27" t="inlineStr">
        <is>
          <r>
            <rPr>
              <rFont val="Calibri"/>
              <i val="1"/>
              <color rgb="002B2B2B"/>
              <sz val="10"/>
            </rPr>
            <t>a</t>
          </r>
          <r>
            <rPr>
              <rFont val="Calibri"/>
              <i val="1"/>
              <color rgb="002B2B2B"/>
              <sz val="10"/>
              <vertAlign val="subscript"/>
            </rPr>
            <t>min</t>
          </r>
        </is>
      </c>
      <c r="E87" s="42">
        <f>IF(inputs_ok,IF(is_beam,MAX(phi_w,20),"n/a"),NA())</f>
        <v/>
      </c>
      <c r="F87" s="28" t="inlineStr">
        <is>
          <t>mm</t>
        </is>
      </c>
      <c r="G87" s="26" t="inlineStr">
        <is>
          <t>+ dg + 5 by the user</t>
        </is>
      </c>
    </row>
    <row r="88" ht="17" customHeight="1">
      <c r="B88" s="26" t="inlineStr">
        <is>
          <t>(9.6N), (9.8N), 8.2(2)</t>
        </is>
      </c>
      <c r="C88" s="24" t="inlineStr">
        <is>
          <t>Spacing  s ≤ s_l,max, s_t ≤ s_t,max, clear gaps ≥ a_min</t>
        </is>
      </c>
      <c r="D88" s="27" t="inlineStr">
        <is>
          <r>
            <rPr>
              <rFont val="Calibri"/>
              <i val="1"/>
              <color rgb="002B2B2B"/>
              <sz val="10"/>
            </rPr>
            <t>s</t>
          </r>
        </is>
      </c>
      <c r="E88" s="42">
        <f>IF(inputs_ok,IF(is_beam,s_link,"n/a"),NA())</f>
        <v/>
      </c>
      <c r="F88" s="28" t="inlineStr">
        <is>
          <t>mm</t>
        </is>
      </c>
      <c r="G88" s="31">
        <f>IF(NOT(inputs_ok),"FAIL",IF(sp_ok,"OK","FAIL"))</f>
        <v/>
      </c>
    </row>
    <row r="89" ht="17" customHeight="1">
      <c r="B89" s="26" t="inlineStr">
        <is>
          <t>(6.18)</t>
        </is>
      </c>
      <c r="C89" s="24" t="inlineStr">
        <is>
          <t>Additional tensile force  ΔFtd = 0.5 VEd,d cot θ  (shift a_l = z cot θ / 2)</t>
        </is>
      </c>
      <c r="D89" s="27" t="inlineStr">
        <is>
          <r>
            <rPr>
              <rFont val="Calibri"/>
              <i val="1"/>
              <color rgb="002B2B2B"/>
              <sz val="10"/>
            </rPr>
            <t>ΔF</t>
          </r>
          <r>
            <rPr>
              <rFont val="Calibri"/>
              <i val="1"/>
              <color rgb="002B2B2B"/>
              <sz val="10"/>
              <vertAlign val="subscript"/>
            </rPr>
            <t>td</t>
          </r>
        </is>
      </c>
      <c r="E89" s="43">
        <f>IF(inputs_ok,IF(is_beam,0.5*V_Edd*cot_theta,"n/a"),NA())</f>
        <v/>
      </c>
      <c r="F89" s="28" t="inlineStr">
        <is>
          <t>kN</t>
        </is>
      </c>
      <c r="G89" s="23" t="n"/>
    </row>
    <row r="90" ht="41.5" customHeight="1">
      <c r="B90" s="48" t="inlineStr">
        <is>
          <t>VEd at d applies to predominantly uniform loading; the links needed there continue to the support and VEd at the face is checked against VRd,max (6.2.1(8)). The strut angle is set by VEd at the face. No axial force (σcp = 0, αcw = 1), vertical links. Loads near the support (av &lt; 2d, 6.2.2(6), 6.2.3(8)) are not reduced. Slabs with links: 9.3.2 (h ≥ 200 mm) applies — use the beam option.</t>
        </is>
      </c>
    </row>
    <row r="91"/>
    <row r="92" ht="29" customHeight="1">
      <c r="B92" s="48"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7">
    <mergeCell ref="B90:G90"/>
    <mergeCell ref="E5:G5"/>
    <mergeCell ref="B92:G92"/>
    <mergeCell ref="D2:G2"/>
    <mergeCell ref="E7:G7"/>
    <mergeCell ref="E6:G6"/>
    <mergeCell ref="C3:G3"/>
  </mergeCells>
  <conditionalFormatting sqref="G9:G93">
    <cfRule type="expression" priority="1" dxfId="0">
      <formula>G9="OK"</formula>
    </cfRule>
    <cfRule type="expression" priority="2" dxfId="1">
      <formula>G9="FAIL"</formula>
    </cfRule>
    <cfRule type="expression" priority="3" dxfId="2">
      <formula>LEFT(G9,1)="!"</formula>
    </cfRule>
  </conditionalFormatting>
  <dataValidations count="15">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Pick a value from the list." type="list" errorStyle="stop">
      <formula1>"Beam  (with links),Slab  (no links)"</formula1>
    </dataValidation>
    <dataValidation sqref="E14" showDropDown="0" showInputMessage="0" showErrorMessage="1" allowBlank="0" errorTitle="NA Engineering" error="Enter a number greater than 0." type="decimal" errorStyle="stop" operator="greaterThan">
      <formula1>0</formula1>
    </dataValidation>
    <dataValidation sqref="E15" showDropDown="0" showInputMessage="0" showErrorMessage="1" allowBlank="0" errorTitle="NA Engineering" error="Enter a number greater than 0." type="decimal" errorStyle="stop" operator="greaterThan">
      <formula1>0</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0" errorTitle="NA Engineering" error="Enter a number greater than 0." type="decimal" errorStyle="stop" operator="greaterThan">
      <formula1>0</formula1>
    </dataValidation>
    <dataValidation sqref="E20" showDropDown="0" showInputMessage="0" showErrorMessage="1" allowBlank="0" errorTitle="NA Engineering" error="Enter a number ≥ 0." type="decimal" errorStyle="stop" operator="greaterThanOrEqual">
      <formula1>0</formula1>
    </dataValidation>
    <dataValidation sqref="E21" showDropDown="0" showInputMessage="0" showErrorMessage="1" allowBlank="0" errorTitle="NA Engineering" error="Pick a value from the list." type="list" errorStyle="stop">
      <formula1>"Uniformly distributed,Point loads or other"</formula1>
    </dataValidation>
    <dataValidation sqref="E22" showDropDown="0" showInputMessage="0" showErrorMessage="1" allowBlank="1" errorTitle="NA Engineering" error="Enter a number ≥ 0." type="custom" errorStyle="stop">
      <formula1>IF(sh_load="Uniformly distributed",AND(ISNUMBER(E22),E22&gt;=0),TRUE)</formula1>
    </dataValidation>
    <dataValidation sqref="E23" showDropDown="0" showInputMessage="0" showErrorMessage="1" allowBlank="1" errorTitle="NA Engineering" error="Enter a number greater than 0." type="custom" errorStyle="stop">
      <formula1>IF(sh_mem="Beam  (with links)",AND(ISNUMBER(E23),E23&gt;0),TRUE)</formula1>
    </dataValidation>
    <dataValidation sqref="E24" showDropDown="0" showInputMessage="0" showErrorMessage="1" allowBlank="0" errorTitle="NA Engineering" error="Pick a value from the list." type="list" errorStyle="stop">
      <formula1>"6,8,10,12,16"</formula1>
    </dataValidation>
    <dataValidation sqref="E25" showDropDown="0" showInputMessage="0" showErrorMessage="1" allowBlank="1" errorTitle="NA Engineering" error="Enter a number greater than 0." type="custom" errorStyle="stop">
      <formula1>IF(sh_mem="Beam  (with links)",AND(ISNUMBER(E25),E25&gt;0),TRUE)</formula1>
    </dataValidation>
    <dataValidation sqref="E26" showDropDown="0" showInputMessage="0" showErrorMessage="1" allowBlank="1" errorTitle="NA Engineering" error="Enter a number greater than 0." type="custom" errorStyle="stop">
      <formula1>IF(sh_mem="Beam  (with links)",AND(ISNUMBER(E26),E26&gt;0),TRUE)</formula1>
    </dataValidation>
    <dataValidation sqref="E27" showDropDown="0" showInputMessage="0" showErrorMessage="1" allowBlank="1" errorTitle="NA Engineering" error="Enter a number greater than 0." type="custom" errorStyle="stop">
      <formula1>IF(sh_mem="Beam  (with links)",AND(ISNUMBER(E27),E27&gt;0),TRUE)</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&amp;K8A8A8ANAE-RC-040  v1.0</oddFooter>
    <evenHeader/>
    <evenFooter/>
    <firstHeader/>
    <firstFooter/>
  </headerFooter>
  <rowBreaks count="1" manualBreakCount="1">
    <brk id="29" min="0" max="16383" man="1"/>
  </rowBreaks>
  <drawing xmlns:r="http://schemas.openxmlformats.org/officeDocument/2006/relationships" r:id="rId1"/>
</worksheet>
</file>

<file path=xl/worksheets/sheet9.xml><?xml version="1.0" encoding="utf-8"?>
<worksheet xmlns="http://schemas.openxmlformats.org/spreadsheetml/2006/main">
  <sheetPr>
    <outlinePr summaryBelow="1" summaryRight="1"/>
    <pageSetUpPr/>
  </sheetPr>
  <dimension ref="A1:JU7"/>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member</t>
        </is>
      </c>
      <c r="G2" t="inlineStr">
        <is>
          <t>support</t>
        </is>
      </c>
      <c r="J2" t="inlineStr">
        <is>
          <t>tension bars</t>
        </is>
      </c>
      <c r="M2" t="inlineStr">
        <is>
          <t>link 0</t>
        </is>
      </c>
      <c r="P2" t="inlineStr">
        <is>
          <t>link 1</t>
        </is>
      </c>
      <c r="S2" t="inlineStr">
        <is>
          <t>link 2</t>
        </is>
      </c>
      <c r="V2" t="inlineStr">
        <is>
          <t>link 3</t>
        </is>
      </c>
      <c r="Y2" t="inlineStr">
        <is>
          <t>link 4</t>
        </is>
      </c>
      <c r="AB2" t="inlineStr">
        <is>
          <t>link 5</t>
        </is>
      </c>
      <c r="AE2" t="inlineStr">
        <is>
          <t>link 6</t>
        </is>
      </c>
      <c r="AH2" t="inlineStr">
        <is>
          <t>link 7</t>
        </is>
      </c>
      <c r="AK2" t="inlineStr">
        <is>
          <t>link 8</t>
        </is>
      </c>
      <c r="AN2" t="inlineStr">
        <is>
          <t>link 9</t>
        </is>
      </c>
      <c r="AQ2" t="inlineStr">
        <is>
          <t>link 10</t>
        </is>
      </c>
      <c r="AT2" t="inlineStr">
        <is>
          <t>link 11</t>
        </is>
      </c>
      <c r="AW2" t="inlineStr">
        <is>
          <t>link 12</t>
        </is>
      </c>
      <c r="AZ2" t="inlineStr">
        <is>
          <t>link 13</t>
        </is>
      </c>
      <c r="BC2" t="inlineStr">
        <is>
          <t>link 14</t>
        </is>
      </c>
      <c r="BF2" t="inlineStr">
        <is>
          <t>link 15</t>
        </is>
      </c>
      <c r="BI2" t="inlineStr">
        <is>
          <t>link 16</t>
        </is>
      </c>
      <c r="BL2" t="inlineStr">
        <is>
          <t>link 17</t>
        </is>
      </c>
      <c r="BO2" t="inlineStr">
        <is>
          <t>link 18</t>
        </is>
      </c>
      <c r="BR2" t="inlineStr">
        <is>
          <t>link 19</t>
        </is>
      </c>
      <c r="BU2" t="inlineStr">
        <is>
          <t>link 20</t>
        </is>
      </c>
      <c r="BX2" t="inlineStr">
        <is>
          <t>link 21</t>
        </is>
      </c>
      <c r="CA2" t="inlineStr">
        <is>
          <t>link 22</t>
        </is>
      </c>
      <c r="CD2" t="inlineStr">
        <is>
          <t>link 23</t>
        </is>
      </c>
      <c r="CG2" t="inlineStr">
        <is>
          <t>link 24</t>
        </is>
      </c>
      <c r="CJ2" t="inlineStr">
        <is>
          <t>link 25</t>
        </is>
      </c>
      <c r="CM2" t="inlineStr">
        <is>
          <t>link 26</t>
        </is>
      </c>
      <c r="CP2" t="inlineStr">
        <is>
          <t>link 27</t>
        </is>
      </c>
      <c r="CS2" t="inlineStr">
        <is>
          <t>link 28</t>
        </is>
      </c>
      <c r="CV2" t="inlineStr">
        <is>
          <t>link 29</t>
        </is>
      </c>
      <c r="CY2" t="inlineStr">
        <is>
          <t>link 30</t>
        </is>
      </c>
      <c r="DB2" t="inlineStr">
        <is>
          <t>link 31</t>
        </is>
      </c>
      <c r="DE2" t="inlineStr">
        <is>
          <t>link 32</t>
        </is>
      </c>
      <c r="DH2" t="inlineStr">
        <is>
          <t>link 33</t>
        </is>
      </c>
      <c r="DK2" t="inlineStr">
        <is>
          <t>link 34</t>
        </is>
      </c>
      <c r="DN2" t="inlineStr">
        <is>
          <t>link 35</t>
        </is>
      </c>
      <c r="DQ2" t="inlineStr">
        <is>
          <t>link 36</t>
        </is>
      </c>
      <c r="DT2" t="inlineStr">
        <is>
          <t>link 37</t>
        </is>
      </c>
      <c r="DW2" t="inlineStr">
        <is>
          <t>link 38</t>
        </is>
      </c>
      <c r="DZ2" t="inlineStr">
        <is>
          <t>link 39</t>
        </is>
      </c>
      <c r="EC2" t="inlineStr">
        <is>
          <t>link 40</t>
        </is>
      </c>
      <c r="EF2" t="inlineStr">
        <is>
          <t>link 41</t>
        </is>
      </c>
      <c r="EI2" t="inlineStr">
        <is>
          <t>link 42</t>
        </is>
      </c>
      <c r="EL2" t="inlineStr">
        <is>
          <t>link 43</t>
        </is>
      </c>
      <c r="EO2" t="inlineStr">
        <is>
          <t>link 44</t>
        </is>
      </c>
      <c r="ER2" t="inlineStr">
        <is>
          <t>link 45</t>
        </is>
      </c>
      <c r="EU2" t="inlineStr">
        <is>
          <t>link 46</t>
        </is>
      </c>
      <c r="EX2" t="inlineStr">
        <is>
          <t>link 47</t>
        </is>
      </c>
      <c r="FA2" t="inlineStr">
        <is>
          <t>link 48</t>
        </is>
      </c>
      <c r="FD2" t="inlineStr">
        <is>
          <t>link 49</t>
        </is>
      </c>
      <c r="FG2" t="inlineStr">
        <is>
          <t>link 50</t>
        </is>
      </c>
      <c r="FJ2" t="inlineStr">
        <is>
          <t>link 51</t>
        </is>
      </c>
      <c r="FM2" t="inlineStr">
        <is>
          <t>link 52</t>
        </is>
      </c>
      <c r="FP2" t="inlineStr">
        <is>
          <t>link 53</t>
        </is>
      </c>
      <c r="FS2" t="inlineStr">
        <is>
          <t>link 54</t>
        </is>
      </c>
      <c r="FV2" t="inlineStr">
        <is>
          <t>link 55</t>
        </is>
      </c>
      <c r="FY2" t="inlineStr">
        <is>
          <t>link 56</t>
        </is>
      </c>
      <c r="GB2" t="inlineStr">
        <is>
          <t>link 57</t>
        </is>
      </c>
      <c r="GE2" t="inlineStr">
        <is>
          <t>link 58</t>
        </is>
      </c>
      <c r="GH2" t="inlineStr">
        <is>
          <t>link 59</t>
        </is>
      </c>
      <c r="GK2" t="inlineStr">
        <is>
          <t>link 60</t>
        </is>
      </c>
      <c r="GN2" t="inlineStr">
        <is>
          <t>link 61</t>
        </is>
      </c>
      <c r="GQ2" t="inlineStr">
        <is>
          <t>link 62</t>
        </is>
      </c>
      <c r="GT2" t="inlineStr">
        <is>
          <t>link 63</t>
        </is>
      </c>
      <c r="GW2" t="inlineStr">
        <is>
          <t>link 64</t>
        </is>
      </c>
      <c r="GZ2" t="inlineStr">
        <is>
          <t>link 65</t>
        </is>
      </c>
      <c r="HC2" t="inlineStr">
        <is>
          <t>link 66</t>
        </is>
      </c>
      <c r="HF2" t="inlineStr">
        <is>
          <t>link 67</t>
        </is>
      </c>
      <c r="HI2" t="inlineStr">
        <is>
          <t>link 68</t>
        </is>
      </c>
      <c r="HL2" t="inlineStr">
        <is>
          <t>link 69</t>
        </is>
      </c>
      <c r="HO2" t="inlineStr">
        <is>
          <t>link 70</t>
        </is>
      </c>
      <c r="HR2" t="inlineStr">
        <is>
          <t>link 71</t>
        </is>
      </c>
      <c r="HU2" t="inlineStr">
        <is>
          <t>link 72</t>
        </is>
      </c>
      <c r="HX2" t="inlineStr">
        <is>
          <t>link 73</t>
        </is>
      </c>
      <c r="IA2" t="inlineStr">
        <is>
          <t>link 74</t>
        </is>
      </c>
      <c r="ID2" t="inlineStr">
        <is>
          <t>link 75</t>
        </is>
      </c>
      <c r="IG2" t="inlineStr">
        <is>
          <t>link 76</t>
        </is>
      </c>
      <c r="IJ2" t="inlineStr">
        <is>
          <t>link 77</t>
        </is>
      </c>
      <c r="IM2" t="inlineStr">
        <is>
          <t>link 78</t>
        </is>
      </c>
      <c r="IP2" t="inlineStr">
        <is>
          <t>link 79</t>
        </is>
      </c>
      <c r="IS2">
        <f>IF(inputs_ok,IF(is_beam,IF(s_link/2+80*s_link&lt;(3*h_sec),"first 80 links drawn",""),""),"")</f>
        <v/>
      </c>
      <c r="IV2" t="inlineStr">
        <is>
          <t>section at d</t>
        </is>
      </c>
      <c r="IY2" t="inlineStr">
        <is>
          <t>dim</t>
        </is>
      </c>
      <c r="JB2">
        <f>IF(inputs_ok,"d "&amp;TEXT(d_eff,"0"),"")</f>
        <v/>
      </c>
      <c r="JE2" t="inlineStr">
        <is>
          <t>dim</t>
        </is>
      </c>
      <c r="JH2">
        <f>IF(inputs_ok,"h "&amp;TEXT(h_sec,"0"),"")</f>
        <v/>
      </c>
      <c r="JK2">
        <f>IF(inputs_ok,"V_Ed "&amp;TEXT(V_Ed,"0")&amp;" kN at the face","")</f>
        <v/>
      </c>
      <c r="JN2">
        <f>IF(inputs_ok,IF(udl,"V_Ed,d "&amp;TEXT(V_Edd,"0")&amp;" kN",""),"")</f>
        <v/>
      </c>
      <c r="JQ2">
        <f>IF(inputs_ok,IF(is_beam,"links φ"&amp;phi_w&amp;" @ "&amp;s_link&amp;" · "&amp;n_legs&amp;" legs","no links"),"")</f>
        <v/>
      </c>
      <c r="JT2" t="inlineStr">
        <is>
          <t>frame</t>
        </is>
      </c>
    </row>
    <row r="3">
      <c r="A3">
        <f>0</f>
        <v/>
      </c>
      <c r="B3">
        <f>0</f>
        <v/>
      </c>
      <c r="D3">
        <f>IF(inputs_ok,0,NA())</f>
        <v/>
      </c>
      <c r="E3">
        <f>0</f>
        <v/>
      </c>
      <c r="G3">
        <f>IF(inputs_ok,0,NA())</f>
        <v/>
      </c>
      <c r="H3">
        <f>0</f>
        <v/>
      </c>
      <c r="J3">
        <f>IF(inputs_ok,0,NA())</f>
        <v/>
      </c>
      <c r="K3">
        <f>h_sec-d_eff</f>
        <v/>
      </c>
      <c r="M3">
        <f>IF(inputs_ok,IF(is_beam,IF(s_link/2+0*s_link&lt;(3*h_sec),s_link/2+0*s_link,NA()),NA()),NA())</f>
        <v/>
      </c>
      <c r="N3">
        <f>IF(is_beam,IF(s_link/2+0*s_link&lt;(3*h_sec),c_nom,NA()),NA())</f>
        <v/>
      </c>
      <c r="P3">
        <f>IF(inputs_ok,IF(is_beam,IF(s_link/2+1*s_link&lt;(3*h_sec),s_link/2+1*s_link,NA()),NA()),NA())</f>
        <v/>
      </c>
      <c r="Q3">
        <f>IF(is_beam,IF(s_link/2+1*s_link&lt;(3*h_sec),c_nom,NA()),NA())</f>
        <v/>
      </c>
      <c r="S3">
        <f>IF(inputs_ok,IF(is_beam,IF(s_link/2+2*s_link&lt;(3*h_sec),s_link/2+2*s_link,NA()),NA()),NA())</f>
        <v/>
      </c>
      <c r="T3">
        <f>IF(is_beam,IF(s_link/2+2*s_link&lt;(3*h_sec),c_nom,NA()),NA())</f>
        <v/>
      </c>
      <c r="V3">
        <f>IF(inputs_ok,IF(is_beam,IF(s_link/2+3*s_link&lt;(3*h_sec),s_link/2+3*s_link,NA()),NA()),NA())</f>
        <v/>
      </c>
      <c r="W3">
        <f>IF(is_beam,IF(s_link/2+3*s_link&lt;(3*h_sec),c_nom,NA()),NA())</f>
        <v/>
      </c>
      <c r="Y3">
        <f>IF(inputs_ok,IF(is_beam,IF(s_link/2+4*s_link&lt;(3*h_sec),s_link/2+4*s_link,NA()),NA()),NA())</f>
        <v/>
      </c>
      <c r="Z3">
        <f>IF(is_beam,IF(s_link/2+4*s_link&lt;(3*h_sec),c_nom,NA()),NA())</f>
        <v/>
      </c>
      <c r="AB3">
        <f>IF(inputs_ok,IF(is_beam,IF(s_link/2+5*s_link&lt;(3*h_sec),s_link/2+5*s_link,NA()),NA()),NA())</f>
        <v/>
      </c>
      <c r="AC3">
        <f>IF(is_beam,IF(s_link/2+5*s_link&lt;(3*h_sec),c_nom,NA()),NA())</f>
        <v/>
      </c>
      <c r="AE3">
        <f>IF(inputs_ok,IF(is_beam,IF(s_link/2+6*s_link&lt;(3*h_sec),s_link/2+6*s_link,NA()),NA()),NA())</f>
        <v/>
      </c>
      <c r="AF3">
        <f>IF(is_beam,IF(s_link/2+6*s_link&lt;(3*h_sec),c_nom,NA()),NA())</f>
        <v/>
      </c>
      <c r="AH3">
        <f>IF(inputs_ok,IF(is_beam,IF(s_link/2+7*s_link&lt;(3*h_sec),s_link/2+7*s_link,NA()),NA()),NA())</f>
        <v/>
      </c>
      <c r="AI3">
        <f>IF(is_beam,IF(s_link/2+7*s_link&lt;(3*h_sec),c_nom,NA()),NA())</f>
        <v/>
      </c>
      <c r="AK3">
        <f>IF(inputs_ok,IF(is_beam,IF(s_link/2+8*s_link&lt;(3*h_sec),s_link/2+8*s_link,NA()),NA()),NA())</f>
        <v/>
      </c>
      <c r="AL3">
        <f>IF(is_beam,IF(s_link/2+8*s_link&lt;(3*h_sec),c_nom,NA()),NA())</f>
        <v/>
      </c>
      <c r="AN3">
        <f>IF(inputs_ok,IF(is_beam,IF(s_link/2+9*s_link&lt;(3*h_sec),s_link/2+9*s_link,NA()),NA()),NA())</f>
        <v/>
      </c>
      <c r="AO3">
        <f>IF(is_beam,IF(s_link/2+9*s_link&lt;(3*h_sec),c_nom,NA()),NA())</f>
        <v/>
      </c>
      <c r="AQ3">
        <f>IF(inputs_ok,IF(is_beam,IF(s_link/2+10*s_link&lt;(3*h_sec),s_link/2+10*s_link,NA()),NA()),NA())</f>
        <v/>
      </c>
      <c r="AR3">
        <f>IF(is_beam,IF(s_link/2+10*s_link&lt;(3*h_sec),c_nom,NA()),NA())</f>
        <v/>
      </c>
      <c r="AT3">
        <f>IF(inputs_ok,IF(is_beam,IF(s_link/2+11*s_link&lt;(3*h_sec),s_link/2+11*s_link,NA()),NA()),NA())</f>
        <v/>
      </c>
      <c r="AU3">
        <f>IF(is_beam,IF(s_link/2+11*s_link&lt;(3*h_sec),c_nom,NA()),NA())</f>
        <v/>
      </c>
      <c r="AW3">
        <f>IF(inputs_ok,IF(is_beam,IF(s_link/2+12*s_link&lt;(3*h_sec),s_link/2+12*s_link,NA()),NA()),NA())</f>
        <v/>
      </c>
      <c r="AX3">
        <f>IF(is_beam,IF(s_link/2+12*s_link&lt;(3*h_sec),c_nom,NA()),NA())</f>
        <v/>
      </c>
      <c r="AZ3">
        <f>IF(inputs_ok,IF(is_beam,IF(s_link/2+13*s_link&lt;(3*h_sec),s_link/2+13*s_link,NA()),NA()),NA())</f>
        <v/>
      </c>
      <c r="BA3">
        <f>IF(is_beam,IF(s_link/2+13*s_link&lt;(3*h_sec),c_nom,NA()),NA())</f>
        <v/>
      </c>
      <c r="BC3">
        <f>IF(inputs_ok,IF(is_beam,IF(s_link/2+14*s_link&lt;(3*h_sec),s_link/2+14*s_link,NA()),NA()),NA())</f>
        <v/>
      </c>
      <c r="BD3">
        <f>IF(is_beam,IF(s_link/2+14*s_link&lt;(3*h_sec),c_nom,NA()),NA())</f>
        <v/>
      </c>
      <c r="BF3">
        <f>IF(inputs_ok,IF(is_beam,IF(s_link/2+15*s_link&lt;(3*h_sec),s_link/2+15*s_link,NA()),NA()),NA())</f>
        <v/>
      </c>
      <c r="BG3">
        <f>IF(is_beam,IF(s_link/2+15*s_link&lt;(3*h_sec),c_nom,NA()),NA())</f>
        <v/>
      </c>
      <c r="BI3">
        <f>IF(inputs_ok,IF(is_beam,IF(s_link/2+16*s_link&lt;(3*h_sec),s_link/2+16*s_link,NA()),NA()),NA())</f>
        <v/>
      </c>
      <c r="BJ3">
        <f>IF(is_beam,IF(s_link/2+16*s_link&lt;(3*h_sec),c_nom,NA()),NA())</f>
        <v/>
      </c>
      <c r="BL3">
        <f>IF(inputs_ok,IF(is_beam,IF(s_link/2+17*s_link&lt;(3*h_sec),s_link/2+17*s_link,NA()),NA()),NA())</f>
        <v/>
      </c>
      <c r="BM3">
        <f>IF(is_beam,IF(s_link/2+17*s_link&lt;(3*h_sec),c_nom,NA()),NA())</f>
        <v/>
      </c>
      <c r="BO3">
        <f>IF(inputs_ok,IF(is_beam,IF(s_link/2+18*s_link&lt;(3*h_sec),s_link/2+18*s_link,NA()),NA()),NA())</f>
        <v/>
      </c>
      <c r="BP3">
        <f>IF(is_beam,IF(s_link/2+18*s_link&lt;(3*h_sec),c_nom,NA()),NA())</f>
        <v/>
      </c>
      <c r="BR3">
        <f>IF(inputs_ok,IF(is_beam,IF(s_link/2+19*s_link&lt;(3*h_sec),s_link/2+19*s_link,NA()),NA()),NA())</f>
        <v/>
      </c>
      <c r="BS3">
        <f>IF(is_beam,IF(s_link/2+19*s_link&lt;(3*h_sec),c_nom,NA()),NA())</f>
        <v/>
      </c>
      <c r="BU3">
        <f>IF(inputs_ok,IF(is_beam,IF(s_link/2+20*s_link&lt;(3*h_sec),s_link/2+20*s_link,NA()),NA()),NA())</f>
        <v/>
      </c>
      <c r="BV3">
        <f>IF(is_beam,IF(s_link/2+20*s_link&lt;(3*h_sec),c_nom,NA()),NA())</f>
        <v/>
      </c>
      <c r="BX3">
        <f>IF(inputs_ok,IF(is_beam,IF(s_link/2+21*s_link&lt;(3*h_sec),s_link/2+21*s_link,NA()),NA()),NA())</f>
        <v/>
      </c>
      <c r="BY3">
        <f>IF(is_beam,IF(s_link/2+21*s_link&lt;(3*h_sec),c_nom,NA()),NA())</f>
        <v/>
      </c>
      <c r="CA3">
        <f>IF(inputs_ok,IF(is_beam,IF(s_link/2+22*s_link&lt;(3*h_sec),s_link/2+22*s_link,NA()),NA()),NA())</f>
        <v/>
      </c>
      <c r="CB3">
        <f>IF(is_beam,IF(s_link/2+22*s_link&lt;(3*h_sec),c_nom,NA()),NA())</f>
        <v/>
      </c>
      <c r="CD3">
        <f>IF(inputs_ok,IF(is_beam,IF(s_link/2+23*s_link&lt;(3*h_sec),s_link/2+23*s_link,NA()),NA()),NA())</f>
        <v/>
      </c>
      <c r="CE3">
        <f>IF(is_beam,IF(s_link/2+23*s_link&lt;(3*h_sec),c_nom,NA()),NA())</f>
        <v/>
      </c>
      <c r="CG3">
        <f>IF(inputs_ok,IF(is_beam,IF(s_link/2+24*s_link&lt;(3*h_sec),s_link/2+24*s_link,NA()),NA()),NA())</f>
        <v/>
      </c>
      <c r="CH3">
        <f>IF(is_beam,IF(s_link/2+24*s_link&lt;(3*h_sec),c_nom,NA()),NA())</f>
        <v/>
      </c>
      <c r="CJ3">
        <f>IF(inputs_ok,IF(is_beam,IF(s_link/2+25*s_link&lt;(3*h_sec),s_link/2+25*s_link,NA()),NA()),NA())</f>
        <v/>
      </c>
      <c r="CK3">
        <f>IF(is_beam,IF(s_link/2+25*s_link&lt;(3*h_sec),c_nom,NA()),NA())</f>
        <v/>
      </c>
      <c r="CM3">
        <f>IF(inputs_ok,IF(is_beam,IF(s_link/2+26*s_link&lt;(3*h_sec),s_link/2+26*s_link,NA()),NA()),NA())</f>
        <v/>
      </c>
      <c r="CN3">
        <f>IF(is_beam,IF(s_link/2+26*s_link&lt;(3*h_sec),c_nom,NA()),NA())</f>
        <v/>
      </c>
      <c r="CP3">
        <f>IF(inputs_ok,IF(is_beam,IF(s_link/2+27*s_link&lt;(3*h_sec),s_link/2+27*s_link,NA()),NA()),NA())</f>
        <v/>
      </c>
      <c r="CQ3">
        <f>IF(is_beam,IF(s_link/2+27*s_link&lt;(3*h_sec),c_nom,NA()),NA())</f>
        <v/>
      </c>
      <c r="CS3">
        <f>IF(inputs_ok,IF(is_beam,IF(s_link/2+28*s_link&lt;(3*h_sec),s_link/2+28*s_link,NA()),NA()),NA())</f>
        <v/>
      </c>
      <c r="CT3">
        <f>IF(is_beam,IF(s_link/2+28*s_link&lt;(3*h_sec),c_nom,NA()),NA())</f>
        <v/>
      </c>
      <c r="CV3">
        <f>IF(inputs_ok,IF(is_beam,IF(s_link/2+29*s_link&lt;(3*h_sec),s_link/2+29*s_link,NA()),NA()),NA())</f>
        <v/>
      </c>
      <c r="CW3">
        <f>IF(is_beam,IF(s_link/2+29*s_link&lt;(3*h_sec),c_nom,NA()),NA())</f>
        <v/>
      </c>
      <c r="CY3">
        <f>IF(inputs_ok,IF(is_beam,IF(s_link/2+30*s_link&lt;(3*h_sec),s_link/2+30*s_link,NA()),NA()),NA())</f>
        <v/>
      </c>
      <c r="CZ3">
        <f>IF(is_beam,IF(s_link/2+30*s_link&lt;(3*h_sec),c_nom,NA()),NA())</f>
        <v/>
      </c>
      <c r="DB3">
        <f>IF(inputs_ok,IF(is_beam,IF(s_link/2+31*s_link&lt;(3*h_sec),s_link/2+31*s_link,NA()),NA()),NA())</f>
        <v/>
      </c>
      <c r="DC3">
        <f>IF(is_beam,IF(s_link/2+31*s_link&lt;(3*h_sec),c_nom,NA()),NA())</f>
        <v/>
      </c>
      <c r="DE3">
        <f>IF(inputs_ok,IF(is_beam,IF(s_link/2+32*s_link&lt;(3*h_sec),s_link/2+32*s_link,NA()),NA()),NA())</f>
        <v/>
      </c>
      <c r="DF3">
        <f>IF(is_beam,IF(s_link/2+32*s_link&lt;(3*h_sec),c_nom,NA()),NA())</f>
        <v/>
      </c>
      <c r="DH3">
        <f>IF(inputs_ok,IF(is_beam,IF(s_link/2+33*s_link&lt;(3*h_sec),s_link/2+33*s_link,NA()),NA()),NA())</f>
        <v/>
      </c>
      <c r="DI3">
        <f>IF(is_beam,IF(s_link/2+33*s_link&lt;(3*h_sec),c_nom,NA()),NA())</f>
        <v/>
      </c>
      <c r="DK3">
        <f>IF(inputs_ok,IF(is_beam,IF(s_link/2+34*s_link&lt;(3*h_sec),s_link/2+34*s_link,NA()),NA()),NA())</f>
        <v/>
      </c>
      <c r="DL3">
        <f>IF(is_beam,IF(s_link/2+34*s_link&lt;(3*h_sec),c_nom,NA()),NA())</f>
        <v/>
      </c>
      <c r="DN3">
        <f>IF(inputs_ok,IF(is_beam,IF(s_link/2+35*s_link&lt;(3*h_sec),s_link/2+35*s_link,NA()),NA()),NA())</f>
        <v/>
      </c>
      <c r="DO3">
        <f>IF(is_beam,IF(s_link/2+35*s_link&lt;(3*h_sec),c_nom,NA()),NA())</f>
        <v/>
      </c>
      <c r="DQ3">
        <f>IF(inputs_ok,IF(is_beam,IF(s_link/2+36*s_link&lt;(3*h_sec),s_link/2+36*s_link,NA()),NA()),NA())</f>
        <v/>
      </c>
      <c r="DR3">
        <f>IF(is_beam,IF(s_link/2+36*s_link&lt;(3*h_sec),c_nom,NA()),NA())</f>
        <v/>
      </c>
      <c r="DT3">
        <f>IF(inputs_ok,IF(is_beam,IF(s_link/2+37*s_link&lt;(3*h_sec),s_link/2+37*s_link,NA()),NA()),NA())</f>
        <v/>
      </c>
      <c r="DU3">
        <f>IF(is_beam,IF(s_link/2+37*s_link&lt;(3*h_sec),c_nom,NA()),NA())</f>
        <v/>
      </c>
      <c r="DW3">
        <f>IF(inputs_ok,IF(is_beam,IF(s_link/2+38*s_link&lt;(3*h_sec),s_link/2+38*s_link,NA()),NA()),NA())</f>
        <v/>
      </c>
      <c r="DX3">
        <f>IF(is_beam,IF(s_link/2+38*s_link&lt;(3*h_sec),c_nom,NA()),NA())</f>
        <v/>
      </c>
      <c r="DZ3">
        <f>IF(inputs_ok,IF(is_beam,IF(s_link/2+39*s_link&lt;(3*h_sec),s_link/2+39*s_link,NA()),NA()),NA())</f>
        <v/>
      </c>
      <c r="EA3">
        <f>IF(is_beam,IF(s_link/2+39*s_link&lt;(3*h_sec),c_nom,NA()),NA())</f>
        <v/>
      </c>
      <c r="EC3">
        <f>IF(inputs_ok,IF(is_beam,IF(s_link/2+40*s_link&lt;(3*h_sec),s_link/2+40*s_link,NA()),NA()),NA())</f>
        <v/>
      </c>
      <c r="ED3">
        <f>IF(is_beam,IF(s_link/2+40*s_link&lt;(3*h_sec),c_nom,NA()),NA())</f>
        <v/>
      </c>
      <c r="EF3">
        <f>IF(inputs_ok,IF(is_beam,IF(s_link/2+41*s_link&lt;(3*h_sec),s_link/2+41*s_link,NA()),NA()),NA())</f>
        <v/>
      </c>
      <c r="EG3">
        <f>IF(is_beam,IF(s_link/2+41*s_link&lt;(3*h_sec),c_nom,NA()),NA())</f>
        <v/>
      </c>
      <c r="EI3">
        <f>IF(inputs_ok,IF(is_beam,IF(s_link/2+42*s_link&lt;(3*h_sec),s_link/2+42*s_link,NA()),NA()),NA())</f>
        <v/>
      </c>
      <c r="EJ3">
        <f>IF(is_beam,IF(s_link/2+42*s_link&lt;(3*h_sec),c_nom,NA()),NA())</f>
        <v/>
      </c>
      <c r="EL3">
        <f>IF(inputs_ok,IF(is_beam,IF(s_link/2+43*s_link&lt;(3*h_sec),s_link/2+43*s_link,NA()),NA()),NA())</f>
        <v/>
      </c>
      <c r="EM3">
        <f>IF(is_beam,IF(s_link/2+43*s_link&lt;(3*h_sec),c_nom,NA()),NA())</f>
        <v/>
      </c>
      <c r="EO3">
        <f>IF(inputs_ok,IF(is_beam,IF(s_link/2+44*s_link&lt;(3*h_sec),s_link/2+44*s_link,NA()),NA()),NA())</f>
        <v/>
      </c>
      <c r="EP3">
        <f>IF(is_beam,IF(s_link/2+44*s_link&lt;(3*h_sec),c_nom,NA()),NA())</f>
        <v/>
      </c>
      <c r="ER3">
        <f>IF(inputs_ok,IF(is_beam,IF(s_link/2+45*s_link&lt;(3*h_sec),s_link/2+45*s_link,NA()),NA()),NA())</f>
        <v/>
      </c>
      <c r="ES3">
        <f>IF(is_beam,IF(s_link/2+45*s_link&lt;(3*h_sec),c_nom,NA()),NA())</f>
        <v/>
      </c>
      <c r="EU3">
        <f>IF(inputs_ok,IF(is_beam,IF(s_link/2+46*s_link&lt;(3*h_sec),s_link/2+46*s_link,NA()),NA()),NA())</f>
        <v/>
      </c>
      <c r="EV3">
        <f>IF(is_beam,IF(s_link/2+46*s_link&lt;(3*h_sec),c_nom,NA()),NA())</f>
        <v/>
      </c>
      <c r="EX3">
        <f>IF(inputs_ok,IF(is_beam,IF(s_link/2+47*s_link&lt;(3*h_sec),s_link/2+47*s_link,NA()),NA()),NA())</f>
        <v/>
      </c>
      <c r="EY3">
        <f>IF(is_beam,IF(s_link/2+47*s_link&lt;(3*h_sec),c_nom,NA()),NA())</f>
        <v/>
      </c>
      <c r="FA3">
        <f>IF(inputs_ok,IF(is_beam,IF(s_link/2+48*s_link&lt;(3*h_sec),s_link/2+48*s_link,NA()),NA()),NA())</f>
        <v/>
      </c>
      <c r="FB3">
        <f>IF(is_beam,IF(s_link/2+48*s_link&lt;(3*h_sec),c_nom,NA()),NA())</f>
        <v/>
      </c>
      <c r="FD3">
        <f>IF(inputs_ok,IF(is_beam,IF(s_link/2+49*s_link&lt;(3*h_sec),s_link/2+49*s_link,NA()),NA()),NA())</f>
        <v/>
      </c>
      <c r="FE3">
        <f>IF(is_beam,IF(s_link/2+49*s_link&lt;(3*h_sec),c_nom,NA()),NA())</f>
        <v/>
      </c>
      <c r="FG3">
        <f>IF(inputs_ok,IF(is_beam,IF(s_link/2+50*s_link&lt;(3*h_sec),s_link/2+50*s_link,NA()),NA()),NA())</f>
        <v/>
      </c>
      <c r="FH3">
        <f>IF(is_beam,IF(s_link/2+50*s_link&lt;(3*h_sec),c_nom,NA()),NA())</f>
        <v/>
      </c>
      <c r="FJ3">
        <f>IF(inputs_ok,IF(is_beam,IF(s_link/2+51*s_link&lt;(3*h_sec),s_link/2+51*s_link,NA()),NA()),NA())</f>
        <v/>
      </c>
      <c r="FK3">
        <f>IF(is_beam,IF(s_link/2+51*s_link&lt;(3*h_sec),c_nom,NA()),NA())</f>
        <v/>
      </c>
      <c r="FM3">
        <f>IF(inputs_ok,IF(is_beam,IF(s_link/2+52*s_link&lt;(3*h_sec),s_link/2+52*s_link,NA()),NA()),NA())</f>
        <v/>
      </c>
      <c r="FN3">
        <f>IF(is_beam,IF(s_link/2+52*s_link&lt;(3*h_sec),c_nom,NA()),NA())</f>
        <v/>
      </c>
      <c r="FP3">
        <f>IF(inputs_ok,IF(is_beam,IF(s_link/2+53*s_link&lt;(3*h_sec),s_link/2+53*s_link,NA()),NA()),NA())</f>
        <v/>
      </c>
      <c r="FQ3">
        <f>IF(is_beam,IF(s_link/2+53*s_link&lt;(3*h_sec),c_nom,NA()),NA())</f>
        <v/>
      </c>
      <c r="FS3">
        <f>IF(inputs_ok,IF(is_beam,IF(s_link/2+54*s_link&lt;(3*h_sec),s_link/2+54*s_link,NA()),NA()),NA())</f>
        <v/>
      </c>
      <c r="FT3">
        <f>IF(is_beam,IF(s_link/2+54*s_link&lt;(3*h_sec),c_nom,NA()),NA())</f>
        <v/>
      </c>
      <c r="FV3">
        <f>IF(inputs_ok,IF(is_beam,IF(s_link/2+55*s_link&lt;(3*h_sec),s_link/2+55*s_link,NA()),NA()),NA())</f>
        <v/>
      </c>
      <c r="FW3">
        <f>IF(is_beam,IF(s_link/2+55*s_link&lt;(3*h_sec),c_nom,NA()),NA())</f>
        <v/>
      </c>
      <c r="FY3">
        <f>IF(inputs_ok,IF(is_beam,IF(s_link/2+56*s_link&lt;(3*h_sec),s_link/2+56*s_link,NA()),NA()),NA())</f>
        <v/>
      </c>
      <c r="FZ3">
        <f>IF(is_beam,IF(s_link/2+56*s_link&lt;(3*h_sec),c_nom,NA()),NA())</f>
        <v/>
      </c>
      <c r="GB3">
        <f>IF(inputs_ok,IF(is_beam,IF(s_link/2+57*s_link&lt;(3*h_sec),s_link/2+57*s_link,NA()),NA()),NA())</f>
        <v/>
      </c>
      <c r="GC3">
        <f>IF(is_beam,IF(s_link/2+57*s_link&lt;(3*h_sec),c_nom,NA()),NA())</f>
        <v/>
      </c>
      <c r="GE3">
        <f>IF(inputs_ok,IF(is_beam,IF(s_link/2+58*s_link&lt;(3*h_sec),s_link/2+58*s_link,NA()),NA()),NA())</f>
        <v/>
      </c>
      <c r="GF3">
        <f>IF(is_beam,IF(s_link/2+58*s_link&lt;(3*h_sec),c_nom,NA()),NA())</f>
        <v/>
      </c>
      <c r="GH3">
        <f>IF(inputs_ok,IF(is_beam,IF(s_link/2+59*s_link&lt;(3*h_sec),s_link/2+59*s_link,NA()),NA()),NA())</f>
        <v/>
      </c>
      <c r="GI3">
        <f>IF(is_beam,IF(s_link/2+59*s_link&lt;(3*h_sec),c_nom,NA()),NA())</f>
        <v/>
      </c>
      <c r="GK3">
        <f>IF(inputs_ok,IF(is_beam,IF(s_link/2+60*s_link&lt;(3*h_sec),s_link/2+60*s_link,NA()),NA()),NA())</f>
        <v/>
      </c>
      <c r="GL3">
        <f>IF(is_beam,IF(s_link/2+60*s_link&lt;(3*h_sec),c_nom,NA()),NA())</f>
        <v/>
      </c>
      <c r="GN3">
        <f>IF(inputs_ok,IF(is_beam,IF(s_link/2+61*s_link&lt;(3*h_sec),s_link/2+61*s_link,NA()),NA()),NA())</f>
        <v/>
      </c>
      <c r="GO3">
        <f>IF(is_beam,IF(s_link/2+61*s_link&lt;(3*h_sec),c_nom,NA()),NA())</f>
        <v/>
      </c>
      <c r="GQ3">
        <f>IF(inputs_ok,IF(is_beam,IF(s_link/2+62*s_link&lt;(3*h_sec),s_link/2+62*s_link,NA()),NA()),NA())</f>
        <v/>
      </c>
      <c r="GR3">
        <f>IF(is_beam,IF(s_link/2+62*s_link&lt;(3*h_sec),c_nom,NA()),NA())</f>
        <v/>
      </c>
      <c r="GT3">
        <f>IF(inputs_ok,IF(is_beam,IF(s_link/2+63*s_link&lt;(3*h_sec),s_link/2+63*s_link,NA()),NA()),NA())</f>
        <v/>
      </c>
      <c r="GU3">
        <f>IF(is_beam,IF(s_link/2+63*s_link&lt;(3*h_sec),c_nom,NA()),NA())</f>
        <v/>
      </c>
      <c r="GW3">
        <f>IF(inputs_ok,IF(is_beam,IF(s_link/2+64*s_link&lt;(3*h_sec),s_link/2+64*s_link,NA()),NA()),NA())</f>
        <v/>
      </c>
      <c r="GX3">
        <f>IF(is_beam,IF(s_link/2+64*s_link&lt;(3*h_sec),c_nom,NA()),NA())</f>
        <v/>
      </c>
      <c r="GZ3">
        <f>IF(inputs_ok,IF(is_beam,IF(s_link/2+65*s_link&lt;(3*h_sec),s_link/2+65*s_link,NA()),NA()),NA())</f>
        <v/>
      </c>
      <c r="HA3">
        <f>IF(is_beam,IF(s_link/2+65*s_link&lt;(3*h_sec),c_nom,NA()),NA())</f>
        <v/>
      </c>
      <c r="HC3">
        <f>IF(inputs_ok,IF(is_beam,IF(s_link/2+66*s_link&lt;(3*h_sec),s_link/2+66*s_link,NA()),NA()),NA())</f>
        <v/>
      </c>
      <c r="HD3">
        <f>IF(is_beam,IF(s_link/2+66*s_link&lt;(3*h_sec),c_nom,NA()),NA())</f>
        <v/>
      </c>
      <c r="HF3">
        <f>IF(inputs_ok,IF(is_beam,IF(s_link/2+67*s_link&lt;(3*h_sec),s_link/2+67*s_link,NA()),NA()),NA())</f>
        <v/>
      </c>
      <c r="HG3">
        <f>IF(is_beam,IF(s_link/2+67*s_link&lt;(3*h_sec),c_nom,NA()),NA())</f>
        <v/>
      </c>
      <c r="HI3">
        <f>IF(inputs_ok,IF(is_beam,IF(s_link/2+68*s_link&lt;(3*h_sec),s_link/2+68*s_link,NA()),NA()),NA())</f>
        <v/>
      </c>
      <c r="HJ3">
        <f>IF(is_beam,IF(s_link/2+68*s_link&lt;(3*h_sec),c_nom,NA()),NA())</f>
        <v/>
      </c>
      <c r="HL3">
        <f>IF(inputs_ok,IF(is_beam,IF(s_link/2+69*s_link&lt;(3*h_sec),s_link/2+69*s_link,NA()),NA()),NA())</f>
        <v/>
      </c>
      <c r="HM3">
        <f>IF(is_beam,IF(s_link/2+69*s_link&lt;(3*h_sec),c_nom,NA()),NA())</f>
        <v/>
      </c>
      <c r="HO3">
        <f>IF(inputs_ok,IF(is_beam,IF(s_link/2+70*s_link&lt;(3*h_sec),s_link/2+70*s_link,NA()),NA()),NA())</f>
        <v/>
      </c>
      <c r="HP3">
        <f>IF(is_beam,IF(s_link/2+70*s_link&lt;(3*h_sec),c_nom,NA()),NA())</f>
        <v/>
      </c>
      <c r="HR3">
        <f>IF(inputs_ok,IF(is_beam,IF(s_link/2+71*s_link&lt;(3*h_sec),s_link/2+71*s_link,NA()),NA()),NA())</f>
        <v/>
      </c>
      <c r="HS3">
        <f>IF(is_beam,IF(s_link/2+71*s_link&lt;(3*h_sec),c_nom,NA()),NA())</f>
        <v/>
      </c>
      <c r="HU3">
        <f>IF(inputs_ok,IF(is_beam,IF(s_link/2+72*s_link&lt;(3*h_sec),s_link/2+72*s_link,NA()),NA()),NA())</f>
        <v/>
      </c>
      <c r="HV3">
        <f>IF(is_beam,IF(s_link/2+72*s_link&lt;(3*h_sec),c_nom,NA()),NA())</f>
        <v/>
      </c>
      <c r="HX3">
        <f>IF(inputs_ok,IF(is_beam,IF(s_link/2+73*s_link&lt;(3*h_sec),s_link/2+73*s_link,NA()),NA()),NA())</f>
        <v/>
      </c>
      <c r="HY3">
        <f>IF(is_beam,IF(s_link/2+73*s_link&lt;(3*h_sec),c_nom,NA()),NA())</f>
        <v/>
      </c>
      <c r="IA3">
        <f>IF(inputs_ok,IF(is_beam,IF(s_link/2+74*s_link&lt;(3*h_sec),s_link/2+74*s_link,NA()),NA()),NA())</f>
        <v/>
      </c>
      <c r="IB3">
        <f>IF(is_beam,IF(s_link/2+74*s_link&lt;(3*h_sec),c_nom,NA()),NA())</f>
        <v/>
      </c>
      <c r="ID3">
        <f>IF(inputs_ok,IF(is_beam,IF(s_link/2+75*s_link&lt;(3*h_sec),s_link/2+75*s_link,NA()),NA()),NA())</f>
        <v/>
      </c>
      <c r="IE3">
        <f>IF(is_beam,IF(s_link/2+75*s_link&lt;(3*h_sec),c_nom,NA()),NA())</f>
        <v/>
      </c>
      <c r="IG3">
        <f>IF(inputs_ok,IF(is_beam,IF(s_link/2+76*s_link&lt;(3*h_sec),s_link/2+76*s_link,NA()),NA()),NA())</f>
        <v/>
      </c>
      <c r="IH3">
        <f>IF(is_beam,IF(s_link/2+76*s_link&lt;(3*h_sec),c_nom,NA()),NA())</f>
        <v/>
      </c>
      <c r="IJ3">
        <f>IF(inputs_ok,IF(is_beam,IF(s_link/2+77*s_link&lt;(3*h_sec),s_link/2+77*s_link,NA()),NA()),NA())</f>
        <v/>
      </c>
      <c r="IK3">
        <f>IF(is_beam,IF(s_link/2+77*s_link&lt;(3*h_sec),c_nom,NA()),NA())</f>
        <v/>
      </c>
      <c r="IM3">
        <f>IF(inputs_ok,IF(is_beam,IF(s_link/2+78*s_link&lt;(3*h_sec),s_link/2+78*s_link,NA()),NA()),NA())</f>
        <v/>
      </c>
      <c r="IN3">
        <f>IF(is_beam,IF(s_link/2+78*s_link&lt;(3*h_sec),c_nom,NA()),NA())</f>
        <v/>
      </c>
      <c r="IP3">
        <f>IF(inputs_ok,IF(is_beam,IF(s_link/2+79*s_link&lt;(3*h_sec),s_link/2+79*s_link,NA()),NA()),NA())</f>
        <v/>
      </c>
      <c r="IQ3">
        <f>IF(is_beam,IF(s_link/2+79*s_link&lt;(3*h_sec),c_nom,NA()),NA())</f>
        <v/>
      </c>
      <c r="IS3">
        <f>IF(inputs_ok,(3*h_sec)/2,NA())</f>
        <v/>
      </c>
      <c r="IT3">
        <f>0.8*h_sec</f>
        <v/>
      </c>
      <c r="IV3">
        <f>IF(inputs_ok,IF(udl,d_eff,NA()),NA())</f>
        <v/>
      </c>
      <c r="IW3">
        <f>IF(udl,-0.1*h_sec,NA())</f>
        <v/>
      </c>
      <c r="IY3">
        <f>IF(inputs_ok,IF(udl,0,NA()),NA())</f>
        <v/>
      </c>
      <c r="IZ3">
        <f>IF(udl,1.2*h_sec,NA())</f>
        <v/>
      </c>
      <c r="JB3">
        <f>IF(inputs_ok,IF(udl,((0)+(d_eff))/2,NA()),NA())</f>
        <v/>
      </c>
      <c r="JC3">
        <f>IF(udl,((1.2*h_sec)+(1.2*h_sec))/2,NA())</f>
        <v/>
      </c>
      <c r="JE3">
        <f>IF(inputs_ok,IF(TRUE,(3*h_sec)+0.15*h_sec,NA()),NA())</f>
        <v/>
      </c>
      <c r="JF3">
        <f>IF(TRUE,0,NA())</f>
        <v/>
      </c>
      <c r="JH3">
        <f>IF(inputs_ok,IF(TRUE,(((3*h_sec)+0.15*h_sec)+((3*h_sec)+0.15*h_sec))/2,NA()),NA())</f>
        <v/>
      </c>
      <c r="JI3">
        <f>IF(TRUE,((0)+(h_sec))/2,NA())</f>
        <v/>
      </c>
      <c r="JK3">
        <f>IF(inputs_ok,0.02*h_sec,NA())</f>
        <v/>
      </c>
      <c r="JL3">
        <f>-0.15*h_sec</f>
        <v/>
      </c>
      <c r="JN3">
        <f>IF(inputs_ok,d_eff,NA())</f>
        <v/>
      </c>
      <c r="JO3">
        <f>-0.1*h_sec</f>
        <v/>
      </c>
      <c r="JQ3">
        <f>IF(inputs_ok,(3*h_sec)/2,NA())</f>
        <v/>
      </c>
      <c r="JR3">
        <f>0.5*h_sec</f>
        <v/>
      </c>
      <c r="JT3">
        <f>((-0.7*h_sec)+((3*h_sec)+0.6*h_sec))/2-MAX((1.35*h_sec)-(-0.45*h_sec),(((3*h_sec)+0.6*h_sec)-(-0.7*h_sec))/1.55)*0.53*1.55</f>
        <v/>
      </c>
      <c r="JU3">
        <f>((-0.45*h_sec)+(1.35*h_sec))/2-MAX((1.35*h_sec)-(-0.45*h_sec),(((3*h_sec)+0.6*h_sec)-(-0.7*h_sec))/1.55)*0.53</f>
        <v/>
      </c>
    </row>
    <row r="4">
      <c r="D4">
        <f>IF(inputs_ok,(3*h_sec),NA())</f>
        <v/>
      </c>
      <c r="E4">
        <f>0</f>
        <v/>
      </c>
      <c r="G4">
        <f>IF(inputs_ok,0,NA())</f>
        <v/>
      </c>
      <c r="H4">
        <f>-0.3*h_sec</f>
        <v/>
      </c>
      <c r="J4">
        <f>IF(inputs_ok,(3*h_sec),NA())</f>
        <v/>
      </c>
      <c r="K4">
        <f>h_sec-d_eff</f>
        <v/>
      </c>
      <c r="M4">
        <f>IF(inputs_ok,IF(is_beam,IF(s_link/2+0*s_link&lt;(3*h_sec),s_link/2+0*s_link,NA()),NA()),NA())</f>
        <v/>
      </c>
      <c r="N4">
        <f>IF(is_beam,IF(s_link/2+0*s_link&lt;(3*h_sec),h_sec-c_nom,NA()),NA())</f>
        <v/>
      </c>
      <c r="P4">
        <f>IF(inputs_ok,IF(is_beam,IF(s_link/2+1*s_link&lt;(3*h_sec),s_link/2+1*s_link,NA()),NA()),NA())</f>
        <v/>
      </c>
      <c r="Q4">
        <f>IF(is_beam,IF(s_link/2+1*s_link&lt;(3*h_sec),h_sec-c_nom,NA()),NA())</f>
        <v/>
      </c>
      <c r="S4">
        <f>IF(inputs_ok,IF(is_beam,IF(s_link/2+2*s_link&lt;(3*h_sec),s_link/2+2*s_link,NA()),NA()),NA())</f>
        <v/>
      </c>
      <c r="T4">
        <f>IF(is_beam,IF(s_link/2+2*s_link&lt;(3*h_sec),h_sec-c_nom,NA()),NA())</f>
        <v/>
      </c>
      <c r="V4">
        <f>IF(inputs_ok,IF(is_beam,IF(s_link/2+3*s_link&lt;(3*h_sec),s_link/2+3*s_link,NA()),NA()),NA())</f>
        <v/>
      </c>
      <c r="W4">
        <f>IF(is_beam,IF(s_link/2+3*s_link&lt;(3*h_sec),h_sec-c_nom,NA()),NA())</f>
        <v/>
      </c>
      <c r="Y4">
        <f>IF(inputs_ok,IF(is_beam,IF(s_link/2+4*s_link&lt;(3*h_sec),s_link/2+4*s_link,NA()),NA()),NA())</f>
        <v/>
      </c>
      <c r="Z4">
        <f>IF(is_beam,IF(s_link/2+4*s_link&lt;(3*h_sec),h_sec-c_nom,NA()),NA())</f>
        <v/>
      </c>
      <c r="AB4">
        <f>IF(inputs_ok,IF(is_beam,IF(s_link/2+5*s_link&lt;(3*h_sec),s_link/2+5*s_link,NA()),NA()),NA())</f>
        <v/>
      </c>
      <c r="AC4">
        <f>IF(is_beam,IF(s_link/2+5*s_link&lt;(3*h_sec),h_sec-c_nom,NA()),NA())</f>
        <v/>
      </c>
      <c r="AE4">
        <f>IF(inputs_ok,IF(is_beam,IF(s_link/2+6*s_link&lt;(3*h_sec),s_link/2+6*s_link,NA()),NA()),NA())</f>
        <v/>
      </c>
      <c r="AF4">
        <f>IF(is_beam,IF(s_link/2+6*s_link&lt;(3*h_sec),h_sec-c_nom,NA()),NA())</f>
        <v/>
      </c>
      <c r="AH4">
        <f>IF(inputs_ok,IF(is_beam,IF(s_link/2+7*s_link&lt;(3*h_sec),s_link/2+7*s_link,NA()),NA()),NA())</f>
        <v/>
      </c>
      <c r="AI4">
        <f>IF(is_beam,IF(s_link/2+7*s_link&lt;(3*h_sec),h_sec-c_nom,NA()),NA())</f>
        <v/>
      </c>
      <c r="AK4">
        <f>IF(inputs_ok,IF(is_beam,IF(s_link/2+8*s_link&lt;(3*h_sec),s_link/2+8*s_link,NA()),NA()),NA())</f>
        <v/>
      </c>
      <c r="AL4">
        <f>IF(is_beam,IF(s_link/2+8*s_link&lt;(3*h_sec),h_sec-c_nom,NA()),NA())</f>
        <v/>
      </c>
      <c r="AN4">
        <f>IF(inputs_ok,IF(is_beam,IF(s_link/2+9*s_link&lt;(3*h_sec),s_link/2+9*s_link,NA()),NA()),NA())</f>
        <v/>
      </c>
      <c r="AO4">
        <f>IF(is_beam,IF(s_link/2+9*s_link&lt;(3*h_sec),h_sec-c_nom,NA()),NA())</f>
        <v/>
      </c>
      <c r="AQ4">
        <f>IF(inputs_ok,IF(is_beam,IF(s_link/2+10*s_link&lt;(3*h_sec),s_link/2+10*s_link,NA()),NA()),NA())</f>
        <v/>
      </c>
      <c r="AR4">
        <f>IF(is_beam,IF(s_link/2+10*s_link&lt;(3*h_sec),h_sec-c_nom,NA()),NA())</f>
        <v/>
      </c>
      <c r="AT4">
        <f>IF(inputs_ok,IF(is_beam,IF(s_link/2+11*s_link&lt;(3*h_sec),s_link/2+11*s_link,NA()),NA()),NA())</f>
        <v/>
      </c>
      <c r="AU4">
        <f>IF(is_beam,IF(s_link/2+11*s_link&lt;(3*h_sec),h_sec-c_nom,NA()),NA())</f>
        <v/>
      </c>
      <c r="AW4">
        <f>IF(inputs_ok,IF(is_beam,IF(s_link/2+12*s_link&lt;(3*h_sec),s_link/2+12*s_link,NA()),NA()),NA())</f>
        <v/>
      </c>
      <c r="AX4">
        <f>IF(is_beam,IF(s_link/2+12*s_link&lt;(3*h_sec),h_sec-c_nom,NA()),NA())</f>
        <v/>
      </c>
      <c r="AZ4">
        <f>IF(inputs_ok,IF(is_beam,IF(s_link/2+13*s_link&lt;(3*h_sec),s_link/2+13*s_link,NA()),NA()),NA())</f>
        <v/>
      </c>
      <c r="BA4">
        <f>IF(is_beam,IF(s_link/2+13*s_link&lt;(3*h_sec),h_sec-c_nom,NA()),NA())</f>
        <v/>
      </c>
      <c r="BC4">
        <f>IF(inputs_ok,IF(is_beam,IF(s_link/2+14*s_link&lt;(3*h_sec),s_link/2+14*s_link,NA()),NA()),NA())</f>
        <v/>
      </c>
      <c r="BD4">
        <f>IF(is_beam,IF(s_link/2+14*s_link&lt;(3*h_sec),h_sec-c_nom,NA()),NA())</f>
        <v/>
      </c>
      <c r="BF4">
        <f>IF(inputs_ok,IF(is_beam,IF(s_link/2+15*s_link&lt;(3*h_sec),s_link/2+15*s_link,NA()),NA()),NA())</f>
        <v/>
      </c>
      <c r="BG4">
        <f>IF(is_beam,IF(s_link/2+15*s_link&lt;(3*h_sec),h_sec-c_nom,NA()),NA())</f>
        <v/>
      </c>
      <c r="BI4">
        <f>IF(inputs_ok,IF(is_beam,IF(s_link/2+16*s_link&lt;(3*h_sec),s_link/2+16*s_link,NA()),NA()),NA())</f>
        <v/>
      </c>
      <c r="BJ4">
        <f>IF(is_beam,IF(s_link/2+16*s_link&lt;(3*h_sec),h_sec-c_nom,NA()),NA())</f>
        <v/>
      </c>
      <c r="BL4">
        <f>IF(inputs_ok,IF(is_beam,IF(s_link/2+17*s_link&lt;(3*h_sec),s_link/2+17*s_link,NA()),NA()),NA())</f>
        <v/>
      </c>
      <c r="BM4">
        <f>IF(is_beam,IF(s_link/2+17*s_link&lt;(3*h_sec),h_sec-c_nom,NA()),NA())</f>
        <v/>
      </c>
      <c r="BO4">
        <f>IF(inputs_ok,IF(is_beam,IF(s_link/2+18*s_link&lt;(3*h_sec),s_link/2+18*s_link,NA()),NA()),NA())</f>
        <v/>
      </c>
      <c r="BP4">
        <f>IF(is_beam,IF(s_link/2+18*s_link&lt;(3*h_sec),h_sec-c_nom,NA()),NA())</f>
        <v/>
      </c>
      <c r="BR4">
        <f>IF(inputs_ok,IF(is_beam,IF(s_link/2+19*s_link&lt;(3*h_sec),s_link/2+19*s_link,NA()),NA()),NA())</f>
        <v/>
      </c>
      <c r="BS4">
        <f>IF(is_beam,IF(s_link/2+19*s_link&lt;(3*h_sec),h_sec-c_nom,NA()),NA())</f>
        <v/>
      </c>
      <c r="BU4">
        <f>IF(inputs_ok,IF(is_beam,IF(s_link/2+20*s_link&lt;(3*h_sec),s_link/2+20*s_link,NA()),NA()),NA())</f>
        <v/>
      </c>
      <c r="BV4">
        <f>IF(is_beam,IF(s_link/2+20*s_link&lt;(3*h_sec),h_sec-c_nom,NA()),NA())</f>
        <v/>
      </c>
      <c r="BX4">
        <f>IF(inputs_ok,IF(is_beam,IF(s_link/2+21*s_link&lt;(3*h_sec),s_link/2+21*s_link,NA()),NA()),NA())</f>
        <v/>
      </c>
      <c r="BY4">
        <f>IF(is_beam,IF(s_link/2+21*s_link&lt;(3*h_sec),h_sec-c_nom,NA()),NA())</f>
        <v/>
      </c>
      <c r="CA4">
        <f>IF(inputs_ok,IF(is_beam,IF(s_link/2+22*s_link&lt;(3*h_sec),s_link/2+22*s_link,NA()),NA()),NA())</f>
        <v/>
      </c>
      <c r="CB4">
        <f>IF(is_beam,IF(s_link/2+22*s_link&lt;(3*h_sec),h_sec-c_nom,NA()),NA())</f>
        <v/>
      </c>
      <c r="CD4">
        <f>IF(inputs_ok,IF(is_beam,IF(s_link/2+23*s_link&lt;(3*h_sec),s_link/2+23*s_link,NA()),NA()),NA())</f>
        <v/>
      </c>
      <c r="CE4">
        <f>IF(is_beam,IF(s_link/2+23*s_link&lt;(3*h_sec),h_sec-c_nom,NA()),NA())</f>
        <v/>
      </c>
      <c r="CG4">
        <f>IF(inputs_ok,IF(is_beam,IF(s_link/2+24*s_link&lt;(3*h_sec),s_link/2+24*s_link,NA()),NA()),NA())</f>
        <v/>
      </c>
      <c r="CH4">
        <f>IF(is_beam,IF(s_link/2+24*s_link&lt;(3*h_sec),h_sec-c_nom,NA()),NA())</f>
        <v/>
      </c>
      <c r="CJ4">
        <f>IF(inputs_ok,IF(is_beam,IF(s_link/2+25*s_link&lt;(3*h_sec),s_link/2+25*s_link,NA()),NA()),NA())</f>
        <v/>
      </c>
      <c r="CK4">
        <f>IF(is_beam,IF(s_link/2+25*s_link&lt;(3*h_sec),h_sec-c_nom,NA()),NA())</f>
        <v/>
      </c>
      <c r="CM4">
        <f>IF(inputs_ok,IF(is_beam,IF(s_link/2+26*s_link&lt;(3*h_sec),s_link/2+26*s_link,NA()),NA()),NA())</f>
        <v/>
      </c>
      <c r="CN4">
        <f>IF(is_beam,IF(s_link/2+26*s_link&lt;(3*h_sec),h_sec-c_nom,NA()),NA())</f>
        <v/>
      </c>
      <c r="CP4">
        <f>IF(inputs_ok,IF(is_beam,IF(s_link/2+27*s_link&lt;(3*h_sec),s_link/2+27*s_link,NA()),NA()),NA())</f>
        <v/>
      </c>
      <c r="CQ4">
        <f>IF(is_beam,IF(s_link/2+27*s_link&lt;(3*h_sec),h_sec-c_nom,NA()),NA())</f>
        <v/>
      </c>
      <c r="CS4">
        <f>IF(inputs_ok,IF(is_beam,IF(s_link/2+28*s_link&lt;(3*h_sec),s_link/2+28*s_link,NA()),NA()),NA())</f>
        <v/>
      </c>
      <c r="CT4">
        <f>IF(is_beam,IF(s_link/2+28*s_link&lt;(3*h_sec),h_sec-c_nom,NA()),NA())</f>
        <v/>
      </c>
      <c r="CV4">
        <f>IF(inputs_ok,IF(is_beam,IF(s_link/2+29*s_link&lt;(3*h_sec),s_link/2+29*s_link,NA()),NA()),NA())</f>
        <v/>
      </c>
      <c r="CW4">
        <f>IF(is_beam,IF(s_link/2+29*s_link&lt;(3*h_sec),h_sec-c_nom,NA()),NA())</f>
        <v/>
      </c>
      <c r="CY4">
        <f>IF(inputs_ok,IF(is_beam,IF(s_link/2+30*s_link&lt;(3*h_sec),s_link/2+30*s_link,NA()),NA()),NA())</f>
        <v/>
      </c>
      <c r="CZ4">
        <f>IF(is_beam,IF(s_link/2+30*s_link&lt;(3*h_sec),h_sec-c_nom,NA()),NA())</f>
        <v/>
      </c>
      <c r="DB4">
        <f>IF(inputs_ok,IF(is_beam,IF(s_link/2+31*s_link&lt;(3*h_sec),s_link/2+31*s_link,NA()),NA()),NA())</f>
        <v/>
      </c>
      <c r="DC4">
        <f>IF(is_beam,IF(s_link/2+31*s_link&lt;(3*h_sec),h_sec-c_nom,NA()),NA())</f>
        <v/>
      </c>
      <c r="DE4">
        <f>IF(inputs_ok,IF(is_beam,IF(s_link/2+32*s_link&lt;(3*h_sec),s_link/2+32*s_link,NA()),NA()),NA())</f>
        <v/>
      </c>
      <c r="DF4">
        <f>IF(is_beam,IF(s_link/2+32*s_link&lt;(3*h_sec),h_sec-c_nom,NA()),NA())</f>
        <v/>
      </c>
      <c r="DH4">
        <f>IF(inputs_ok,IF(is_beam,IF(s_link/2+33*s_link&lt;(3*h_sec),s_link/2+33*s_link,NA()),NA()),NA())</f>
        <v/>
      </c>
      <c r="DI4">
        <f>IF(is_beam,IF(s_link/2+33*s_link&lt;(3*h_sec),h_sec-c_nom,NA()),NA())</f>
        <v/>
      </c>
      <c r="DK4">
        <f>IF(inputs_ok,IF(is_beam,IF(s_link/2+34*s_link&lt;(3*h_sec),s_link/2+34*s_link,NA()),NA()),NA())</f>
        <v/>
      </c>
      <c r="DL4">
        <f>IF(is_beam,IF(s_link/2+34*s_link&lt;(3*h_sec),h_sec-c_nom,NA()),NA())</f>
        <v/>
      </c>
      <c r="DN4">
        <f>IF(inputs_ok,IF(is_beam,IF(s_link/2+35*s_link&lt;(3*h_sec),s_link/2+35*s_link,NA()),NA()),NA())</f>
        <v/>
      </c>
      <c r="DO4">
        <f>IF(is_beam,IF(s_link/2+35*s_link&lt;(3*h_sec),h_sec-c_nom,NA()),NA())</f>
        <v/>
      </c>
      <c r="DQ4">
        <f>IF(inputs_ok,IF(is_beam,IF(s_link/2+36*s_link&lt;(3*h_sec),s_link/2+36*s_link,NA()),NA()),NA())</f>
        <v/>
      </c>
      <c r="DR4">
        <f>IF(is_beam,IF(s_link/2+36*s_link&lt;(3*h_sec),h_sec-c_nom,NA()),NA())</f>
        <v/>
      </c>
      <c r="DT4">
        <f>IF(inputs_ok,IF(is_beam,IF(s_link/2+37*s_link&lt;(3*h_sec),s_link/2+37*s_link,NA()),NA()),NA())</f>
        <v/>
      </c>
      <c r="DU4">
        <f>IF(is_beam,IF(s_link/2+37*s_link&lt;(3*h_sec),h_sec-c_nom,NA()),NA())</f>
        <v/>
      </c>
      <c r="DW4">
        <f>IF(inputs_ok,IF(is_beam,IF(s_link/2+38*s_link&lt;(3*h_sec),s_link/2+38*s_link,NA()),NA()),NA())</f>
        <v/>
      </c>
      <c r="DX4">
        <f>IF(is_beam,IF(s_link/2+38*s_link&lt;(3*h_sec),h_sec-c_nom,NA()),NA())</f>
        <v/>
      </c>
      <c r="DZ4">
        <f>IF(inputs_ok,IF(is_beam,IF(s_link/2+39*s_link&lt;(3*h_sec),s_link/2+39*s_link,NA()),NA()),NA())</f>
        <v/>
      </c>
      <c r="EA4">
        <f>IF(is_beam,IF(s_link/2+39*s_link&lt;(3*h_sec),h_sec-c_nom,NA()),NA())</f>
        <v/>
      </c>
      <c r="EC4">
        <f>IF(inputs_ok,IF(is_beam,IF(s_link/2+40*s_link&lt;(3*h_sec),s_link/2+40*s_link,NA()),NA()),NA())</f>
        <v/>
      </c>
      <c r="ED4">
        <f>IF(is_beam,IF(s_link/2+40*s_link&lt;(3*h_sec),h_sec-c_nom,NA()),NA())</f>
        <v/>
      </c>
      <c r="EF4">
        <f>IF(inputs_ok,IF(is_beam,IF(s_link/2+41*s_link&lt;(3*h_sec),s_link/2+41*s_link,NA()),NA()),NA())</f>
        <v/>
      </c>
      <c r="EG4">
        <f>IF(is_beam,IF(s_link/2+41*s_link&lt;(3*h_sec),h_sec-c_nom,NA()),NA())</f>
        <v/>
      </c>
      <c r="EI4">
        <f>IF(inputs_ok,IF(is_beam,IF(s_link/2+42*s_link&lt;(3*h_sec),s_link/2+42*s_link,NA()),NA()),NA())</f>
        <v/>
      </c>
      <c r="EJ4">
        <f>IF(is_beam,IF(s_link/2+42*s_link&lt;(3*h_sec),h_sec-c_nom,NA()),NA())</f>
        <v/>
      </c>
      <c r="EL4">
        <f>IF(inputs_ok,IF(is_beam,IF(s_link/2+43*s_link&lt;(3*h_sec),s_link/2+43*s_link,NA()),NA()),NA())</f>
        <v/>
      </c>
      <c r="EM4">
        <f>IF(is_beam,IF(s_link/2+43*s_link&lt;(3*h_sec),h_sec-c_nom,NA()),NA())</f>
        <v/>
      </c>
      <c r="EO4">
        <f>IF(inputs_ok,IF(is_beam,IF(s_link/2+44*s_link&lt;(3*h_sec),s_link/2+44*s_link,NA()),NA()),NA())</f>
        <v/>
      </c>
      <c r="EP4">
        <f>IF(is_beam,IF(s_link/2+44*s_link&lt;(3*h_sec),h_sec-c_nom,NA()),NA())</f>
        <v/>
      </c>
      <c r="ER4">
        <f>IF(inputs_ok,IF(is_beam,IF(s_link/2+45*s_link&lt;(3*h_sec),s_link/2+45*s_link,NA()),NA()),NA())</f>
        <v/>
      </c>
      <c r="ES4">
        <f>IF(is_beam,IF(s_link/2+45*s_link&lt;(3*h_sec),h_sec-c_nom,NA()),NA())</f>
        <v/>
      </c>
      <c r="EU4">
        <f>IF(inputs_ok,IF(is_beam,IF(s_link/2+46*s_link&lt;(3*h_sec),s_link/2+46*s_link,NA()),NA()),NA())</f>
        <v/>
      </c>
      <c r="EV4">
        <f>IF(is_beam,IF(s_link/2+46*s_link&lt;(3*h_sec),h_sec-c_nom,NA()),NA())</f>
        <v/>
      </c>
      <c r="EX4">
        <f>IF(inputs_ok,IF(is_beam,IF(s_link/2+47*s_link&lt;(3*h_sec),s_link/2+47*s_link,NA()),NA()),NA())</f>
        <v/>
      </c>
      <c r="EY4">
        <f>IF(is_beam,IF(s_link/2+47*s_link&lt;(3*h_sec),h_sec-c_nom,NA()),NA())</f>
        <v/>
      </c>
      <c r="FA4">
        <f>IF(inputs_ok,IF(is_beam,IF(s_link/2+48*s_link&lt;(3*h_sec),s_link/2+48*s_link,NA()),NA()),NA())</f>
        <v/>
      </c>
      <c r="FB4">
        <f>IF(is_beam,IF(s_link/2+48*s_link&lt;(3*h_sec),h_sec-c_nom,NA()),NA())</f>
        <v/>
      </c>
      <c r="FD4">
        <f>IF(inputs_ok,IF(is_beam,IF(s_link/2+49*s_link&lt;(3*h_sec),s_link/2+49*s_link,NA()),NA()),NA())</f>
        <v/>
      </c>
      <c r="FE4">
        <f>IF(is_beam,IF(s_link/2+49*s_link&lt;(3*h_sec),h_sec-c_nom,NA()),NA())</f>
        <v/>
      </c>
      <c r="FG4">
        <f>IF(inputs_ok,IF(is_beam,IF(s_link/2+50*s_link&lt;(3*h_sec),s_link/2+50*s_link,NA()),NA()),NA())</f>
        <v/>
      </c>
      <c r="FH4">
        <f>IF(is_beam,IF(s_link/2+50*s_link&lt;(3*h_sec),h_sec-c_nom,NA()),NA())</f>
        <v/>
      </c>
      <c r="FJ4">
        <f>IF(inputs_ok,IF(is_beam,IF(s_link/2+51*s_link&lt;(3*h_sec),s_link/2+51*s_link,NA()),NA()),NA())</f>
        <v/>
      </c>
      <c r="FK4">
        <f>IF(is_beam,IF(s_link/2+51*s_link&lt;(3*h_sec),h_sec-c_nom,NA()),NA())</f>
        <v/>
      </c>
      <c r="FM4">
        <f>IF(inputs_ok,IF(is_beam,IF(s_link/2+52*s_link&lt;(3*h_sec),s_link/2+52*s_link,NA()),NA()),NA())</f>
        <v/>
      </c>
      <c r="FN4">
        <f>IF(is_beam,IF(s_link/2+52*s_link&lt;(3*h_sec),h_sec-c_nom,NA()),NA())</f>
        <v/>
      </c>
      <c r="FP4">
        <f>IF(inputs_ok,IF(is_beam,IF(s_link/2+53*s_link&lt;(3*h_sec),s_link/2+53*s_link,NA()),NA()),NA())</f>
        <v/>
      </c>
      <c r="FQ4">
        <f>IF(is_beam,IF(s_link/2+53*s_link&lt;(3*h_sec),h_sec-c_nom,NA()),NA())</f>
        <v/>
      </c>
      <c r="FS4">
        <f>IF(inputs_ok,IF(is_beam,IF(s_link/2+54*s_link&lt;(3*h_sec),s_link/2+54*s_link,NA()),NA()),NA())</f>
        <v/>
      </c>
      <c r="FT4">
        <f>IF(is_beam,IF(s_link/2+54*s_link&lt;(3*h_sec),h_sec-c_nom,NA()),NA())</f>
        <v/>
      </c>
      <c r="FV4">
        <f>IF(inputs_ok,IF(is_beam,IF(s_link/2+55*s_link&lt;(3*h_sec),s_link/2+55*s_link,NA()),NA()),NA())</f>
        <v/>
      </c>
      <c r="FW4">
        <f>IF(is_beam,IF(s_link/2+55*s_link&lt;(3*h_sec),h_sec-c_nom,NA()),NA())</f>
        <v/>
      </c>
      <c r="FY4">
        <f>IF(inputs_ok,IF(is_beam,IF(s_link/2+56*s_link&lt;(3*h_sec),s_link/2+56*s_link,NA()),NA()),NA())</f>
        <v/>
      </c>
      <c r="FZ4">
        <f>IF(is_beam,IF(s_link/2+56*s_link&lt;(3*h_sec),h_sec-c_nom,NA()),NA())</f>
        <v/>
      </c>
      <c r="GB4">
        <f>IF(inputs_ok,IF(is_beam,IF(s_link/2+57*s_link&lt;(3*h_sec),s_link/2+57*s_link,NA()),NA()),NA())</f>
        <v/>
      </c>
      <c r="GC4">
        <f>IF(is_beam,IF(s_link/2+57*s_link&lt;(3*h_sec),h_sec-c_nom,NA()),NA())</f>
        <v/>
      </c>
      <c r="GE4">
        <f>IF(inputs_ok,IF(is_beam,IF(s_link/2+58*s_link&lt;(3*h_sec),s_link/2+58*s_link,NA()),NA()),NA())</f>
        <v/>
      </c>
      <c r="GF4">
        <f>IF(is_beam,IF(s_link/2+58*s_link&lt;(3*h_sec),h_sec-c_nom,NA()),NA())</f>
        <v/>
      </c>
      <c r="GH4">
        <f>IF(inputs_ok,IF(is_beam,IF(s_link/2+59*s_link&lt;(3*h_sec),s_link/2+59*s_link,NA()),NA()),NA())</f>
        <v/>
      </c>
      <c r="GI4">
        <f>IF(is_beam,IF(s_link/2+59*s_link&lt;(3*h_sec),h_sec-c_nom,NA()),NA())</f>
        <v/>
      </c>
      <c r="GK4">
        <f>IF(inputs_ok,IF(is_beam,IF(s_link/2+60*s_link&lt;(3*h_sec),s_link/2+60*s_link,NA()),NA()),NA())</f>
        <v/>
      </c>
      <c r="GL4">
        <f>IF(is_beam,IF(s_link/2+60*s_link&lt;(3*h_sec),h_sec-c_nom,NA()),NA())</f>
        <v/>
      </c>
      <c r="GN4">
        <f>IF(inputs_ok,IF(is_beam,IF(s_link/2+61*s_link&lt;(3*h_sec),s_link/2+61*s_link,NA()),NA()),NA())</f>
        <v/>
      </c>
      <c r="GO4">
        <f>IF(is_beam,IF(s_link/2+61*s_link&lt;(3*h_sec),h_sec-c_nom,NA()),NA())</f>
        <v/>
      </c>
      <c r="GQ4">
        <f>IF(inputs_ok,IF(is_beam,IF(s_link/2+62*s_link&lt;(3*h_sec),s_link/2+62*s_link,NA()),NA()),NA())</f>
        <v/>
      </c>
      <c r="GR4">
        <f>IF(is_beam,IF(s_link/2+62*s_link&lt;(3*h_sec),h_sec-c_nom,NA()),NA())</f>
        <v/>
      </c>
      <c r="GT4">
        <f>IF(inputs_ok,IF(is_beam,IF(s_link/2+63*s_link&lt;(3*h_sec),s_link/2+63*s_link,NA()),NA()),NA())</f>
        <v/>
      </c>
      <c r="GU4">
        <f>IF(is_beam,IF(s_link/2+63*s_link&lt;(3*h_sec),h_sec-c_nom,NA()),NA())</f>
        <v/>
      </c>
      <c r="GW4">
        <f>IF(inputs_ok,IF(is_beam,IF(s_link/2+64*s_link&lt;(3*h_sec),s_link/2+64*s_link,NA()),NA()),NA())</f>
        <v/>
      </c>
      <c r="GX4">
        <f>IF(is_beam,IF(s_link/2+64*s_link&lt;(3*h_sec),h_sec-c_nom,NA()),NA())</f>
        <v/>
      </c>
      <c r="GZ4">
        <f>IF(inputs_ok,IF(is_beam,IF(s_link/2+65*s_link&lt;(3*h_sec),s_link/2+65*s_link,NA()),NA()),NA())</f>
        <v/>
      </c>
      <c r="HA4">
        <f>IF(is_beam,IF(s_link/2+65*s_link&lt;(3*h_sec),h_sec-c_nom,NA()),NA())</f>
        <v/>
      </c>
      <c r="HC4">
        <f>IF(inputs_ok,IF(is_beam,IF(s_link/2+66*s_link&lt;(3*h_sec),s_link/2+66*s_link,NA()),NA()),NA())</f>
        <v/>
      </c>
      <c r="HD4">
        <f>IF(is_beam,IF(s_link/2+66*s_link&lt;(3*h_sec),h_sec-c_nom,NA()),NA())</f>
        <v/>
      </c>
      <c r="HF4">
        <f>IF(inputs_ok,IF(is_beam,IF(s_link/2+67*s_link&lt;(3*h_sec),s_link/2+67*s_link,NA()),NA()),NA())</f>
        <v/>
      </c>
      <c r="HG4">
        <f>IF(is_beam,IF(s_link/2+67*s_link&lt;(3*h_sec),h_sec-c_nom,NA()),NA())</f>
        <v/>
      </c>
      <c r="HI4">
        <f>IF(inputs_ok,IF(is_beam,IF(s_link/2+68*s_link&lt;(3*h_sec),s_link/2+68*s_link,NA()),NA()),NA())</f>
        <v/>
      </c>
      <c r="HJ4">
        <f>IF(is_beam,IF(s_link/2+68*s_link&lt;(3*h_sec),h_sec-c_nom,NA()),NA())</f>
        <v/>
      </c>
      <c r="HL4">
        <f>IF(inputs_ok,IF(is_beam,IF(s_link/2+69*s_link&lt;(3*h_sec),s_link/2+69*s_link,NA()),NA()),NA())</f>
        <v/>
      </c>
      <c r="HM4">
        <f>IF(is_beam,IF(s_link/2+69*s_link&lt;(3*h_sec),h_sec-c_nom,NA()),NA())</f>
        <v/>
      </c>
      <c r="HO4">
        <f>IF(inputs_ok,IF(is_beam,IF(s_link/2+70*s_link&lt;(3*h_sec),s_link/2+70*s_link,NA()),NA()),NA())</f>
        <v/>
      </c>
      <c r="HP4">
        <f>IF(is_beam,IF(s_link/2+70*s_link&lt;(3*h_sec),h_sec-c_nom,NA()),NA())</f>
        <v/>
      </c>
      <c r="HR4">
        <f>IF(inputs_ok,IF(is_beam,IF(s_link/2+71*s_link&lt;(3*h_sec),s_link/2+71*s_link,NA()),NA()),NA())</f>
        <v/>
      </c>
      <c r="HS4">
        <f>IF(is_beam,IF(s_link/2+71*s_link&lt;(3*h_sec),h_sec-c_nom,NA()),NA())</f>
        <v/>
      </c>
      <c r="HU4">
        <f>IF(inputs_ok,IF(is_beam,IF(s_link/2+72*s_link&lt;(3*h_sec),s_link/2+72*s_link,NA()),NA()),NA())</f>
        <v/>
      </c>
      <c r="HV4">
        <f>IF(is_beam,IF(s_link/2+72*s_link&lt;(3*h_sec),h_sec-c_nom,NA()),NA())</f>
        <v/>
      </c>
      <c r="HX4">
        <f>IF(inputs_ok,IF(is_beam,IF(s_link/2+73*s_link&lt;(3*h_sec),s_link/2+73*s_link,NA()),NA()),NA())</f>
        <v/>
      </c>
      <c r="HY4">
        <f>IF(is_beam,IF(s_link/2+73*s_link&lt;(3*h_sec),h_sec-c_nom,NA()),NA())</f>
        <v/>
      </c>
      <c r="IA4">
        <f>IF(inputs_ok,IF(is_beam,IF(s_link/2+74*s_link&lt;(3*h_sec),s_link/2+74*s_link,NA()),NA()),NA())</f>
        <v/>
      </c>
      <c r="IB4">
        <f>IF(is_beam,IF(s_link/2+74*s_link&lt;(3*h_sec),h_sec-c_nom,NA()),NA())</f>
        <v/>
      </c>
      <c r="ID4">
        <f>IF(inputs_ok,IF(is_beam,IF(s_link/2+75*s_link&lt;(3*h_sec),s_link/2+75*s_link,NA()),NA()),NA())</f>
        <v/>
      </c>
      <c r="IE4">
        <f>IF(is_beam,IF(s_link/2+75*s_link&lt;(3*h_sec),h_sec-c_nom,NA()),NA())</f>
        <v/>
      </c>
      <c r="IG4">
        <f>IF(inputs_ok,IF(is_beam,IF(s_link/2+76*s_link&lt;(3*h_sec),s_link/2+76*s_link,NA()),NA()),NA())</f>
        <v/>
      </c>
      <c r="IH4">
        <f>IF(is_beam,IF(s_link/2+76*s_link&lt;(3*h_sec),h_sec-c_nom,NA()),NA())</f>
        <v/>
      </c>
      <c r="IJ4">
        <f>IF(inputs_ok,IF(is_beam,IF(s_link/2+77*s_link&lt;(3*h_sec),s_link/2+77*s_link,NA()),NA()),NA())</f>
        <v/>
      </c>
      <c r="IK4">
        <f>IF(is_beam,IF(s_link/2+77*s_link&lt;(3*h_sec),h_sec-c_nom,NA()),NA())</f>
        <v/>
      </c>
      <c r="IM4">
        <f>IF(inputs_ok,IF(is_beam,IF(s_link/2+78*s_link&lt;(3*h_sec),s_link/2+78*s_link,NA()),NA()),NA())</f>
        <v/>
      </c>
      <c r="IN4">
        <f>IF(is_beam,IF(s_link/2+78*s_link&lt;(3*h_sec),h_sec-c_nom,NA()),NA())</f>
        <v/>
      </c>
      <c r="IP4">
        <f>IF(inputs_ok,IF(is_beam,IF(s_link/2+79*s_link&lt;(3*h_sec),s_link/2+79*s_link,NA()),NA()),NA())</f>
        <v/>
      </c>
      <c r="IQ4">
        <f>IF(is_beam,IF(s_link/2+79*s_link&lt;(3*h_sec),h_sec-c_nom,NA()),NA())</f>
        <v/>
      </c>
      <c r="IV4">
        <f>IF(inputs_ok,IF(udl,d_eff,NA()),NA())</f>
        <v/>
      </c>
      <c r="IW4">
        <f>IF(udl,1.1*h_sec,NA())</f>
        <v/>
      </c>
      <c r="IY4">
        <f>IF(inputs_ok,IF(udl,d_eff,NA()),NA())</f>
        <v/>
      </c>
      <c r="IZ4">
        <f>IF(udl,1.2*h_sec,NA())</f>
        <v/>
      </c>
      <c r="JE4">
        <f>IF(inputs_ok,IF(TRUE,(3*h_sec)+0.15*h_sec,NA()),NA())</f>
        <v/>
      </c>
      <c r="JF4">
        <f>IF(TRUE,h_sec,NA())</f>
        <v/>
      </c>
      <c r="JT4">
        <f>((-0.7*h_sec)+((3*h_sec)+0.6*h_sec))/2+MAX((1.35*h_sec)-(-0.45*h_sec),(((3*h_sec)+0.6*h_sec)-(-0.7*h_sec))/1.55)*0.53*1.55</f>
        <v/>
      </c>
      <c r="JU4">
        <f>((-0.45*h_sec)+(1.35*h_sec))/2+MAX((1.35*h_sec)-(-0.45*h_sec),(((3*h_sec)+0.6*h_sec)-(-0.7*h_sec))/1.55)*0.53</f>
        <v/>
      </c>
    </row>
    <row r="5">
      <c r="D5">
        <f>IF(inputs_ok,(3*h_sec),NA())</f>
        <v/>
      </c>
      <c r="E5">
        <f>h_sec</f>
        <v/>
      </c>
      <c r="G5">
        <f>IF(inputs_ok,-0.6*h_sec,NA())</f>
        <v/>
      </c>
      <c r="H5">
        <f>-0.3*h_sec</f>
        <v/>
      </c>
    </row>
    <row r="6">
      <c r="D6">
        <f>IF(inputs_ok,0,NA())</f>
        <v/>
      </c>
      <c r="E6">
        <f>h_sec</f>
        <v/>
      </c>
      <c r="G6">
        <f>IF(inputs_ok,-0.6*h_sec,NA())</f>
        <v/>
      </c>
      <c r="H6">
        <f>h_sec</f>
        <v/>
      </c>
    </row>
    <row r="7">
      <c r="D7">
        <f>IF(inputs_ok,0,NA())</f>
        <v/>
      </c>
      <c r="E7">
        <f>0</f>
        <v/>
      </c>
      <c r="G7">
        <f>IF(inputs_ok,0,NA())</f>
        <v/>
      </c>
      <c r="H7">
        <f>h_sec</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10.xml><?xml version="1.0" encoding="utf-8"?>
<worksheet xmlns="http://schemas.openxmlformats.org/spreadsheetml/2006/main">
  <sheetPr>
    <outlinePr summaryBelow="1" summaryRight="1"/>
    <pageSetUpPr fitToPage="1"/>
  </sheetPr>
  <dimension ref="A1:H89"/>
  <sheetViews>
    <sheetView showGridLines="0" tabSelected="0"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Element design  ·  Column</t>
        </is>
      </c>
      <c r="H2" s="1" t="n"/>
    </row>
    <row r="3" ht="16" customHeight="1">
      <c r="A3" s="1" t="n"/>
      <c r="B3" s="1" t="n"/>
      <c r="C3" s="15" t="inlineStr">
        <is>
          <t>NAE-RC-040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section</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3.2.2</t>
        </is>
      </c>
      <c r="C13" s="24" t="inlineStr">
        <is>
          <t>Reinforcement characteristic yield strength  (≤ 500 MPa)</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6" t="inlineStr">
        <is>
          <t>8.2(2)</t>
        </is>
      </c>
      <c r="C14" s="24" t="inlineStr">
        <is>
          <t>Maximum aggregate size</t>
        </is>
      </c>
      <c r="D14" s="27" t="inlineStr">
        <is>
          <r>
            <rPr>
              <rFont val="Calibri"/>
              <i val="1"/>
              <color rgb="002B2B2B"/>
              <sz val="10"/>
            </rPr>
            <t>d</t>
          </r>
          <r>
            <rPr>
              <rFont val="Calibri"/>
              <i val="1"/>
              <color rgb="002B2B2B"/>
              <sz val="10"/>
              <vertAlign val="subscript"/>
            </rPr>
            <t>g</t>
          </r>
        </is>
      </c>
      <c r="E14" s="25" t="n">
        <v>20</v>
      </c>
      <c r="F14" s="28" t="inlineStr">
        <is>
          <t>mm</t>
        </is>
      </c>
      <c r="G14" s="23" t="n"/>
    </row>
    <row r="15" ht="17" customHeight="1">
      <c r="B15" s="23" t="n"/>
      <c r="C15" s="24" t="inlineStr">
        <is>
          <t>Section width  (perpendicular to the plane of bending)</t>
        </is>
      </c>
      <c r="D15" s="27" t="inlineStr">
        <is>
          <r>
            <rPr>
              <rFont val="Calibri"/>
              <i val="1"/>
              <color rgb="002B2B2B"/>
              <sz val="10"/>
            </rPr>
            <t>b</t>
          </r>
        </is>
      </c>
      <c r="E15" s="25" t="n">
        <v>300</v>
      </c>
      <c r="F15" s="28" t="inlineStr">
        <is>
          <t>mm</t>
        </is>
      </c>
      <c r="G15" s="23" t="n"/>
    </row>
    <row r="16" ht="17" customHeight="1">
      <c r="B16" s="23" t="n"/>
      <c r="C16" s="24" t="inlineStr">
        <is>
          <t>Section depth  (in the plane of bending)</t>
        </is>
      </c>
      <c r="D16" s="27" t="inlineStr">
        <is>
          <r>
            <rPr>
              <rFont val="Calibri"/>
              <i val="1"/>
              <color rgb="002B2B2B"/>
              <sz val="10"/>
            </rPr>
            <t>h</t>
          </r>
        </is>
      </c>
      <c r="E16" s="25" t="n">
        <v>400</v>
      </c>
      <c r="F16" s="28" t="inlineStr">
        <is>
          <t>mm</t>
        </is>
      </c>
      <c r="G16" s="23" t="n"/>
    </row>
    <row r="17" ht="17" customHeight="1">
      <c r="B17" s="26" t="inlineStr">
        <is>
          <t>4.4.1</t>
        </is>
      </c>
      <c r="C17" s="24" t="inlineStr">
        <is>
          <t>Nominal cover to links</t>
        </is>
      </c>
      <c r="D17" s="27" t="inlineStr">
        <is>
          <r>
            <rPr>
              <rFont val="Calibri"/>
              <i val="1"/>
              <color rgb="002B2B2B"/>
              <sz val="10"/>
            </rPr>
            <t>c</t>
          </r>
          <r>
            <rPr>
              <rFont val="Calibri"/>
              <i val="1"/>
              <color rgb="002B2B2B"/>
              <sz val="10"/>
              <vertAlign val="subscript"/>
            </rPr>
            <t>nom</t>
          </r>
        </is>
      </c>
      <c r="E17" s="25" t="n">
        <v>35</v>
      </c>
      <c r="F17" s="28" t="inlineStr">
        <is>
          <t>mm</t>
        </is>
      </c>
      <c r="G17" s="23" t="n"/>
    </row>
    <row r="18" ht="17" customHeight="1">
      <c r="B18" s="23" t="n"/>
      <c r="C18" s="24" t="inlineStr">
        <is>
          <t>Link diameter</t>
        </is>
      </c>
      <c r="D18" s="27" t="inlineStr">
        <is>
          <r>
            <rPr>
              <rFont val="Calibri"/>
              <i val="1"/>
              <color rgb="002B2B2B"/>
              <sz val="10"/>
            </rPr>
            <t>φ</t>
          </r>
          <r>
            <rPr>
              <rFont val="Calibri"/>
              <i val="1"/>
              <color rgb="002B2B2B"/>
              <sz val="10"/>
              <vertAlign val="subscript"/>
            </rPr>
            <t>w</t>
          </r>
        </is>
      </c>
      <c r="E18" s="25" t="n">
        <v>8</v>
      </c>
      <c r="F18" s="28" t="inlineStr">
        <is>
          <t>mm</t>
        </is>
      </c>
      <c r="G18" s="23" t="n"/>
    </row>
    <row r="19" ht="17" customHeight="1">
      <c r="B19" s="26" t="inlineStr">
        <is>
          <t>9.5.3</t>
        </is>
      </c>
      <c r="C19" s="24" t="inlineStr">
        <is>
          <t>Link spacing</t>
        </is>
      </c>
      <c r="D19" s="27" t="inlineStr">
        <is>
          <r>
            <rPr>
              <rFont val="Calibri"/>
              <i val="1"/>
              <color rgb="002B2B2B"/>
              <sz val="10"/>
            </rPr>
            <t>s</t>
          </r>
          <r>
            <rPr>
              <rFont val="Calibri"/>
              <i val="1"/>
              <color rgb="002B2B2B"/>
              <sz val="10"/>
              <vertAlign val="subscript"/>
            </rPr>
            <t>w</t>
          </r>
        </is>
      </c>
      <c r="E19" s="25" t="n">
        <v>250</v>
      </c>
      <c r="F19" s="28" t="inlineStr">
        <is>
          <t>mm</t>
        </is>
      </c>
      <c r="G19" s="23" t="n"/>
    </row>
    <row r="20" ht="17" customHeight="1">
      <c r="B20" s="26" t="inlineStr">
        <is>
          <t>9.5.2(1)</t>
        </is>
      </c>
      <c r="C20" s="24" t="inlineStr">
        <is>
          <t>Bar diameter</t>
        </is>
      </c>
      <c r="D20" s="27" t="inlineStr">
        <is>
          <r>
            <rPr>
              <rFont val="Calibri"/>
              <i val="1"/>
              <color rgb="002B2B2B"/>
              <sz val="10"/>
            </rPr>
            <t>φ</t>
          </r>
        </is>
      </c>
      <c r="E20" s="25" t="n">
        <v>20</v>
      </c>
      <c r="F20" s="28" t="inlineStr">
        <is>
          <t>mm</t>
        </is>
      </c>
      <c r="G20" s="23" t="n"/>
    </row>
    <row r="21" ht="17" customHeight="1">
      <c r="B21" s="23" t="n"/>
      <c r="C21" s="24" t="inlineStr">
        <is>
          <t>Bars on each of the two faces parallel to b</t>
        </is>
      </c>
      <c r="D21" s="27" t="inlineStr">
        <is>
          <r>
            <rPr>
              <rFont val="Calibri"/>
              <i val="1"/>
              <color rgb="002B2B2B"/>
              <sz val="10"/>
            </rPr>
            <t>n</t>
          </r>
        </is>
      </c>
      <c r="E21" s="25" t="n">
        <v>3</v>
      </c>
      <c r="F21" s="23" t="n"/>
      <c r="G21" s="23" t="n"/>
    </row>
    <row r="23" ht="22" customHeight="1">
      <c r="B23" s="20" t="inlineStr">
        <is>
          <t>Inputs  ·  actions</t>
        </is>
      </c>
      <c r="C23" s="21" t="n"/>
      <c r="D23" s="21" t="n"/>
      <c r="E23" s="21" t="n"/>
      <c r="F23" s="21" t="n"/>
      <c r="G23" s="22" t="inlineStr">
        <is>
          <t>ULS design values</t>
        </is>
      </c>
    </row>
    <row r="24" ht="17" customHeight="1">
      <c r="B24" s="23" t="n"/>
      <c r="C24" s="24" t="inlineStr">
        <is>
          <t>Design axial force  (compression)</t>
        </is>
      </c>
      <c r="D24" s="27" t="inlineStr">
        <is>
          <r>
            <rPr>
              <rFont val="Calibri"/>
              <i val="1"/>
              <color rgb="002B2B2B"/>
              <sz val="10"/>
            </rPr>
            <t>N</t>
          </r>
          <r>
            <rPr>
              <rFont val="Calibri"/>
              <i val="1"/>
              <color rgb="002B2B2B"/>
              <sz val="10"/>
              <vertAlign val="subscript"/>
            </rPr>
            <t>Ed</t>
          </r>
        </is>
      </c>
      <c r="E24" s="49" t="n">
        <v>1200</v>
      </c>
      <c r="F24" s="28" t="inlineStr">
        <is>
          <t>kN</t>
        </is>
      </c>
      <c r="G24" s="23" t="n"/>
    </row>
    <row r="25" ht="17" customHeight="1">
      <c r="B25" s="23" t="n"/>
      <c r="C25" s="24" t="inlineStr">
        <is>
          <t>Design moment about the axis parallel to b  (second order included)</t>
        </is>
      </c>
      <c r="D25" s="27" t="inlineStr">
        <is>
          <r>
            <rPr>
              <rFont val="Calibri"/>
              <i val="1"/>
              <color rgb="002B2B2B"/>
              <sz val="10"/>
            </rPr>
            <t>M</t>
          </r>
          <r>
            <rPr>
              <rFont val="Calibri"/>
              <i val="1"/>
              <color rgb="002B2B2B"/>
              <sz val="10"/>
              <vertAlign val="subscript"/>
            </rPr>
            <t>Ed</t>
          </r>
        </is>
      </c>
      <c r="E25" s="29" t="n">
        <v>150</v>
      </c>
      <c r="F25" s="28" t="inlineStr">
        <is>
          <t>kNm</t>
        </is>
      </c>
      <c r="G25" s="26" t="inlineStr">
        <is>
          <t>RC-008, RC-037</t>
        </is>
      </c>
    </row>
    <row r="26" ht="17" customHeight="1">
      <c r="B26" s="23" t="n"/>
      <c r="C26" s="24" t="inlineStr">
        <is>
          <t>Inputs valid and consistent</t>
        </is>
      </c>
      <c r="D26" s="23" t="n"/>
      <c r="E26" s="9" t="n"/>
      <c r="F26" s="23" t="n"/>
      <c r="G26" s="31">
        <f>IF(inputs_ok,"OK","FAIL")</f>
        <v/>
      </c>
    </row>
    <row r="28" ht="22" customHeight="1">
      <c r="B28" s="20" t="inlineStr">
        <is>
          <t>Results</t>
        </is>
      </c>
      <c r="C28" s="21" t="n"/>
      <c r="D28" s="21" t="n"/>
      <c r="E28" s="21" t="n"/>
      <c r="F28" s="21" t="n"/>
      <c r="G28" s="21" t="n"/>
    </row>
    <row r="29" ht="26" customHeight="1">
      <c r="B29" s="32" t="n"/>
      <c r="C29" s="33" t="inlineStr">
        <is>
          <t>Steel area  required / provided  (symmetric, two faces)</t>
        </is>
      </c>
      <c r="D29" s="34" t="inlineStr">
        <is>
          <r>
            <rPr>
              <rFont val="Calibri"/>
              <i val="1"/>
              <color rgb="002B2B2B"/>
              <sz val="11"/>
            </rPr>
            <t>A</t>
          </r>
          <r>
            <rPr>
              <rFont val="Calibri"/>
              <i val="1"/>
              <color rgb="002B2B2B"/>
              <sz val="11"/>
              <vertAlign val="subscript"/>
            </rPr>
            <t>s</t>
          </r>
        </is>
      </c>
      <c r="E29" s="39">
        <f>IF(inputs_ok,IFERROR(TEXT(As_req,"0")&amp;" / "&amp;TEXT(A_sprov,"0"),"&gt; 0.1 Ac / "&amp;TEXT(A_sprov,"0")),"–")</f>
        <v/>
      </c>
      <c r="F29" s="36" t="inlineStr">
        <is>
          <t>mm²</t>
        </is>
      </c>
      <c r="G29" s="37">
        <f>IF(NOT(inputs_ok),"FAIL",IF(bend_ok,"OK","FAIL"))</f>
        <v/>
      </c>
    </row>
    <row r="30" ht="26" customHeight="1">
      <c r="B30" s="32" t="n"/>
      <c r="C30" s="33" t="inlineStr">
        <is>
          <t>Bending with the bars provided  MEd / MRd at NEd</t>
        </is>
      </c>
      <c r="D30" s="32" t="n"/>
      <c r="E30" s="35">
        <f>IF(inputs_ok,IF(MRd_prov&gt;0,M_d/MRd_prov,"–"),"–")</f>
        <v/>
      </c>
      <c r="F30" s="36" t="inlineStr"/>
      <c r="G30" s="37">
        <f>IF(NOT(inputs_ok),"FAIL",IF(AND(ok_prov,MRd_prov&gt;=M_d),"OK","FAIL"))</f>
        <v/>
      </c>
    </row>
    <row r="31" ht="26" customHeight="1">
      <c r="B31" s="32" t="n"/>
      <c r="C31" s="33" t="inlineStr">
        <is>
          <t>Axial force  NEd / NRd,max  (bars provided)</t>
        </is>
      </c>
      <c r="D31" s="32" t="n"/>
      <c r="E31" s="35">
        <f>IF(inputs_ok,N_Ed/N_Rdmax,"–")</f>
        <v/>
      </c>
      <c r="F31" s="36" t="inlineStr"/>
      <c r="G31" s="37">
        <f>IF(NOT(inputs_ok),"FAIL",IF(axial_ok,"OK","FAIL"))</f>
        <v/>
      </c>
    </row>
    <row r="32" ht="26" customHeight="1">
      <c r="B32" s="32" t="n"/>
      <c r="C32" s="33" t="inlineStr">
        <is>
          <t>Detailing  (areas, bar size, gaps, links)</t>
        </is>
      </c>
      <c r="D32" s="32" t="n"/>
      <c r="E32" s="38">
        <f>IF(inputs_ok,A_sprov,"–")</f>
        <v/>
      </c>
      <c r="F32" s="36" t="inlineStr">
        <is>
          <t>mm²</t>
        </is>
      </c>
      <c r="G32" s="37">
        <f>IF(NOT(inputs_ok),"FAIL",IF(det_ok,"OK","FAIL"))</f>
        <v/>
      </c>
    </row>
    <row r="33" ht="26" customHeight="1">
      <c r="B33" s="32" t="n"/>
      <c r="C33" s="33" t="inlineStr">
        <is>
          <t>Design moment  max(MEd; NEd e0)</t>
        </is>
      </c>
      <c r="D33" s="34" t="inlineStr">
        <is>
          <r>
            <rPr>
              <rFont val="Calibri"/>
              <i val="1"/>
              <color rgb="002B2B2B"/>
              <sz val="11"/>
            </rPr>
            <t>M</t>
          </r>
          <r>
            <rPr>
              <rFont val="Calibri"/>
              <i val="1"/>
              <color rgb="002B2B2B"/>
              <sz val="11"/>
              <vertAlign val="subscript"/>
            </rPr>
            <t>Ed</t>
          </r>
        </is>
      </c>
      <c r="E33" s="50">
        <f>IF(inputs_ok,M_d,"–")</f>
        <v/>
      </c>
      <c r="F33" s="36" t="inlineStr">
        <is>
          <t>kNm</t>
        </is>
      </c>
      <c r="G33" s="32" t="n"/>
    </row>
    <row r="34"/>
    <row r="35">
      <c r="B35" s="40" t="inlineStr">
        <is>
          <t>Your section, to scale  ·  compression face on top  ·  neutral axis at MRd of the bars provided (dashed)</t>
        </is>
      </c>
    </row>
    <row r="36"/>
    <row r="37"/>
    <row r="38"/>
    <row r="39"/>
    <row r="40"/>
    <row r="41"/>
    <row r="42"/>
    <row r="43"/>
    <row r="44"/>
    <row r="45"/>
    <row r="46"/>
    <row r="47"/>
    <row r="48"/>
    <row r="49"/>
    <row r="50"/>
    <row r="51"/>
    <row r="52"/>
    <row r="53"/>
    <row r="54" ht="22" customHeight="1">
      <c r="B54" s="20" t="inlineStr">
        <is>
          <t>Calculation  ·  materials and section</t>
        </is>
      </c>
      <c r="C54" s="21" t="n"/>
      <c r="D54" s="21" t="n"/>
      <c r="E54" s="21" t="n"/>
      <c r="F54" s="21" t="n"/>
      <c r="G54" s="21" t="n"/>
    </row>
    <row r="55" ht="17" customHeight="1">
      <c r="B55" s="26" t="inlineStr">
        <is>
          <t>2.4.2.4(1)</t>
        </is>
      </c>
      <c r="C55" s="24" t="inlineStr">
        <is>
          <t>Partial factor, concrete</t>
        </is>
      </c>
      <c r="D55" s="27" t="inlineStr">
        <is>
          <r>
            <rPr>
              <rFont val="Calibri"/>
              <i val="1"/>
              <color rgb="002B2B2B"/>
              <sz val="10"/>
            </rPr>
            <t>γ</t>
          </r>
          <r>
            <rPr>
              <rFont val="Calibri"/>
              <i val="1"/>
              <color rgb="002B2B2B"/>
              <sz val="10"/>
              <vertAlign val="subscript"/>
            </rPr>
            <t>c</t>
          </r>
        </is>
      </c>
      <c r="E55" s="41">
        <f>IF(inputs_ok,ndp_gamma_c,NA())</f>
        <v/>
      </c>
      <c r="F55" s="23" t="n"/>
      <c r="G55" s="26" t="inlineStr">
        <is>
          <t>NDP sheet</t>
        </is>
      </c>
    </row>
    <row r="56" ht="17" customHeight="1">
      <c r="B56" s="26" t="inlineStr">
        <is>
          <t>2.4.2.4(1)</t>
        </is>
      </c>
      <c r="C56" s="24" t="inlineStr">
        <is>
          <t>Partial factor, reinforcement</t>
        </is>
      </c>
      <c r="D56" s="27" t="inlineStr">
        <is>
          <r>
            <rPr>
              <rFont val="Calibri"/>
              <i val="1"/>
              <color rgb="002B2B2B"/>
              <sz val="10"/>
            </rPr>
            <t>γ</t>
          </r>
          <r>
            <rPr>
              <rFont val="Calibri"/>
              <i val="1"/>
              <color rgb="002B2B2B"/>
              <sz val="10"/>
              <vertAlign val="subscript"/>
            </rPr>
            <t>s</t>
          </r>
        </is>
      </c>
      <c r="E56" s="41">
        <f>IF(inputs_ok,ndp_gamma_s,NA())</f>
        <v/>
      </c>
      <c r="F56" s="23" t="n"/>
      <c r="G56" s="26" t="inlineStr">
        <is>
          <t>NDP sheet</t>
        </is>
      </c>
    </row>
    <row r="57" ht="17" customHeight="1">
      <c r="B57" s="26" t="inlineStr">
        <is>
          <t>3.1.6(1)</t>
        </is>
      </c>
      <c r="C57" s="24" t="inlineStr">
        <is>
          <t>Coefficient on compressive strength (flexure)</t>
        </is>
      </c>
      <c r="D57" s="27" t="inlineStr">
        <is>
          <r>
            <rPr>
              <rFont val="Calibri"/>
              <i val="1"/>
              <color rgb="002B2B2B"/>
              <sz val="10"/>
            </rPr>
            <t>α</t>
          </r>
          <r>
            <rPr>
              <rFont val="Calibri"/>
              <i val="1"/>
              <color rgb="002B2B2B"/>
              <sz val="10"/>
              <vertAlign val="subscript"/>
            </rPr>
            <t>cc</t>
          </r>
        </is>
      </c>
      <c r="E57" s="41">
        <f>IF(inputs_ok,ndp_alpha_cc,NA())</f>
        <v/>
      </c>
      <c r="F57" s="23" t="n"/>
      <c r="G57" s="26" t="inlineStr">
        <is>
          <t>NDP sheet</t>
        </is>
      </c>
    </row>
    <row r="58" ht="17" customHeight="1">
      <c r="B58" s="26" t="inlineStr">
        <is>
          <t>9.5.2(1)</t>
        </is>
      </c>
      <c r="C58" s="24" t="inlineStr">
        <is>
          <t>Minimum diameter of longitudinal bars</t>
        </is>
      </c>
      <c r="D58" s="27" t="inlineStr">
        <is>
          <r>
            <rPr>
              <rFont val="Calibri"/>
              <i val="1"/>
              <color rgb="002B2B2B"/>
              <sz val="10"/>
            </rPr>
            <t>φ</t>
          </r>
          <r>
            <rPr>
              <rFont val="Calibri"/>
              <i val="1"/>
              <color rgb="002B2B2B"/>
              <sz val="10"/>
              <vertAlign val="subscript"/>
            </rPr>
            <t>min</t>
          </r>
        </is>
      </c>
      <c r="E58" s="42">
        <f>IF(inputs_ok,ndp_phi_min_col,NA())</f>
        <v/>
      </c>
      <c r="F58" s="28" t="inlineStr">
        <is>
          <t>mm</t>
        </is>
      </c>
      <c r="G58" s="26" t="inlineStr">
        <is>
          <t>NDP sheet</t>
        </is>
      </c>
    </row>
    <row r="59" ht="17" customHeight="1">
      <c r="B59" s="26" t="inlineStr">
        <is>
          <t>Table 3.1</t>
        </is>
      </c>
      <c r="C59" s="24" t="inlineStr">
        <is>
          <t>Characteristic cylinder strength</t>
        </is>
      </c>
      <c r="D59" s="27" t="inlineStr">
        <is>
          <r>
            <rPr>
              <rFont val="Calibri"/>
              <i val="1"/>
              <color rgb="002B2B2B"/>
              <sz val="10"/>
            </rPr>
            <t>f</t>
          </r>
          <r>
            <rPr>
              <rFont val="Calibri"/>
              <i val="1"/>
              <color rgb="002B2B2B"/>
              <sz val="10"/>
              <vertAlign val="subscript"/>
            </rPr>
            <t>ck</t>
          </r>
        </is>
      </c>
      <c r="E59" s="42">
        <f>IF(inputs_ok,VALUE(MID(conc_class,2,FIND("/",conc_class)-2)),NA())</f>
        <v/>
      </c>
      <c r="F59" s="28" t="inlineStr">
        <is>
          <t>MPa</t>
        </is>
      </c>
      <c r="G59" s="23" t="n"/>
    </row>
    <row r="60" ht="17" customHeight="1">
      <c r="B60" s="26" t="inlineStr">
        <is>
          <t>Table 3.1</t>
        </is>
      </c>
      <c r="C60" s="24" t="inlineStr">
        <is>
          <t>Mean tensile strength</t>
        </is>
      </c>
      <c r="D60" s="27" t="inlineStr">
        <is>
          <r>
            <rPr>
              <rFont val="Calibri"/>
              <i val="1"/>
              <color rgb="002B2B2B"/>
              <sz val="10"/>
            </rPr>
            <t>f</t>
          </r>
          <r>
            <rPr>
              <rFont val="Calibri"/>
              <i val="1"/>
              <color rgb="002B2B2B"/>
              <sz val="10"/>
              <vertAlign val="subscript"/>
            </rPr>
            <t>ctm</t>
          </r>
        </is>
      </c>
      <c r="E60" s="41">
        <f>IF(inputs_ok,IF(f_ck&lt;=50,0.3*f_ck^(2/3),2.12*LN(1+(f_ck+8)/10)),NA())</f>
        <v/>
      </c>
      <c r="F60" s="28" t="inlineStr">
        <is>
          <t>MPa</t>
        </is>
      </c>
      <c r="G60" s="23" t="n"/>
    </row>
    <row r="61" ht="17" customHeight="1">
      <c r="B61" s="26" t="inlineStr">
        <is>
          <t>3.1.6(1)</t>
        </is>
      </c>
      <c r="C61" s="24" t="inlineStr">
        <is>
          <t>Design compressive strength  αcc fck / γc</t>
        </is>
      </c>
      <c r="D61" s="27" t="inlineStr">
        <is>
          <r>
            <rPr>
              <rFont val="Calibri"/>
              <i val="1"/>
              <color rgb="002B2B2B"/>
              <sz val="10"/>
            </rPr>
            <t>f</t>
          </r>
          <r>
            <rPr>
              <rFont val="Calibri"/>
              <i val="1"/>
              <color rgb="002B2B2B"/>
              <sz val="10"/>
              <vertAlign val="subscript"/>
            </rPr>
            <t>cd</t>
          </r>
        </is>
      </c>
      <c r="E61" s="41">
        <f>IF(inputs_ok,alpha_cc*f_ck/gamma_c,NA())</f>
        <v/>
      </c>
      <c r="F61" s="28" t="inlineStr">
        <is>
          <t>MPa</t>
        </is>
      </c>
      <c r="G61" s="23" t="n"/>
    </row>
    <row r="62" ht="17" customHeight="1">
      <c r="B62" s="26" t="inlineStr">
        <is>
          <t>3.2.7</t>
        </is>
      </c>
      <c r="C62" s="24" t="inlineStr">
        <is>
          <t>Design yield strength  (Es = 200 GPa)</t>
        </is>
      </c>
      <c r="D62" s="27" t="inlineStr">
        <is>
          <r>
            <rPr>
              <rFont val="Calibri"/>
              <i val="1"/>
              <color rgb="002B2B2B"/>
              <sz val="10"/>
            </rPr>
            <t>f</t>
          </r>
          <r>
            <rPr>
              <rFont val="Calibri"/>
              <i val="1"/>
              <color rgb="002B2B2B"/>
              <sz val="10"/>
              <vertAlign val="subscript"/>
            </rPr>
            <t>yd</t>
          </r>
        </is>
      </c>
      <c r="E62" s="43">
        <f>IF(inputs_ok,f_yk/gamma_s,NA())</f>
        <v/>
      </c>
      <c r="F62" s="28" t="inlineStr">
        <is>
          <t>MPa</t>
        </is>
      </c>
      <c r="G62" s="23" t="n"/>
    </row>
    <row r="63" ht="17" customHeight="1">
      <c r="B63" s="23" t="n"/>
      <c r="C63" s="24" t="inlineStr">
        <is>
          <t>Gross area  b h</t>
        </is>
      </c>
      <c r="D63" s="27" t="inlineStr">
        <is>
          <r>
            <rPr>
              <rFont val="Calibri"/>
              <i val="1"/>
              <color rgb="002B2B2B"/>
              <sz val="10"/>
            </rPr>
            <t>A</t>
          </r>
          <r>
            <rPr>
              <rFont val="Calibri"/>
              <i val="1"/>
              <color rgb="002B2B2B"/>
              <sz val="10"/>
              <vertAlign val="subscript"/>
            </rPr>
            <t>c</t>
          </r>
        </is>
      </c>
      <c r="E63" s="42">
        <f>IF(inputs_ok,b_col*h_col,NA())</f>
        <v/>
      </c>
      <c r="F63" s="28" t="inlineStr">
        <is>
          <t>mm²</t>
        </is>
      </c>
      <c r="G63" s="23" t="n"/>
    </row>
    <row r="64" ht="17" customHeight="1">
      <c r="B64" s="23" t="n"/>
      <c r="C64" s="24" t="inlineStr">
        <is>
          <t>Centre of the bars from each face  c + φw + φ/2</t>
        </is>
      </c>
      <c r="D64" s="27" t="inlineStr">
        <is>
          <r>
            <rPr>
              <rFont val="Calibri"/>
              <i val="1"/>
              <color rgb="002B2B2B"/>
              <sz val="10"/>
            </rPr>
            <t>d</t>
          </r>
          <r>
            <rPr>
              <rFont val="Calibri"/>
              <i val="1"/>
              <color rgb="002B2B2B"/>
              <sz val="10"/>
              <vertAlign val="subscript"/>
            </rPr>
            <t>2</t>
          </r>
        </is>
      </c>
      <c r="E64" s="42">
        <f>IF(inputs_ok,d_2,NA())</f>
        <v/>
      </c>
      <c r="F64" s="28" t="inlineStr">
        <is>
          <t>mm</t>
        </is>
      </c>
      <c r="G64" s="23" t="n"/>
    </row>
    <row r="65" ht="17" customHeight="1">
      <c r="B65" s="26" t="inlineStr">
        <is>
          <t>6.1(4)</t>
        </is>
      </c>
      <c r="C65" s="24" t="inlineStr">
        <is>
          <t>Minimum eccentricity  max(h/30; 20 mm)</t>
        </is>
      </c>
      <c r="D65" s="27" t="inlineStr">
        <is>
          <r>
            <rPr>
              <rFont val="Calibri"/>
              <i val="1"/>
              <color rgb="002B2B2B"/>
              <sz val="10"/>
            </rPr>
            <t>e</t>
          </r>
          <r>
            <rPr>
              <rFont val="Calibri"/>
              <i val="1"/>
              <color rgb="002B2B2B"/>
              <sz val="10"/>
              <vertAlign val="subscript"/>
            </rPr>
            <t>0</t>
          </r>
        </is>
      </c>
      <c r="E65" s="43">
        <f>IF(inputs_ok,MAX(h_col/30,20),NA())</f>
        <v/>
      </c>
      <c r="F65" s="28" t="inlineStr">
        <is>
          <t>mm</t>
        </is>
      </c>
      <c r="G65" s="23" t="n"/>
    </row>
    <row r="66" ht="17" customHeight="1">
      <c r="B66" s="26" t="inlineStr">
        <is>
          <t>6.1(4)</t>
        </is>
      </c>
      <c r="C66" s="24" t="inlineStr">
        <is>
          <t>Design moment  max(MEd; NEd e0)</t>
        </is>
      </c>
      <c r="D66" s="27" t="inlineStr">
        <is>
          <r>
            <rPr>
              <rFont val="Calibri"/>
              <i val="1"/>
              <color rgb="002B2B2B"/>
              <sz val="10"/>
            </rPr>
            <t>M</t>
          </r>
          <r>
            <rPr>
              <rFont val="Calibri"/>
              <i val="1"/>
              <color rgb="002B2B2B"/>
              <sz val="10"/>
              <vertAlign val="subscript"/>
            </rPr>
            <t>Ed</t>
          </r>
        </is>
      </c>
      <c r="E66" s="46">
        <f>IF(inputs_ok,MAX(M_Ed,N_Ed*e_0/1000),NA())</f>
        <v/>
      </c>
      <c r="F66" s="28" t="inlineStr">
        <is>
          <t>kNm</t>
        </is>
      </c>
      <c r="G66" s="23" t="n"/>
    </row>
    <row r="67"/>
    <row r="68" ht="22" customHeight="1">
      <c r="B68" s="20" t="inlineStr">
        <is>
          <t>Calculation  ·  steel area by strain compatibility  (see Iter Column)</t>
        </is>
      </c>
      <c r="C68" s="21" t="n"/>
      <c r="D68" s="21" t="n"/>
      <c r="E68" s="21" t="n"/>
      <c r="F68" s="21" t="n"/>
      <c r="G68" s="21" t="n"/>
    </row>
    <row r="69" ht="17" customHeight="1">
      <c r="B69" s="23" t="n"/>
      <c r="C69" s="24" t="inlineStr">
        <is>
          <t>Upper bound of the search  0.1 Ac</t>
        </is>
      </c>
      <c r="D69" s="23" t="n"/>
      <c r="E69" s="42">
        <f>IF(inputs_ok,0.1*A_c,NA())</f>
        <v/>
      </c>
      <c r="F69" s="28" t="inlineStr">
        <is>
          <t>mm²</t>
        </is>
      </c>
      <c r="G69" s="23" t="n"/>
    </row>
    <row r="70" ht="17" customHeight="1">
      <c r="B70" s="26" t="inlineStr">
        <is>
          <t>6.1</t>
        </is>
      </c>
      <c r="C70" s="24" t="inlineStr">
        <is>
          <t>MRd at NEd with the upper bound  (−1E9: NEd above NRd,max)</t>
        </is>
      </c>
      <c r="D70" s="23" t="n"/>
      <c r="E70" s="43">
        <f>IF(inputs_ok,MRd_top,NA())</f>
        <v/>
      </c>
      <c r="F70" s="28" t="inlineStr">
        <is>
          <t>kNm</t>
        </is>
      </c>
      <c r="G70" s="23" t="n"/>
    </row>
    <row r="71" ht="17" customHeight="1">
      <c r="B71" s="26" t="inlineStr">
        <is>
          <t>6.1</t>
        </is>
      </c>
      <c r="C71" s="24" t="inlineStr">
        <is>
          <t>Steel area required  (bisection: MRd(As) at NEd = M_Ed)</t>
        </is>
      </c>
      <c r="D71" s="27" t="inlineStr">
        <is>
          <r>
            <rPr>
              <rFont val="Calibri"/>
              <i val="1"/>
              <color rgb="002B2B2B"/>
              <sz val="10"/>
            </rPr>
            <t>A</t>
          </r>
          <r>
            <rPr>
              <rFont val="Calibri"/>
              <i val="1"/>
              <color rgb="002B2B2B"/>
              <sz val="10"/>
              <vertAlign val="subscript"/>
            </rPr>
            <t>s,req</t>
          </r>
        </is>
      </c>
      <c r="E71" s="45">
        <f>IF(inputs_ok,IF(MRd_top&gt;=M_d,As_hi,NA()),NA())</f>
        <v/>
      </c>
      <c r="F71" s="28" t="inlineStr">
        <is>
          <t>mm²</t>
        </is>
      </c>
      <c r="G71" s="26" t="inlineStr">
        <is>
          <t>N/A: more than 0.1 Ac</t>
        </is>
      </c>
    </row>
    <row r="72" ht="17" customHeight="1">
      <c r="B72" s="23" t="n"/>
      <c r="C72" s="24" t="inlineStr">
        <is>
          <t>Steel area provided  2 n π φ² / 4</t>
        </is>
      </c>
      <c r="D72" s="27" t="inlineStr">
        <is>
          <r>
            <rPr>
              <rFont val="Calibri"/>
              <i val="1"/>
              <color rgb="002B2B2B"/>
              <sz val="10"/>
            </rPr>
            <t>A</t>
          </r>
          <r>
            <rPr>
              <rFont val="Calibri"/>
              <i val="1"/>
              <color rgb="002B2B2B"/>
              <sz val="10"/>
              <vertAlign val="subscript"/>
            </rPr>
            <t>s,prov</t>
          </r>
        </is>
      </c>
      <c r="E72" s="42">
        <f>IF(inputs_ok,2*n_f*PI()*phi_c^2/4,NA())</f>
        <v/>
      </c>
      <c r="F72" s="28" t="inlineStr">
        <is>
          <t>mm²</t>
        </is>
      </c>
      <c r="G72" s="23" t="n"/>
    </row>
    <row r="73" ht="17" customHeight="1">
      <c r="B73" s="26" t="inlineStr">
        <is>
          <t>6.1</t>
        </is>
      </c>
      <c r="C73" s="24" t="inlineStr">
        <is>
          <t>Moment resistance at NEd with the bars provided</t>
        </is>
      </c>
      <c r="D73" s="27" t="inlineStr">
        <is>
          <r>
            <rPr>
              <rFont val="Calibri"/>
              <i val="1"/>
              <color rgb="002B2B2B"/>
              <sz val="10"/>
            </rPr>
            <t>M</t>
          </r>
          <r>
            <rPr>
              <rFont val="Calibri"/>
              <i val="1"/>
              <color rgb="002B2B2B"/>
              <sz val="10"/>
              <vertAlign val="subscript"/>
            </rPr>
            <t>Rd</t>
          </r>
        </is>
      </c>
      <c r="E73" s="46">
        <f>IF(inputs_ok,IF(ok_prov,MRd_prov,"NEd &gt; NRd,max"),NA())</f>
        <v/>
      </c>
      <c r="F73" s="28" t="inlineStr">
        <is>
          <t>kNm</t>
        </is>
      </c>
      <c r="G73" s="23" t="n"/>
    </row>
    <row r="74" ht="17" customHeight="1">
      <c r="B74" s="26" t="inlineStr">
        <is>
          <t>6.1(5)</t>
        </is>
      </c>
      <c r="C74" s="24" t="inlineStr">
        <is>
          <t>Axial resistance, uniform strain εc2 = 0.002  fcd Ac + As (σs − fcd)</t>
        </is>
      </c>
      <c r="D74" s="27" t="inlineStr">
        <is>
          <r>
            <rPr>
              <rFont val="Calibri"/>
              <i val="1"/>
              <color rgb="002B2B2B"/>
              <sz val="10"/>
            </rPr>
            <t>N</t>
          </r>
          <r>
            <rPr>
              <rFont val="Calibri"/>
              <i val="1"/>
              <color rgb="002B2B2B"/>
              <sz val="10"/>
              <vertAlign val="subscript"/>
            </rPr>
            <t>Rd,max</t>
          </r>
        </is>
      </c>
      <c r="E74" s="42">
        <f>IF(inputs_ok,(f_cd*A_c+A_sprov*(MIN(f_yd,200000*0.002)-f_cd))/1000,NA())</f>
        <v/>
      </c>
      <c r="F74" s="28" t="inlineStr">
        <is>
          <t>kN</t>
        </is>
      </c>
      <c r="G74" s="23" t="n"/>
    </row>
    <row r="75" ht="17" customHeight="1">
      <c r="B75" s="26" t="inlineStr">
        <is>
          <t>6.1</t>
        </is>
      </c>
      <c r="C75" s="24" t="inlineStr">
        <is>
          <t>As,prov ≥ As,req  and  MEd ≤ MRd</t>
        </is>
      </c>
      <c r="D75" s="27" t="inlineStr">
        <is>
          <r>
            <rPr>
              <rFont val="Calibri"/>
              <i val="1"/>
              <color rgb="002B2B2B"/>
              <sz val="10"/>
            </rPr>
            <t>A</t>
          </r>
          <r>
            <rPr>
              <rFont val="Calibri"/>
              <i val="1"/>
              <color rgb="002B2B2B"/>
              <sz val="10"/>
              <vertAlign val="subscript"/>
            </rPr>
            <t>s</t>
          </r>
        </is>
      </c>
      <c r="E75" s="42">
        <f>IF(inputs_ok,A_sprov,NA())</f>
        <v/>
      </c>
      <c r="F75" s="28" t="inlineStr">
        <is>
          <t>mm²</t>
        </is>
      </c>
      <c r="G75" s="31">
        <f>IF(NOT(inputs_ok),"FAIL",IF(bend_ok,"OK","FAIL"))</f>
        <v/>
      </c>
    </row>
    <row r="76" ht="17" customHeight="1">
      <c r="B76" s="26" t="inlineStr">
        <is>
          <t>6.1(5)</t>
        </is>
      </c>
      <c r="C76" s="24" t="inlineStr">
        <is>
          <t>NEd ≤ NRd,max</t>
        </is>
      </c>
      <c r="D76" s="27" t="inlineStr">
        <is>
          <r>
            <rPr>
              <rFont val="Calibri"/>
              <i val="1"/>
              <color rgb="002B2B2B"/>
              <sz val="10"/>
            </rPr>
            <t>N</t>
          </r>
          <r>
            <rPr>
              <rFont val="Calibri"/>
              <i val="1"/>
              <color rgb="002B2B2B"/>
              <sz val="10"/>
              <vertAlign val="subscript"/>
            </rPr>
            <t>Ed</t>
          </r>
        </is>
      </c>
      <c r="E76" s="42">
        <f>IF(inputs_ok,N_Ed,NA())</f>
        <v/>
      </c>
      <c r="F76" s="28" t="inlineStr">
        <is>
          <t>kN</t>
        </is>
      </c>
      <c r="G76" s="31">
        <f>IF(NOT(inputs_ok),"FAIL",IF(axial_ok,"OK","FAIL"))</f>
        <v/>
      </c>
    </row>
    <row r="77"/>
    <row r="78" ht="22" customHeight="1">
      <c r="B78" s="20" t="inlineStr">
        <is>
          <t>Calculation  ·  detailing  (9.5)</t>
        </is>
      </c>
      <c r="C78" s="21" t="n"/>
      <c r="D78" s="21" t="n"/>
      <c r="E78" s="21" t="n"/>
      <c r="F78" s="21" t="n"/>
      <c r="G78" s="21" t="n"/>
    </row>
    <row r="79" ht="17" customHeight="1">
      <c r="B79" s="26" t="inlineStr">
        <is>
          <t>(9.12N)</t>
        </is>
      </c>
      <c r="C79" s="24" t="inlineStr">
        <is>
          <t>Minimum  max(0.10 NEd / fyd; 0.002 Ac)</t>
        </is>
      </c>
      <c r="D79" s="27" t="inlineStr">
        <is>
          <r>
            <rPr>
              <rFont val="Calibri"/>
              <i val="1"/>
              <color rgb="002B2B2B"/>
              <sz val="10"/>
            </rPr>
            <t>A</t>
          </r>
          <r>
            <rPr>
              <rFont val="Calibri"/>
              <i val="1"/>
              <color rgb="002B2B2B"/>
              <sz val="10"/>
              <vertAlign val="subscript"/>
            </rPr>
            <t>s,min</t>
          </r>
        </is>
      </c>
      <c r="E79" s="42">
        <f>IF(inputs_ok,MAX(0.1*N_Ed*1000/f_yd,0.002*A_c),NA())</f>
        <v/>
      </c>
      <c r="F79" s="28" t="inlineStr">
        <is>
          <t>mm²</t>
        </is>
      </c>
      <c r="G79" s="23" t="n"/>
    </row>
    <row r="80" ht="17" customHeight="1">
      <c r="B80" s="26" t="inlineStr">
        <is>
          <t>9.5.2(3)</t>
        </is>
      </c>
      <c r="C80" s="24" t="inlineStr">
        <is>
          <t>Maximum  0.04 Ac  (outside laps)</t>
        </is>
      </c>
      <c r="D80" s="27" t="inlineStr">
        <is>
          <r>
            <rPr>
              <rFont val="Calibri"/>
              <i val="1"/>
              <color rgb="002B2B2B"/>
              <sz val="10"/>
            </rPr>
            <t>A</t>
          </r>
          <r>
            <rPr>
              <rFont val="Calibri"/>
              <i val="1"/>
              <color rgb="002B2B2B"/>
              <sz val="10"/>
              <vertAlign val="subscript"/>
            </rPr>
            <t>s,max</t>
          </r>
        </is>
      </c>
      <c r="E80" s="42">
        <f>IF(inputs_ok,0.04*A_c,NA())</f>
        <v/>
      </c>
      <c r="F80" s="28" t="inlineStr">
        <is>
          <t>mm²</t>
        </is>
      </c>
      <c r="G80" s="23" t="n"/>
    </row>
    <row r="81" ht="17" customHeight="1">
      <c r="B81" s="26" t="inlineStr">
        <is>
          <t>8.2(2)</t>
        </is>
      </c>
      <c r="C81" s="24" t="inlineStr">
        <is>
          <t>Minimum clear gap  max(φ; dg + 5; 20)</t>
        </is>
      </c>
      <c r="D81" s="27" t="inlineStr">
        <is>
          <r>
            <rPr>
              <rFont val="Calibri"/>
              <i val="1"/>
              <color rgb="002B2B2B"/>
              <sz val="10"/>
            </rPr>
            <t>a</t>
          </r>
          <r>
            <rPr>
              <rFont val="Calibri"/>
              <i val="1"/>
              <color rgb="002B2B2B"/>
              <sz val="10"/>
              <vertAlign val="subscript"/>
            </rPr>
            <t>min</t>
          </r>
        </is>
      </c>
      <c r="E81" s="42">
        <f>IF(inputs_ok,MAX(phi_c,d_g+5,20),NA())</f>
        <v/>
      </c>
      <c r="F81" s="28" t="inlineStr">
        <is>
          <t>mm</t>
        </is>
      </c>
      <c r="G81" s="23" t="n"/>
    </row>
    <row r="82" ht="17" customHeight="1">
      <c r="B82" s="23" t="n"/>
      <c r="C82" s="24" t="inlineStr">
        <is>
          <t>Clear gap along b  (b − 2 d2)/(n − 1) − φ</t>
        </is>
      </c>
      <c r="D82" s="27" t="inlineStr">
        <is>
          <r>
            <rPr>
              <rFont val="Calibri"/>
              <i val="1"/>
              <color rgb="002B2B2B"/>
              <sz val="10"/>
            </rPr>
            <t>a</t>
          </r>
        </is>
      </c>
      <c r="E82" s="42">
        <f>IF(inputs_ok,(b_col-2*d_2)/(n_f-1)-phi_c,NA())</f>
        <v/>
      </c>
      <c r="F82" s="28" t="inlineStr">
        <is>
          <t>mm</t>
        </is>
      </c>
      <c r="G82" s="23" t="n"/>
    </row>
    <row r="83" ht="17" customHeight="1">
      <c r="B83" s="26" t="inlineStr">
        <is>
          <t>8.2(2)</t>
        </is>
      </c>
      <c r="C83" s="24" t="inlineStr">
        <is>
          <t>Clear gap between the two layers  h − 2 d2 − φ</t>
        </is>
      </c>
      <c r="D83" s="27" t="inlineStr">
        <is>
          <r>
            <rPr>
              <rFont val="Calibri"/>
              <i val="1"/>
              <color rgb="002B2B2B"/>
              <sz val="10"/>
            </rPr>
            <t>a</t>
          </r>
          <r>
            <rPr>
              <rFont val="Calibri"/>
              <i val="1"/>
              <color rgb="002B2B2B"/>
              <sz val="10"/>
              <vertAlign val="subscript"/>
            </rPr>
            <t>h</t>
          </r>
        </is>
      </c>
      <c r="E83" s="42">
        <f>IF(inputs_ok,h_col-2*d_2-phi_c,NA())</f>
        <v/>
      </c>
      <c r="F83" s="28" t="inlineStr">
        <is>
          <t>mm</t>
        </is>
      </c>
      <c r="G83" s="23" t="n"/>
    </row>
    <row r="84" ht="17" customHeight="1">
      <c r="B84" s="26" t="inlineStr">
        <is>
          <t>9.5.3(1)</t>
        </is>
      </c>
      <c r="C84" s="24" t="inlineStr">
        <is>
          <t>Minimum link diameter  max(6; φ/4)</t>
        </is>
      </c>
      <c r="D84" s="27" t="inlineStr">
        <is>
          <r>
            <rPr>
              <rFont val="Calibri"/>
              <i val="1"/>
              <color rgb="002B2B2B"/>
              <sz val="10"/>
            </rPr>
            <t>φ</t>
          </r>
          <r>
            <rPr>
              <rFont val="Calibri"/>
              <i val="1"/>
              <color rgb="002B2B2B"/>
              <sz val="10"/>
              <vertAlign val="subscript"/>
            </rPr>
            <t>w,min</t>
          </r>
        </is>
      </c>
      <c r="E84" s="43">
        <f>IF(inputs_ok,MAX(6,phi_c/4),NA())</f>
        <v/>
      </c>
      <c r="F84" s="28" t="inlineStr">
        <is>
          <t>mm</t>
        </is>
      </c>
      <c r="G84" s="23" t="n"/>
    </row>
    <row r="85" ht="17" customHeight="1">
      <c r="B85" s="26" t="inlineStr">
        <is>
          <t>9.5.3(3)</t>
        </is>
      </c>
      <c r="C85" s="24" t="inlineStr">
        <is>
          <t>Maximum link spacing  min(20 φ; b; h; 400)</t>
        </is>
      </c>
      <c r="D85" s="27" t="inlineStr">
        <is>
          <r>
            <rPr>
              <rFont val="Calibri"/>
              <i val="1"/>
              <color rgb="002B2B2B"/>
              <sz val="10"/>
            </rPr>
            <t>s</t>
          </r>
          <r>
            <rPr>
              <rFont val="Calibri"/>
              <i val="1"/>
              <color rgb="002B2B2B"/>
              <sz val="10"/>
              <vertAlign val="subscript"/>
            </rPr>
            <t>cl,tmax</t>
          </r>
        </is>
      </c>
      <c r="E85" s="42">
        <f>IF(inputs_ok,MIN(20*phi_c,b_col,h_col,400),NA())</f>
        <v/>
      </c>
      <c r="F85" s="28" t="inlineStr">
        <is>
          <t>mm</t>
        </is>
      </c>
      <c r="G85" s="23" t="n"/>
    </row>
    <row r="86" ht="17" customHeight="1">
      <c r="B86" s="26" t="inlineStr">
        <is>
          <t>9.5</t>
        </is>
      </c>
      <c r="C86" s="24" t="inlineStr">
        <is>
          <t>As,min ≤ As ≤ As,max, φ ≥ φmin, gaps, links</t>
        </is>
      </c>
      <c r="D86" s="27" t="inlineStr">
        <is>
          <r>
            <rPr>
              <rFont val="Calibri"/>
              <i val="1"/>
              <color rgb="002B2B2B"/>
              <sz val="10"/>
            </rPr>
            <t>A</t>
          </r>
          <r>
            <rPr>
              <rFont val="Calibri"/>
              <i val="1"/>
              <color rgb="002B2B2B"/>
              <sz val="10"/>
              <vertAlign val="subscript"/>
            </rPr>
            <t>s</t>
          </r>
        </is>
      </c>
      <c r="E86" s="42">
        <f>IF(inputs_ok,A_sprov,NA())</f>
        <v/>
      </c>
      <c r="F86" s="28" t="inlineStr">
        <is>
          <t>mm²</t>
        </is>
      </c>
      <c r="G86" s="31">
        <f>IF(NOT(inputs_ok),"FAIL",IF(det_ok,"OK","FAIL"))</f>
        <v/>
      </c>
    </row>
    <row r="87" ht="104" customHeight="1">
      <c r="B87" s="48" t="inlineStr">
        <is>
          <t>Two layers of bars, nb on each face parallel to b, symmetric; bars along the sides are not counted. Concrete: parabola-rectangle diagram of 3.1.7(1), σc = fcd [1 − (1 − εc / εc2)²] up to εc2 = 0.002 and fcd up to εcu2 = 0.0035, integrated over the section in closed form, for every neutral axis depth. Strain limits of 6.1(5) and Fig 6.1: εcu2 at the compressed face while x ≤ h; with the whole section compressed the strain diagram turns about εc2 at 3h/7 from the compressed face, ending at εc2 everywhere (NRd,max). Bars elastic-plastic, Es = 200 GPa, horizontal top branch; the concrete they displace is deducted as As σc at the bar centre. N(x) rises with x for two equal layers, so one root. MEd is the design moment about the axis parallel to b with imperfections and second order effects included (RC-008, RC-037); biaxial bending is not covered. Cross-ties of the bars within 150 mm (9.5.3(6)) and the 0.6 link spacing near beams and laps (9.5.3(4)) are for the designer.</t>
        </is>
      </c>
    </row>
    <row r="88"/>
    <row r="89" ht="29" customHeight="1">
      <c r="B89" s="48"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7">
    <mergeCell ref="B89:G89"/>
    <mergeCell ref="E5:G5"/>
    <mergeCell ref="D2:G2"/>
    <mergeCell ref="E7:G7"/>
    <mergeCell ref="E6:G6"/>
    <mergeCell ref="C3:G3"/>
    <mergeCell ref="B87:G87"/>
  </mergeCells>
  <conditionalFormatting sqref="G9:G90">
    <cfRule type="expression" priority="1" dxfId="0">
      <formula>G9="OK"</formula>
    </cfRule>
    <cfRule type="expression" priority="2" dxfId="1">
      <formula>G9="FAIL"</formula>
    </cfRule>
    <cfRule type="expression" priority="3" dxfId="2">
      <formula>LEFT(G9,1)="!"</formula>
    </cfRule>
  </conditionalFormatting>
  <dataValidations count="13">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Enter a number greater than 0." type="decimal" errorStyle="stop" operator="greaterThan">
      <formula1>0</formula1>
    </dataValidation>
    <dataValidation sqref="E15" showDropDown="0" showInputMessage="0" showErrorMessage="1" allowBlank="0" errorTitle="NA Engineering" error="Enter a number greater than 0." type="decimal" errorStyle="stop" operator="greaterThan">
      <formula1>0</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0" errorTitle="NA Engineering" error="Enter a number greater than 0." type="decimal" errorStyle="stop" operator="greaterThan">
      <formula1>0</formula1>
    </dataValidation>
    <dataValidation sqref="E18" showDropDown="0" showInputMessage="0" showErrorMessage="1" allowBlank="0" errorTitle="NA Engineering" error="Pick a value from the list." type="list" errorStyle="stop">
      <formula1>"6,8,10,12"</formula1>
    </dataValidation>
    <dataValidation sqref="E19" showDropDown="0" showInputMessage="0" showErrorMessage="1" allowBlank="0" errorTitle="NA Engineering" error="Enter a number greater than 0." type="decimal" errorStyle="stop" operator="greaterThan">
      <formula1>0</formula1>
    </dataValidation>
    <dataValidation sqref="E20" showDropDown="0" showInputMessage="0" showErrorMessage="1" allowBlank="0" errorTitle="NA Engineering" error="Pick a value from the list." type="list" errorStyle="stop">
      <formula1>"6,8,10,12,16,20,25,32,40"</formula1>
    </dataValidation>
    <dataValidation sqref="E21" showDropDown="0" showInputMessage="0" showErrorMessage="1" allowBlank="0" errorTitle="NA Engineering" error="Pick a value from the list." type="list" errorStyle="stop">
      <formula1>"2,3,4,5,6,7,8,9,10"</formula1>
    </dataValidation>
    <dataValidation sqref="E24" showDropDown="0" showInputMessage="0" showErrorMessage="1" allowBlank="0" errorTitle="NA Engineering" error="Enter a number ≥ 0." type="decimal" errorStyle="stop" operator="greaterThanOrEqual">
      <formula1>0</formula1>
    </dataValidation>
    <dataValidation sqref="E25" showDropDown="0" showInputMessage="0" showErrorMessage="1" allowBlank="0" errorTitle="NA Engineering" error="Enter a number ≥ 0." type="decimal" errorStyle="stop" operator="greaterThanOrEqual">
      <formula1>0</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&amp;K8A8A8ANAE-RC-040  v1.0</oddFooter>
    <evenHeader/>
    <evenFooter/>
    <firstHeader/>
    <firstFooter/>
  </headerFooter>
  <rowBreaks count="1" manualBreakCount="1">
    <brk id="27" min="0" max="16383" man="1"/>
  </rowBreaks>
  <drawing xmlns:r="http://schemas.openxmlformats.org/officeDocument/2006/relationships" r:id="rId1"/>
</worksheet>
</file>

<file path=xl/worksheets/sheet11.xml><?xml version="1.0" encoding="utf-8"?>
<worksheet xmlns="http://schemas.openxmlformats.org/spreadsheetml/2006/main">
  <sheetPr>
    <outlinePr summaryBelow="1" summaryRight="1"/>
    <pageSetUpPr/>
  </sheetPr>
  <dimension ref="A1:CT19"/>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section</t>
        </is>
      </c>
      <c r="G2" t="inlineStr">
        <is>
          <t>link</t>
        </is>
      </c>
      <c r="J2" t="inlineStr">
        <is>
          <t>bar top 0</t>
        </is>
      </c>
      <c r="M2" t="inlineStr">
        <is>
          <t>bar bottom 0</t>
        </is>
      </c>
      <c r="P2" t="inlineStr">
        <is>
          <t>bar top 1</t>
        </is>
      </c>
      <c r="S2" t="inlineStr">
        <is>
          <t>bar bottom 1</t>
        </is>
      </c>
      <c r="V2" t="inlineStr">
        <is>
          <t>bar top 2</t>
        </is>
      </c>
      <c r="Y2" t="inlineStr">
        <is>
          <t>bar bottom 2</t>
        </is>
      </c>
      <c r="AB2" t="inlineStr">
        <is>
          <t>bar top 3</t>
        </is>
      </c>
      <c r="AE2" t="inlineStr">
        <is>
          <t>bar bottom 3</t>
        </is>
      </c>
      <c r="AH2" t="inlineStr">
        <is>
          <t>bar top 4</t>
        </is>
      </c>
      <c r="AK2" t="inlineStr">
        <is>
          <t>bar bottom 4</t>
        </is>
      </c>
      <c r="AN2" t="inlineStr">
        <is>
          <t>bar top 5</t>
        </is>
      </c>
      <c r="AQ2" t="inlineStr">
        <is>
          <t>bar bottom 5</t>
        </is>
      </c>
      <c r="AT2" t="inlineStr">
        <is>
          <t>bar top 6</t>
        </is>
      </c>
      <c r="AW2" t="inlineStr">
        <is>
          <t>bar bottom 6</t>
        </is>
      </c>
      <c r="AZ2" t="inlineStr">
        <is>
          <t>bar top 7</t>
        </is>
      </c>
      <c r="BC2" t="inlineStr">
        <is>
          <t>bar bottom 7</t>
        </is>
      </c>
      <c r="BF2" t="inlineStr">
        <is>
          <t>bar top 8</t>
        </is>
      </c>
      <c r="BI2" t="inlineStr">
        <is>
          <t>bar bottom 8</t>
        </is>
      </c>
      <c r="BL2" t="inlineStr">
        <is>
          <t>bar top 9</t>
        </is>
      </c>
      <c r="BO2" t="inlineStr">
        <is>
          <t>bar bottom 9</t>
        </is>
      </c>
      <c r="BR2" t="inlineStr">
        <is>
          <t>neutral axis</t>
        </is>
      </c>
      <c r="BU2" t="inlineStr">
        <is>
          <t>dim</t>
        </is>
      </c>
      <c r="BX2">
        <f>IF(inputs_ok,"b "&amp;TEXT(b_col,"0"),"")</f>
        <v/>
      </c>
      <c r="CA2" t="inlineStr">
        <is>
          <t>dim</t>
        </is>
      </c>
      <c r="CD2">
        <f>IF(inputs_ok,"h "&amp;TEXT(h_col,"0"),"")</f>
        <v/>
      </c>
      <c r="CG2">
        <f>IF(inputs_ok,"2 × "&amp;n_f&amp;" φ"&amp;phi_c,"")</f>
        <v/>
      </c>
      <c r="CJ2">
        <f>IF(inputs_ok,"links φ"&amp;phi_w&amp;" @ "&amp;s_w,"")</f>
        <v/>
      </c>
      <c r="CM2">
        <f>IF(inputs_ok,IF(AND(ok_prov,x_prov&lt;h_col),"x "&amp;TEXT(x_prov,"0"),""),"")</f>
        <v/>
      </c>
      <c r="CP2" t="inlineStr">
        <is>
          <t>compression face</t>
        </is>
      </c>
      <c r="CS2" t="inlineStr">
        <is>
          <t>frame</t>
        </is>
      </c>
    </row>
    <row r="3">
      <c r="A3">
        <f>0</f>
        <v/>
      </c>
      <c r="B3">
        <f>0</f>
        <v/>
      </c>
      <c r="D3">
        <f>IF(inputs_ok,0,NA())</f>
        <v/>
      </c>
      <c r="E3">
        <f>0</f>
        <v/>
      </c>
      <c r="G3">
        <f>IF(inputs_ok,(c_nom+phi_w/2),NA())</f>
        <v/>
      </c>
      <c r="H3">
        <f>(c_nom+phi_w/2)</f>
        <v/>
      </c>
      <c r="J3">
        <f>IF(inputs_ok,IF(0&lt;n_f,(d_2+0*(b_col-2*d_2)/(n_f-1))+(phi_c/2)*1.000000,NA()),NA())</f>
        <v/>
      </c>
      <c r="K3">
        <f>IF(0&lt;n_f,(h_col-d_2)+(phi_c/2)*0.000000,NA())</f>
        <v/>
      </c>
      <c r="M3">
        <f>IF(inputs_ok,IF(0&lt;n_f,(d_2+0*(b_col-2*d_2)/(n_f-1))+(phi_c/2)*1.000000,NA()),NA())</f>
        <v/>
      </c>
      <c r="N3">
        <f>IF(0&lt;n_f,(d_2)+(phi_c/2)*0.000000,NA())</f>
        <v/>
      </c>
      <c r="P3">
        <f>IF(inputs_ok,IF(1&lt;n_f,(d_2+1*(b_col-2*d_2)/(n_f-1))+(phi_c/2)*1.000000,NA()),NA())</f>
        <v/>
      </c>
      <c r="Q3">
        <f>IF(1&lt;n_f,(h_col-d_2)+(phi_c/2)*0.000000,NA())</f>
        <v/>
      </c>
      <c r="S3">
        <f>IF(inputs_ok,IF(1&lt;n_f,(d_2+1*(b_col-2*d_2)/(n_f-1))+(phi_c/2)*1.000000,NA()),NA())</f>
        <v/>
      </c>
      <c r="T3">
        <f>IF(1&lt;n_f,(d_2)+(phi_c/2)*0.000000,NA())</f>
        <v/>
      </c>
      <c r="V3">
        <f>IF(inputs_ok,IF(2&lt;n_f,(d_2+2*(b_col-2*d_2)/(n_f-1))+(phi_c/2)*1.000000,NA()),NA())</f>
        <v/>
      </c>
      <c r="W3">
        <f>IF(2&lt;n_f,(h_col-d_2)+(phi_c/2)*0.000000,NA())</f>
        <v/>
      </c>
      <c r="Y3">
        <f>IF(inputs_ok,IF(2&lt;n_f,(d_2+2*(b_col-2*d_2)/(n_f-1))+(phi_c/2)*1.000000,NA()),NA())</f>
        <v/>
      </c>
      <c r="Z3">
        <f>IF(2&lt;n_f,(d_2)+(phi_c/2)*0.000000,NA())</f>
        <v/>
      </c>
      <c r="AB3">
        <f>IF(inputs_ok,IF(3&lt;n_f,(d_2+3*(b_col-2*d_2)/(n_f-1))+(phi_c/2)*1.000000,NA()),NA())</f>
        <v/>
      </c>
      <c r="AC3">
        <f>IF(3&lt;n_f,(h_col-d_2)+(phi_c/2)*0.000000,NA())</f>
        <v/>
      </c>
      <c r="AE3">
        <f>IF(inputs_ok,IF(3&lt;n_f,(d_2+3*(b_col-2*d_2)/(n_f-1))+(phi_c/2)*1.000000,NA()),NA())</f>
        <v/>
      </c>
      <c r="AF3">
        <f>IF(3&lt;n_f,(d_2)+(phi_c/2)*0.000000,NA())</f>
        <v/>
      </c>
      <c r="AH3">
        <f>IF(inputs_ok,IF(4&lt;n_f,(d_2+4*(b_col-2*d_2)/(n_f-1))+(phi_c/2)*1.000000,NA()),NA())</f>
        <v/>
      </c>
      <c r="AI3">
        <f>IF(4&lt;n_f,(h_col-d_2)+(phi_c/2)*0.000000,NA())</f>
        <v/>
      </c>
      <c r="AK3">
        <f>IF(inputs_ok,IF(4&lt;n_f,(d_2+4*(b_col-2*d_2)/(n_f-1))+(phi_c/2)*1.000000,NA()),NA())</f>
        <v/>
      </c>
      <c r="AL3">
        <f>IF(4&lt;n_f,(d_2)+(phi_c/2)*0.000000,NA())</f>
        <v/>
      </c>
      <c r="AN3">
        <f>IF(inputs_ok,IF(5&lt;n_f,(d_2+5*(b_col-2*d_2)/(n_f-1))+(phi_c/2)*1.000000,NA()),NA())</f>
        <v/>
      </c>
      <c r="AO3">
        <f>IF(5&lt;n_f,(h_col-d_2)+(phi_c/2)*0.000000,NA())</f>
        <v/>
      </c>
      <c r="AQ3">
        <f>IF(inputs_ok,IF(5&lt;n_f,(d_2+5*(b_col-2*d_2)/(n_f-1))+(phi_c/2)*1.000000,NA()),NA())</f>
        <v/>
      </c>
      <c r="AR3">
        <f>IF(5&lt;n_f,(d_2)+(phi_c/2)*0.000000,NA())</f>
        <v/>
      </c>
      <c r="AT3">
        <f>IF(inputs_ok,IF(6&lt;n_f,(d_2+6*(b_col-2*d_2)/(n_f-1))+(phi_c/2)*1.000000,NA()),NA())</f>
        <v/>
      </c>
      <c r="AU3">
        <f>IF(6&lt;n_f,(h_col-d_2)+(phi_c/2)*0.000000,NA())</f>
        <v/>
      </c>
      <c r="AW3">
        <f>IF(inputs_ok,IF(6&lt;n_f,(d_2+6*(b_col-2*d_2)/(n_f-1))+(phi_c/2)*1.000000,NA()),NA())</f>
        <v/>
      </c>
      <c r="AX3">
        <f>IF(6&lt;n_f,(d_2)+(phi_c/2)*0.000000,NA())</f>
        <v/>
      </c>
      <c r="AZ3">
        <f>IF(inputs_ok,IF(7&lt;n_f,(d_2+7*(b_col-2*d_2)/(n_f-1))+(phi_c/2)*1.000000,NA()),NA())</f>
        <v/>
      </c>
      <c r="BA3">
        <f>IF(7&lt;n_f,(h_col-d_2)+(phi_c/2)*0.000000,NA())</f>
        <v/>
      </c>
      <c r="BC3">
        <f>IF(inputs_ok,IF(7&lt;n_f,(d_2+7*(b_col-2*d_2)/(n_f-1))+(phi_c/2)*1.000000,NA()),NA())</f>
        <v/>
      </c>
      <c r="BD3">
        <f>IF(7&lt;n_f,(d_2)+(phi_c/2)*0.000000,NA())</f>
        <v/>
      </c>
      <c r="BF3">
        <f>IF(inputs_ok,IF(8&lt;n_f,(d_2+8*(b_col-2*d_2)/(n_f-1))+(phi_c/2)*1.000000,NA()),NA())</f>
        <v/>
      </c>
      <c r="BG3">
        <f>IF(8&lt;n_f,(h_col-d_2)+(phi_c/2)*0.000000,NA())</f>
        <v/>
      </c>
      <c r="BI3">
        <f>IF(inputs_ok,IF(8&lt;n_f,(d_2+8*(b_col-2*d_2)/(n_f-1))+(phi_c/2)*1.000000,NA()),NA())</f>
        <v/>
      </c>
      <c r="BJ3">
        <f>IF(8&lt;n_f,(d_2)+(phi_c/2)*0.000000,NA())</f>
        <v/>
      </c>
      <c r="BL3">
        <f>IF(inputs_ok,IF(9&lt;n_f,(d_2+9*(b_col-2*d_2)/(n_f-1))+(phi_c/2)*1.000000,NA()),NA())</f>
        <v/>
      </c>
      <c r="BM3">
        <f>IF(9&lt;n_f,(h_col-d_2)+(phi_c/2)*0.000000,NA())</f>
        <v/>
      </c>
      <c r="BO3">
        <f>IF(inputs_ok,IF(9&lt;n_f,(d_2+9*(b_col-2*d_2)/(n_f-1))+(phi_c/2)*1.000000,NA()),NA())</f>
        <v/>
      </c>
      <c r="BP3">
        <f>IF(9&lt;n_f,(d_2)+(phi_c/2)*0.000000,NA())</f>
        <v/>
      </c>
      <c r="BR3">
        <f>IF(inputs_ok,IF(AND(ok_prov,x_prov&lt;h_col),-0.06*b_col,NA()),NA())</f>
        <v/>
      </c>
      <c r="BS3">
        <f>IF(AND(ok_prov,x_prov&lt;h_col),h_col-x_prov,NA())</f>
        <v/>
      </c>
      <c r="BU3">
        <f>IF(inputs_ok,IF(TRUE,0,NA()),NA())</f>
        <v/>
      </c>
      <c r="BV3">
        <f>IF(TRUE,-0.08*MAX(b_col,h_col),NA())</f>
        <v/>
      </c>
      <c r="BX3">
        <f>IF(inputs_ok,IF(TRUE,((0)+(b_col))/2,NA()),NA())</f>
        <v/>
      </c>
      <c r="BY3">
        <f>IF(TRUE,((-0.08*MAX(b_col,h_col))+(-0.08*MAX(b_col,h_col)))/2,NA())</f>
        <v/>
      </c>
      <c r="CA3">
        <f>IF(inputs_ok,IF(TRUE,-0.08*MAX(b_col,h_col),NA()),NA())</f>
        <v/>
      </c>
      <c r="CB3">
        <f>IF(TRUE,0,NA())</f>
        <v/>
      </c>
      <c r="CD3">
        <f>IF(inputs_ok,IF(TRUE,((-0.08*MAX(b_col,h_col))+(-0.08*MAX(b_col,h_col)))/2,NA()),NA())</f>
        <v/>
      </c>
      <c r="CE3">
        <f>IF(TRUE,((0)+(h_col))/2,NA())</f>
        <v/>
      </c>
      <c r="CG3">
        <f>IF(inputs_ok,b_col+1.5*0.08*MAX(b_col,h_col),NA())</f>
        <v/>
      </c>
      <c r="CH3">
        <f>0.6*h_col</f>
        <v/>
      </c>
      <c r="CJ3">
        <f>IF(inputs_ok,b_col+1.5*0.08*MAX(b_col,h_col),NA())</f>
        <v/>
      </c>
      <c r="CK3">
        <f>0.4*h_col</f>
        <v/>
      </c>
      <c r="CM3">
        <f>IF(inputs_ok,b_col,NA())</f>
        <v/>
      </c>
      <c r="CN3">
        <f>h_col-x_prov</f>
        <v/>
      </c>
      <c r="CP3">
        <f>IF(inputs_ok,b_col/2,NA())</f>
        <v/>
      </c>
      <c r="CQ3">
        <f>h_col+0.4*0.08*MAX(b_col,h_col)</f>
        <v/>
      </c>
      <c r="CS3">
        <f>((-2*0.08*MAX(b_col,h_col))+(b_col+6*0.08*MAX(b_col,h_col)))/2-MAX((h_col+1.2*0.08*MAX(b_col,h_col))-(-2*0.08*MAX(b_col,h_col)),((b_col+6*0.08*MAX(b_col,h_col))-(-2*0.08*MAX(b_col,h_col)))/1.55)*0.58*1.55</f>
        <v/>
      </c>
      <c r="CT3">
        <f>((-2*0.08*MAX(b_col,h_col))+(h_col+1.2*0.08*MAX(b_col,h_col)))/2-MAX((h_col+1.2*0.08*MAX(b_col,h_col))-(-2*0.08*MAX(b_col,h_col)),((b_col+6*0.08*MAX(b_col,h_col))-(-2*0.08*MAX(b_col,h_col)))/1.55)*0.58</f>
        <v/>
      </c>
    </row>
    <row r="4">
      <c r="D4">
        <f>IF(inputs_ok,b_col,NA())</f>
        <v/>
      </c>
      <c r="E4">
        <f>0</f>
        <v/>
      </c>
      <c r="G4">
        <f>IF(inputs_ok,b_col-(c_nom+phi_w/2),NA())</f>
        <v/>
      </c>
      <c r="H4">
        <f>(c_nom+phi_w/2)</f>
        <v/>
      </c>
      <c r="J4">
        <f>IF(inputs_ok,IF(0&lt;n_f,(d_2+0*(b_col-2*d_2)/(n_f-1))+(phi_c/2)*0.923880,NA()),NA())</f>
        <v/>
      </c>
      <c r="K4">
        <f>IF(0&lt;n_f,(h_col-d_2)+(phi_c/2)*0.382683,NA())</f>
        <v/>
      </c>
      <c r="M4">
        <f>IF(inputs_ok,IF(0&lt;n_f,(d_2+0*(b_col-2*d_2)/(n_f-1))+(phi_c/2)*0.923880,NA()),NA())</f>
        <v/>
      </c>
      <c r="N4">
        <f>IF(0&lt;n_f,(d_2)+(phi_c/2)*0.382683,NA())</f>
        <v/>
      </c>
      <c r="P4">
        <f>IF(inputs_ok,IF(1&lt;n_f,(d_2+1*(b_col-2*d_2)/(n_f-1))+(phi_c/2)*0.923880,NA()),NA())</f>
        <v/>
      </c>
      <c r="Q4">
        <f>IF(1&lt;n_f,(h_col-d_2)+(phi_c/2)*0.382683,NA())</f>
        <v/>
      </c>
      <c r="S4">
        <f>IF(inputs_ok,IF(1&lt;n_f,(d_2+1*(b_col-2*d_2)/(n_f-1))+(phi_c/2)*0.923880,NA()),NA())</f>
        <v/>
      </c>
      <c r="T4">
        <f>IF(1&lt;n_f,(d_2)+(phi_c/2)*0.382683,NA())</f>
        <v/>
      </c>
      <c r="V4">
        <f>IF(inputs_ok,IF(2&lt;n_f,(d_2+2*(b_col-2*d_2)/(n_f-1))+(phi_c/2)*0.923880,NA()),NA())</f>
        <v/>
      </c>
      <c r="W4">
        <f>IF(2&lt;n_f,(h_col-d_2)+(phi_c/2)*0.382683,NA())</f>
        <v/>
      </c>
      <c r="Y4">
        <f>IF(inputs_ok,IF(2&lt;n_f,(d_2+2*(b_col-2*d_2)/(n_f-1))+(phi_c/2)*0.923880,NA()),NA())</f>
        <v/>
      </c>
      <c r="Z4">
        <f>IF(2&lt;n_f,(d_2)+(phi_c/2)*0.382683,NA())</f>
        <v/>
      </c>
      <c r="AB4">
        <f>IF(inputs_ok,IF(3&lt;n_f,(d_2+3*(b_col-2*d_2)/(n_f-1))+(phi_c/2)*0.923880,NA()),NA())</f>
        <v/>
      </c>
      <c r="AC4">
        <f>IF(3&lt;n_f,(h_col-d_2)+(phi_c/2)*0.382683,NA())</f>
        <v/>
      </c>
      <c r="AE4">
        <f>IF(inputs_ok,IF(3&lt;n_f,(d_2+3*(b_col-2*d_2)/(n_f-1))+(phi_c/2)*0.923880,NA()),NA())</f>
        <v/>
      </c>
      <c r="AF4">
        <f>IF(3&lt;n_f,(d_2)+(phi_c/2)*0.382683,NA())</f>
        <v/>
      </c>
      <c r="AH4">
        <f>IF(inputs_ok,IF(4&lt;n_f,(d_2+4*(b_col-2*d_2)/(n_f-1))+(phi_c/2)*0.923880,NA()),NA())</f>
        <v/>
      </c>
      <c r="AI4">
        <f>IF(4&lt;n_f,(h_col-d_2)+(phi_c/2)*0.382683,NA())</f>
        <v/>
      </c>
      <c r="AK4">
        <f>IF(inputs_ok,IF(4&lt;n_f,(d_2+4*(b_col-2*d_2)/(n_f-1))+(phi_c/2)*0.923880,NA()),NA())</f>
        <v/>
      </c>
      <c r="AL4">
        <f>IF(4&lt;n_f,(d_2)+(phi_c/2)*0.382683,NA())</f>
        <v/>
      </c>
      <c r="AN4">
        <f>IF(inputs_ok,IF(5&lt;n_f,(d_2+5*(b_col-2*d_2)/(n_f-1))+(phi_c/2)*0.923880,NA()),NA())</f>
        <v/>
      </c>
      <c r="AO4">
        <f>IF(5&lt;n_f,(h_col-d_2)+(phi_c/2)*0.382683,NA())</f>
        <v/>
      </c>
      <c r="AQ4">
        <f>IF(inputs_ok,IF(5&lt;n_f,(d_2+5*(b_col-2*d_2)/(n_f-1))+(phi_c/2)*0.923880,NA()),NA())</f>
        <v/>
      </c>
      <c r="AR4">
        <f>IF(5&lt;n_f,(d_2)+(phi_c/2)*0.382683,NA())</f>
        <v/>
      </c>
      <c r="AT4">
        <f>IF(inputs_ok,IF(6&lt;n_f,(d_2+6*(b_col-2*d_2)/(n_f-1))+(phi_c/2)*0.923880,NA()),NA())</f>
        <v/>
      </c>
      <c r="AU4">
        <f>IF(6&lt;n_f,(h_col-d_2)+(phi_c/2)*0.382683,NA())</f>
        <v/>
      </c>
      <c r="AW4">
        <f>IF(inputs_ok,IF(6&lt;n_f,(d_2+6*(b_col-2*d_2)/(n_f-1))+(phi_c/2)*0.923880,NA()),NA())</f>
        <v/>
      </c>
      <c r="AX4">
        <f>IF(6&lt;n_f,(d_2)+(phi_c/2)*0.382683,NA())</f>
        <v/>
      </c>
      <c r="AZ4">
        <f>IF(inputs_ok,IF(7&lt;n_f,(d_2+7*(b_col-2*d_2)/(n_f-1))+(phi_c/2)*0.923880,NA()),NA())</f>
        <v/>
      </c>
      <c r="BA4">
        <f>IF(7&lt;n_f,(h_col-d_2)+(phi_c/2)*0.382683,NA())</f>
        <v/>
      </c>
      <c r="BC4">
        <f>IF(inputs_ok,IF(7&lt;n_f,(d_2+7*(b_col-2*d_2)/(n_f-1))+(phi_c/2)*0.923880,NA()),NA())</f>
        <v/>
      </c>
      <c r="BD4">
        <f>IF(7&lt;n_f,(d_2)+(phi_c/2)*0.382683,NA())</f>
        <v/>
      </c>
      <c r="BF4">
        <f>IF(inputs_ok,IF(8&lt;n_f,(d_2+8*(b_col-2*d_2)/(n_f-1))+(phi_c/2)*0.923880,NA()),NA())</f>
        <v/>
      </c>
      <c r="BG4">
        <f>IF(8&lt;n_f,(h_col-d_2)+(phi_c/2)*0.382683,NA())</f>
        <v/>
      </c>
      <c r="BI4">
        <f>IF(inputs_ok,IF(8&lt;n_f,(d_2+8*(b_col-2*d_2)/(n_f-1))+(phi_c/2)*0.923880,NA()),NA())</f>
        <v/>
      </c>
      <c r="BJ4">
        <f>IF(8&lt;n_f,(d_2)+(phi_c/2)*0.382683,NA())</f>
        <v/>
      </c>
      <c r="BL4">
        <f>IF(inputs_ok,IF(9&lt;n_f,(d_2+9*(b_col-2*d_2)/(n_f-1))+(phi_c/2)*0.923880,NA()),NA())</f>
        <v/>
      </c>
      <c r="BM4">
        <f>IF(9&lt;n_f,(h_col-d_2)+(phi_c/2)*0.382683,NA())</f>
        <v/>
      </c>
      <c r="BO4">
        <f>IF(inputs_ok,IF(9&lt;n_f,(d_2+9*(b_col-2*d_2)/(n_f-1))+(phi_c/2)*0.923880,NA()),NA())</f>
        <v/>
      </c>
      <c r="BP4">
        <f>IF(9&lt;n_f,(d_2)+(phi_c/2)*0.382683,NA())</f>
        <v/>
      </c>
      <c r="BR4">
        <f>IF(inputs_ok,IF(AND(ok_prov,x_prov&lt;h_col),1.06*b_col,NA()),NA())</f>
        <v/>
      </c>
      <c r="BS4">
        <f>IF(AND(ok_prov,x_prov&lt;h_col),h_col-x_prov,NA())</f>
        <v/>
      </c>
      <c r="BU4">
        <f>IF(inputs_ok,IF(TRUE,b_col,NA()),NA())</f>
        <v/>
      </c>
      <c r="BV4">
        <f>IF(TRUE,-0.08*MAX(b_col,h_col),NA())</f>
        <v/>
      </c>
      <c r="CA4">
        <f>IF(inputs_ok,IF(TRUE,-0.08*MAX(b_col,h_col),NA()),NA())</f>
        <v/>
      </c>
      <c r="CB4">
        <f>IF(TRUE,h_col,NA())</f>
        <v/>
      </c>
      <c r="CS4">
        <f>((-2*0.08*MAX(b_col,h_col))+(b_col+6*0.08*MAX(b_col,h_col)))/2+MAX((h_col+1.2*0.08*MAX(b_col,h_col))-(-2*0.08*MAX(b_col,h_col)),((b_col+6*0.08*MAX(b_col,h_col))-(-2*0.08*MAX(b_col,h_col)))/1.55)*0.58*1.55</f>
        <v/>
      </c>
      <c r="CT4">
        <f>((-2*0.08*MAX(b_col,h_col))+(h_col+1.2*0.08*MAX(b_col,h_col)))/2+MAX((h_col+1.2*0.08*MAX(b_col,h_col))-(-2*0.08*MAX(b_col,h_col)),((b_col+6*0.08*MAX(b_col,h_col))-(-2*0.08*MAX(b_col,h_col)))/1.55)*0.58</f>
        <v/>
      </c>
    </row>
    <row r="5">
      <c r="D5">
        <f>IF(inputs_ok,b_col,NA())</f>
        <v/>
      </c>
      <c r="E5">
        <f>h_col</f>
        <v/>
      </c>
      <c r="G5">
        <f>IF(inputs_ok,b_col-(c_nom+phi_w/2),NA())</f>
        <v/>
      </c>
      <c r="H5">
        <f>h_col-(c_nom+phi_w/2)</f>
        <v/>
      </c>
      <c r="J5">
        <f>IF(inputs_ok,IF(0&lt;n_f,(d_2+0*(b_col-2*d_2)/(n_f-1))+(phi_c/2)*0.707107,NA()),NA())</f>
        <v/>
      </c>
      <c r="K5">
        <f>IF(0&lt;n_f,(h_col-d_2)+(phi_c/2)*0.707107,NA())</f>
        <v/>
      </c>
      <c r="M5">
        <f>IF(inputs_ok,IF(0&lt;n_f,(d_2+0*(b_col-2*d_2)/(n_f-1))+(phi_c/2)*0.707107,NA()),NA())</f>
        <v/>
      </c>
      <c r="N5">
        <f>IF(0&lt;n_f,(d_2)+(phi_c/2)*0.707107,NA())</f>
        <v/>
      </c>
      <c r="P5">
        <f>IF(inputs_ok,IF(1&lt;n_f,(d_2+1*(b_col-2*d_2)/(n_f-1))+(phi_c/2)*0.707107,NA()),NA())</f>
        <v/>
      </c>
      <c r="Q5">
        <f>IF(1&lt;n_f,(h_col-d_2)+(phi_c/2)*0.707107,NA())</f>
        <v/>
      </c>
      <c r="S5">
        <f>IF(inputs_ok,IF(1&lt;n_f,(d_2+1*(b_col-2*d_2)/(n_f-1))+(phi_c/2)*0.707107,NA()),NA())</f>
        <v/>
      </c>
      <c r="T5">
        <f>IF(1&lt;n_f,(d_2)+(phi_c/2)*0.707107,NA())</f>
        <v/>
      </c>
      <c r="V5">
        <f>IF(inputs_ok,IF(2&lt;n_f,(d_2+2*(b_col-2*d_2)/(n_f-1))+(phi_c/2)*0.707107,NA()),NA())</f>
        <v/>
      </c>
      <c r="W5">
        <f>IF(2&lt;n_f,(h_col-d_2)+(phi_c/2)*0.707107,NA())</f>
        <v/>
      </c>
      <c r="Y5">
        <f>IF(inputs_ok,IF(2&lt;n_f,(d_2+2*(b_col-2*d_2)/(n_f-1))+(phi_c/2)*0.707107,NA()),NA())</f>
        <v/>
      </c>
      <c r="Z5">
        <f>IF(2&lt;n_f,(d_2)+(phi_c/2)*0.707107,NA())</f>
        <v/>
      </c>
      <c r="AB5">
        <f>IF(inputs_ok,IF(3&lt;n_f,(d_2+3*(b_col-2*d_2)/(n_f-1))+(phi_c/2)*0.707107,NA()),NA())</f>
        <v/>
      </c>
      <c r="AC5">
        <f>IF(3&lt;n_f,(h_col-d_2)+(phi_c/2)*0.707107,NA())</f>
        <v/>
      </c>
      <c r="AE5">
        <f>IF(inputs_ok,IF(3&lt;n_f,(d_2+3*(b_col-2*d_2)/(n_f-1))+(phi_c/2)*0.707107,NA()),NA())</f>
        <v/>
      </c>
      <c r="AF5">
        <f>IF(3&lt;n_f,(d_2)+(phi_c/2)*0.707107,NA())</f>
        <v/>
      </c>
      <c r="AH5">
        <f>IF(inputs_ok,IF(4&lt;n_f,(d_2+4*(b_col-2*d_2)/(n_f-1))+(phi_c/2)*0.707107,NA()),NA())</f>
        <v/>
      </c>
      <c r="AI5">
        <f>IF(4&lt;n_f,(h_col-d_2)+(phi_c/2)*0.707107,NA())</f>
        <v/>
      </c>
      <c r="AK5">
        <f>IF(inputs_ok,IF(4&lt;n_f,(d_2+4*(b_col-2*d_2)/(n_f-1))+(phi_c/2)*0.707107,NA()),NA())</f>
        <v/>
      </c>
      <c r="AL5">
        <f>IF(4&lt;n_f,(d_2)+(phi_c/2)*0.707107,NA())</f>
        <v/>
      </c>
      <c r="AN5">
        <f>IF(inputs_ok,IF(5&lt;n_f,(d_2+5*(b_col-2*d_2)/(n_f-1))+(phi_c/2)*0.707107,NA()),NA())</f>
        <v/>
      </c>
      <c r="AO5">
        <f>IF(5&lt;n_f,(h_col-d_2)+(phi_c/2)*0.707107,NA())</f>
        <v/>
      </c>
      <c r="AQ5">
        <f>IF(inputs_ok,IF(5&lt;n_f,(d_2+5*(b_col-2*d_2)/(n_f-1))+(phi_c/2)*0.707107,NA()),NA())</f>
        <v/>
      </c>
      <c r="AR5">
        <f>IF(5&lt;n_f,(d_2)+(phi_c/2)*0.707107,NA())</f>
        <v/>
      </c>
      <c r="AT5">
        <f>IF(inputs_ok,IF(6&lt;n_f,(d_2+6*(b_col-2*d_2)/(n_f-1))+(phi_c/2)*0.707107,NA()),NA())</f>
        <v/>
      </c>
      <c r="AU5">
        <f>IF(6&lt;n_f,(h_col-d_2)+(phi_c/2)*0.707107,NA())</f>
        <v/>
      </c>
      <c r="AW5">
        <f>IF(inputs_ok,IF(6&lt;n_f,(d_2+6*(b_col-2*d_2)/(n_f-1))+(phi_c/2)*0.707107,NA()),NA())</f>
        <v/>
      </c>
      <c r="AX5">
        <f>IF(6&lt;n_f,(d_2)+(phi_c/2)*0.707107,NA())</f>
        <v/>
      </c>
      <c r="AZ5">
        <f>IF(inputs_ok,IF(7&lt;n_f,(d_2+7*(b_col-2*d_2)/(n_f-1))+(phi_c/2)*0.707107,NA()),NA())</f>
        <v/>
      </c>
      <c r="BA5">
        <f>IF(7&lt;n_f,(h_col-d_2)+(phi_c/2)*0.707107,NA())</f>
        <v/>
      </c>
      <c r="BC5">
        <f>IF(inputs_ok,IF(7&lt;n_f,(d_2+7*(b_col-2*d_2)/(n_f-1))+(phi_c/2)*0.707107,NA()),NA())</f>
        <v/>
      </c>
      <c r="BD5">
        <f>IF(7&lt;n_f,(d_2)+(phi_c/2)*0.707107,NA())</f>
        <v/>
      </c>
      <c r="BF5">
        <f>IF(inputs_ok,IF(8&lt;n_f,(d_2+8*(b_col-2*d_2)/(n_f-1))+(phi_c/2)*0.707107,NA()),NA())</f>
        <v/>
      </c>
      <c r="BG5">
        <f>IF(8&lt;n_f,(h_col-d_2)+(phi_c/2)*0.707107,NA())</f>
        <v/>
      </c>
      <c r="BI5">
        <f>IF(inputs_ok,IF(8&lt;n_f,(d_2+8*(b_col-2*d_2)/(n_f-1))+(phi_c/2)*0.707107,NA()),NA())</f>
        <v/>
      </c>
      <c r="BJ5">
        <f>IF(8&lt;n_f,(d_2)+(phi_c/2)*0.707107,NA())</f>
        <v/>
      </c>
      <c r="BL5">
        <f>IF(inputs_ok,IF(9&lt;n_f,(d_2+9*(b_col-2*d_2)/(n_f-1))+(phi_c/2)*0.707107,NA()),NA())</f>
        <v/>
      </c>
      <c r="BM5">
        <f>IF(9&lt;n_f,(h_col-d_2)+(phi_c/2)*0.707107,NA())</f>
        <v/>
      </c>
      <c r="BO5">
        <f>IF(inputs_ok,IF(9&lt;n_f,(d_2+9*(b_col-2*d_2)/(n_f-1))+(phi_c/2)*0.707107,NA()),NA())</f>
        <v/>
      </c>
      <c r="BP5">
        <f>IF(9&lt;n_f,(d_2)+(phi_c/2)*0.707107,NA())</f>
        <v/>
      </c>
    </row>
    <row r="6">
      <c r="D6">
        <f>IF(inputs_ok,0,NA())</f>
        <v/>
      </c>
      <c r="E6">
        <f>h_col</f>
        <v/>
      </c>
      <c r="G6">
        <f>IF(inputs_ok,(c_nom+phi_w/2),NA())</f>
        <v/>
      </c>
      <c r="H6">
        <f>h_col-(c_nom+phi_w/2)</f>
        <v/>
      </c>
      <c r="J6">
        <f>IF(inputs_ok,IF(0&lt;n_f,(d_2+0*(b_col-2*d_2)/(n_f-1))+(phi_c/2)*0.382683,NA()),NA())</f>
        <v/>
      </c>
      <c r="K6">
        <f>IF(0&lt;n_f,(h_col-d_2)+(phi_c/2)*0.923880,NA())</f>
        <v/>
      </c>
      <c r="M6">
        <f>IF(inputs_ok,IF(0&lt;n_f,(d_2+0*(b_col-2*d_2)/(n_f-1))+(phi_c/2)*0.382683,NA()),NA())</f>
        <v/>
      </c>
      <c r="N6">
        <f>IF(0&lt;n_f,(d_2)+(phi_c/2)*0.923880,NA())</f>
        <v/>
      </c>
      <c r="P6">
        <f>IF(inputs_ok,IF(1&lt;n_f,(d_2+1*(b_col-2*d_2)/(n_f-1))+(phi_c/2)*0.382683,NA()),NA())</f>
        <v/>
      </c>
      <c r="Q6">
        <f>IF(1&lt;n_f,(h_col-d_2)+(phi_c/2)*0.923880,NA())</f>
        <v/>
      </c>
      <c r="S6">
        <f>IF(inputs_ok,IF(1&lt;n_f,(d_2+1*(b_col-2*d_2)/(n_f-1))+(phi_c/2)*0.382683,NA()),NA())</f>
        <v/>
      </c>
      <c r="T6">
        <f>IF(1&lt;n_f,(d_2)+(phi_c/2)*0.923880,NA())</f>
        <v/>
      </c>
      <c r="V6">
        <f>IF(inputs_ok,IF(2&lt;n_f,(d_2+2*(b_col-2*d_2)/(n_f-1))+(phi_c/2)*0.382683,NA()),NA())</f>
        <v/>
      </c>
      <c r="W6">
        <f>IF(2&lt;n_f,(h_col-d_2)+(phi_c/2)*0.923880,NA())</f>
        <v/>
      </c>
      <c r="Y6">
        <f>IF(inputs_ok,IF(2&lt;n_f,(d_2+2*(b_col-2*d_2)/(n_f-1))+(phi_c/2)*0.382683,NA()),NA())</f>
        <v/>
      </c>
      <c r="Z6">
        <f>IF(2&lt;n_f,(d_2)+(phi_c/2)*0.923880,NA())</f>
        <v/>
      </c>
      <c r="AB6">
        <f>IF(inputs_ok,IF(3&lt;n_f,(d_2+3*(b_col-2*d_2)/(n_f-1))+(phi_c/2)*0.382683,NA()),NA())</f>
        <v/>
      </c>
      <c r="AC6">
        <f>IF(3&lt;n_f,(h_col-d_2)+(phi_c/2)*0.923880,NA())</f>
        <v/>
      </c>
      <c r="AE6">
        <f>IF(inputs_ok,IF(3&lt;n_f,(d_2+3*(b_col-2*d_2)/(n_f-1))+(phi_c/2)*0.382683,NA()),NA())</f>
        <v/>
      </c>
      <c r="AF6">
        <f>IF(3&lt;n_f,(d_2)+(phi_c/2)*0.923880,NA())</f>
        <v/>
      </c>
      <c r="AH6">
        <f>IF(inputs_ok,IF(4&lt;n_f,(d_2+4*(b_col-2*d_2)/(n_f-1))+(phi_c/2)*0.382683,NA()),NA())</f>
        <v/>
      </c>
      <c r="AI6">
        <f>IF(4&lt;n_f,(h_col-d_2)+(phi_c/2)*0.923880,NA())</f>
        <v/>
      </c>
      <c r="AK6">
        <f>IF(inputs_ok,IF(4&lt;n_f,(d_2+4*(b_col-2*d_2)/(n_f-1))+(phi_c/2)*0.382683,NA()),NA())</f>
        <v/>
      </c>
      <c r="AL6">
        <f>IF(4&lt;n_f,(d_2)+(phi_c/2)*0.923880,NA())</f>
        <v/>
      </c>
      <c r="AN6">
        <f>IF(inputs_ok,IF(5&lt;n_f,(d_2+5*(b_col-2*d_2)/(n_f-1))+(phi_c/2)*0.382683,NA()),NA())</f>
        <v/>
      </c>
      <c r="AO6">
        <f>IF(5&lt;n_f,(h_col-d_2)+(phi_c/2)*0.923880,NA())</f>
        <v/>
      </c>
      <c r="AQ6">
        <f>IF(inputs_ok,IF(5&lt;n_f,(d_2+5*(b_col-2*d_2)/(n_f-1))+(phi_c/2)*0.382683,NA()),NA())</f>
        <v/>
      </c>
      <c r="AR6">
        <f>IF(5&lt;n_f,(d_2)+(phi_c/2)*0.923880,NA())</f>
        <v/>
      </c>
      <c r="AT6">
        <f>IF(inputs_ok,IF(6&lt;n_f,(d_2+6*(b_col-2*d_2)/(n_f-1))+(phi_c/2)*0.382683,NA()),NA())</f>
        <v/>
      </c>
      <c r="AU6">
        <f>IF(6&lt;n_f,(h_col-d_2)+(phi_c/2)*0.923880,NA())</f>
        <v/>
      </c>
      <c r="AW6">
        <f>IF(inputs_ok,IF(6&lt;n_f,(d_2+6*(b_col-2*d_2)/(n_f-1))+(phi_c/2)*0.382683,NA()),NA())</f>
        <v/>
      </c>
      <c r="AX6">
        <f>IF(6&lt;n_f,(d_2)+(phi_c/2)*0.923880,NA())</f>
        <v/>
      </c>
      <c r="AZ6">
        <f>IF(inputs_ok,IF(7&lt;n_f,(d_2+7*(b_col-2*d_2)/(n_f-1))+(phi_c/2)*0.382683,NA()),NA())</f>
        <v/>
      </c>
      <c r="BA6">
        <f>IF(7&lt;n_f,(h_col-d_2)+(phi_c/2)*0.923880,NA())</f>
        <v/>
      </c>
      <c r="BC6">
        <f>IF(inputs_ok,IF(7&lt;n_f,(d_2+7*(b_col-2*d_2)/(n_f-1))+(phi_c/2)*0.382683,NA()),NA())</f>
        <v/>
      </c>
      <c r="BD6">
        <f>IF(7&lt;n_f,(d_2)+(phi_c/2)*0.923880,NA())</f>
        <v/>
      </c>
      <c r="BF6">
        <f>IF(inputs_ok,IF(8&lt;n_f,(d_2+8*(b_col-2*d_2)/(n_f-1))+(phi_c/2)*0.382683,NA()),NA())</f>
        <v/>
      </c>
      <c r="BG6">
        <f>IF(8&lt;n_f,(h_col-d_2)+(phi_c/2)*0.923880,NA())</f>
        <v/>
      </c>
      <c r="BI6">
        <f>IF(inputs_ok,IF(8&lt;n_f,(d_2+8*(b_col-2*d_2)/(n_f-1))+(phi_c/2)*0.382683,NA()),NA())</f>
        <v/>
      </c>
      <c r="BJ6">
        <f>IF(8&lt;n_f,(d_2)+(phi_c/2)*0.923880,NA())</f>
        <v/>
      </c>
      <c r="BL6">
        <f>IF(inputs_ok,IF(9&lt;n_f,(d_2+9*(b_col-2*d_2)/(n_f-1))+(phi_c/2)*0.382683,NA()),NA())</f>
        <v/>
      </c>
      <c r="BM6">
        <f>IF(9&lt;n_f,(h_col-d_2)+(phi_c/2)*0.923880,NA())</f>
        <v/>
      </c>
      <c r="BO6">
        <f>IF(inputs_ok,IF(9&lt;n_f,(d_2+9*(b_col-2*d_2)/(n_f-1))+(phi_c/2)*0.382683,NA()),NA())</f>
        <v/>
      </c>
      <c r="BP6">
        <f>IF(9&lt;n_f,(d_2)+(phi_c/2)*0.923880,NA())</f>
        <v/>
      </c>
    </row>
    <row r="7">
      <c r="D7">
        <f>IF(inputs_ok,0,NA())</f>
        <v/>
      </c>
      <c r="E7">
        <f>0</f>
        <v/>
      </c>
      <c r="G7">
        <f>IF(inputs_ok,(c_nom+phi_w/2),NA())</f>
        <v/>
      </c>
      <c r="H7">
        <f>(c_nom+phi_w/2)</f>
        <v/>
      </c>
      <c r="J7">
        <f>IF(inputs_ok,IF(0&lt;n_f,(d_2+0*(b_col-2*d_2)/(n_f-1))+(phi_c/2)*0.000000,NA()),NA())</f>
        <v/>
      </c>
      <c r="K7">
        <f>IF(0&lt;n_f,(h_col-d_2)+(phi_c/2)*1.000000,NA())</f>
        <v/>
      </c>
      <c r="M7">
        <f>IF(inputs_ok,IF(0&lt;n_f,(d_2+0*(b_col-2*d_2)/(n_f-1))+(phi_c/2)*0.000000,NA()),NA())</f>
        <v/>
      </c>
      <c r="N7">
        <f>IF(0&lt;n_f,(d_2)+(phi_c/2)*1.000000,NA())</f>
        <v/>
      </c>
      <c r="P7">
        <f>IF(inputs_ok,IF(1&lt;n_f,(d_2+1*(b_col-2*d_2)/(n_f-1))+(phi_c/2)*0.000000,NA()),NA())</f>
        <v/>
      </c>
      <c r="Q7">
        <f>IF(1&lt;n_f,(h_col-d_2)+(phi_c/2)*1.000000,NA())</f>
        <v/>
      </c>
      <c r="S7">
        <f>IF(inputs_ok,IF(1&lt;n_f,(d_2+1*(b_col-2*d_2)/(n_f-1))+(phi_c/2)*0.000000,NA()),NA())</f>
        <v/>
      </c>
      <c r="T7">
        <f>IF(1&lt;n_f,(d_2)+(phi_c/2)*1.000000,NA())</f>
        <v/>
      </c>
      <c r="V7">
        <f>IF(inputs_ok,IF(2&lt;n_f,(d_2+2*(b_col-2*d_2)/(n_f-1))+(phi_c/2)*0.000000,NA()),NA())</f>
        <v/>
      </c>
      <c r="W7">
        <f>IF(2&lt;n_f,(h_col-d_2)+(phi_c/2)*1.000000,NA())</f>
        <v/>
      </c>
      <c r="Y7">
        <f>IF(inputs_ok,IF(2&lt;n_f,(d_2+2*(b_col-2*d_2)/(n_f-1))+(phi_c/2)*0.000000,NA()),NA())</f>
        <v/>
      </c>
      <c r="Z7">
        <f>IF(2&lt;n_f,(d_2)+(phi_c/2)*1.000000,NA())</f>
        <v/>
      </c>
      <c r="AB7">
        <f>IF(inputs_ok,IF(3&lt;n_f,(d_2+3*(b_col-2*d_2)/(n_f-1))+(phi_c/2)*0.000000,NA()),NA())</f>
        <v/>
      </c>
      <c r="AC7">
        <f>IF(3&lt;n_f,(h_col-d_2)+(phi_c/2)*1.000000,NA())</f>
        <v/>
      </c>
      <c r="AE7">
        <f>IF(inputs_ok,IF(3&lt;n_f,(d_2+3*(b_col-2*d_2)/(n_f-1))+(phi_c/2)*0.000000,NA()),NA())</f>
        <v/>
      </c>
      <c r="AF7">
        <f>IF(3&lt;n_f,(d_2)+(phi_c/2)*1.000000,NA())</f>
        <v/>
      </c>
      <c r="AH7">
        <f>IF(inputs_ok,IF(4&lt;n_f,(d_2+4*(b_col-2*d_2)/(n_f-1))+(phi_c/2)*0.000000,NA()),NA())</f>
        <v/>
      </c>
      <c r="AI7">
        <f>IF(4&lt;n_f,(h_col-d_2)+(phi_c/2)*1.000000,NA())</f>
        <v/>
      </c>
      <c r="AK7">
        <f>IF(inputs_ok,IF(4&lt;n_f,(d_2+4*(b_col-2*d_2)/(n_f-1))+(phi_c/2)*0.000000,NA()),NA())</f>
        <v/>
      </c>
      <c r="AL7">
        <f>IF(4&lt;n_f,(d_2)+(phi_c/2)*1.000000,NA())</f>
        <v/>
      </c>
      <c r="AN7">
        <f>IF(inputs_ok,IF(5&lt;n_f,(d_2+5*(b_col-2*d_2)/(n_f-1))+(phi_c/2)*0.000000,NA()),NA())</f>
        <v/>
      </c>
      <c r="AO7">
        <f>IF(5&lt;n_f,(h_col-d_2)+(phi_c/2)*1.000000,NA())</f>
        <v/>
      </c>
      <c r="AQ7">
        <f>IF(inputs_ok,IF(5&lt;n_f,(d_2+5*(b_col-2*d_2)/(n_f-1))+(phi_c/2)*0.000000,NA()),NA())</f>
        <v/>
      </c>
      <c r="AR7">
        <f>IF(5&lt;n_f,(d_2)+(phi_c/2)*1.000000,NA())</f>
        <v/>
      </c>
      <c r="AT7">
        <f>IF(inputs_ok,IF(6&lt;n_f,(d_2+6*(b_col-2*d_2)/(n_f-1))+(phi_c/2)*0.000000,NA()),NA())</f>
        <v/>
      </c>
      <c r="AU7">
        <f>IF(6&lt;n_f,(h_col-d_2)+(phi_c/2)*1.000000,NA())</f>
        <v/>
      </c>
      <c r="AW7">
        <f>IF(inputs_ok,IF(6&lt;n_f,(d_2+6*(b_col-2*d_2)/(n_f-1))+(phi_c/2)*0.000000,NA()),NA())</f>
        <v/>
      </c>
      <c r="AX7">
        <f>IF(6&lt;n_f,(d_2)+(phi_c/2)*1.000000,NA())</f>
        <v/>
      </c>
      <c r="AZ7">
        <f>IF(inputs_ok,IF(7&lt;n_f,(d_2+7*(b_col-2*d_2)/(n_f-1))+(phi_c/2)*0.000000,NA()),NA())</f>
        <v/>
      </c>
      <c r="BA7">
        <f>IF(7&lt;n_f,(h_col-d_2)+(phi_c/2)*1.000000,NA())</f>
        <v/>
      </c>
      <c r="BC7">
        <f>IF(inputs_ok,IF(7&lt;n_f,(d_2+7*(b_col-2*d_2)/(n_f-1))+(phi_c/2)*0.000000,NA()),NA())</f>
        <v/>
      </c>
      <c r="BD7">
        <f>IF(7&lt;n_f,(d_2)+(phi_c/2)*1.000000,NA())</f>
        <v/>
      </c>
      <c r="BF7">
        <f>IF(inputs_ok,IF(8&lt;n_f,(d_2+8*(b_col-2*d_2)/(n_f-1))+(phi_c/2)*0.000000,NA()),NA())</f>
        <v/>
      </c>
      <c r="BG7">
        <f>IF(8&lt;n_f,(h_col-d_2)+(phi_c/2)*1.000000,NA())</f>
        <v/>
      </c>
      <c r="BI7">
        <f>IF(inputs_ok,IF(8&lt;n_f,(d_2+8*(b_col-2*d_2)/(n_f-1))+(phi_c/2)*0.000000,NA()),NA())</f>
        <v/>
      </c>
      <c r="BJ7">
        <f>IF(8&lt;n_f,(d_2)+(phi_c/2)*1.000000,NA())</f>
        <v/>
      </c>
      <c r="BL7">
        <f>IF(inputs_ok,IF(9&lt;n_f,(d_2+9*(b_col-2*d_2)/(n_f-1))+(phi_c/2)*0.000000,NA()),NA())</f>
        <v/>
      </c>
      <c r="BM7">
        <f>IF(9&lt;n_f,(h_col-d_2)+(phi_c/2)*1.000000,NA())</f>
        <v/>
      </c>
      <c r="BO7">
        <f>IF(inputs_ok,IF(9&lt;n_f,(d_2+9*(b_col-2*d_2)/(n_f-1))+(phi_c/2)*0.000000,NA()),NA())</f>
        <v/>
      </c>
      <c r="BP7">
        <f>IF(9&lt;n_f,(d_2)+(phi_c/2)*1.000000,NA())</f>
        <v/>
      </c>
    </row>
    <row r="8">
      <c r="J8">
        <f>IF(inputs_ok,IF(0&lt;n_f,(d_2+0*(b_col-2*d_2)/(n_f-1))+(phi_c/2)*-0.382683,NA()),NA())</f>
        <v/>
      </c>
      <c r="K8">
        <f>IF(0&lt;n_f,(h_col-d_2)+(phi_c/2)*0.923880,NA())</f>
        <v/>
      </c>
      <c r="M8">
        <f>IF(inputs_ok,IF(0&lt;n_f,(d_2+0*(b_col-2*d_2)/(n_f-1))+(phi_c/2)*-0.382683,NA()),NA())</f>
        <v/>
      </c>
      <c r="N8">
        <f>IF(0&lt;n_f,(d_2)+(phi_c/2)*0.923880,NA())</f>
        <v/>
      </c>
      <c r="P8">
        <f>IF(inputs_ok,IF(1&lt;n_f,(d_2+1*(b_col-2*d_2)/(n_f-1))+(phi_c/2)*-0.382683,NA()),NA())</f>
        <v/>
      </c>
      <c r="Q8">
        <f>IF(1&lt;n_f,(h_col-d_2)+(phi_c/2)*0.923880,NA())</f>
        <v/>
      </c>
      <c r="S8">
        <f>IF(inputs_ok,IF(1&lt;n_f,(d_2+1*(b_col-2*d_2)/(n_f-1))+(phi_c/2)*-0.382683,NA()),NA())</f>
        <v/>
      </c>
      <c r="T8">
        <f>IF(1&lt;n_f,(d_2)+(phi_c/2)*0.923880,NA())</f>
        <v/>
      </c>
      <c r="V8">
        <f>IF(inputs_ok,IF(2&lt;n_f,(d_2+2*(b_col-2*d_2)/(n_f-1))+(phi_c/2)*-0.382683,NA()),NA())</f>
        <v/>
      </c>
      <c r="W8">
        <f>IF(2&lt;n_f,(h_col-d_2)+(phi_c/2)*0.923880,NA())</f>
        <v/>
      </c>
      <c r="Y8">
        <f>IF(inputs_ok,IF(2&lt;n_f,(d_2+2*(b_col-2*d_2)/(n_f-1))+(phi_c/2)*-0.382683,NA()),NA())</f>
        <v/>
      </c>
      <c r="Z8">
        <f>IF(2&lt;n_f,(d_2)+(phi_c/2)*0.923880,NA())</f>
        <v/>
      </c>
      <c r="AB8">
        <f>IF(inputs_ok,IF(3&lt;n_f,(d_2+3*(b_col-2*d_2)/(n_f-1))+(phi_c/2)*-0.382683,NA()),NA())</f>
        <v/>
      </c>
      <c r="AC8">
        <f>IF(3&lt;n_f,(h_col-d_2)+(phi_c/2)*0.923880,NA())</f>
        <v/>
      </c>
      <c r="AE8">
        <f>IF(inputs_ok,IF(3&lt;n_f,(d_2+3*(b_col-2*d_2)/(n_f-1))+(phi_c/2)*-0.382683,NA()),NA())</f>
        <v/>
      </c>
      <c r="AF8">
        <f>IF(3&lt;n_f,(d_2)+(phi_c/2)*0.923880,NA())</f>
        <v/>
      </c>
      <c r="AH8">
        <f>IF(inputs_ok,IF(4&lt;n_f,(d_2+4*(b_col-2*d_2)/(n_f-1))+(phi_c/2)*-0.382683,NA()),NA())</f>
        <v/>
      </c>
      <c r="AI8">
        <f>IF(4&lt;n_f,(h_col-d_2)+(phi_c/2)*0.923880,NA())</f>
        <v/>
      </c>
      <c r="AK8">
        <f>IF(inputs_ok,IF(4&lt;n_f,(d_2+4*(b_col-2*d_2)/(n_f-1))+(phi_c/2)*-0.382683,NA()),NA())</f>
        <v/>
      </c>
      <c r="AL8">
        <f>IF(4&lt;n_f,(d_2)+(phi_c/2)*0.923880,NA())</f>
        <v/>
      </c>
      <c r="AN8">
        <f>IF(inputs_ok,IF(5&lt;n_f,(d_2+5*(b_col-2*d_2)/(n_f-1))+(phi_c/2)*-0.382683,NA()),NA())</f>
        <v/>
      </c>
      <c r="AO8">
        <f>IF(5&lt;n_f,(h_col-d_2)+(phi_c/2)*0.923880,NA())</f>
        <v/>
      </c>
      <c r="AQ8">
        <f>IF(inputs_ok,IF(5&lt;n_f,(d_2+5*(b_col-2*d_2)/(n_f-1))+(phi_c/2)*-0.382683,NA()),NA())</f>
        <v/>
      </c>
      <c r="AR8">
        <f>IF(5&lt;n_f,(d_2)+(phi_c/2)*0.923880,NA())</f>
        <v/>
      </c>
      <c r="AT8">
        <f>IF(inputs_ok,IF(6&lt;n_f,(d_2+6*(b_col-2*d_2)/(n_f-1))+(phi_c/2)*-0.382683,NA()),NA())</f>
        <v/>
      </c>
      <c r="AU8">
        <f>IF(6&lt;n_f,(h_col-d_2)+(phi_c/2)*0.923880,NA())</f>
        <v/>
      </c>
      <c r="AW8">
        <f>IF(inputs_ok,IF(6&lt;n_f,(d_2+6*(b_col-2*d_2)/(n_f-1))+(phi_c/2)*-0.382683,NA()),NA())</f>
        <v/>
      </c>
      <c r="AX8">
        <f>IF(6&lt;n_f,(d_2)+(phi_c/2)*0.923880,NA())</f>
        <v/>
      </c>
      <c r="AZ8">
        <f>IF(inputs_ok,IF(7&lt;n_f,(d_2+7*(b_col-2*d_2)/(n_f-1))+(phi_c/2)*-0.382683,NA()),NA())</f>
        <v/>
      </c>
      <c r="BA8">
        <f>IF(7&lt;n_f,(h_col-d_2)+(phi_c/2)*0.923880,NA())</f>
        <v/>
      </c>
      <c r="BC8">
        <f>IF(inputs_ok,IF(7&lt;n_f,(d_2+7*(b_col-2*d_2)/(n_f-1))+(phi_c/2)*-0.382683,NA()),NA())</f>
        <v/>
      </c>
      <c r="BD8">
        <f>IF(7&lt;n_f,(d_2)+(phi_c/2)*0.923880,NA())</f>
        <v/>
      </c>
      <c r="BF8">
        <f>IF(inputs_ok,IF(8&lt;n_f,(d_2+8*(b_col-2*d_2)/(n_f-1))+(phi_c/2)*-0.382683,NA()),NA())</f>
        <v/>
      </c>
      <c r="BG8">
        <f>IF(8&lt;n_f,(h_col-d_2)+(phi_c/2)*0.923880,NA())</f>
        <v/>
      </c>
      <c r="BI8">
        <f>IF(inputs_ok,IF(8&lt;n_f,(d_2+8*(b_col-2*d_2)/(n_f-1))+(phi_c/2)*-0.382683,NA()),NA())</f>
        <v/>
      </c>
      <c r="BJ8">
        <f>IF(8&lt;n_f,(d_2)+(phi_c/2)*0.923880,NA())</f>
        <v/>
      </c>
      <c r="BL8">
        <f>IF(inputs_ok,IF(9&lt;n_f,(d_2+9*(b_col-2*d_2)/(n_f-1))+(phi_c/2)*-0.382683,NA()),NA())</f>
        <v/>
      </c>
      <c r="BM8">
        <f>IF(9&lt;n_f,(h_col-d_2)+(phi_c/2)*0.923880,NA())</f>
        <v/>
      </c>
      <c r="BO8">
        <f>IF(inputs_ok,IF(9&lt;n_f,(d_2+9*(b_col-2*d_2)/(n_f-1))+(phi_c/2)*-0.382683,NA()),NA())</f>
        <v/>
      </c>
      <c r="BP8">
        <f>IF(9&lt;n_f,(d_2)+(phi_c/2)*0.923880,NA())</f>
        <v/>
      </c>
    </row>
    <row r="9">
      <c r="J9">
        <f>IF(inputs_ok,IF(0&lt;n_f,(d_2+0*(b_col-2*d_2)/(n_f-1))+(phi_c/2)*-0.707107,NA()),NA())</f>
        <v/>
      </c>
      <c r="K9">
        <f>IF(0&lt;n_f,(h_col-d_2)+(phi_c/2)*0.707107,NA())</f>
        <v/>
      </c>
      <c r="M9">
        <f>IF(inputs_ok,IF(0&lt;n_f,(d_2+0*(b_col-2*d_2)/(n_f-1))+(phi_c/2)*-0.707107,NA()),NA())</f>
        <v/>
      </c>
      <c r="N9">
        <f>IF(0&lt;n_f,(d_2)+(phi_c/2)*0.707107,NA())</f>
        <v/>
      </c>
      <c r="P9">
        <f>IF(inputs_ok,IF(1&lt;n_f,(d_2+1*(b_col-2*d_2)/(n_f-1))+(phi_c/2)*-0.707107,NA()),NA())</f>
        <v/>
      </c>
      <c r="Q9">
        <f>IF(1&lt;n_f,(h_col-d_2)+(phi_c/2)*0.707107,NA())</f>
        <v/>
      </c>
      <c r="S9">
        <f>IF(inputs_ok,IF(1&lt;n_f,(d_2+1*(b_col-2*d_2)/(n_f-1))+(phi_c/2)*-0.707107,NA()),NA())</f>
        <v/>
      </c>
      <c r="T9">
        <f>IF(1&lt;n_f,(d_2)+(phi_c/2)*0.707107,NA())</f>
        <v/>
      </c>
      <c r="V9">
        <f>IF(inputs_ok,IF(2&lt;n_f,(d_2+2*(b_col-2*d_2)/(n_f-1))+(phi_c/2)*-0.707107,NA()),NA())</f>
        <v/>
      </c>
      <c r="W9">
        <f>IF(2&lt;n_f,(h_col-d_2)+(phi_c/2)*0.707107,NA())</f>
        <v/>
      </c>
      <c r="Y9">
        <f>IF(inputs_ok,IF(2&lt;n_f,(d_2+2*(b_col-2*d_2)/(n_f-1))+(phi_c/2)*-0.707107,NA()),NA())</f>
        <v/>
      </c>
      <c r="Z9">
        <f>IF(2&lt;n_f,(d_2)+(phi_c/2)*0.707107,NA())</f>
        <v/>
      </c>
      <c r="AB9">
        <f>IF(inputs_ok,IF(3&lt;n_f,(d_2+3*(b_col-2*d_2)/(n_f-1))+(phi_c/2)*-0.707107,NA()),NA())</f>
        <v/>
      </c>
      <c r="AC9">
        <f>IF(3&lt;n_f,(h_col-d_2)+(phi_c/2)*0.707107,NA())</f>
        <v/>
      </c>
      <c r="AE9">
        <f>IF(inputs_ok,IF(3&lt;n_f,(d_2+3*(b_col-2*d_2)/(n_f-1))+(phi_c/2)*-0.707107,NA()),NA())</f>
        <v/>
      </c>
      <c r="AF9">
        <f>IF(3&lt;n_f,(d_2)+(phi_c/2)*0.707107,NA())</f>
        <v/>
      </c>
      <c r="AH9">
        <f>IF(inputs_ok,IF(4&lt;n_f,(d_2+4*(b_col-2*d_2)/(n_f-1))+(phi_c/2)*-0.707107,NA()),NA())</f>
        <v/>
      </c>
      <c r="AI9">
        <f>IF(4&lt;n_f,(h_col-d_2)+(phi_c/2)*0.707107,NA())</f>
        <v/>
      </c>
      <c r="AK9">
        <f>IF(inputs_ok,IF(4&lt;n_f,(d_2+4*(b_col-2*d_2)/(n_f-1))+(phi_c/2)*-0.707107,NA()),NA())</f>
        <v/>
      </c>
      <c r="AL9">
        <f>IF(4&lt;n_f,(d_2)+(phi_c/2)*0.707107,NA())</f>
        <v/>
      </c>
      <c r="AN9">
        <f>IF(inputs_ok,IF(5&lt;n_f,(d_2+5*(b_col-2*d_2)/(n_f-1))+(phi_c/2)*-0.707107,NA()),NA())</f>
        <v/>
      </c>
      <c r="AO9">
        <f>IF(5&lt;n_f,(h_col-d_2)+(phi_c/2)*0.707107,NA())</f>
        <v/>
      </c>
      <c r="AQ9">
        <f>IF(inputs_ok,IF(5&lt;n_f,(d_2+5*(b_col-2*d_2)/(n_f-1))+(phi_c/2)*-0.707107,NA()),NA())</f>
        <v/>
      </c>
      <c r="AR9">
        <f>IF(5&lt;n_f,(d_2)+(phi_c/2)*0.707107,NA())</f>
        <v/>
      </c>
      <c r="AT9">
        <f>IF(inputs_ok,IF(6&lt;n_f,(d_2+6*(b_col-2*d_2)/(n_f-1))+(phi_c/2)*-0.707107,NA()),NA())</f>
        <v/>
      </c>
      <c r="AU9">
        <f>IF(6&lt;n_f,(h_col-d_2)+(phi_c/2)*0.707107,NA())</f>
        <v/>
      </c>
      <c r="AW9">
        <f>IF(inputs_ok,IF(6&lt;n_f,(d_2+6*(b_col-2*d_2)/(n_f-1))+(phi_c/2)*-0.707107,NA()),NA())</f>
        <v/>
      </c>
      <c r="AX9">
        <f>IF(6&lt;n_f,(d_2)+(phi_c/2)*0.707107,NA())</f>
        <v/>
      </c>
      <c r="AZ9">
        <f>IF(inputs_ok,IF(7&lt;n_f,(d_2+7*(b_col-2*d_2)/(n_f-1))+(phi_c/2)*-0.707107,NA()),NA())</f>
        <v/>
      </c>
      <c r="BA9">
        <f>IF(7&lt;n_f,(h_col-d_2)+(phi_c/2)*0.707107,NA())</f>
        <v/>
      </c>
      <c r="BC9">
        <f>IF(inputs_ok,IF(7&lt;n_f,(d_2+7*(b_col-2*d_2)/(n_f-1))+(phi_c/2)*-0.707107,NA()),NA())</f>
        <v/>
      </c>
      <c r="BD9">
        <f>IF(7&lt;n_f,(d_2)+(phi_c/2)*0.707107,NA())</f>
        <v/>
      </c>
      <c r="BF9">
        <f>IF(inputs_ok,IF(8&lt;n_f,(d_2+8*(b_col-2*d_2)/(n_f-1))+(phi_c/2)*-0.707107,NA()),NA())</f>
        <v/>
      </c>
      <c r="BG9">
        <f>IF(8&lt;n_f,(h_col-d_2)+(phi_c/2)*0.707107,NA())</f>
        <v/>
      </c>
      <c r="BI9">
        <f>IF(inputs_ok,IF(8&lt;n_f,(d_2+8*(b_col-2*d_2)/(n_f-1))+(phi_c/2)*-0.707107,NA()),NA())</f>
        <v/>
      </c>
      <c r="BJ9">
        <f>IF(8&lt;n_f,(d_2)+(phi_c/2)*0.707107,NA())</f>
        <v/>
      </c>
      <c r="BL9">
        <f>IF(inputs_ok,IF(9&lt;n_f,(d_2+9*(b_col-2*d_2)/(n_f-1))+(phi_c/2)*-0.707107,NA()),NA())</f>
        <v/>
      </c>
      <c r="BM9">
        <f>IF(9&lt;n_f,(h_col-d_2)+(phi_c/2)*0.707107,NA())</f>
        <v/>
      </c>
      <c r="BO9">
        <f>IF(inputs_ok,IF(9&lt;n_f,(d_2+9*(b_col-2*d_2)/(n_f-1))+(phi_c/2)*-0.707107,NA()),NA())</f>
        <v/>
      </c>
      <c r="BP9">
        <f>IF(9&lt;n_f,(d_2)+(phi_c/2)*0.707107,NA())</f>
        <v/>
      </c>
    </row>
    <row r="10">
      <c r="J10">
        <f>IF(inputs_ok,IF(0&lt;n_f,(d_2+0*(b_col-2*d_2)/(n_f-1))+(phi_c/2)*-0.923880,NA()),NA())</f>
        <v/>
      </c>
      <c r="K10">
        <f>IF(0&lt;n_f,(h_col-d_2)+(phi_c/2)*0.382683,NA())</f>
        <v/>
      </c>
      <c r="M10">
        <f>IF(inputs_ok,IF(0&lt;n_f,(d_2+0*(b_col-2*d_2)/(n_f-1))+(phi_c/2)*-0.923880,NA()),NA())</f>
        <v/>
      </c>
      <c r="N10">
        <f>IF(0&lt;n_f,(d_2)+(phi_c/2)*0.382683,NA())</f>
        <v/>
      </c>
      <c r="P10">
        <f>IF(inputs_ok,IF(1&lt;n_f,(d_2+1*(b_col-2*d_2)/(n_f-1))+(phi_c/2)*-0.923880,NA()),NA())</f>
        <v/>
      </c>
      <c r="Q10">
        <f>IF(1&lt;n_f,(h_col-d_2)+(phi_c/2)*0.382683,NA())</f>
        <v/>
      </c>
      <c r="S10">
        <f>IF(inputs_ok,IF(1&lt;n_f,(d_2+1*(b_col-2*d_2)/(n_f-1))+(phi_c/2)*-0.923880,NA()),NA())</f>
        <v/>
      </c>
      <c r="T10">
        <f>IF(1&lt;n_f,(d_2)+(phi_c/2)*0.382683,NA())</f>
        <v/>
      </c>
      <c r="V10">
        <f>IF(inputs_ok,IF(2&lt;n_f,(d_2+2*(b_col-2*d_2)/(n_f-1))+(phi_c/2)*-0.923880,NA()),NA())</f>
        <v/>
      </c>
      <c r="W10">
        <f>IF(2&lt;n_f,(h_col-d_2)+(phi_c/2)*0.382683,NA())</f>
        <v/>
      </c>
      <c r="Y10">
        <f>IF(inputs_ok,IF(2&lt;n_f,(d_2+2*(b_col-2*d_2)/(n_f-1))+(phi_c/2)*-0.923880,NA()),NA())</f>
        <v/>
      </c>
      <c r="Z10">
        <f>IF(2&lt;n_f,(d_2)+(phi_c/2)*0.382683,NA())</f>
        <v/>
      </c>
      <c r="AB10">
        <f>IF(inputs_ok,IF(3&lt;n_f,(d_2+3*(b_col-2*d_2)/(n_f-1))+(phi_c/2)*-0.923880,NA()),NA())</f>
        <v/>
      </c>
      <c r="AC10">
        <f>IF(3&lt;n_f,(h_col-d_2)+(phi_c/2)*0.382683,NA())</f>
        <v/>
      </c>
      <c r="AE10">
        <f>IF(inputs_ok,IF(3&lt;n_f,(d_2+3*(b_col-2*d_2)/(n_f-1))+(phi_c/2)*-0.923880,NA()),NA())</f>
        <v/>
      </c>
      <c r="AF10">
        <f>IF(3&lt;n_f,(d_2)+(phi_c/2)*0.382683,NA())</f>
        <v/>
      </c>
      <c r="AH10">
        <f>IF(inputs_ok,IF(4&lt;n_f,(d_2+4*(b_col-2*d_2)/(n_f-1))+(phi_c/2)*-0.923880,NA()),NA())</f>
        <v/>
      </c>
      <c r="AI10">
        <f>IF(4&lt;n_f,(h_col-d_2)+(phi_c/2)*0.382683,NA())</f>
        <v/>
      </c>
      <c r="AK10">
        <f>IF(inputs_ok,IF(4&lt;n_f,(d_2+4*(b_col-2*d_2)/(n_f-1))+(phi_c/2)*-0.923880,NA()),NA())</f>
        <v/>
      </c>
      <c r="AL10">
        <f>IF(4&lt;n_f,(d_2)+(phi_c/2)*0.382683,NA())</f>
        <v/>
      </c>
      <c r="AN10">
        <f>IF(inputs_ok,IF(5&lt;n_f,(d_2+5*(b_col-2*d_2)/(n_f-1))+(phi_c/2)*-0.923880,NA()),NA())</f>
        <v/>
      </c>
      <c r="AO10">
        <f>IF(5&lt;n_f,(h_col-d_2)+(phi_c/2)*0.382683,NA())</f>
        <v/>
      </c>
      <c r="AQ10">
        <f>IF(inputs_ok,IF(5&lt;n_f,(d_2+5*(b_col-2*d_2)/(n_f-1))+(phi_c/2)*-0.923880,NA()),NA())</f>
        <v/>
      </c>
      <c r="AR10">
        <f>IF(5&lt;n_f,(d_2)+(phi_c/2)*0.382683,NA())</f>
        <v/>
      </c>
      <c r="AT10">
        <f>IF(inputs_ok,IF(6&lt;n_f,(d_2+6*(b_col-2*d_2)/(n_f-1))+(phi_c/2)*-0.923880,NA()),NA())</f>
        <v/>
      </c>
      <c r="AU10">
        <f>IF(6&lt;n_f,(h_col-d_2)+(phi_c/2)*0.382683,NA())</f>
        <v/>
      </c>
      <c r="AW10">
        <f>IF(inputs_ok,IF(6&lt;n_f,(d_2+6*(b_col-2*d_2)/(n_f-1))+(phi_c/2)*-0.923880,NA()),NA())</f>
        <v/>
      </c>
      <c r="AX10">
        <f>IF(6&lt;n_f,(d_2)+(phi_c/2)*0.382683,NA())</f>
        <v/>
      </c>
      <c r="AZ10">
        <f>IF(inputs_ok,IF(7&lt;n_f,(d_2+7*(b_col-2*d_2)/(n_f-1))+(phi_c/2)*-0.923880,NA()),NA())</f>
        <v/>
      </c>
      <c r="BA10">
        <f>IF(7&lt;n_f,(h_col-d_2)+(phi_c/2)*0.382683,NA())</f>
        <v/>
      </c>
      <c r="BC10">
        <f>IF(inputs_ok,IF(7&lt;n_f,(d_2+7*(b_col-2*d_2)/(n_f-1))+(phi_c/2)*-0.923880,NA()),NA())</f>
        <v/>
      </c>
      <c r="BD10">
        <f>IF(7&lt;n_f,(d_2)+(phi_c/2)*0.382683,NA())</f>
        <v/>
      </c>
      <c r="BF10">
        <f>IF(inputs_ok,IF(8&lt;n_f,(d_2+8*(b_col-2*d_2)/(n_f-1))+(phi_c/2)*-0.923880,NA()),NA())</f>
        <v/>
      </c>
      <c r="BG10">
        <f>IF(8&lt;n_f,(h_col-d_2)+(phi_c/2)*0.382683,NA())</f>
        <v/>
      </c>
      <c r="BI10">
        <f>IF(inputs_ok,IF(8&lt;n_f,(d_2+8*(b_col-2*d_2)/(n_f-1))+(phi_c/2)*-0.923880,NA()),NA())</f>
        <v/>
      </c>
      <c r="BJ10">
        <f>IF(8&lt;n_f,(d_2)+(phi_c/2)*0.382683,NA())</f>
        <v/>
      </c>
      <c r="BL10">
        <f>IF(inputs_ok,IF(9&lt;n_f,(d_2+9*(b_col-2*d_2)/(n_f-1))+(phi_c/2)*-0.923880,NA()),NA())</f>
        <v/>
      </c>
      <c r="BM10">
        <f>IF(9&lt;n_f,(h_col-d_2)+(phi_c/2)*0.382683,NA())</f>
        <v/>
      </c>
      <c r="BO10">
        <f>IF(inputs_ok,IF(9&lt;n_f,(d_2+9*(b_col-2*d_2)/(n_f-1))+(phi_c/2)*-0.923880,NA()),NA())</f>
        <v/>
      </c>
      <c r="BP10">
        <f>IF(9&lt;n_f,(d_2)+(phi_c/2)*0.382683,NA())</f>
        <v/>
      </c>
    </row>
    <row r="11">
      <c r="J11">
        <f>IF(inputs_ok,IF(0&lt;n_f,(d_2+0*(b_col-2*d_2)/(n_f-1))+(phi_c/2)*-1.000000,NA()),NA())</f>
        <v/>
      </c>
      <c r="K11">
        <f>IF(0&lt;n_f,(h_col-d_2)+(phi_c/2)*0.000000,NA())</f>
        <v/>
      </c>
      <c r="M11">
        <f>IF(inputs_ok,IF(0&lt;n_f,(d_2+0*(b_col-2*d_2)/(n_f-1))+(phi_c/2)*-1.000000,NA()),NA())</f>
        <v/>
      </c>
      <c r="N11">
        <f>IF(0&lt;n_f,(d_2)+(phi_c/2)*0.000000,NA())</f>
        <v/>
      </c>
      <c r="P11">
        <f>IF(inputs_ok,IF(1&lt;n_f,(d_2+1*(b_col-2*d_2)/(n_f-1))+(phi_c/2)*-1.000000,NA()),NA())</f>
        <v/>
      </c>
      <c r="Q11">
        <f>IF(1&lt;n_f,(h_col-d_2)+(phi_c/2)*0.000000,NA())</f>
        <v/>
      </c>
      <c r="S11">
        <f>IF(inputs_ok,IF(1&lt;n_f,(d_2+1*(b_col-2*d_2)/(n_f-1))+(phi_c/2)*-1.000000,NA()),NA())</f>
        <v/>
      </c>
      <c r="T11">
        <f>IF(1&lt;n_f,(d_2)+(phi_c/2)*0.000000,NA())</f>
        <v/>
      </c>
      <c r="V11">
        <f>IF(inputs_ok,IF(2&lt;n_f,(d_2+2*(b_col-2*d_2)/(n_f-1))+(phi_c/2)*-1.000000,NA()),NA())</f>
        <v/>
      </c>
      <c r="W11">
        <f>IF(2&lt;n_f,(h_col-d_2)+(phi_c/2)*0.000000,NA())</f>
        <v/>
      </c>
      <c r="Y11">
        <f>IF(inputs_ok,IF(2&lt;n_f,(d_2+2*(b_col-2*d_2)/(n_f-1))+(phi_c/2)*-1.000000,NA()),NA())</f>
        <v/>
      </c>
      <c r="Z11">
        <f>IF(2&lt;n_f,(d_2)+(phi_c/2)*0.000000,NA())</f>
        <v/>
      </c>
      <c r="AB11">
        <f>IF(inputs_ok,IF(3&lt;n_f,(d_2+3*(b_col-2*d_2)/(n_f-1))+(phi_c/2)*-1.000000,NA()),NA())</f>
        <v/>
      </c>
      <c r="AC11">
        <f>IF(3&lt;n_f,(h_col-d_2)+(phi_c/2)*0.000000,NA())</f>
        <v/>
      </c>
      <c r="AE11">
        <f>IF(inputs_ok,IF(3&lt;n_f,(d_2+3*(b_col-2*d_2)/(n_f-1))+(phi_c/2)*-1.000000,NA()),NA())</f>
        <v/>
      </c>
      <c r="AF11">
        <f>IF(3&lt;n_f,(d_2)+(phi_c/2)*0.000000,NA())</f>
        <v/>
      </c>
      <c r="AH11">
        <f>IF(inputs_ok,IF(4&lt;n_f,(d_2+4*(b_col-2*d_2)/(n_f-1))+(phi_c/2)*-1.000000,NA()),NA())</f>
        <v/>
      </c>
      <c r="AI11">
        <f>IF(4&lt;n_f,(h_col-d_2)+(phi_c/2)*0.000000,NA())</f>
        <v/>
      </c>
      <c r="AK11">
        <f>IF(inputs_ok,IF(4&lt;n_f,(d_2+4*(b_col-2*d_2)/(n_f-1))+(phi_c/2)*-1.000000,NA()),NA())</f>
        <v/>
      </c>
      <c r="AL11">
        <f>IF(4&lt;n_f,(d_2)+(phi_c/2)*0.000000,NA())</f>
        <v/>
      </c>
      <c r="AN11">
        <f>IF(inputs_ok,IF(5&lt;n_f,(d_2+5*(b_col-2*d_2)/(n_f-1))+(phi_c/2)*-1.000000,NA()),NA())</f>
        <v/>
      </c>
      <c r="AO11">
        <f>IF(5&lt;n_f,(h_col-d_2)+(phi_c/2)*0.000000,NA())</f>
        <v/>
      </c>
      <c r="AQ11">
        <f>IF(inputs_ok,IF(5&lt;n_f,(d_2+5*(b_col-2*d_2)/(n_f-1))+(phi_c/2)*-1.000000,NA()),NA())</f>
        <v/>
      </c>
      <c r="AR11">
        <f>IF(5&lt;n_f,(d_2)+(phi_c/2)*0.000000,NA())</f>
        <v/>
      </c>
      <c r="AT11">
        <f>IF(inputs_ok,IF(6&lt;n_f,(d_2+6*(b_col-2*d_2)/(n_f-1))+(phi_c/2)*-1.000000,NA()),NA())</f>
        <v/>
      </c>
      <c r="AU11">
        <f>IF(6&lt;n_f,(h_col-d_2)+(phi_c/2)*0.000000,NA())</f>
        <v/>
      </c>
      <c r="AW11">
        <f>IF(inputs_ok,IF(6&lt;n_f,(d_2+6*(b_col-2*d_2)/(n_f-1))+(phi_c/2)*-1.000000,NA()),NA())</f>
        <v/>
      </c>
      <c r="AX11">
        <f>IF(6&lt;n_f,(d_2)+(phi_c/2)*0.000000,NA())</f>
        <v/>
      </c>
      <c r="AZ11">
        <f>IF(inputs_ok,IF(7&lt;n_f,(d_2+7*(b_col-2*d_2)/(n_f-1))+(phi_c/2)*-1.000000,NA()),NA())</f>
        <v/>
      </c>
      <c r="BA11">
        <f>IF(7&lt;n_f,(h_col-d_2)+(phi_c/2)*0.000000,NA())</f>
        <v/>
      </c>
      <c r="BC11">
        <f>IF(inputs_ok,IF(7&lt;n_f,(d_2+7*(b_col-2*d_2)/(n_f-1))+(phi_c/2)*-1.000000,NA()),NA())</f>
        <v/>
      </c>
      <c r="BD11">
        <f>IF(7&lt;n_f,(d_2)+(phi_c/2)*0.000000,NA())</f>
        <v/>
      </c>
      <c r="BF11">
        <f>IF(inputs_ok,IF(8&lt;n_f,(d_2+8*(b_col-2*d_2)/(n_f-1))+(phi_c/2)*-1.000000,NA()),NA())</f>
        <v/>
      </c>
      <c r="BG11">
        <f>IF(8&lt;n_f,(h_col-d_2)+(phi_c/2)*0.000000,NA())</f>
        <v/>
      </c>
      <c r="BI11">
        <f>IF(inputs_ok,IF(8&lt;n_f,(d_2+8*(b_col-2*d_2)/(n_f-1))+(phi_c/2)*-1.000000,NA()),NA())</f>
        <v/>
      </c>
      <c r="BJ11">
        <f>IF(8&lt;n_f,(d_2)+(phi_c/2)*0.000000,NA())</f>
        <v/>
      </c>
      <c r="BL11">
        <f>IF(inputs_ok,IF(9&lt;n_f,(d_2+9*(b_col-2*d_2)/(n_f-1))+(phi_c/2)*-1.000000,NA()),NA())</f>
        <v/>
      </c>
      <c r="BM11">
        <f>IF(9&lt;n_f,(h_col-d_2)+(phi_c/2)*0.000000,NA())</f>
        <v/>
      </c>
      <c r="BO11">
        <f>IF(inputs_ok,IF(9&lt;n_f,(d_2+9*(b_col-2*d_2)/(n_f-1))+(phi_c/2)*-1.000000,NA()),NA())</f>
        <v/>
      </c>
      <c r="BP11">
        <f>IF(9&lt;n_f,(d_2)+(phi_c/2)*0.000000,NA())</f>
        <v/>
      </c>
    </row>
    <row r="12">
      <c r="J12">
        <f>IF(inputs_ok,IF(0&lt;n_f,(d_2+0*(b_col-2*d_2)/(n_f-1))+(phi_c/2)*-0.923880,NA()),NA())</f>
        <v/>
      </c>
      <c r="K12">
        <f>IF(0&lt;n_f,(h_col-d_2)+(phi_c/2)*-0.382683,NA())</f>
        <v/>
      </c>
      <c r="M12">
        <f>IF(inputs_ok,IF(0&lt;n_f,(d_2+0*(b_col-2*d_2)/(n_f-1))+(phi_c/2)*-0.923880,NA()),NA())</f>
        <v/>
      </c>
      <c r="N12">
        <f>IF(0&lt;n_f,(d_2)+(phi_c/2)*-0.382683,NA())</f>
        <v/>
      </c>
      <c r="P12">
        <f>IF(inputs_ok,IF(1&lt;n_f,(d_2+1*(b_col-2*d_2)/(n_f-1))+(phi_c/2)*-0.923880,NA()),NA())</f>
        <v/>
      </c>
      <c r="Q12">
        <f>IF(1&lt;n_f,(h_col-d_2)+(phi_c/2)*-0.382683,NA())</f>
        <v/>
      </c>
      <c r="S12">
        <f>IF(inputs_ok,IF(1&lt;n_f,(d_2+1*(b_col-2*d_2)/(n_f-1))+(phi_c/2)*-0.923880,NA()),NA())</f>
        <v/>
      </c>
      <c r="T12">
        <f>IF(1&lt;n_f,(d_2)+(phi_c/2)*-0.382683,NA())</f>
        <v/>
      </c>
      <c r="V12">
        <f>IF(inputs_ok,IF(2&lt;n_f,(d_2+2*(b_col-2*d_2)/(n_f-1))+(phi_c/2)*-0.923880,NA()),NA())</f>
        <v/>
      </c>
      <c r="W12">
        <f>IF(2&lt;n_f,(h_col-d_2)+(phi_c/2)*-0.382683,NA())</f>
        <v/>
      </c>
      <c r="Y12">
        <f>IF(inputs_ok,IF(2&lt;n_f,(d_2+2*(b_col-2*d_2)/(n_f-1))+(phi_c/2)*-0.923880,NA()),NA())</f>
        <v/>
      </c>
      <c r="Z12">
        <f>IF(2&lt;n_f,(d_2)+(phi_c/2)*-0.382683,NA())</f>
        <v/>
      </c>
      <c r="AB12">
        <f>IF(inputs_ok,IF(3&lt;n_f,(d_2+3*(b_col-2*d_2)/(n_f-1))+(phi_c/2)*-0.923880,NA()),NA())</f>
        <v/>
      </c>
      <c r="AC12">
        <f>IF(3&lt;n_f,(h_col-d_2)+(phi_c/2)*-0.382683,NA())</f>
        <v/>
      </c>
      <c r="AE12">
        <f>IF(inputs_ok,IF(3&lt;n_f,(d_2+3*(b_col-2*d_2)/(n_f-1))+(phi_c/2)*-0.923880,NA()),NA())</f>
        <v/>
      </c>
      <c r="AF12">
        <f>IF(3&lt;n_f,(d_2)+(phi_c/2)*-0.382683,NA())</f>
        <v/>
      </c>
      <c r="AH12">
        <f>IF(inputs_ok,IF(4&lt;n_f,(d_2+4*(b_col-2*d_2)/(n_f-1))+(phi_c/2)*-0.923880,NA()),NA())</f>
        <v/>
      </c>
      <c r="AI12">
        <f>IF(4&lt;n_f,(h_col-d_2)+(phi_c/2)*-0.382683,NA())</f>
        <v/>
      </c>
      <c r="AK12">
        <f>IF(inputs_ok,IF(4&lt;n_f,(d_2+4*(b_col-2*d_2)/(n_f-1))+(phi_c/2)*-0.923880,NA()),NA())</f>
        <v/>
      </c>
      <c r="AL12">
        <f>IF(4&lt;n_f,(d_2)+(phi_c/2)*-0.382683,NA())</f>
        <v/>
      </c>
      <c r="AN12">
        <f>IF(inputs_ok,IF(5&lt;n_f,(d_2+5*(b_col-2*d_2)/(n_f-1))+(phi_c/2)*-0.923880,NA()),NA())</f>
        <v/>
      </c>
      <c r="AO12">
        <f>IF(5&lt;n_f,(h_col-d_2)+(phi_c/2)*-0.382683,NA())</f>
        <v/>
      </c>
      <c r="AQ12">
        <f>IF(inputs_ok,IF(5&lt;n_f,(d_2+5*(b_col-2*d_2)/(n_f-1))+(phi_c/2)*-0.923880,NA()),NA())</f>
        <v/>
      </c>
      <c r="AR12">
        <f>IF(5&lt;n_f,(d_2)+(phi_c/2)*-0.382683,NA())</f>
        <v/>
      </c>
      <c r="AT12">
        <f>IF(inputs_ok,IF(6&lt;n_f,(d_2+6*(b_col-2*d_2)/(n_f-1))+(phi_c/2)*-0.923880,NA()),NA())</f>
        <v/>
      </c>
      <c r="AU12">
        <f>IF(6&lt;n_f,(h_col-d_2)+(phi_c/2)*-0.382683,NA())</f>
        <v/>
      </c>
      <c r="AW12">
        <f>IF(inputs_ok,IF(6&lt;n_f,(d_2+6*(b_col-2*d_2)/(n_f-1))+(phi_c/2)*-0.923880,NA()),NA())</f>
        <v/>
      </c>
      <c r="AX12">
        <f>IF(6&lt;n_f,(d_2)+(phi_c/2)*-0.382683,NA())</f>
        <v/>
      </c>
      <c r="AZ12">
        <f>IF(inputs_ok,IF(7&lt;n_f,(d_2+7*(b_col-2*d_2)/(n_f-1))+(phi_c/2)*-0.923880,NA()),NA())</f>
        <v/>
      </c>
      <c r="BA12">
        <f>IF(7&lt;n_f,(h_col-d_2)+(phi_c/2)*-0.382683,NA())</f>
        <v/>
      </c>
      <c r="BC12">
        <f>IF(inputs_ok,IF(7&lt;n_f,(d_2+7*(b_col-2*d_2)/(n_f-1))+(phi_c/2)*-0.923880,NA()),NA())</f>
        <v/>
      </c>
      <c r="BD12">
        <f>IF(7&lt;n_f,(d_2)+(phi_c/2)*-0.382683,NA())</f>
        <v/>
      </c>
      <c r="BF12">
        <f>IF(inputs_ok,IF(8&lt;n_f,(d_2+8*(b_col-2*d_2)/(n_f-1))+(phi_c/2)*-0.923880,NA()),NA())</f>
        <v/>
      </c>
      <c r="BG12">
        <f>IF(8&lt;n_f,(h_col-d_2)+(phi_c/2)*-0.382683,NA())</f>
        <v/>
      </c>
      <c r="BI12">
        <f>IF(inputs_ok,IF(8&lt;n_f,(d_2+8*(b_col-2*d_2)/(n_f-1))+(phi_c/2)*-0.923880,NA()),NA())</f>
        <v/>
      </c>
      <c r="BJ12">
        <f>IF(8&lt;n_f,(d_2)+(phi_c/2)*-0.382683,NA())</f>
        <v/>
      </c>
      <c r="BL12">
        <f>IF(inputs_ok,IF(9&lt;n_f,(d_2+9*(b_col-2*d_2)/(n_f-1))+(phi_c/2)*-0.923880,NA()),NA())</f>
        <v/>
      </c>
      <c r="BM12">
        <f>IF(9&lt;n_f,(h_col-d_2)+(phi_c/2)*-0.382683,NA())</f>
        <v/>
      </c>
      <c r="BO12">
        <f>IF(inputs_ok,IF(9&lt;n_f,(d_2+9*(b_col-2*d_2)/(n_f-1))+(phi_c/2)*-0.923880,NA()),NA())</f>
        <v/>
      </c>
      <c r="BP12">
        <f>IF(9&lt;n_f,(d_2)+(phi_c/2)*-0.382683,NA())</f>
        <v/>
      </c>
    </row>
    <row r="13">
      <c r="J13">
        <f>IF(inputs_ok,IF(0&lt;n_f,(d_2+0*(b_col-2*d_2)/(n_f-1))+(phi_c/2)*-0.707107,NA()),NA())</f>
        <v/>
      </c>
      <c r="K13">
        <f>IF(0&lt;n_f,(h_col-d_2)+(phi_c/2)*-0.707107,NA())</f>
        <v/>
      </c>
      <c r="M13">
        <f>IF(inputs_ok,IF(0&lt;n_f,(d_2+0*(b_col-2*d_2)/(n_f-1))+(phi_c/2)*-0.707107,NA()),NA())</f>
        <v/>
      </c>
      <c r="N13">
        <f>IF(0&lt;n_f,(d_2)+(phi_c/2)*-0.707107,NA())</f>
        <v/>
      </c>
      <c r="P13">
        <f>IF(inputs_ok,IF(1&lt;n_f,(d_2+1*(b_col-2*d_2)/(n_f-1))+(phi_c/2)*-0.707107,NA()),NA())</f>
        <v/>
      </c>
      <c r="Q13">
        <f>IF(1&lt;n_f,(h_col-d_2)+(phi_c/2)*-0.707107,NA())</f>
        <v/>
      </c>
      <c r="S13">
        <f>IF(inputs_ok,IF(1&lt;n_f,(d_2+1*(b_col-2*d_2)/(n_f-1))+(phi_c/2)*-0.707107,NA()),NA())</f>
        <v/>
      </c>
      <c r="T13">
        <f>IF(1&lt;n_f,(d_2)+(phi_c/2)*-0.707107,NA())</f>
        <v/>
      </c>
      <c r="V13">
        <f>IF(inputs_ok,IF(2&lt;n_f,(d_2+2*(b_col-2*d_2)/(n_f-1))+(phi_c/2)*-0.707107,NA()),NA())</f>
        <v/>
      </c>
      <c r="W13">
        <f>IF(2&lt;n_f,(h_col-d_2)+(phi_c/2)*-0.707107,NA())</f>
        <v/>
      </c>
      <c r="Y13">
        <f>IF(inputs_ok,IF(2&lt;n_f,(d_2+2*(b_col-2*d_2)/(n_f-1))+(phi_c/2)*-0.707107,NA()),NA())</f>
        <v/>
      </c>
      <c r="Z13">
        <f>IF(2&lt;n_f,(d_2)+(phi_c/2)*-0.707107,NA())</f>
        <v/>
      </c>
      <c r="AB13">
        <f>IF(inputs_ok,IF(3&lt;n_f,(d_2+3*(b_col-2*d_2)/(n_f-1))+(phi_c/2)*-0.707107,NA()),NA())</f>
        <v/>
      </c>
      <c r="AC13">
        <f>IF(3&lt;n_f,(h_col-d_2)+(phi_c/2)*-0.707107,NA())</f>
        <v/>
      </c>
      <c r="AE13">
        <f>IF(inputs_ok,IF(3&lt;n_f,(d_2+3*(b_col-2*d_2)/(n_f-1))+(phi_c/2)*-0.707107,NA()),NA())</f>
        <v/>
      </c>
      <c r="AF13">
        <f>IF(3&lt;n_f,(d_2)+(phi_c/2)*-0.707107,NA())</f>
        <v/>
      </c>
      <c r="AH13">
        <f>IF(inputs_ok,IF(4&lt;n_f,(d_2+4*(b_col-2*d_2)/(n_f-1))+(phi_c/2)*-0.707107,NA()),NA())</f>
        <v/>
      </c>
      <c r="AI13">
        <f>IF(4&lt;n_f,(h_col-d_2)+(phi_c/2)*-0.707107,NA())</f>
        <v/>
      </c>
      <c r="AK13">
        <f>IF(inputs_ok,IF(4&lt;n_f,(d_2+4*(b_col-2*d_2)/(n_f-1))+(phi_c/2)*-0.707107,NA()),NA())</f>
        <v/>
      </c>
      <c r="AL13">
        <f>IF(4&lt;n_f,(d_2)+(phi_c/2)*-0.707107,NA())</f>
        <v/>
      </c>
      <c r="AN13">
        <f>IF(inputs_ok,IF(5&lt;n_f,(d_2+5*(b_col-2*d_2)/(n_f-1))+(phi_c/2)*-0.707107,NA()),NA())</f>
        <v/>
      </c>
      <c r="AO13">
        <f>IF(5&lt;n_f,(h_col-d_2)+(phi_c/2)*-0.707107,NA())</f>
        <v/>
      </c>
      <c r="AQ13">
        <f>IF(inputs_ok,IF(5&lt;n_f,(d_2+5*(b_col-2*d_2)/(n_f-1))+(phi_c/2)*-0.707107,NA()),NA())</f>
        <v/>
      </c>
      <c r="AR13">
        <f>IF(5&lt;n_f,(d_2)+(phi_c/2)*-0.707107,NA())</f>
        <v/>
      </c>
      <c r="AT13">
        <f>IF(inputs_ok,IF(6&lt;n_f,(d_2+6*(b_col-2*d_2)/(n_f-1))+(phi_c/2)*-0.707107,NA()),NA())</f>
        <v/>
      </c>
      <c r="AU13">
        <f>IF(6&lt;n_f,(h_col-d_2)+(phi_c/2)*-0.707107,NA())</f>
        <v/>
      </c>
      <c r="AW13">
        <f>IF(inputs_ok,IF(6&lt;n_f,(d_2+6*(b_col-2*d_2)/(n_f-1))+(phi_c/2)*-0.707107,NA()),NA())</f>
        <v/>
      </c>
      <c r="AX13">
        <f>IF(6&lt;n_f,(d_2)+(phi_c/2)*-0.707107,NA())</f>
        <v/>
      </c>
      <c r="AZ13">
        <f>IF(inputs_ok,IF(7&lt;n_f,(d_2+7*(b_col-2*d_2)/(n_f-1))+(phi_c/2)*-0.707107,NA()),NA())</f>
        <v/>
      </c>
      <c r="BA13">
        <f>IF(7&lt;n_f,(h_col-d_2)+(phi_c/2)*-0.707107,NA())</f>
        <v/>
      </c>
      <c r="BC13">
        <f>IF(inputs_ok,IF(7&lt;n_f,(d_2+7*(b_col-2*d_2)/(n_f-1))+(phi_c/2)*-0.707107,NA()),NA())</f>
        <v/>
      </c>
      <c r="BD13">
        <f>IF(7&lt;n_f,(d_2)+(phi_c/2)*-0.707107,NA())</f>
        <v/>
      </c>
      <c r="BF13">
        <f>IF(inputs_ok,IF(8&lt;n_f,(d_2+8*(b_col-2*d_2)/(n_f-1))+(phi_c/2)*-0.707107,NA()),NA())</f>
        <v/>
      </c>
      <c r="BG13">
        <f>IF(8&lt;n_f,(h_col-d_2)+(phi_c/2)*-0.707107,NA())</f>
        <v/>
      </c>
      <c r="BI13">
        <f>IF(inputs_ok,IF(8&lt;n_f,(d_2+8*(b_col-2*d_2)/(n_f-1))+(phi_c/2)*-0.707107,NA()),NA())</f>
        <v/>
      </c>
      <c r="BJ13">
        <f>IF(8&lt;n_f,(d_2)+(phi_c/2)*-0.707107,NA())</f>
        <v/>
      </c>
      <c r="BL13">
        <f>IF(inputs_ok,IF(9&lt;n_f,(d_2+9*(b_col-2*d_2)/(n_f-1))+(phi_c/2)*-0.707107,NA()),NA())</f>
        <v/>
      </c>
      <c r="BM13">
        <f>IF(9&lt;n_f,(h_col-d_2)+(phi_c/2)*-0.707107,NA())</f>
        <v/>
      </c>
      <c r="BO13">
        <f>IF(inputs_ok,IF(9&lt;n_f,(d_2+9*(b_col-2*d_2)/(n_f-1))+(phi_c/2)*-0.707107,NA()),NA())</f>
        <v/>
      </c>
      <c r="BP13">
        <f>IF(9&lt;n_f,(d_2)+(phi_c/2)*-0.707107,NA())</f>
        <v/>
      </c>
    </row>
    <row r="14">
      <c r="J14">
        <f>IF(inputs_ok,IF(0&lt;n_f,(d_2+0*(b_col-2*d_2)/(n_f-1))+(phi_c/2)*-0.382683,NA()),NA())</f>
        <v/>
      </c>
      <c r="K14">
        <f>IF(0&lt;n_f,(h_col-d_2)+(phi_c/2)*-0.923880,NA())</f>
        <v/>
      </c>
      <c r="M14">
        <f>IF(inputs_ok,IF(0&lt;n_f,(d_2+0*(b_col-2*d_2)/(n_f-1))+(phi_c/2)*-0.382683,NA()),NA())</f>
        <v/>
      </c>
      <c r="N14">
        <f>IF(0&lt;n_f,(d_2)+(phi_c/2)*-0.923880,NA())</f>
        <v/>
      </c>
      <c r="P14">
        <f>IF(inputs_ok,IF(1&lt;n_f,(d_2+1*(b_col-2*d_2)/(n_f-1))+(phi_c/2)*-0.382683,NA()),NA())</f>
        <v/>
      </c>
      <c r="Q14">
        <f>IF(1&lt;n_f,(h_col-d_2)+(phi_c/2)*-0.923880,NA())</f>
        <v/>
      </c>
      <c r="S14">
        <f>IF(inputs_ok,IF(1&lt;n_f,(d_2+1*(b_col-2*d_2)/(n_f-1))+(phi_c/2)*-0.382683,NA()),NA())</f>
        <v/>
      </c>
      <c r="T14">
        <f>IF(1&lt;n_f,(d_2)+(phi_c/2)*-0.923880,NA())</f>
        <v/>
      </c>
      <c r="V14">
        <f>IF(inputs_ok,IF(2&lt;n_f,(d_2+2*(b_col-2*d_2)/(n_f-1))+(phi_c/2)*-0.382683,NA()),NA())</f>
        <v/>
      </c>
      <c r="W14">
        <f>IF(2&lt;n_f,(h_col-d_2)+(phi_c/2)*-0.923880,NA())</f>
        <v/>
      </c>
      <c r="Y14">
        <f>IF(inputs_ok,IF(2&lt;n_f,(d_2+2*(b_col-2*d_2)/(n_f-1))+(phi_c/2)*-0.382683,NA()),NA())</f>
        <v/>
      </c>
      <c r="Z14">
        <f>IF(2&lt;n_f,(d_2)+(phi_c/2)*-0.923880,NA())</f>
        <v/>
      </c>
      <c r="AB14">
        <f>IF(inputs_ok,IF(3&lt;n_f,(d_2+3*(b_col-2*d_2)/(n_f-1))+(phi_c/2)*-0.382683,NA()),NA())</f>
        <v/>
      </c>
      <c r="AC14">
        <f>IF(3&lt;n_f,(h_col-d_2)+(phi_c/2)*-0.923880,NA())</f>
        <v/>
      </c>
      <c r="AE14">
        <f>IF(inputs_ok,IF(3&lt;n_f,(d_2+3*(b_col-2*d_2)/(n_f-1))+(phi_c/2)*-0.382683,NA()),NA())</f>
        <v/>
      </c>
      <c r="AF14">
        <f>IF(3&lt;n_f,(d_2)+(phi_c/2)*-0.923880,NA())</f>
        <v/>
      </c>
      <c r="AH14">
        <f>IF(inputs_ok,IF(4&lt;n_f,(d_2+4*(b_col-2*d_2)/(n_f-1))+(phi_c/2)*-0.382683,NA()),NA())</f>
        <v/>
      </c>
      <c r="AI14">
        <f>IF(4&lt;n_f,(h_col-d_2)+(phi_c/2)*-0.923880,NA())</f>
        <v/>
      </c>
      <c r="AK14">
        <f>IF(inputs_ok,IF(4&lt;n_f,(d_2+4*(b_col-2*d_2)/(n_f-1))+(phi_c/2)*-0.382683,NA()),NA())</f>
        <v/>
      </c>
      <c r="AL14">
        <f>IF(4&lt;n_f,(d_2)+(phi_c/2)*-0.923880,NA())</f>
        <v/>
      </c>
      <c r="AN14">
        <f>IF(inputs_ok,IF(5&lt;n_f,(d_2+5*(b_col-2*d_2)/(n_f-1))+(phi_c/2)*-0.382683,NA()),NA())</f>
        <v/>
      </c>
      <c r="AO14">
        <f>IF(5&lt;n_f,(h_col-d_2)+(phi_c/2)*-0.923880,NA())</f>
        <v/>
      </c>
      <c r="AQ14">
        <f>IF(inputs_ok,IF(5&lt;n_f,(d_2+5*(b_col-2*d_2)/(n_f-1))+(phi_c/2)*-0.382683,NA()),NA())</f>
        <v/>
      </c>
      <c r="AR14">
        <f>IF(5&lt;n_f,(d_2)+(phi_c/2)*-0.923880,NA())</f>
        <v/>
      </c>
      <c r="AT14">
        <f>IF(inputs_ok,IF(6&lt;n_f,(d_2+6*(b_col-2*d_2)/(n_f-1))+(phi_c/2)*-0.382683,NA()),NA())</f>
        <v/>
      </c>
      <c r="AU14">
        <f>IF(6&lt;n_f,(h_col-d_2)+(phi_c/2)*-0.923880,NA())</f>
        <v/>
      </c>
      <c r="AW14">
        <f>IF(inputs_ok,IF(6&lt;n_f,(d_2+6*(b_col-2*d_2)/(n_f-1))+(phi_c/2)*-0.382683,NA()),NA())</f>
        <v/>
      </c>
      <c r="AX14">
        <f>IF(6&lt;n_f,(d_2)+(phi_c/2)*-0.923880,NA())</f>
        <v/>
      </c>
      <c r="AZ14">
        <f>IF(inputs_ok,IF(7&lt;n_f,(d_2+7*(b_col-2*d_2)/(n_f-1))+(phi_c/2)*-0.382683,NA()),NA())</f>
        <v/>
      </c>
      <c r="BA14">
        <f>IF(7&lt;n_f,(h_col-d_2)+(phi_c/2)*-0.923880,NA())</f>
        <v/>
      </c>
      <c r="BC14">
        <f>IF(inputs_ok,IF(7&lt;n_f,(d_2+7*(b_col-2*d_2)/(n_f-1))+(phi_c/2)*-0.382683,NA()),NA())</f>
        <v/>
      </c>
      <c r="BD14">
        <f>IF(7&lt;n_f,(d_2)+(phi_c/2)*-0.923880,NA())</f>
        <v/>
      </c>
      <c r="BF14">
        <f>IF(inputs_ok,IF(8&lt;n_f,(d_2+8*(b_col-2*d_2)/(n_f-1))+(phi_c/2)*-0.382683,NA()),NA())</f>
        <v/>
      </c>
      <c r="BG14">
        <f>IF(8&lt;n_f,(h_col-d_2)+(phi_c/2)*-0.923880,NA())</f>
        <v/>
      </c>
      <c r="BI14">
        <f>IF(inputs_ok,IF(8&lt;n_f,(d_2+8*(b_col-2*d_2)/(n_f-1))+(phi_c/2)*-0.382683,NA()),NA())</f>
        <v/>
      </c>
      <c r="BJ14">
        <f>IF(8&lt;n_f,(d_2)+(phi_c/2)*-0.923880,NA())</f>
        <v/>
      </c>
      <c r="BL14">
        <f>IF(inputs_ok,IF(9&lt;n_f,(d_2+9*(b_col-2*d_2)/(n_f-1))+(phi_c/2)*-0.382683,NA()),NA())</f>
        <v/>
      </c>
      <c r="BM14">
        <f>IF(9&lt;n_f,(h_col-d_2)+(phi_c/2)*-0.923880,NA())</f>
        <v/>
      </c>
      <c r="BO14">
        <f>IF(inputs_ok,IF(9&lt;n_f,(d_2+9*(b_col-2*d_2)/(n_f-1))+(phi_c/2)*-0.382683,NA()),NA())</f>
        <v/>
      </c>
      <c r="BP14">
        <f>IF(9&lt;n_f,(d_2)+(phi_c/2)*-0.923880,NA())</f>
        <v/>
      </c>
    </row>
    <row r="15">
      <c r="J15">
        <f>IF(inputs_ok,IF(0&lt;n_f,(d_2+0*(b_col-2*d_2)/(n_f-1))+(phi_c/2)*-0.000000,NA()),NA())</f>
        <v/>
      </c>
      <c r="K15">
        <f>IF(0&lt;n_f,(h_col-d_2)+(phi_c/2)*-1.000000,NA())</f>
        <v/>
      </c>
      <c r="M15">
        <f>IF(inputs_ok,IF(0&lt;n_f,(d_2+0*(b_col-2*d_2)/(n_f-1))+(phi_c/2)*-0.000000,NA()),NA())</f>
        <v/>
      </c>
      <c r="N15">
        <f>IF(0&lt;n_f,(d_2)+(phi_c/2)*-1.000000,NA())</f>
        <v/>
      </c>
      <c r="P15">
        <f>IF(inputs_ok,IF(1&lt;n_f,(d_2+1*(b_col-2*d_2)/(n_f-1))+(phi_c/2)*-0.000000,NA()),NA())</f>
        <v/>
      </c>
      <c r="Q15">
        <f>IF(1&lt;n_f,(h_col-d_2)+(phi_c/2)*-1.000000,NA())</f>
        <v/>
      </c>
      <c r="S15">
        <f>IF(inputs_ok,IF(1&lt;n_f,(d_2+1*(b_col-2*d_2)/(n_f-1))+(phi_c/2)*-0.000000,NA()),NA())</f>
        <v/>
      </c>
      <c r="T15">
        <f>IF(1&lt;n_f,(d_2)+(phi_c/2)*-1.000000,NA())</f>
        <v/>
      </c>
      <c r="V15">
        <f>IF(inputs_ok,IF(2&lt;n_f,(d_2+2*(b_col-2*d_2)/(n_f-1))+(phi_c/2)*-0.000000,NA()),NA())</f>
        <v/>
      </c>
      <c r="W15">
        <f>IF(2&lt;n_f,(h_col-d_2)+(phi_c/2)*-1.000000,NA())</f>
        <v/>
      </c>
      <c r="Y15">
        <f>IF(inputs_ok,IF(2&lt;n_f,(d_2+2*(b_col-2*d_2)/(n_f-1))+(phi_c/2)*-0.000000,NA()),NA())</f>
        <v/>
      </c>
      <c r="Z15">
        <f>IF(2&lt;n_f,(d_2)+(phi_c/2)*-1.000000,NA())</f>
        <v/>
      </c>
      <c r="AB15">
        <f>IF(inputs_ok,IF(3&lt;n_f,(d_2+3*(b_col-2*d_2)/(n_f-1))+(phi_c/2)*-0.000000,NA()),NA())</f>
        <v/>
      </c>
      <c r="AC15">
        <f>IF(3&lt;n_f,(h_col-d_2)+(phi_c/2)*-1.000000,NA())</f>
        <v/>
      </c>
      <c r="AE15">
        <f>IF(inputs_ok,IF(3&lt;n_f,(d_2+3*(b_col-2*d_2)/(n_f-1))+(phi_c/2)*-0.000000,NA()),NA())</f>
        <v/>
      </c>
      <c r="AF15">
        <f>IF(3&lt;n_f,(d_2)+(phi_c/2)*-1.000000,NA())</f>
        <v/>
      </c>
      <c r="AH15">
        <f>IF(inputs_ok,IF(4&lt;n_f,(d_2+4*(b_col-2*d_2)/(n_f-1))+(phi_c/2)*-0.000000,NA()),NA())</f>
        <v/>
      </c>
      <c r="AI15">
        <f>IF(4&lt;n_f,(h_col-d_2)+(phi_c/2)*-1.000000,NA())</f>
        <v/>
      </c>
      <c r="AK15">
        <f>IF(inputs_ok,IF(4&lt;n_f,(d_2+4*(b_col-2*d_2)/(n_f-1))+(phi_c/2)*-0.000000,NA()),NA())</f>
        <v/>
      </c>
      <c r="AL15">
        <f>IF(4&lt;n_f,(d_2)+(phi_c/2)*-1.000000,NA())</f>
        <v/>
      </c>
      <c r="AN15">
        <f>IF(inputs_ok,IF(5&lt;n_f,(d_2+5*(b_col-2*d_2)/(n_f-1))+(phi_c/2)*-0.000000,NA()),NA())</f>
        <v/>
      </c>
      <c r="AO15">
        <f>IF(5&lt;n_f,(h_col-d_2)+(phi_c/2)*-1.000000,NA())</f>
        <v/>
      </c>
      <c r="AQ15">
        <f>IF(inputs_ok,IF(5&lt;n_f,(d_2+5*(b_col-2*d_2)/(n_f-1))+(phi_c/2)*-0.000000,NA()),NA())</f>
        <v/>
      </c>
      <c r="AR15">
        <f>IF(5&lt;n_f,(d_2)+(phi_c/2)*-1.000000,NA())</f>
        <v/>
      </c>
      <c r="AT15">
        <f>IF(inputs_ok,IF(6&lt;n_f,(d_2+6*(b_col-2*d_2)/(n_f-1))+(phi_c/2)*-0.000000,NA()),NA())</f>
        <v/>
      </c>
      <c r="AU15">
        <f>IF(6&lt;n_f,(h_col-d_2)+(phi_c/2)*-1.000000,NA())</f>
        <v/>
      </c>
      <c r="AW15">
        <f>IF(inputs_ok,IF(6&lt;n_f,(d_2+6*(b_col-2*d_2)/(n_f-1))+(phi_c/2)*-0.000000,NA()),NA())</f>
        <v/>
      </c>
      <c r="AX15">
        <f>IF(6&lt;n_f,(d_2)+(phi_c/2)*-1.000000,NA())</f>
        <v/>
      </c>
      <c r="AZ15">
        <f>IF(inputs_ok,IF(7&lt;n_f,(d_2+7*(b_col-2*d_2)/(n_f-1))+(phi_c/2)*-0.000000,NA()),NA())</f>
        <v/>
      </c>
      <c r="BA15">
        <f>IF(7&lt;n_f,(h_col-d_2)+(phi_c/2)*-1.000000,NA())</f>
        <v/>
      </c>
      <c r="BC15">
        <f>IF(inputs_ok,IF(7&lt;n_f,(d_2+7*(b_col-2*d_2)/(n_f-1))+(phi_c/2)*-0.000000,NA()),NA())</f>
        <v/>
      </c>
      <c r="BD15">
        <f>IF(7&lt;n_f,(d_2)+(phi_c/2)*-1.000000,NA())</f>
        <v/>
      </c>
      <c r="BF15">
        <f>IF(inputs_ok,IF(8&lt;n_f,(d_2+8*(b_col-2*d_2)/(n_f-1))+(phi_c/2)*-0.000000,NA()),NA())</f>
        <v/>
      </c>
      <c r="BG15">
        <f>IF(8&lt;n_f,(h_col-d_2)+(phi_c/2)*-1.000000,NA())</f>
        <v/>
      </c>
      <c r="BI15">
        <f>IF(inputs_ok,IF(8&lt;n_f,(d_2+8*(b_col-2*d_2)/(n_f-1))+(phi_c/2)*-0.000000,NA()),NA())</f>
        <v/>
      </c>
      <c r="BJ15">
        <f>IF(8&lt;n_f,(d_2)+(phi_c/2)*-1.000000,NA())</f>
        <v/>
      </c>
      <c r="BL15">
        <f>IF(inputs_ok,IF(9&lt;n_f,(d_2+9*(b_col-2*d_2)/(n_f-1))+(phi_c/2)*-0.000000,NA()),NA())</f>
        <v/>
      </c>
      <c r="BM15">
        <f>IF(9&lt;n_f,(h_col-d_2)+(phi_c/2)*-1.000000,NA())</f>
        <v/>
      </c>
      <c r="BO15">
        <f>IF(inputs_ok,IF(9&lt;n_f,(d_2+9*(b_col-2*d_2)/(n_f-1))+(phi_c/2)*-0.000000,NA()),NA())</f>
        <v/>
      </c>
      <c r="BP15">
        <f>IF(9&lt;n_f,(d_2)+(phi_c/2)*-1.000000,NA())</f>
        <v/>
      </c>
    </row>
    <row r="16">
      <c r="J16">
        <f>IF(inputs_ok,IF(0&lt;n_f,(d_2+0*(b_col-2*d_2)/(n_f-1))+(phi_c/2)*0.382683,NA()),NA())</f>
        <v/>
      </c>
      <c r="K16">
        <f>IF(0&lt;n_f,(h_col-d_2)+(phi_c/2)*-0.923880,NA())</f>
        <v/>
      </c>
      <c r="M16">
        <f>IF(inputs_ok,IF(0&lt;n_f,(d_2+0*(b_col-2*d_2)/(n_f-1))+(phi_c/2)*0.382683,NA()),NA())</f>
        <v/>
      </c>
      <c r="N16">
        <f>IF(0&lt;n_f,(d_2)+(phi_c/2)*-0.923880,NA())</f>
        <v/>
      </c>
      <c r="P16">
        <f>IF(inputs_ok,IF(1&lt;n_f,(d_2+1*(b_col-2*d_2)/(n_f-1))+(phi_c/2)*0.382683,NA()),NA())</f>
        <v/>
      </c>
      <c r="Q16">
        <f>IF(1&lt;n_f,(h_col-d_2)+(phi_c/2)*-0.923880,NA())</f>
        <v/>
      </c>
      <c r="S16">
        <f>IF(inputs_ok,IF(1&lt;n_f,(d_2+1*(b_col-2*d_2)/(n_f-1))+(phi_c/2)*0.382683,NA()),NA())</f>
        <v/>
      </c>
      <c r="T16">
        <f>IF(1&lt;n_f,(d_2)+(phi_c/2)*-0.923880,NA())</f>
        <v/>
      </c>
      <c r="V16">
        <f>IF(inputs_ok,IF(2&lt;n_f,(d_2+2*(b_col-2*d_2)/(n_f-1))+(phi_c/2)*0.382683,NA()),NA())</f>
        <v/>
      </c>
      <c r="W16">
        <f>IF(2&lt;n_f,(h_col-d_2)+(phi_c/2)*-0.923880,NA())</f>
        <v/>
      </c>
      <c r="Y16">
        <f>IF(inputs_ok,IF(2&lt;n_f,(d_2+2*(b_col-2*d_2)/(n_f-1))+(phi_c/2)*0.382683,NA()),NA())</f>
        <v/>
      </c>
      <c r="Z16">
        <f>IF(2&lt;n_f,(d_2)+(phi_c/2)*-0.923880,NA())</f>
        <v/>
      </c>
      <c r="AB16">
        <f>IF(inputs_ok,IF(3&lt;n_f,(d_2+3*(b_col-2*d_2)/(n_f-1))+(phi_c/2)*0.382683,NA()),NA())</f>
        <v/>
      </c>
      <c r="AC16">
        <f>IF(3&lt;n_f,(h_col-d_2)+(phi_c/2)*-0.923880,NA())</f>
        <v/>
      </c>
      <c r="AE16">
        <f>IF(inputs_ok,IF(3&lt;n_f,(d_2+3*(b_col-2*d_2)/(n_f-1))+(phi_c/2)*0.382683,NA()),NA())</f>
        <v/>
      </c>
      <c r="AF16">
        <f>IF(3&lt;n_f,(d_2)+(phi_c/2)*-0.923880,NA())</f>
        <v/>
      </c>
      <c r="AH16">
        <f>IF(inputs_ok,IF(4&lt;n_f,(d_2+4*(b_col-2*d_2)/(n_f-1))+(phi_c/2)*0.382683,NA()),NA())</f>
        <v/>
      </c>
      <c r="AI16">
        <f>IF(4&lt;n_f,(h_col-d_2)+(phi_c/2)*-0.923880,NA())</f>
        <v/>
      </c>
      <c r="AK16">
        <f>IF(inputs_ok,IF(4&lt;n_f,(d_2+4*(b_col-2*d_2)/(n_f-1))+(phi_c/2)*0.382683,NA()),NA())</f>
        <v/>
      </c>
      <c r="AL16">
        <f>IF(4&lt;n_f,(d_2)+(phi_c/2)*-0.923880,NA())</f>
        <v/>
      </c>
      <c r="AN16">
        <f>IF(inputs_ok,IF(5&lt;n_f,(d_2+5*(b_col-2*d_2)/(n_f-1))+(phi_c/2)*0.382683,NA()),NA())</f>
        <v/>
      </c>
      <c r="AO16">
        <f>IF(5&lt;n_f,(h_col-d_2)+(phi_c/2)*-0.923880,NA())</f>
        <v/>
      </c>
      <c r="AQ16">
        <f>IF(inputs_ok,IF(5&lt;n_f,(d_2+5*(b_col-2*d_2)/(n_f-1))+(phi_c/2)*0.382683,NA()),NA())</f>
        <v/>
      </c>
      <c r="AR16">
        <f>IF(5&lt;n_f,(d_2)+(phi_c/2)*-0.923880,NA())</f>
        <v/>
      </c>
      <c r="AT16">
        <f>IF(inputs_ok,IF(6&lt;n_f,(d_2+6*(b_col-2*d_2)/(n_f-1))+(phi_c/2)*0.382683,NA()),NA())</f>
        <v/>
      </c>
      <c r="AU16">
        <f>IF(6&lt;n_f,(h_col-d_2)+(phi_c/2)*-0.923880,NA())</f>
        <v/>
      </c>
      <c r="AW16">
        <f>IF(inputs_ok,IF(6&lt;n_f,(d_2+6*(b_col-2*d_2)/(n_f-1))+(phi_c/2)*0.382683,NA()),NA())</f>
        <v/>
      </c>
      <c r="AX16">
        <f>IF(6&lt;n_f,(d_2)+(phi_c/2)*-0.923880,NA())</f>
        <v/>
      </c>
      <c r="AZ16">
        <f>IF(inputs_ok,IF(7&lt;n_f,(d_2+7*(b_col-2*d_2)/(n_f-1))+(phi_c/2)*0.382683,NA()),NA())</f>
        <v/>
      </c>
      <c r="BA16">
        <f>IF(7&lt;n_f,(h_col-d_2)+(phi_c/2)*-0.923880,NA())</f>
        <v/>
      </c>
      <c r="BC16">
        <f>IF(inputs_ok,IF(7&lt;n_f,(d_2+7*(b_col-2*d_2)/(n_f-1))+(phi_c/2)*0.382683,NA()),NA())</f>
        <v/>
      </c>
      <c r="BD16">
        <f>IF(7&lt;n_f,(d_2)+(phi_c/2)*-0.923880,NA())</f>
        <v/>
      </c>
      <c r="BF16">
        <f>IF(inputs_ok,IF(8&lt;n_f,(d_2+8*(b_col-2*d_2)/(n_f-1))+(phi_c/2)*0.382683,NA()),NA())</f>
        <v/>
      </c>
      <c r="BG16">
        <f>IF(8&lt;n_f,(h_col-d_2)+(phi_c/2)*-0.923880,NA())</f>
        <v/>
      </c>
      <c r="BI16">
        <f>IF(inputs_ok,IF(8&lt;n_f,(d_2+8*(b_col-2*d_2)/(n_f-1))+(phi_c/2)*0.382683,NA()),NA())</f>
        <v/>
      </c>
      <c r="BJ16">
        <f>IF(8&lt;n_f,(d_2)+(phi_c/2)*-0.923880,NA())</f>
        <v/>
      </c>
      <c r="BL16">
        <f>IF(inputs_ok,IF(9&lt;n_f,(d_2+9*(b_col-2*d_2)/(n_f-1))+(phi_c/2)*0.382683,NA()),NA())</f>
        <v/>
      </c>
      <c r="BM16">
        <f>IF(9&lt;n_f,(h_col-d_2)+(phi_c/2)*-0.923880,NA())</f>
        <v/>
      </c>
      <c r="BO16">
        <f>IF(inputs_ok,IF(9&lt;n_f,(d_2+9*(b_col-2*d_2)/(n_f-1))+(phi_c/2)*0.382683,NA()),NA())</f>
        <v/>
      </c>
      <c r="BP16">
        <f>IF(9&lt;n_f,(d_2)+(phi_c/2)*-0.923880,NA())</f>
        <v/>
      </c>
    </row>
    <row r="17">
      <c r="J17">
        <f>IF(inputs_ok,IF(0&lt;n_f,(d_2+0*(b_col-2*d_2)/(n_f-1))+(phi_c/2)*0.707107,NA()),NA())</f>
        <v/>
      </c>
      <c r="K17">
        <f>IF(0&lt;n_f,(h_col-d_2)+(phi_c/2)*-0.707107,NA())</f>
        <v/>
      </c>
      <c r="M17">
        <f>IF(inputs_ok,IF(0&lt;n_f,(d_2+0*(b_col-2*d_2)/(n_f-1))+(phi_c/2)*0.707107,NA()),NA())</f>
        <v/>
      </c>
      <c r="N17">
        <f>IF(0&lt;n_f,(d_2)+(phi_c/2)*-0.707107,NA())</f>
        <v/>
      </c>
      <c r="P17">
        <f>IF(inputs_ok,IF(1&lt;n_f,(d_2+1*(b_col-2*d_2)/(n_f-1))+(phi_c/2)*0.707107,NA()),NA())</f>
        <v/>
      </c>
      <c r="Q17">
        <f>IF(1&lt;n_f,(h_col-d_2)+(phi_c/2)*-0.707107,NA())</f>
        <v/>
      </c>
      <c r="S17">
        <f>IF(inputs_ok,IF(1&lt;n_f,(d_2+1*(b_col-2*d_2)/(n_f-1))+(phi_c/2)*0.707107,NA()),NA())</f>
        <v/>
      </c>
      <c r="T17">
        <f>IF(1&lt;n_f,(d_2)+(phi_c/2)*-0.707107,NA())</f>
        <v/>
      </c>
      <c r="V17">
        <f>IF(inputs_ok,IF(2&lt;n_f,(d_2+2*(b_col-2*d_2)/(n_f-1))+(phi_c/2)*0.707107,NA()),NA())</f>
        <v/>
      </c>
      <c r="W17">
        <f>IF(2&lt;n_f,(h_col-d_2)+(phi_c/2)*-0.707107,NA())</f>
        <v/>
      </c>
      <c r="Y17">
        <f>IF(inputs_ok,IF(2&lt;n_f,(d_2+2*(b_col-2*d_2)/(n_f-1))+(phi_c/2)*0.707107,NA()),NA())</f>
        <v/>
      </c>
      <c r="Z17">
        <f>IF(2&lt;n_f,(d_2)+(phi_c/2)*-0.707107,NA())</f>
        <v/>
      </c>
      <c r="AB17">
        <f>IF(inputs_ok,IF(3&lt;n_f,(d_2+3*(b_col-2*d_2)/(n_f-1))+(phi_c/2)*0.707107,NA()),NA())</f>
        <v/>
      </c>
      <c r="AC17">
        <f>IF(3&lt;n_f,(h_col-d_2)+(phi_c/2)*-0.707107,NA())</f>
        <v/>
      </c>
      <c r="AE17">
        <f>IF(inputs_ok,IF(3&lt;n_f,(d_2+3*(b_col-2*d_2)/(n_f-1))+(phi_c/2)*0.707107,NA()),NA())</f>
        <v/>
      </c>
      <c r="AF17">
        <f>IF(3&lt;n_f,(d_2)+(phi_c/2)*-0.707107,NA())</f>
        <v/>
      </c>
      <c r="AH17">
        <f>IF(inputs_ok,IF(4&lt;n_f,(d_2+4*(b_col-2*d_2)/(n_f-1))+(phi_c/2)*0.707107,NA()),NA())</f>
        <v/>
      </c>
      <c r="AI17">
        <f>IF(4&lt;n_f,(h_col-d_2)+(phi_c/2)*-0.707107,NA())</f>
        <v/>
      </c>
      <c r="AK17">
        <f>IF(inputs_ok,IF(4&lt;n_f,(d_2+4*(b_col-2*d_2)/(n_f-1))+(phi_c/2)*0.707107,NA()),NA())</f>
        <v/>
      </c>
      <c r="AL17">
        <f>IF(4&lt;n_f,(d_2)+(phi_c/2)*-0.707107,NA())</f>
        <v/>
      </c>
      <c r="AN17">
        <f>IF(inputs_ok,IF(5&lt;n_f,(d_2+5*(b_col-2*d_2)/(n_f-1))+(phi_c/2)*0.707107,NA()),NA())</f>
        <v/>
      </c>
      <c r="AO17">
        <f>IF(5&lt;n_f,(h_col-d_2)+(phi_c/2)*-0.707107,NA())</f>
        <v/>
      </c>
      <c r="AQ17">
        <f>IF(inputs_ok,IF(5&lt;n_f,(d_2+5*(b_col-2*d_2)/(n_f-1))+(phi_c/2)*0.707107,NA()),NA())</f>
        <v/>
      </c>
      <c r="AR17">
        <f>IF(5&lt;n_f,(d_2)+(phi_c/2)*-0.707107,NA())</f>
        <v/>
      </c>
      <c r="AT17">
        <f>IF(inputs_ok,IF(6&lt;n_f,(d_2+6*(b_col-2*d_2)/(n_f-1))+(phi_c/2)*0.707107,NA()),NA())</f>
        <v/>
      </c>
      <c r="AU17">
        <f>IF(6&lt;n_f,(h_col-d_2)+(phi_c/2)*-0.707107,NA())</f>
        <v/>
      </c>
      <c r="AW17">
        <f>IF(inputs_ok,IF(6&lt;n_f,(d_2+6*(b_col-2*d_2)/(n_f-1))+(phi_c/2)*0.707107,NA()),NA())</f>
        <v/>
      </c>
      <c r="AX17">
        <f>IF(6&lt;n_f,(d_2)+(phi_c/2)*-0.707107,NA())</f>
        <v/>
      </c>
      <c r="AZ17">
        <f>IF(inputs_ok,IF(7&lt;n_f,(d_2+7*(b_col-2*d_2)/(n_f-1))+(phi_c/2)*0.707107,NA()),NA())</f>
        <v/>
      </c>
      <c r="BA17">
        <f>IF(7&lt;n_f,(h_col-d_2)+(phi_c/2)*-0.707107,NA())</f>
        <v/>
      </c>
      <c r="BC17">
        <f>IF(inputs_ok,IF(7&lt;n_f,(d_2+7*(b_col-2*d_2)/(n_f-1))+(phi_c/2)*0.707107,NA()),NA())</f>
        <v/>
      </c>
      <c r="BD17">
        <f>IF(7&lt;n_f,(d_2)+(phi_c/2)*-0.707107,NA())</f>
        <v/>
      </c>
      <c r="BF17">
        <f>IF(inputs_ok,IF(8&lt;n_f,(d_2+8*(b_col-2*d_2)/(n_f-1))+(phi_c/2)*0.707107,NA()),NA())</f>
        <v/>
      </c>
      <c r="BG17">
        <f>IF(8&lt;n_f,(h_col-d_2)+(phi_c/2)*-0.707107,NA())</f>
        <v/>
      </c>
      <c r="BI17">
        <f>IF(inputs_ok,IF(8&lt;n_f,(d_2+8*(b_col-2*d_2)/(n_f-1))+(phi_c/2)*0.707107,NA()),NA())</f>
        <v/>
      </c>
      <c r="BJ17">
        <f>IF(8&lt;n_f,(d_2)+(phi_c/2)*-0.707107,NA())</f>
        <v/>
      </c>
      <c r="BL17">
        <f>IF(inputs_ok,IF(9&lt;n_f,(d_2+9*(b_col-2*d_2)/(n_f-1))+(phi_c/2)*0.707107,NA()),NA())</f>
        <v/>
      </c>
      <c r="BM17">
        <f>IF(9&lt;n_f,(h_col-d_2)+(phi_c/2)*-0.707107,NA())</f>
        <v/>
      </c>
      <c r="BO17">
        <f>IF(inputs_ok,IF(9&lt;n_f,(d_2+9*(b_col-2*d_2)/(n_f-1))+(phi_c/2)*0.707107,NA()),NA())</f>
        <v/>
      </c>
      <c r="BP17">
        <f>IF(9&lt;n_f,(d_2)+(phi_c/2)*-0.707107,NA())</f>
        <v/>
      </c>
    </row>
    <row r="18">
      <c r="J18">
        <f>IF(inputs_ok,IF(0&lt;n_f,(d_2+0*(b_col-2*d_2)/(n_f-1))+(phi_c/2)*0.923880,NA()),NA())</f>
        <v/>
      </c>
      <c r="K18">
        <f>IF(0&lt;n_f,(h_col-d_2)+(phi_c/2)*-0.382683,NA())</f>
        <v/>
      </c>
      <c r="M18">
        <f>IF(inputs_ok,IF(0&lt;n_f,(d_2+0*(b_col-2*d_2)/(n_f-1))+(phi_c/2)*0.923880,NA()),NA())</f>
        <v/>
      </c>
      <c r="N18">
        <f>IF(0&lt;n_f,(d_2)+(phi_c/2)*-0.382683,NA())</f>
        <v/>
      </c>
      <c r="P18">
        <f>IF(inputs_ok,IF(1&lt;n_f,(d_2+1*(b_col-2*d_2)/(n_f-1))+(phi_c/2)*0.923880,NA()),NA())</f>
        <v/>
      </c>
      <c r="Q18">
        <f>IF(1&lt;n_f,(h_col-d_2)+(phi_c/2)*-0.382683,NA())</f>
        <v/>
      </c>
      <c r="S18">
        <f>IF(inputs_ok,IF(1&lt;n_f,(d_2+1*(b_col-2*d_2)/(n_f-1))+(phi_c/2)*0.923880,NA()),NA())</f>
        <v/>
      </c>
      <c r="T18">
        <f>IF(1&lt;n_f,(d_2)+(phi_c/2)*-0.382683,NA())</f>
        <v/>
      </c>
      <c r="V18">
        <f>IF(inputs_ok,IF(2&lt;n_f,(d_2+2*(b_col-2*d_2)/(n_f-1))+(phi_c/2)*0.923880,NA()),NA())</f>
        <v/>
      </c>
      <c r="W18">
        <f>IF(2&lt;n_f,(h_col-d_2)+(phi_c/2)*-0.382683,NA())</f>
        <v/>
      </c>
      <c r="Y18">
        <f>IF(inputs_ok,IF(2&lt;n_f,(d_2+2*(b_col-2*d_2)/(n_f-1))+(phi_c/2)*0.923880,NA()),NA())</f>
        <v/>
      </c>
      <c r="Z18">
        <f>IF(2&lt;n_f,(d_2)+(phi_c/2)*-0.382683,NA())</f>
        <v/>
      </c>
      <c r="AB18">
        <f>IF(inputs_ok,IF(3&lt;n_f,(d_2+3*(b_col-2*d_2)/(n_f-1))+(phi_c/2)*0.923880,NA()),NA())</f>
        <v/>
      </c>
      <c r="AC18">
        <f>IF(3&lt;n_f,(h_col-d_2)+(phi_c/2)*-0.382683,NA())</f>
        <v/>
      </c>
      <c r="AE18">
        <f>IF(inputs_ok,IF(3&lt;n_f,(d_2+3*(b_col-2*d_2)/(n_f-1))+(phi_c/2)*0.923880,NA()),NA())</f>
        <v/>
      </c>
      <c r="AF18">
        <f>IF(3&lt;n_f,(d_2)+(phi_c/2)*-0.382683,NA())</f>
        <v/>
      </c>
      <c r="AH18">
        <f>IF(inputs_ok,IF(4&lt;n_f,(d_2+4*(b_col-2*d_2)/(n_f-1))+(phi_c/2)*0.923880,NA()),NA())</f>
        <v/>
      </c>
      <c r="AI18">
        <f>IF(4&lt;n_f,(h_col-d_2)+(phi_c/2)*-0.382683,NA())</f>
        <v/>
      </c>
      <c r="AK18">
        <f>IF(inputs_ok,IF(4&lt;n_f,(d_2+4*(b_col-2*d_2)/(n_f-1))+(phi_c/2)*0.923880,NA()),NA())</f>
        <v/>
      </c>
      <c r="AL18">
        <f>IF(4&lt;n_f,(d_2)+(phi_c/2)*-0.382683,NA())</f>
        <v/>
      </c>
      <c r="AN18">
        <f>IF(inputs_ok,IF(5&lt;n_f,(d_2+5*(b_col-2*d_2)/(n_f-1))+(phi_c/2)*0.923880,NA()),NA())</f>
        <v/>
      </c>
      <c r="AO18">
        <f>IF(5&lt;n_f,(h_col-d_2)+(phi_c/2)*-0.382683,NA())</f>
        <v/>
      </c>
      <c r="AQ18">
        <f>IF(inputs_ok,IF(5&lt;n_f,(d_2+5*(b_col-2*d_2)/(n_f-1))+(phi_c/2)*0.923880,NA()),NA())</f>
        <v/>
      </c>
      <c r="AR18">
        <f>IF(5&lt;n_f,(d_2)+(phi_c/2)*-0.382683,NA())</f>
        <v/>
      </c>
      <c r="AT18">
        <f>IF(inputs_ok,IF(6&lt;n_f,(d_2+6*(b_col-2*d_2)/(n_f-1))+(phi_c/2)*0.923880,NA()),NA())</f>
        <v/>
      </c>
      <c r="AU18">
        <f>IF(6&lt;n_f,(h_col-d_2)+(phi_c/2)*-0.382683,NA())</f>
        <v/>
      </c>
      <c r="AW18">
        <f>IF(inputs_ok,IF(6&lt;n_f,(d_2+6*(b_col-2*d_2)/(n_f-1))+(phi_c/2)*0.923880,NA()),NA())</f>
        <v/>
      </c>
      <c r="AX18">
        <f>IF(6&lt;n_f,(d_2)+(phi_c/2)*-0.382683,NA())</f>
        <v/>
      </c>
      <c r="AZ18">
        <f>IF(inputs_ok,IF(7&lt;n_f,(d_2+7*(b_col-2*d_2)/(n_f-1))+(phi_c/2)*0.923880,NA()),NA())</f>
        <v/>
      </c>
      <c r="BA18">
        <f>IF(7&lt;n_f,(h_col-d_2)+(phi_c/2)*-0.382683,NA())</f>
        <v/>
      </c>
      <c r="BC18">
        <f>IF(inputs_ok,IF(7&lt;n_f,(d_2+7*(b_col-2*d_2)/(n_f-1))+(phi_c/2)*0.923880,NA()),NA())</f>
        <v/>
      </c>
      <c r="BD18">
        <f>IF(7&lt;n_f,(d_2)+(phi_c/2)*-0.382683,NA())</f>
        <v/>
      </c>
      <c r="BF18">
        <f>IF(inputs_ok,IF(8&lt;n_f,(d_2+8*(b_col-2*d_2)/(n_f-1))+(phi_c/2)*0.923880,NA()),NA())</f>
        <v/>
      </c>
      <c r="BG18">
        <f>IF(8&lt;n_f,(h_col-d_2)+(phi_c/2)*-0.382683,NA())</f>
        <v/>
      </c>
      <c r="BI18">
        <f>IF(inputs_ok,IF(8&lt;n_f,(d_2+8*(b_col-2*d_2)/(n_f-1))+(phi_c/2)*0.923880,NA()),NA())</f>
        <v/>
      </c>
      <c r="BJ18">
        <f>IF(8&lt;n_f,(d_2)+(phi_c/2)*-0.382683,NA())</f>
        <v/>
      </c>
      <c r="BL18">
        <f>IF(inputs_ok,IF(9&lt;n_f,(d_2+9*(b_col-2*d_2)/(n_f-1))+(phi_c/2)*0.923880,NA()),NA())</f>
        <v/>
      </c>
      <c r="BM18">
        <f>IF(9&lt;n_f,(h_col-d_2)+(phi_c/2)*-0.382683,NA())</f>
        <v/>
      </c>
      <c r="BO18">
        <f>IF(inputs_ok,IF(9&lt;n_f,(d_2+9*(b_col-2*d_2)/(n_f-1))+(phi_c/2)*0.923880,NA()),NA())</f>
        <v/>
      </c>
      <c r="BP18">
        <f>IF(9&lt;n_f,(d_2)+(phi_c/2)*-0.382683,NA())</f>
        <v/>
      </c>
    </row>
    <row r="19">
      <c r="J19">
        <f>IF(inputs_ok,IF(0&lt;n_f,(d_2+0*(b_col-2*d_2)/(n_f-1))+(phi_c/2)*1.000000,NA()),NA())</f>
        <v/>
      </c>
      <c r="K19">
        <f>IF(0&lt;n_f,(h_col-d_2)+(phi_c/2)*-0.000000,NA())</f>
        <v/>
      </c>
      <c r="M19">
        <f>IF(inputs_ok,IF(0&lt;n_f,(d_2+0*(b_col-2*d_2)/(n_f-1))+(phi_c/2)*1.000000,NA()),NA())</f>
        <v/>
      </c>
      <c r="N19">
        <f>IF(0&lt;n_f,(d_2)+(phi_c/2)*-0.000000,NA())</f>
        <v/>
      </c>
      <c r="P19">
        <f>IF(inputs_ok,IF(1&lt;n_f,(d_2+1*(b_col-2*d_2)/(n_f-1))+(phi_c/2)*1.000000,NA()),NA())</f>
        <v/>
      </c>
      <c r="Q19">
        <f>IF(1&lt;n_f,(h_col-d_2)+(phi_c/2)*-0.000000,NA())</f>
        <v/>
      </c>
      <c r="S19">
        <f>IF(inputs_ok,IF(1&lt;n_f,(d_2+1*(b_col-2*d_2)/(n_f-1))+(phi_c/2)*1.000000,NA()),NA())</f>
        <v/>
      </c>
      <c r="T19">
        <f>IF(1&lt;n_f,(d_2)+(phi_c/2)*-0.000000,NA())</f>
        <v/>
      </c>
      <c r="V19">
        <f>IF(inputs_ok,IF(2&lt;n_f,(d_2+2*(b_col-2*d_2)/(n_f-1))+(phi_c/2)*1.000000,NA()),NA())</f>
        <v/>
      </c>
      <c r="W19">
        <f>IF(2&lt;n_f,(h_col-d_2)+(phi_c/2)*-0.000000,NA())</f>
        <v/>
      </c>
      <c r="Y19">
        <f>IF(inputs_ok,IF(2&lt;n_f,(d_2+2*(b_col-2*d_2)/(n_f-1))+(phi_c/2)*1.000000,NA()),NA())</f>
        <v/>
      </c>
      <c r="Z19">
        <f>IF(2&lt;n_f,(d_2)+(phi_c/2)*-0.000000,NA())</f>
        <v/>
      </c>
      <c r="AB19">
        <f>IF(inputs_ok,IF(3&lt;n_f,(d_2+3*(b_col-2*d_2)/(n_f-1))+(phi_c/2)*1.000000,NA()),NA())</f>
        <v/>
      </c>
      <c r="AC19">
        <f>IF(3&lt;n_f,(h_col-d_2)+(phi_c/2)*-0.000000,NA())</f>
        <v/>
      </c>
      <c r="AE19">
        <f>IF(inputs_ok,IF(3&lt;n_f,(d_2+3*(b_col-2*d_2)/(n_f-1))+(phi_c/2)*1.000000,NA()),NA())</f>
        <v/>
      </c>
      <c r="AF19">
        <f>IF(3&lt;n_f,(d_2)+(phi_c/2)*-0.000000,NA())</f>
        <v/>
      </c>
      <c r="AH19">
        <f>IF(inputs_ok,IF(4&lt;n_f,(d_2+4*(b_col-2*d_2)/(n_f-1))+(phi_c/2)*1.000000,NA()),NA())</f>
        <v/>
      </c>
      <c r="AI19">
        <f>IF(4&lt;n_f,(h_col-d_2)+(phi_c/2)*-0.000000,NA())</f>
        <v/>
      </c>
      <c r="AK19">
        <f>IF(inputs_ok,IF(4&lt;n_f,(d_2+4*(b_col-2*d_2)/(n_f-1))+(phi_c/2)*1.000000,NA()),NA())</f>
        <v/>
      </c>
      <c r="AL19">
        <f>IF(4&lt;n_f,(d_2)+(phi_c/2)*-0.000000,NA())</f>
        <v/>
      </c>
      <c r="AN19">
        <f>IF(inputs_ok,IF(5&lt;n_f,(d_2+5*(b_col-2*d_2)/(n_f-1))+(phi_c/2)*1.000000,NA()),NA())</f>
        <v/>
      </c>
      <c r="AO19">
        <f>IF(5&lt;n_f,(h_col-d_2)+(phi_c/2)*-0.000000,NA())</f>
        <v/>
      </c>
      <c r="AQ19">
        <f>IF(inputs_ok,IF(5&lt;n_f,(d_2+5*(b_col-2*d_2)/(n_f-1))+(phi_c/2)*1.000000,NA()),NA())</f>
        <v/>
      </c>
      <c r="AR19">
        <f>IF(5&lt;n_f,(d_2)+(phi_c/2)*-0.000000,NA())</f>
        <v/>
      </c>
      <c r="AT19">
        <f>IF(inputs_ok,IF(6&lt;n_f,(d_2+6*(b_col-2*d_2)/(n_f-1))+(phi_c/2)*1.000000,NA()),NA())</f>
        <v/>
      </c>
      <c r="AU19">
        <f>IF(6&lt;n_f,(h_col-d_2)+(phi_c/2)*-0.000000,NA())</f>
        <v/>
      </c>
      <c r="AW19">
        <f>IF(inputs_ok,IF(6&lt;n_f,(d_2+6*(b_col-2*d_2)/(n_f-1))+(phi_c/2)*1.000000,NA()),NA())</f>
        <v/>
      </c>
      <c r="AX19">
        <f>IF(6&lt;n_f,(d_2)+(phi_c/2)*-0.000000,NA())</f>
        <v/>
      </c>
      <c r="AZ19">
        <f>IF(inputs_ok,IF(7&lt;n_f,(d_2+7*(b_col-2*d_2)/(n_f-1))+(phi_c/2)*1.000000,NA()),NA())</f>
        <v/>
      </c>
      <c r="BA19">
        <f>IF(7&lt;n_f,(h_col-d_2)+(phi_c/2)*-0.000000,NA())</f>
        <v/>
      </c>
      <c r="BC19">
        <f>IF(inputs_ok,IF(7&lt;n_f,(d_2+7*(b_col-2*d_2)/(n_f-1))+(phi_c/2)*1.000000,NA()),NA())</f>
        <v/>
      </c>
      <c r="BD19">
        <f>IF(7&lt;n_f,(d_2)+(phi_c/2)*-0.000000,NA())</f>
        <v/>
      </c>
      <c r="BF19">
        <f>IF(inputs_ok,IF(8&lt;n_f,(d_2+8*(b_col-2*d_2)/(n_f-1))+(phi_c/2)*1.000000,NA()),NA())</f>
        <v/>
      </c>
      <c r="BG19">
        <f>IF(8&lt;n_f,(h_col-d_2)+(phi_c/2)*-0.000000,NA())</f>
        <v/>
      </c>
      <c r="BI19">
        <f>IF(inputs_ok,IF(8&lt;n_f,(d_2+8*(b_col-2*d_2)/(n_f-1))+(phi_c/2)*1.000000,NA()),NA())</f>
        <v/>
      </c>
      <c r="BJ19">
        <f>IF(8&lt;n_f,(d_2)+(phi_c/2)*-0.000000,NA())</f>
        <v/>
      </c>
      <c r="BL19">
        <f>IF(inputs_ok,IF(9&lt;n_f,(d_2+9*(b_col-2*d_2)/(n_f-1))+(phi_c/2)*1.000000,NA()),NA())</f>
        <v/>
      </c>
      <c r="BM19">
        <f>IF(9&lt;n_f,(h_col-d_2)+(phi_c/2)*-0.000000,NA())</f>
        <v/>
      </c>
      <c r="BO19">
        <f>IF(inputs_ok,IF(9&lt;n_f,(d_2+9*(b_col-2*d_2)/(n_f-1))+(phi_c/2)*1.000000,NA()),NA())</f>
        <v/>
      </c>
      <c r="BP19">
        <f>IF(9&lt;n_f,(d_2)+(phi_c/2)*-0.000000,NA())</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HA45"/>
  <sheetViews>
    <sheetView tabSelected="0" workbookViewId="0">
      <selection activeCell="A1" sqref="A1"/>
    </sheetView>
  </sheetViews>
  <sheetFormatPr baseColWidth="8" defaultRowHeight="15"/>
  <sheetData>
    <row r="1">
      <c r="A1" t="inlineStr">
        <is>
          <t>Column: bisection on As (rows) and on the neutral axis depth (columns) until N = NEd; MRd at NEd. Generated - do not edit.</t>
        </is>
      </c>
    </row>
    <row r="3">
      <c r="A3" t="inlineStr">
        <is>
          <t>top</t>
        </is>
      </c>
      <c r="D3">
        <f>As_top</f>
        <v/>
      </c>
      <c r="E3" t="n">
        <v>0</v>
      </c>
      <c r="F3">
        <f>1-1E-12</f>
        <v/>
      </c>
      <c r="G3">
        <f>h_col*((E3+F3)/2)/(1-(E3+F3)/2)</f>
        <v/>
      </c>
      <c r="H3">
        <f>(f_cd*b_col*((3*MIN(G3,h_col)/7)+(4*MIN(G3,h_col)/7)*(1-((4*MIN(G3,h_col)/7)/(G3-(3*MIN(G3,h_col)/7)))^2/3))+$D3/2*((MAX(-f_yd,MIN(f_yd,200000*IF(G3&lt;=h_col,0.0035*(G3-d_2)/G3,0.002*(G3-d_2)/(G3-3*h_col/7))))-f_cd*(1-(1-MAX(0,MIN(1,IF(G3&lt;=h_col,0.0035*(G3-d_2)/G3,0.002*(G3-d_2)/(G3-3*h_col/7))/0.002)))^2))+(MAX(-f_yd,MIN(f_yd,200000*IF(G3&lt;=h_col,0.0035*(G3-(h_col-d_2))/G3,0.002*(G3-(h_col-d_2))/(G3-3*h_col/7))))-f_cd*(1-(1-MAX(0,MIN(1,IF(G3&lt;=h_col,0.0035*(G3-(h_col-d_2))/G3,0.002*(G3-(h_col-d_2))/(G3-3*h_col/7))/0.002)))^2))))/1000</f>
        <v/>
      </c>
      <c r="I3">
        <f>IF($H3&lt;N_Ed-1E-9*MAX(1,N_Ed),(E3+F3)/2,E3)</f>
        <v/>
      </c>
      <c r="J3">
        <f>IF($H3&lt;N_Ed-1E-9*MAX(1,N_Ed),F3,(E3+F3)/2)</f>
        <v/>
      </c>
      <c r="K3">
        <f>h_col*((I3+J3)/2)/(1-(I3+J3)/2)</f>
        <v/>
      </c>
      <c r="L3">
        <f>(f_cd*b_col*((3*MIN(K3,h_col)/7)+(4*MIN(K3,h_col)/7)*(1-((4*MIN(K3,h_col)/7)/(K3-(3*MIN(K3,h_col)/7)))^2/3))+$D3/2*((MAX(-f_yd,MIN(f_yd,200000*IF(K3&lt;=h_col,0.0035*(K3-d_2)/K3,0.002*(K3-d_2)/(K3-3*h_col/7))))-f_cd*(1-(1-MAX(0,MIN(1,IF(K3&lt;=h_col,0.0035*(K3-d_2)/K3,0.002*(K3-d_2)/(K3-3*h_col/7))/0.002)))^2))+(MAX(-f_yd,MIN(f_yd,200000*IF(K3&lt;=h_col,0.0035*(K3-(h_col-d_2))/K3,0.002*(K3-(h_col-d_2))/(K3-3*h_col/7))))-f_cd*(1-(1-MAX(0,MIN(1,IF(K3&lt;=h_col,0.0035*(K3-(h_col-d_2))/K3,0.002*(K3-(h_col-d_2))/(K3-3*h_col/7))/0.002)))^2))))/1000</f>
        <v/>
      </c>
      <c r="M3">
        <f>IF($L3&lt;N_Ed-1E-9*MAX(1,N_Ed),(I3+J3)/2,I3)</f>
        <v/>
      </c>
      <c r="N3">
        <f>IF($L3&lt;N_Ed-1E-9*MAX(1,N_Ed),J3,(I3+J3)/2)</f>
        <v/>
      </c>
      <c r="O3">
        <f>h_col*((M3+N3)/2)/(1-(M3+N3)/2)</f>
        <v/>
      </c>
      <c r="P3">
        <f>(f_cd*b_col*((3*MIN(O3,h_col)/7)+(4*MIN(O3,h_col)/7)*(1-((4*MIN(O3,h_col)/7)/(O3-(3*MIN(O3,h_col)/7)))^2/3))+$D3/2*((MAX(-f_yd,MIN(f_yd,200000*IF(O3&lt;=h_col,0.0035*(O3-d_2)/O3,0.002*(O3-d_2)/(O3-3*h_col/7))))-f_cd*(1-(1-MAX(0,MIN(1,IF(O3&lt;=h_col,0.0035*(O3-d_2)/O3,0.002*(O3-d_2)/(O3-3*h_col/7))/0.002)))^2))+(MAX(-f_yd,MIN(f_yd,200000*IF(O3&lt;=h_col,0.0035*(O3-(h_col-d_2))/O3,0.002*(O3-(h_col-d_2))/(O3-3*h_col/7))))-f_cd*(1-(1-MAX(0,MIN(1,IF(O3&lt;=h_col,0.0035*(O3-(h_col-d_2))/O3,0.002*(O3-(h_col-d_2))/(O3-3*h_col/7))/0.002)))^2))))/1000</f>
        <v/>
      </c>
      <c r="Q3">
        <f>IF($P3&lt;N_Ed-1E-9*MAX(1,N_Ed),(M3+N3)/2,M3)</f>
        <v/>
      </c>
      <c r="R3">
        <f>IF($P3&lt;N_Ed-1E-9*MAX(1,N_Ed),N3,(M3+N3)/2)</f>
        <v/>
      </c>
      <c r="S3">
        <f>h_col*((Q3+R3)/2)/(1-(Q3+R3)/2)</f>
        <v/>
      </c>
      <c r="T3">
        <f>(f_cd*b_col*((3*MIN(S3,h_col)/7)+(4*MIN(S3,h_col)/7)*(1-((4*MIN(S3,h_col)/7)/(S3-(3*MIN(S3,h_col)/7)))^2/3))+$D3/2*((MAX(-f_yd,MIN(f_yd,200000*IF(S3&lt;=h_col,0.0035*(S3-d_2)/S3,0.002*(S3-d_2)/(S3-3*h_col/7))))-f_cd*(1-(1-MAX(0,MIN(1,IF(S3&lt;=h_col,0.0035*(S3-d_2)/S3,0.002*(S3-d_2)/(S3-3*h_col/7))/0.002)))^2))+(MAX(-f_yd,MIN(f_yd,200000*IF(S3&lt;=h_col,0.0035*(S3-(h_col-d_2))/S3,0.002*(S3-(h_col-d_2))/(S3-3*h_col/7))))-f_cd*(1-(1-MAX(0,MIN(1,IF(S3&lt;=h_col,0.0035*(S3-(h_col-d_2))/S3,0.002*(S3-(h_col-d_2))/(S3-3*h_col/7))/0.002)))^2))))/1000</f>
        <v/>
      </c>
      <c r="U3">
        <f>IF($T3&lt;N_Ed-1E-9*MAX(1,N_Ed),(Q3+R3)/2,Q3)</f>
        <v/>
      </c>
      <c r="V3">
        <f>IF($T3&lt;N_Ed-1E-9*MAX(1,N_Ed),R3,(Q3+R3)/2)</f>
        <v/>
      </c>
      <c r="W3">
        <f>h_col*((U3+V3)/2)/(1-(U3+V3)/2)</f>
        <v/>
      </c>
      <c r="X3">
        <f>(f_cd*b_col*((3*MIN(W3,h_col)/7)+(4*MIN(W3,h_col)/7)*(1-((4*MIN(W3,h_col)/7)/(W3-(3*MIN(W3,h_col)/7)))^2/3))+$D3/2*((MAX(-f_yd,MIN(f_yd,200000*IF(W3&lt;=h_col,0.0035*(W3-d_2)/W3,0.002*(W3-d_2)/(W3-3*h_col/7))))-f_cd*(1-(1-MAX(0,MIN(1,IF(W3&lt;=h_col,0.0035*(W3-d_2)/W3,0.002*(W3-d_2)/(W3-3*h_col/7))/0.002)))^2))+(MAX(-f_yd,MIN(f_yd,200000*IF(W3&lt;=h_col,0.0035*(W3-(h_col-d_2))/W3,0.002*(W3-(h_col-d_2))/(W3-3*h_col/7))))-f_cd*(1-(1-MAX(0,MIN(1,IF(W3&lt;=h_col,0.0035*(W3-(h_col-d_2))/W3,0.002*(W3-(h_col-d_2))/(W3-3*h_col/7))/0.002)))^2))))/1000</f>
        <v/>
      </c>
      <c r="Y3">
        <f>IF($X3&lt;N_Ed-1E-9*MAX(1,N_Ed),(U3+V3)/2,U3)</f>
        <v/>
      </c>
      <c r="Z3">
        <f>IF($X3&lt;N_Ed-1E-9*MAX(1,N_Ed),V3,(U3+V3)/2)</f>
        <v/>
      </c>
      <c r="AA3">
        <f>h_col*((Y3+Z3)/2)/(1-(Y3+Z3)/2)</f>
        <v/>
      </c>
      <c r="AB3">
        <f>(f_cd*b_col*((3*MIN(AA3,h_col)/7)+(4*MIN(AA3,h_col)/7)*(1-((4*MIN(AA3,h_col)/7)/(AA3-(3*MIN(AA3,h_col)/7)))^2/3))+$D3/2*((MAX(-f_yd,MIN(f_yd,200000*IF(AA3&lt;=h_col,0.0035*(AA3-d_2)/AA3,0.002*(AA3-d_2)/(AA3-3*h_col/7))))-f_cd*(1-(1-MAX(0,MIN(1,IF(AA3&lt;=h_col,0.0035*(AA3-d_2)/AA3,0.002*(AA3-d_2)/(AA3-3*h_col/7))/0.002)))^2))+(MAX(-f_yd,MIN(f_yd,200000*IF(AA3&lt;=h_col,0.0035*(AA3-(h_col-d_2))/AA3,0.002*(AA3-(h_col-d_2))/(AA3-3*h_col/7))))-f_cd*(1-(1-MAX(0,MIN(1,IF(AA3&lt;=h_col,0.0035*(AA3-(h_col-d_2))/AA3,0.002*(AA3-(h_col-d_2))/(AA3-3*h_col/7))/0.002)))^2))))/1000</f>
        <v/>
      </c>
      <c r="AC3">
        <f>IF($AB3&lt;N_Ed-1E-9*MAX(1,N_Ed),(Y3+Z3)/2,Y3)</f>
        <v/>
      </c>
      <c r="AD3">
        <f>IF($AB3&lt;N_Ed-1E-9*MAX(1,N_Ed),Z3,(Y3+Z3)/2)</f>
        <v/>
      </c>
      <c r="AE3">
        <f>h_col*((AC3+AD3)/2)/(1-(AC3+AD3)/2)</f>
        <v/>
      </c>
      <c r="AF3">
        <f>(f_cd*b_col*((3*MIN(AE3,h_col)/7)+(4*MIN(AE3,h_col)/7)*(1-((4*MIN(AE3,h_col)/7)/(AE3-(3*MIN(AE3,h_col)/7)))^2/3))+$D3/2*((MAX(-f_yd,MIN(f_yd,200000*IF(AE3&lt;=h_col,0.0035*(AE3-d_2)/AE3,0.002*(AE3-d_2)/(AE3-3*h_col/7))))-f_cd*(1-(1-MAX(0,MIN(1,IF(AE3&lt;=h_col,0.0035*(AE3-d_2)/AE3,0.002*(AE3-d_2)/(AE3-3*h_col/7))/0.002)))^2))+(MAX(-f_yd,MIN(f_yd,200000*IF(AE3&lt;=h_col,0.0035*(AE3-(h_col-d_2))/AE3,0.002*(AE3-(h_col-d_2))/(AE3-3*h_col/7))))-f_cd*(1-(1-MAX(0,MIN(1,IF(AE3&lt;=h_col,0.0035*(AE3-(h_col-d_2))/AE3,0.002*(AE3-(h_col-d_2))/(AE3-3*h_col/7))/0.002)))^2))))/1000</f>
        <v/>
      </c>
      <c r="AG3">
        <f>IF($AF3&lt;N_Ed-1E-9*MAX(1,N_Ed),(AC3+AD3)/2,AC3)</f>
        <v/>
      </c>
      <c r="AH3">
        <f>IF($AF3&lt;N_Ed-1E-9*MAX(1,N_Ed),AD3,(AC3+AD3)/2)</f>
        <v/>
      </c>
      <c r="AI3">
        <f>h_col*((AG3+AH3)/2)/(1-(AG3+AH3)/2)</f>
        <v/>
      </c>
      <c r="AJ3">
        <f>(f_cd*b_col*((3*MIN(AI3,h_col)/7)+(4*MIN(AI3,h_col)/7)*(1-((4*MIN(AI3,h_col)/7)/(AI3-(3*MIN(AI3,h_col)/7)))^2/3))+$D3/2*((MAX(-f_yd,MIN(f_yd,200000*IF(AI3&lt;=h_col,0.0035*(AI3-d_2)/AI3,0.002*(AI3-d_2)/(AI3-3*h_col/7))))-f_cd*(1-(1-MAX(0,MIN(1,IF(AI3&lt;=h_col,0.0035*(AI3-d_2)/AI3,0.002*(AI3-d_2)/(AI3-3*h_col/7))/0.002)))^2))+(MAX(-f_yd,MIN(f_yd,200000*IF(AI3&lt;=h_col,0.0035*(AI3-(h_col-d_2))/AI3,0.002*(AI3-(h_col-d_2))/(AI3-3*h_col/7))))-f_cd*(1-(1-MAX(0,MIN(1,IF(AI3&lt;=h_col,0.0035*(AI3-(h_col-d_2))/AI3,0.002*(AI3-(h_col-d_2))/(AI3-3*h_col/7))/0.002)))^2))))/1000</f>
        <v/>
      </c>
      <c r="AK3">
        <f>IF($AJ3&lt;N_Ed-1E-9*MAX(1,N_Ed),(AG3+AH3)/2,AG3)</f>
        <v/>
      </c>
      <c r="AL3">
        <f>IF($AJ3&lt;N_Ed-1E-9*MAX(1,N_Ed),AH3,(AG3+AH3)/2)</f>
        <v/>
      </c>
      <c r="AM3">
        <f>h_col*((AK3+AL3)/2)/(1-(AK3+AL3)/2)</f>
        <v/>
      </c>
      <c r="AN3">
        <f>(f_cd*b_col*((3*MIN(AM3,h_col)/7)+(4*MIN(AM3,h_col)/7)*(1-((4*MIN(AM3,h_col)/7)/(AM3-(3*MIN(AM3,h_col)/7)))^2/3))+$D3/2*((MAX(-f_yd,MIN(f_yd,200000*IF(AM3&lt;=h_col,0.0035*(AM3-d_2)/AM3,0.002*(AM3-d_2)/(AM3-3*h_col/7))))-f_cd*(1-(1-MAX(0,MIN(1,IF(AM3&lt;=h_col,0.0035*(AM3-d_2)/AM3,0.002*(AM3-d_2)/(AM3-3*h_col/7))/0.002)))^2))+(MAX(-f_yd,MIN(f_yd,200000*IF(AM3&lt;=h_col,0.0035*(AM3-(h_col-d_2))/AM3,0.002*(AM3-(h_col-d_2))/(AM3-3*h_col/7))))-f_cd*(1-(1-MAX(0,MIN(1,IF(AM3&lt;=h_col,0.0035*(AM3-(h_col-d_2))/AM3,0.002*(AM3-(h_col-d_2))/(AM3-3*h_col/7))/0.002)))^2))))/1000</f>
        <v/>
      </c>
      <c r="AO3">
        <f>IF($AN3&lt;N_Ed-1E-9*MAX(1,N_Ed),(AK3+AL3)/2,AK3)</f>
        <v/>
      </c>
      <c r="AP3">
        <f>IF($AN3&lt;N_Ed-1E-9*MAX(1,N_Ed),AL3,(AK3+AL3)/2)</f>
        <v/>
      </c>
      <c r="AQ3">
        <f>h_col*((AO3+AP3)/2)/(1-(AO3+AP3)/2)</f>
        <v/>
      </c>
      <c r="AR3">
        <f>(f_cd*b_col*((3*MIN(AQ3,h_col)/7)+(4*MIN(AQ3,h_col)/7)*(1-((4*MIN(AQ3,h_col)/7)/(AQ3-(3*MIN(AQ3,h_col)/7)))^2/3))+$D3/2*((MAX(-f_yd,MIN(f_yd,200000*IF(AQ3&lt;=h_col,0.0035*(AQ3-d_2)/AQ3,0.002*(AQ3-d_2)/(AQ3-3*h_col/7))))-f_cd*(1-(1-MAX(0,MIN(1,IF(AQ3&lt;=h_col,0.0035*(AQ3-d_2)/AQ3,0.002*(AQ3-d_2)/(AQ3-3*h_col/7))/0.002)))^2))+(MAX(-f_yd,MIN(f_yd,200000*IF(AQ3&lt;=h_col,0.0035*(AQ3-(h_col-d_2))/AQ3,0.002*(AQ3-(h_col-d_2))/(AQ3-3*h_col/7))))-f_cd*(1-(1-MAX(0,MIN(1,IF(AQ3&lt;=h_col,0.0035*(AQ3-(h_col-d_2))/AQ3,0.002*(AQ3-(h_col-d_2))/(AQ3-3*h_col/7))/0.002)))^2))))/1000</f>
        <v/>
      </c>
      <c r="AS3">
        <f>IF($AR3&lt;N_Ed-1E-9*MAX(1,N_Ed),(AO3+AP3)/2,AO3)</f>
        <v/>
      </c>
      <c r="AT3">
        <f>IF($AR3&lt;N_Ed-1E-9*MAX(1,N_Ed),AP3,(AO3+AP3)/2)</f>
        <v/>
      </c>
      <c r="AU3">
        <f>h_col*((AS3+AT3)/2)/(1-(AS3+AT3)/2)</f>
        <v/>
      </c>
      <c r="AV3">
        <f>(f_cd*b_col*((3*MIN(AU3,h_col)/7)+(4*MIN(AU3,h_col)/7)*(1-((4*MIN(AU3,h_col)/7)/(AU3-(3*MIN(AU3,h_col)/7)))^2/3))+$D3/2*((MAX(-f_yd,MIN(f_yd,200000*IF(AU3&lt;=h_col,0.0035*(AU3-d_2)/AU3,0.002*(AU3-d_2)/(AU3-3*h_col/7))))-f_cd*(1-(1-MAX(0,MIN(1,IF(AU3&lt;=h_col,0.0035*(AU3-d_2)/AU3,0.002*(AU3-d_2)/(AU3-3*h_col/7))/0.002)))^2))+(MAX(-f_yd,MIN(f_yd,200000*IF(AU3&lt;=h_col,0.0035*(AU3-(h_col-d_2))/AU3,0.002*(AU3-(h_col-d_2))/(AU3-3*h_col/7))))-f_cd*(1-(1-MAX(0,MIN(1,IF(AU3&lt;=h_col,0.0035*(AU3-(h_col-d_2))/AU3,0.002*(AU3-(h_col-d_2))/(AU3-3*h_col/7))/0.002)))^2))))/1000</f>
        <v/>
      </c>
      <c r="AW3">
        <f>IF($AV3&lt;N_Ed-1E-9*MAX(1,N_Ed),(AS3+AT3)/2,AS3)</f>
        <v/>
      </c>
      <c r="AX3">
        <f>IF($AV3&lt;N_Ed-1E-9*MAX(1,N_Ed),AT3,(AS3+AT3)/2)</f>
        <v/>
      </c>
      <c r="AY3">
        <f>h_col*((AW3+AX3)/2)/(1-(AW3+AX3)/2)</f>
        <v/>
      </c>
      <c r="AZ3">
        <f>(f_cd*b_col*((3*MIN(AY3,h_col)/7)+(4*MIN(AY3,h_col)/7)*(1-((4*MIN(AY3,h_col)/7)/(AY3-(3*MIN(AY3,h_col)/7)))^2/3))+$D3/2*((MAX(-f_yd,MIN(f_yd,200000*IF(AY3&lt;=h_col,0.0035*(AY3-d_2)/AY3,0.002*(AY3-d_2)/(AY3-3*h_col/7))))-f_cd*(1-(1-MAX(0,MIN(1,IF(AY3&lt;=h_col,0.0035*(AY3-d_2)/AY3,0.002*(AY3-d_2)/(AY3-3*h_col/7))/0.002)))^2))+(MAX(-f_yd,MIN(f_yd,200000*IF(AY3&lt;=h_col,0.0035*(AY3-(h_col-d_2))/AY3,0.002*(AY3-(h_col-d_2))/(AY3-3*h_col/7))))-f_cd*(1-(1-MAX(0,MIN(1,IF(AY3&lt;=h_col,0.0035*(AY3-(h_col-d_2))/AY3,0.002*(AY3-(h_col-d_2))/(AY3-3*h_col/7))/0.002)))^2))))/1000</f>
        <v/>
      </c>
      <c r="BA3">
        <f>IF($AZ3&lt;N_Ed-1E-9*MAX(1,N_Ed),(AW3+AX3)/2,AW3)</f>
        <v/>
      </c>
      <c r="BB3">
        <f>IF($AZ3&lt;N_Ed-1E-9*MAX(1,N_Ed),AX3,(AW3+AX3)/2)</f>
        <v/>
      </c>
      <c r="BC3">
        <f>h_col*((BA3+BB3)/2)/(1-(BA3+BB3)/2)</f>
        <v/>
      </c>
      <c r="BD3">
        <f>(f_cd*b_col*((3*MIN(BC3,h_col)/7)+(4*MIN(BC3,h_col)/7)*(1-((4*MIN(BC3,h_col)/7)/(BC3-(3*MIN(BC3,h_col)/7)))^2/3))+$D3/2*((MAX(-f_yd,MIN(f_yd,200000*IF(BC3&lt;=h_col,0.0035*(BC3-d_2)/BC3,0.002*(BC3-d_2)/(BC3-3*h_col/7))))-f_cd*(1-(1-MAX(0,MIN(1,IF(BC3&lt;=h_col,0.0035*(BC3-d_2)/BC3,0.002*(BC3-d_2)/(BC3-3*h_col/7))/0.002)))^2))+(MAX(-f_yd,MIN(f_yd,200000*IF(BC3&lt;=h_col,0.0035*(BC3-(h_col-d_2))/BC3,0.002*(BC3-(h_col-d_2))/(BC3-3*h_col/7))))-f_cd*(1-(1-MAX(0,MIN(1,IF(BC3&lt;=h_col,0.0035*(BC3-(h_col-d_2))/BC3,0.002*(BC3-(h_col-d_2))/(BC3-3*h_col/7))/0.002)))^2))))/1000</f>
        <v/>
      </c>
      <c r="BE3">
        <f>IF($BD3&lt;N_Ed-1E-9*MAX(1,N_Ed),(BA3+BB3)/2,BA3)</f>
        <v/>
      </c>
      <c r="BF3">
        <f>IF($BD3&lt;N_Ed-1E-9*MAX(1,N_Ed),BB3,(BA3+BB3)/2)</f>
        <v/>
      </c>
      <c r="BG3">
        <f>h_col*((BE3+BF3)/2)/(1-(BE3+BF3)/2)</f>
        <v/>
      </c>
      <c r="BH3">
        <f>(f_cd*b_col*((3*MIN(BG3,h_col)/7)+(4*MIN(BG3,h_col)/7)*(1-((4*MIN(BG3,h_col)/7)/(BG3-(3*MIN(BG3,h_col)/7)))^2/3))+$D3/2*((MAX(-f_yd,MIN(f_yd,200000*IF(BG3&lt;=h_col,0.0035*(BG3-d_2)/BG3,0.002*(BG3-d_2)/(BG3-3*h_col/7))))-f_cd*(1-(1-MAX(0,MIN(1,IF(BG3&lt;=h_col,0.0035*(BG3-d_2)/BG3,0.002*(BG3-d_2)/(BG3-3*h_col/7))/0.002)))^2))+(MAX(-f_yd,MIN(f_yd,200000*IF(BG3&lt;=h_col,0.0035*(BG3-(h_col-d_2))/BG3,0.002*(BG3-(h_col-d_2))/(BG3-3*h_col/7))))-f_cd*(1-(1-MAX(0,MIN(1,IF(BG3&lt;=h_col,0.0035*(BG3-(h_col-d_2))/BG3,0.002*(BG3-(h_col-d_2))/(BG3-3*h_col/7))/0.002)))^2))))/1000</f>
        <v/>
      </c>
      <c r="BI3">
        <f>IF($BH3&lt;N_Ed-1E-9*MAX(1,N_Ed),(BE3+BF3)/2,BE3)</f>
        <v/>
      </c>
      <c r="BJ3">
        <f>IF($BH3&lt;N_Ed-1E-9*MAX(1,N_Ed),BF3,(BE3+BF3)/2)</f>
        <v/>
      </c>
      <c r="BK3">
        <f>h_col*((BI3+BJ3)/2)/(1-(BI3+BJ3)/2)</f>
        <v/>
      </c>
      <c r="BL3">
        <f>(f_cd*b_col*((3*MIN(BK3,h_col)/7)+(4*MIN(BK3,h_col)/7)*(1-((4*MIN(BK3,h_col)/7)/(BK3-(3*MIN(BK3,h_col)/7)))^2/3))+$D3/2*((MAX(-f_yd,MIN(f_yd,200000*IF(BK3&lt;=h_col,0.0035*(BK3-d_2)/BK3,0.002*(BK3-d_2)/(BK3-3*h_col/7))))-f_cd*(1-(1-MAX(0,MIN(1,IF(BK3&lt;=h_col,0.0035*(BK3-d_2)/BK3,0.002*(BK3-d_2)/(BK3-3*h_col/7))/0.002)))^2))+(MAX(-f_yd,MIN(f_yd,200000*IF(BK3&lt;=h_col,0.0035*(BK3-(h_col-d_2))/BK3,0.002*(BK3-(h_col-d_2))/(BK3-3*h_col/7))))-f_cd*(1-(1-MAX(0,MIN(1,IF(BK3&lt;=h_col,0.0035*(BK3-(h_col-d_2))/BK3,0.002*(BK3-(h_col-d_2))/(BK3-3*h_col/7))/0.002)))^2))))/1000</f>
        <v/>
      </c>
      <c r="BM3">
        <f>IF($BL3&lt;N_Ed-1E-9*MAX(1,N_Ed),(BI3+BJ3)/2,BI3)</f>
        <v/>
      </c>
      <c r="BN3">
        <f>IF($BL3&lt;N_Ed-1E-9*MAX(1,N_Ed),BJ3,(BI3+BJ3)/2)</f>
        <v/>
      </c>
      <c r="BO3">
        <f>h_col*((BM3+BN3)/2)/(1-(BM3+BN3)/2)</f>
        <v/>
      </c>
      <c r="BP3">
        <f>(f_cd*b_col*((3*MIN(BO3,h_col)/7)+(4*MIN(BO3,h_col)/7)*(1-((4*MIN(BO3,h_col)/7)/(BO3-(3*MIN(BO3,h_col)/7)))^2/3))+$D3/2*((MAX(-f_yd,MIN(f_yd,200000*IF(BO3&lt;=h_col,0.0035*(BO3-d_2)/BO3,0.002*(BO3-d_2)/(BO3-3*h_col/7))))-f_cd*(1-(1-MAX(0,MIN(1,IF(BO3&lt;=h_col,0.0035*(BO3-d_2)/BO3,0.002*(BO3-d_2)/(BO3-3*h_col/7))/0.002)))^2))+(MAX(-f_yd,MIN(f_yd,200000*IF(BO3&lt;=h_col,0.0035*(BO3-(h_col-d_2))/BO3,0.002*(BO3-(h_col-d_2))/(BO3-3*h_col/7))))-f_cd*(1-(1-MAX(0,MIN(1,IF(BO3&lt;=h_col,0.0035*(BO3-(h_col-d_2))/BO3,0.002*(BO3-(h_col-d_2))/(BO3-3*h_col/7))/0.002)))^2))))/1000</f>
        <v/>
      </c>
      <c r="BQ3">
        <f>IF($BP3&lt;N_Ed-1E-9*MAX(1,N_Ed),(BM3+BN3)/2,BM3)</f>
        <v/>
      </c>
      <c r="BR3">
        <f>IF($BP3&lt;N_Ed-1E-9*MAX(1,N_Ed),BN3,(BM3+BN3)/2)</f>
        <v/>
      </c>
      <c r="BS3">
        <f>h_col*((BQ3+BR3)/2)/(1-(BQ3+BR3)/2)</f>
        <v/>
      </c>
      <c r="BT3">
        <f>(f_cd*b_col*((3*MIN(BS3,h_col)/7)+(4*MIN(BS3,h_col)/7)*(1-((4*MIN(BS3,h_col)/7)/(BS3-(3*MIN(BS3,h_col)/7)))^2/3))+$D3/2*((MAX(-f_yd,MIN(f_yd,200000*IF(BS3&lt;=h_col,0.0035*(BS3-d_2)/BS3,0.002*(BS3-d_2)/(BS3-3*h_col/7))))-f_cd*(1-(1-MAX(0,MIN(1,IF(BS3&lt;=h_col,0.0035*(BS3-d_2)/BS3,0.002*(BS3-d_2)/(BS3-3*h_col/7))/0.002)))^2))+(MAX(-f_yd,MIN(f_yd,200000*IF(BS3&lt;=h_col,0.0035*(BS3-(h_col-d_2))/BS3,0.002*(BS3-(h_col-d_2))/(BS3-3*h_col/7))))-f_cd*(1-(1-MAX(0,MIN(1,IF(BS3&lt;=h_col,0.0035*(BS3-(h_col-d_2))/BS3,0.002*(BS3-(h_col-d_2))/(BS3-3*h_col/7))/0.002)))^2))))/1000</f>
        <v/>
      </c>
      <c r="BU3">
        <f>IF($BT3&lt;N_Ed-1E-9*MAX(1,N_Ed),(BQ3+BR3)/2,BQ3)</f>
        <v/>
      </c>
      <c r="BV3">
        <f>IF($BT3&lt;N_Ed-1E-9*MAX(1,N_Ed),BR3,(BQ3+BR3)/2)</f>
        <v/>
      </c>
      <c r="BW3">
        <f>h_col*((BU3+BV3)/2)/(1-(BU3+BV3)/2)</f>
        <v/>
      </c>
      <c r="BX3">
        <f>(f_cd*b_col*((3*MIN(BW3,h_col)/7)+(4*MIN(BW3,h_col)/7)*(1-((4*MIN(BW3,h_col)/7)/(BW3-(3*MIN(BW3,h_col)/7)))^2/3))+$D3/2*((MAX(-f_yd,MIN(f_yd,200000*IF(BW3&lt;=h_col,0.0035*(BW3-d_2)/BW3,0.002*(BW3-d_2)/(BW3-3*h_col/7))))-f_cd*(1-(1-MAX(0,MIN(1,IF(BW3&lt;=h_col,0.0035*(BW3-d_2)/BW3,0.002*(BW3-d_2)/(BW3-3*h_col/7))/0.002)))^2))+(MAX(-f_yd,MIN(f_yd,200000*IF(BW3&lt;=h_col,0.0035*(BW3-(h_col-d_2))/BW3,0.002*(BW3-(h_col-d_2))/(BW3-3*h_col/7))))-f_cd*(1-(1-MAX(0,MIN(1,IF(BW3&lt;=h_col,0.0035*(BW3-(h_col-d_2))/BW3,0.002*(BW3-(h_col-d_2))/(BW3-3*h_col/7))/0.002)))^2))))/1000</f>
        <v/>
      </c>
      <c r="BY3">
        <f>IF($BX3&lt;N_Ed-1E-9*MAX(1,N_Ed),(BU3+BV3)/2,BU3)</f>
        <v/>
      </c>
      <c r="BZ3">
        <f>IF($BX3&lt;N_Ed-1E-9*MAX(1,N_Ed),BV3,(BU3+BV3)/2)</f>
        <v/>
      </c>
      <c r="CA3">
        <f>h_col*((BY3+BZ3)/2)/(1-(BY3+BZ3)/2)</f>
        <v/>
      </c>
      <c r="CB3">
        <f>(f_cd*b_col*((3*MIN(CA3,h_col)/7)+(4*MIN(CA3,h_col)/7)*(1-((4*MIN(CA3,h_col)/7)/(CA3-(3*MIN(CA3,h_col)/7)))^2/3))+$D3/2*((MAX(-f_yd,MIN(f_yd,200000*IF(CA3&lt;=h_col,0.0035*(CA3-d_2)/CA3,0.002*(CA3-d_2)/(CA3-3*h_col/7))))-f_cd*(1-(1-MAX(0,MIN(1,IF(CA3&lt;=h_col,0.0035*(CA3-d_2)/CA3,0.002*(CA3-d_2)/(CA3-3*h_col/7))/0.002)))^2))+(MAX(-f_yd,MIN(f_yd,200000*IF(CA3&lt;=h_col,0.0035*(CA3-(h_col-d_2))/CA3,0.002*(CA3-(h_col-d_2))/(CA3-3*h_col/7))))-f_cd*(1-(1-MAX(0,MIN(1,IF(CA3&lt;=h_col,0.0035*(CA3-(h_col-d_2))/CA3,0.002*(CA3-(h_col-d_2))/(CA3-3*h_col/7))/0.002)))^2))))/1000</f>
        <v/>
      </c>
      <c r="CC3">
        <f>IF($CB3&lt;N_Ed-1E-9*MAX(1,N_Ed),(BY3+BZ3)/2,BY3)</f>
        <v/>
      </c>
      <c r="CD3">
        <f>IF($CB3&lt;N_Ed-1E-9*MAX(1,N_Ed),BZ3,(BY3+BZ3)/2)</f>
        <v/>
      </c>
      <c r="CE3">
        <f>h_col*((CC3+CD3)/2)/(1-(CC3+CD3)/2)</f>
        <v/>
      </c>
      <c r="CF3">
        <f>(f_cd*b_col*((3*MIN(CE3,h_col)/7)+(4*MIN(CE3,h_col)/7)*(1-((4*MIN(CE3,h_col)/7)/(CE3-(3*MIN(CE3,h_col)/7)))^2/3))+$D3/2*((MAX(-f_yd,MIN(f_yd,200000*IF(CE3&lt;=h_col,0.0035*(CE3-d_2)/CE3,0.002*(CE3-d_2)/(CE3-3*h_col/7))))-f_cd*(1-(1-MAX(0,MIN(1,IF(CE3&lt;=h_col,0.0035*(CE3-d_2)/CE3,0.002*(CE3-d_2)/(CE3-3*h_col/7))/0.002)))^2))+(MAX(-f_yd,MIN(f_yd,200000*IF(CE3&lt;=h_col,0.0035*(CE3-(h_col-d_2))/CE3,0.002*(CE3-(h_col-d_2))/(CE3-3*h_col/7))))-f_cd*(1-(1-MAX(0,MIN(1,IF(CE3&lt;=h_col,0.0035*(CE3-(h_col-d_2))/CE3,0.002*(CE3-(h_col-d_2))/(CE3-3*h_col/7))/0.002)))^2))))/1000</f>
        <v/>
      </c>
      <c r="CG3">
        <f>IF($CF3&lt;N_Ed-1E-9*MAX(1,N_Ed),(CC3+CD3)/2,CC3)</f>
        <v/>
      </c>
      <c r="CH3">
        <f>IF($CF3&lt;N_Ed-1E-9*MAX(1,N_Ed),CD3,(CC3+CD3)/2)</f>
        <v/>
      </c>
      <c r="CI3">
        <f>h_col*((CG3+CH3)/2)/(1-(CG3+CH3)/2)</f>
        <v/>
      </c>
      <c r="CJ3">
        <f>(f_cd*b_col*((3*MIN(CI3,h_col)/7)+(4*MIN(CI3,h_col)/7)*(1-((4*MIN(CI3,h_col)/7)/(CI3-(3*MIN(CI3,h_col)/7)))^2/3))+$D3/2*((MAX(-f_yd,MIN(f_yd,200000*IF(CI3&lt;=h_col,0.0035*(CI3-d_2)/CI3,0.002*(CI3-d_2)/(CI3-3*h_col/7))))-f_cd*(1-(1-MAX(0,MIN(1,IF(CI3&lt;=h_col,0.0035*(CI3-d_2)/CI3,0.002*(CI3-d_2)/(CI3-3*h_col/7))/0.002)))^2))+(MAX(-f_yd,MIN(f_yd,200000*IF(CI3&lt;=h_col,0.0035*(CI3-(h_col-d_2))/CI3,0.002*(CI3-(h_col-d_2))/(CI3-3*h_col/7))))-f_cd*(1-(1-MAX(0,MIN(1,IF(CI3&lt;=h_col,0.0035*(CI3-(h_col-d_2))/CI3,0.002*(CI3-(h_col-d_2))/(CI3-3*h_col/7))/0.002)))^2))))/1000</f>
        <v/>
      </c>
      <c r="CK3">
        <f>IF($CJ3&lt;N_Ed-1E-9*MAX(1,N_Ed),(CG3+CH3)/2,CG3)</f>
        <v/>
      </c>
      <c r="CL3">
        <f>IF($CJ3&lt;N_Ed-1E-9*MAX(1,N_Ed),CH3,(CG3+CH3)/2)</f>
        <v/>
      </c>
      <c r="CM3">
        <f>h_col*((CK3+CL3)/2)/(1-(CK3+CL3)/2)</f>
        <v/>
      </c>
      <c r="CN3">
        <f>(f_cd*b_col*((3*MIN(CM3,h_col)/7)+(4*MIN(CM3,h_col)/7)*(1-((4*MIN(CM3,h_col)/7)/(CM3-(3*MIN(CM3,h_col)/7)))^2/3))+$D3/2*((MAX(-f_yd,MIN(f_yd,200000*IF(CM3&lt;=h_col,0.0035*(CM3-d_2)/CM3,0.002*(CM3-d_2)/(CM3-3*h_col/7))))-f_cd*(1-(1-MAX(0,MIN(1,IF(CM3&lt;=h_col,0.0035*(CM3-d_2)/CM3,0.002*(CM3-d_2)/(CM3-3*h_col/7))/0.002)))^2))+(MAX(-f_yd,MIN(f_yd,200000*IF(CM3&lt;=h_col,0.0035*(CM3-(h_col-d_2))/CM3,0.002*(CM3-(h_col-d_2))/(CM3-3*h_col/7))))-f_cd*(1-(1-MAX(0,MIN(1,IF(CM3&lt;=h_col,0.0035*(CM3-(h_col-d_2))/CM3,0.002*(CM3-(h_col-d_2))/(CM3-3*h_col/7))/0.002)))^2))))/1000</f>
        <v/>
      </c>
      <c r="CO3">
        <f>IF($CN3&lt;N_Ed-1E-9*MAX(1,N_Ed),(CK3+CL3)/2,CK3)</f>
        <v/>
      </c>
      <c r="CP3">
        <f>IF($CN3&lt;N_Ed-1E-9*MAX(1,N_Ed),CL3,(CK3+CL3)/2)</f>
        <v/>
      </c>
      <c r="CQ3">
        <f>h_col*((CO3+CP3)/2)/(1-(CO3+CP3)/2)</f>
        <v/>
      </c>
      <c r="CR3">
        <f>(f_cd*b_col*((3*MIN(CQ3,h_col)/7)+(4*MIN(CQ3,h_col)/7)*(1-((4*MIN(CQ3,h_col)/7)/(CQ3-(3*MIN(CQ3,h_col)/7)))^2/3))+$D3/2*((MAX(-f_yd,MIN(f_yd,200000*IF(CQ3&lt;=h_col,0.0035*(CQ3-d_2)/CQ3,0.002*(CQ3-d_2)/(CQ3-3*h_col/7))))-f_cd*(1-(1-MAX(0,MIN(1,IF(CQ3&lt;=h_col,0.0035*(CQ3-d_2)/CQ3,0.002*(CQ3-d_2)/(CQ3-3*h_col/7))/0.002)))^2))+(MAX(-f_yd,MIN(f_yd,200000*IF(CQ3&lt;=h_col,0.0035*(CQ3-(h_col-d_2))/CQ3,0.002*(CQ3-(h_col-d_2))/(CQ3-3*h_col/7))))-f_cd*(1-(1-MAX(0,MIN(1,IF(CQ3&lt;=h_col,0.0035*(CQ3-(h_col-d_2))/CQ3,0.002*(CQ3-(h_col-d_2))/(CQ3-3*h_col/7))/0.002)))^2))))/1000</f>
        <v/>
      </c>
      <c r="CS3">
        <f>IF($CR3&lt;N_Ed-1E-9*MAX(1,N_Ed),(CO3+CP3)/2,CO3)</f>
        <v/>
      </c>
      <c r="CT3">
        <f>IF($CR3&lt;N_Ed-1E-9*MAX(1,N_Ed),CP3,(CO3+CP3)/2)</f>
        <v/>
      </c>
      <c r="CU3">
        <f>h_col*((CS3+CT3)/2)/(1-(CS3+CT3)/2)</f>
        <v/>
      </c>
      <c r="CV3">
        <f>(f_cd*b_col*((3*MIN(CU3,h_col)/7)+(4*MIN(CU3,h_col)/7)*(1-((4*MIN(CU3,h_col)/7)/(CU3-(3*MIN(CU3,h_col)/7)))^2/3))+$D3/2*((MAX(-f_yd,MIN(f_yd,200000*IF(CU3&lt;=h_col,0.0035*(CU3-d_2)/CU3,0.002*(CU3-d_2)/(CU3-3*h_col/7))))-f_cd*(1-(1-MAX(0,MIN(1,IF(CU3&lt;=h_col,0.0035*(CU3-d_2)/CU3,0.002*(CU3-d_2)/(CU3-3*h_col/7))/0.002)))^2))+(MAX(-f_yd,MIN(f_yd,200000*IF(CU3&lt;=h_col,0.0035*(CU3-(h_col-d_2))/CU3,0.002*(CU3-(h_col-d_2))/(CU3-3*h_col/7))))-f_cd*(1-(1-MAX(0,MIN(1,IF(CU3&lt;=h_col,0.0035*(CU3-(h_col-d_2))/CU3,0.002*(CU3-(h_col-d_2))/(CU3-3*h_col/7))/0.002)))^2))))/1000</f>
        <v/>
      </c>
      <c r="CW3">
        <f>IF($CV3&lt;N_Ed-1E-9*MAX(1,N_Ed),(CS3+CT3)/2,CS3)</f>
        <v/>
      </c>
      <c r="CX3">
        <f>IF($CV3&lt;N_Ed-1E-9*MAX(1,N_Ed),CT3,(CS3+CT3)/2)</f>
        <v/>
      </c>
      <c r="CY3">
        <f>h_col*((CW3+CX3)/2)/(1-(CW3+CX3)/2)</f>
        <v/>
      </c>
      <c r="CZ3">
        <f>(f_cd*b_col*((3*MIN(CY3,h_col)/7)+(4*MIN(CY3,h_col)/7)*(1-((4*MIN(CY3,h_col)/7)/(CY3-(3*MIN(CY3,h_col)/7)))^2/3))+$D3/2*((MAX(-f_yd,MIN(f_yd,200000*IF(CY3&lt;=h_col,0.0035*(CY3-d_2)/CY3,0.002*(CY3-d_2)/(CY3-3*h_col/7))))-f_cd*(1-(1-MAX(0,MIN(1,IF(CY3&lt;=h_col,0.0035*(CY3-d_2)/CY3,0.002*(CY3-d_2)/(CY3-3*h_col/7))/0.002)))^2))+(MAX(-f_yd,MIN(f_yd,200000*IF(CY3&lt;=h_col,0.0035*(CY3-(h_col-d_2))/CY3,0.002*(CY3-(h_col-d_2))/(CY3-3*h_col/7))))-f_cd*(1-(1-MAX(0,MIN(1,IF(CY3&lt;=h_col,0.0035*(CY3-(h_col-d_2))/CY3,0.002*(CY3-(h_col-d_2))/(CY3-3*h_col/7))/0.002)))^2))))/1000</f>
        <v/>
      </c>
      <c r="DA3">
        <f>IF($CZ3&lt;N_Ed-1E-9*MAX(1,N_Ed),(CW3+CX3)/2,CW3)</f>
        <v/>
      </c>
      <c r="DB3">
        <f>IF($CZ3&lt;N_Ed-1E-9*MAX(1,N_Ed),CX3,(CW3+CX3)/2)</f>
        <v/>
      </c>
      <c r="DC3">
        <f>h_col*((DA3+DB3)/2)/(1-(DA3+DB3)/2)</f>
        <v/>
      </c>
      <c r="DD3">
        <f>(f_cd*b_col*((3*MIN(DC3,h_col)/7)+(4*MIN(DC3,h_col)/7)*(1-((4*MIN(DC3,h_col)/7)/(DC3-(3*MIN(DC3,h_col)/7)))^2/3))+$D3/2*((MAX(-f_yd,MIN(f_yd,200000*IF(DC3&lt;=h_col,0.0035*(DC3-d_2)/DC3,0.002*(DC3-d_2)/(DC3-3*h_col/7))))-f_cd*(1-(1-MAX(0,MIN(1,IF(DC3&lt;=h_col,0.0035*(DC3-d_2)/DC3,0.002*(DC3-d_2)/(DC3-3*h_col/7))/0.002)))^2))+(MAX(-f_yd,MIN(f_yd,200000*IF(DC3&lt;=h_col,0.0035*(DC3-(h_col-d_2))/DC3,0.002*(DC3-(h_col-d_2))/(DC3-3*h_col/7))))-f_cd*(1-(1-MAX(0,MIN(1,IF(DC3&lt;=h_col,0.0035*(DC3-(h_col-d_2))/DC3,0.002*(DC3-(h_col-d_2))/(DC3-3*h_col/7))/0.002)))^2))))/1000</f>
        <v/>
      </c>
      <c r="DE3">
        <f>IF($DD3&lt;N_Ed-1E-9*MAX(1,N_Ed),(DA3+DB3)/2,DA3)</f>
        <v/>
      </c>
      <c r="DF3">
        <f>IF($DD3&lt;N_Ed-1E-9*MAX(1,N_Ed),DB3,(DA3+DB3)/2)</f>
        <v/>
      </c>
      <c r="DG3">
        <f>h_col*((DE3+DF3)/2)/(1-(DE3+DF3)/2)</f>
        <v/>
      </c>
      <c r="DH3">
        <f>(f_cd*b_col*((3*MIN(DG3,h_col)/7)+(4*MIN(DG3,h_col)/7)*(1-((4*MIN(DG3,h_col)/7)/(DG3-(3*MIN(DG3,h_col)/7)))^2/3))+$D3/2*((MAX(-f_yd,MIN(f_yd,200000*IF(DG3&lt;=h_col,0.0035*(DG3-d_2)/DG3,0.002*(DG3-d_2)/(DG3-3*h_col/7))))-f_cd*(1-(1-MAX(0,MIN(1,IF(DG3&lt;=h_col,0.0035*(DG3-d_2)/DG3,0.002*(DG3-d_2)/(DG3-3*h_col/7))/0.002)))^2))+(MAX(-f_yd,MIN(f_yd,200000*IF(DG3&lt;=h_col,0.0035*(DG3-(h_col-d_2))/DG3,0.002*(DG3-(h_col-d_2))/(DG3-3*h_col/7))))-f_cd*(1-(1-MAX(0,MIN(1,IF(DG3&lt;=h_col,0.0035*(DG3-(h_col-d_2))/DG3,0.002*(DG3-(h_col-d_2))/(DG3-3*h_col/7))/0.002)))^2))))/1000</f>
        <v/>
      </c>
      <c r="DI3">
        <f>IF($DH3&lt;N_Ed-1E-9*MAX(1,N_Ed),(DE3+DF3)/2,DE3)</f>
        <v/>
      </c>
      <c r="DJ3">
        <f>IF($DH3&lt;N_Ed-1E-9*MAX(1,N_Ed),DF3,(DE3+DF3)/2)</f>
        <v/>
      </c>
      <c r="DK3">
        <f>h_col*((DI3+DJ3)/2)/(1-(DI3+DJ3)/2)</f>
        <v/>
      </c>
      <c r="DL3">
        <f>(f_cd*b_col*((3*MIN(DK3,h_col)/7)+(4*MIN(DK3,h_col)/7)*(1-((4*MIN(DK3,h_col)/7)/(DK3-(3*MIN(DK3,h_col)/7)))^2/3))+$D3/2*((MAX(-f_yd,MIN(f_yd,200000*IF(DK3&lt;=h_col,0.0035*(DK3-d_2)/DK3,0.002*(DK3-d_2)/(DK3-3*h_col/7))))-f_cd*(1-(1-MAX(0,MIN(1,IF(DK3&lt;=h_col,0.0035*(DK3-d_2)/DK3,0.002*(DK3-d_2)/(DK3-3*h_col/7))/0.002)))^2))+(MAX(-f_yd,MIN(f_yd,200000*IF(DK3&lt;=h_col,0.0035*(DK3-(h_col-d_2))/DK3,0.002*(DK3-(h_col-d_2))/(DK3-3*h_col/7))))-f_cd*(1-(1-MAX(0,MIN(1,IF(DK3&lt;=h_col,0.0035*(DK3-(h_col-d_2))/DK3,0.002*(DK3-(h_col-d_2))/(DK3-3*h_col/7))/0.002)))^2))))/1000</f>
        <v/>
      </c>
      <c r="DM3">
        <f>IF($DL3&lt;N_Ed-1E-9*MAX(1,N_Ed),(DI3+DJ3)/2,DI3)</f>
        <v/>
      </c>
      <c r="DN3">
        <f>IF($DL3&lt;N_Ed-1E-9*MAX(1,N_Ed),DJ3,(DI3+DJ3)/2)</f>
        <v/>
      </c>
      <c r="DO3">
        <f>h_col*((DM3+DN3)/2)/(1-(DM3+DN3)/2)</f>
        <v/>
      </c>
      <c r="DP3">
        <f>(f_cd*b_col*((3*MIN(DO3,h_col)/7)+(4*MIN(DO3,h_col)/7)*(1-((4*MIN(DO3,h_col)/7)/(DO3-(3*MIN(DO3,h_col)/7)))^2/3))+$D3/2*((MAX(-f_yd,MIN(f_yd,200000*IF(DO3&lt;=h_col,0.0035*(DO3-d_2)/DO3,0.002*(DO3-d_2)/(DO3-3*h_col/7))))-f_cd*(1-(1-MAX(0,MIN(1,IF(DO3&lt;=h_col,0.0035*(DO3-d_2)/DO3,0.002*(DO3-d_2)/(DO3-3*h_col/7))/0.002)))^2))+(MAX(-f_yd,MIN(f_yd,200000*IF(DO3&lt;=h_col,0.0035*(DO3-(h_col-d_2))/DO3,0.002*(DO3-(h_col-d_2))/(DO3-3*h_col/7))))-f_cd*(1-(1-MAX(0,MIN(1,IF(DO3&lt;=h_col,0.0035*(DO3-(h_col-d_2))/DO3,0.002*(DO3-(h_col-d_2))/(DO3-3*h_col/7))/0.002)))^2))))/1000</f>
        <v/>
      </c>
      <c r="DQ3">
        <f>IF($DP3&lt;N_Ed-1E-9*MAX(1,N_Ed),(DM3+DN3)/2,DM3)</f>
        <v/>
      </c>
      <c r="DR3">
        <f>IF($DP3&lt;N_Ed-1E-9*MAX(1,N_Ed),DN3,(DM3+DN3)/2)</f>
        <v/>
      </c>
      <c r="DS3">
        <f>h_col*((DQ3+DR3)/2)/(1-(DQ3+DR3)/2)</f>
        <v/>
      </c>
      <c r="DT3">
        <f>(f_cd*b_col*((3*MIN(DS3,h_col)/7)+(4*MIN(DS3,h_col)/7)*(1-((4*MIN(DS3,h_col)/7)/(DS3-(3*MIN(DS3,h_col)/7)))^2/3))+$D3/2*((MAX(-f_yd,MIN(f_yd,200000*IF(DS3&lt;=h_col,0.0035*(DS3-d_2)/DS3,0.002*(DS3-d_2)/(DS3-3*h_col/7))))-f_cd*(1-(1-MAX(0,MIN(1,IF(DS3&lt;=h_col,0.0035*(DS3-d_2)/DS3,0.002*(DS3-d_2)/(DS3-3*h_col/7))/0.002)))^2))+(MAX(-f_yd,MIN(f_yd,200000*IF(DS3&lt;=h_col,0.0035*(DS3-(h_col-d_2))/DS3,0.002*(DS3-(h_col-d_2))/(DS3-3*h_col/7))))-f_cd*(1-(1-MAX(0,MIN(1,IF(DS3&lt;=h_col,0.0035*(DS3-(h_col-d_2))/DS3,0.002*(DS3-(h_col-d_2))/(DS3-3*h_col/7))/0.002)))^2))))/1000</f>
        <v/>
      </c>
      <c r="DU3">
        <f>IF($DT3&lt;N_Ed-1E-9*MAX(1,N_Ed),(DQ3+DR3)/2,DQ3)</f>
        <v/>
      </c>
      <c r="DV3">
        <f>IF($DT3&lt;N_Ed-1E-9*MAX(1,N_Ed),DR3,(DQ3+DR3)/2)</f>
        <v/>
      </c>
      <c r="DW3">
        <f>h_col*((DU3+DV3)/2)/(1-(DU3+DV3)/2)</f>
        <v/>
      </c>
      <c r="DX3">
        <f>(f_cd*b_col*((3*MIN(DW3,h_col)/7)+(4*MIN(DW3,h_col)/7)*(1-((4*MIN(DW3,h_col)/7)/(DW3-(3*MIN(DW3,h_col)/7)))^2/3))+$D3/2*((MAX(-f_yd,MIN(f_yd,200000*IF(DW3&lt;=h_col,0.0035*(DW3-d_2)/DW3,0.002*(DW3-d_2)/(DW3-3*h_col/7))))-f_cd*(1-(1-MAX(0,MIN(1,IF(DW3&lt;=h_col,0.0035*(DW3-d_2)/DW3,0.002*(DW3-d_2)/(DW3-3*h_col/7))/0.002)))^2))+(MAX(-f_yd,MIN(f_yd,200000*IF(DW3&lt;=h_col,0.0035*(DW3-(h_col-d_2))/DW3,0.002*(DW3-(h_col-d_2))/(DW3-3*h_col/7))))-f_cd*(1-(1-MAX(0,MIN(1,IF(DW3&lt;=h_col,0.0035*(DW3-(h_col-d_2))/DW3,0.002*(DW3-(h_col-d_2))/(DW3-3*h_col/7))/0.002)))^2))))/1000</f>
        <v/>
      </c>
      <c r="DY3">
        <f>IF($DX3&lt;N_Ed-1E-9*MAX(1,N_Ed),(DU3+DV3)/2,DU3)</f>
        <v/>
      </c>
      <c r="DZ3">
        <f>IF($DX3&lt;N_Ed-1E-9*MAX(1,N_Ed),DV3,(DU3+DV3)/2)</f>
        <v/>
      </c>
      <c r="EA3">
        <f>h_col*((DY3+DZ3)/2)/(1-(DY3+DZ3)/2)</f>
        <v/>
      </c>
      <c r="EB3">
        <f>(f_cd*b_col*((3*MIN(EA3,h_col)/7)+(4*MIN(EA3,h_col)/7)*(1-((4*MIN(EA3,h_col)/7)/(EA3-(3*MIN(EA3,h_col)/7)))^2/3))+$D3/2*((MAX(-f_yd,MIN(f_yd,200000*IF(EA3&lt;=h_col,0.0035*(EA3-d_2)/EA3,0.002*(EA3-d_2)/(EA3-3*h_col/7))))-f_cd*(1-(1-MAX(0,MIN(1,IF(EA3&lt;=h_col,0.0035*(EA3-d_2)/EA3,0.002*(EA3-d_2)/(EA3-3*h_col/7))/0.002)))^2))+(MAX(-f_yd,MIN(f_yd,200000*IF(EA3&lt;=h_col,0.0035*(EA3-(h_col-d_2))/EA3,0.002*(EA3-(h_col-d_2))/(EA3-3*h_col/7))))-f_cd*(1-(1-MAX(0,MIN(1,IF(EA3&lt;=h_col,0.0035*(EA3-(h_col-d_2))/EA3,0.002*(EA3-(h_col-d_2))/(EA3-3*h_col/7))/0.002)))^2))))/1000</f>
        <v/>
      </c>
      <c r="EC3">
        <f>IF($EB3&lt;N_Ed-1E-9*MAX(1,N_Ed),(DY3+DZ3)/2,DY3)</f>
        <v/>
      </c>
      <c r="ED3">
        <f>IF($EB3&lt;N_Ed-1E-9*MAX(1,N_Ed),DZ3,(DY3+DZ3)/2)</f>
        <v/>
      </c>
      <c r="EE3">
        <f>h_col*((EC3+ED3)/2)/(1-(EC3+ED3)/2)</f>
        <v/>
      </c>
      <c r="EF3">
        <f>(f_cd*b_col*((3*MIN(EE3,h_col)/7)+(4*MIN(EE3,h_col)/7)*(1-((4*MIN(EE3,h_col)/7)/(EE3-(3*MIN(EE3,h_col)/7)))^2/3))+$D3/2*((MAX(-f_yd,MIN(f_yd,200000*IF(EE3&lt;=h_col,0.0035*(EE3-d_2)/EE3,0.002*(EE3-d_2)/(EE3-3*h_col/7))))-f_cd*(1-(1-MAX(0,MIN(1,IF(EE3&lt;=h_col,0.0035*(EE3-d_2)/EE3,0.002*(EE3-d_2)/(EE3-3*h_col/7))/0.002)))^2))+(MAX(-f_yd,MIN(f_yd,200000*IF(EE3&lt;=h_col,0.0035*(EE3-(h_col-d_2))/EE3,0.002*(EE3-(h_col-d_2))/(EE3-3*h_col/7))))-f_cd*(1-(1-MAX(0,MIN(1,IF(EE3&lt;=h_col,0.0035*(EE3-(h_col-d_2))/EE3,0.002*(EE3-(h_col-d_2))/(EE3-3*h_col/7))/0.002)))^2))))/1000</f>
        <v/>
      </c>
      <c r="EG3">
        <f>IF($EF3&lt;N_Ed-1E-9*MAX(1,N_Ed),(EC3+ED3)/2,EC3)</f>
        <v/>
      </c>
      <c r="EH3">
        <f>IF($EF3&lt;N_Ed-1E-9*MAX(1,N_Ed),ED3,(EC3+ED3)/2)</f>
        <v/>
      </c>
      <c r="EI3">
        <f>h_col*((EG3+EH3)/2)/(1-(EG3+EH3)/2)</f>
        <v/>
      </c>
      <c r="EJ3">
        <f>(f_cd*b_col*((3*MIN(EI3,h_col)/7)+(4*MIN(EI3,h_col)/7)*(1-((4*MIN(EI3,h_col)/7)/(EI3-(3*MIN(EI3,h_col)/7)))^2/3))+$D3/2*((MAX(-f_yd,MIN(f_yd,200000*IF(EI3&lt;=h_col,0.0035*(EI3-d_2)/EI3,0.002*(EI3-d_2)/(EI3-3*h_col/7))))-f_cd*(1-(1-MAX(0,MIN(1,IF(EI3&lt;=h_col,0.0035*(EI3-d_2)/EI3,0.002*(EI3-d_2)/(EI3-3*h_col/7))/0.002)))^2))+(MAX(-f_yd,MIN(f_yd,200000*IF(EI3&lt;=h_col,0.0035*(EI3-(h_col-d_2))/EI3,0.002*(EI3-(h_col-d_2))/(EI3-3*h_col/7))))-f_cd*(1-(1-MAX(0,MIN(1,IF(EI3&lt;=h_col,0.0035*(EI3-(h_col-d_2))/EI3,0.002*(EI3-(h_col-d_2))/(EI3-3*h_col/7))/0.002)))^2))))/1000</f>
        <v/>
      </c>
      <c r="EK3">
        <f>IF($EJ3&lt;N_Ed-1E-9*MAX(1,N_Ed),(EG3+EH3)/2,EG3)</f>
        <v/>
      </c>
      <c r="EL3">
        <f>IF($EJ3&lt;N_Ed-1E-9*MAX(1,N_Ed),EH3,(EG3+EH3)/2)</f>
        <v/>
      </c>
      <c r="EM3">
        <f>h_col*((EK3+EL3)/2)/(1-(EK3+EL3)/2)</f>
        <v/>
      </c>
      <c r="EN3">
        <f>(f_cd*b_col*((3*MIN(EM3,h_col)/7)+(4*MIN(EM3,h_col)/7)*(1-((4*MIN(EM3,h_col)/7)/(EM3-(3*MIN(EM3,h_col)/7)))^2/3))+$D3/2*((MAX(-f_yd,MIN(f_yd,200000*IF(EM3&lt;=h_col,0.0035*(EM3-d_2)/EM3,0.002*(EM3-d_2)/(EM3-3*h_col/7))))-f_cd*(1-(1-MAX(0,MIN(1,IF(EM3&lt;=h_col,0.0035*(EM3-d_2)/EM3,0.002*(EM3-d_2)/(EM3-3*h_col/7))/0.002)))^2))+(MAX(-f_yd,MIN(f_yd,200000*IF(EM3&lt;=h_col,0.0035*(EM3-(h_col-d_2))/EM3,0.002*(EM3-(h_col-d_2))/(EM3-3*h_col/7))))-f_cd*(1-(1-MAX(0,MIN(1,IF(EM3&lt;=h_col,0.0035*(EM3-(h_col-d_2))/EM3,0.002*(EM3-(h_col-d_2))/(EM3-3*h_col/7))/0.002)))^2))))/1000</f>
        <v/>
      </c>
      <c r="EO3">
        <f>IF($EN3&lt;N_Ed-1E-9*MAX(1,N_Ed),(EK3+EL3)/2,EK3)</f>
        <v/>
      </c>
      <c r="EP3">
        <f>IF($EN3&lt;N_Ed-1E-9*MAX(1,N_Ed),EL3,(EK3+EL3)/2)</f>
        <v/>
      </c>
      <c r="EQ3">
        <f>h_col*((EO3+EP3)/2)/(1-(EO3+EP3)/2)</f>
        <v/>
      </c>
      <c r="ER3">
        <f>(f_cd*b_col*((3*MIN(EQ3,h_col)/7)+(4*MIN(EQ3,h_col)/7)*(1-((4*MIN(EQ3,h_col)/7)/(EQ3-(3*MIN(EQ3,h_col)/7)))^2/3))+$D3/2*((MAX(-f_yd,MIN(f_yd,200000*IF(EQ3&lt;=h_col,0.0035*(EQ3-d_2)/EQ3,0.002*(EQ3-d_2)/(EQ3-3*h_col/7))))-f_cd*(1-(1-MAX(0,MIN(1,IF(EQ3&lt;=h_col,0.0035*(EQ3-d_2)/EQ3,0.002*(EQ3-d_2)/(EQ3-3*h_col/7))/0.002)))^2))+(MAX(-f_yd,MIN(f_yd,200000*IF(EQ3&lt;=h_col,0.0035*(EQ3-(h_col-d_2))/EQ3,0.002*(EQ3-(h_col-d_2))/(EQ3-3*h_col/7))))-f_cd*(1-(1-MAX(0,MIN(1,IF(EQ3&lt;=h_col,0.0035*(EQ3-(h_col-d_2))/EQ3,0.002*(EQ3-(h_col-d_2))/(EQ3-3*h_col/7))/0.002)))^2))))/1000</f>
        <v/>
      </c>
      <c r="ES3">
        <f>IF($ER3&lt;N_Ed-1E-9*MAX(1,N_Ed),(EO3+EP3)/2,EO3)</f>
        <v/>
      </c>
      <c r="ET3">
        <f>IF($ER3&lt;N_Ed-1E-9*MAX(1,N_Ed),EP3,(EO3+EP3)/2)</f>
        <v/>
      </c>
      <c r="EU3">
        <f>h_col*((ES3+ET3)/2)/(1-(ES3+ET3)/2)</f>
        <v/>
      </c>
      <c r="EV3">
        <f>(f_cd*b_col*((3*MIN(EU3,h_col)/7)+(4*MIN(EU3,h_col)/7)*(1-((4*MIN(EU3,h_col)/7)/(EU3-(3*MIN(EU3,h_col)/7)))^2/3))+$D3/2*((MAX(-f_yd,MIN(f_yd,200000*IF(EU3&lt;=h_col,0.0035*(EU3-d_2)/EU3,0.002*(EU3-d_2)/(EU3-3*h_col/7))))-f_cd*(1-(1-MAX(0,MIN(1,IF(EU3&lt;=h_col,0.0035*(EU3-d_2)/EU3,0.002*(EU3-d_2)/(EU3-3*h_col/7))/0.002)))^2))+(MAX(-f_yd,MIN(f_yd,200000*IF(EU3&lt;=h_col,0.0035*(EU3-(h_col-d_2))/EU3,0.002*(EU3-(h_col-d_2))/(EU3-3*h_col/7))))-f_cd*(1-(1-MAX(0,MIN(1,IF(EU3&lt;=h_col,0.0035*(EU3-(h_col-d_2))/EU3,0.002*(EU3-(h_col-d_2))/(EU3-3*h_col/7))/0.002)))^2))))/1000</f>
        <v/>
      </c>
      <c r="EW3">
        <f>IF($EV3&lt;N_Ed-1E-9*MAX(1,N_Ed),(ES3+ET3)/2,ES3)</f>
        <v/>
      </c>
      <c r="EX3">
        <f>IF($EV3&lt;N_Ed-1E-9*MAX(1,N_Ed),ET3,(ES3+ET3)/2)</f>
        <v/>
      </c>
      <c r="EY3">
        <f>h_col*((EW3+EX3)/2)/(1-(EW3+EX3)/2)</f>
        <v/>
      </c>
      <c r="EZ3">
        <f>(f_cd*b_col*((3*MIN(EY3,h_col)/7)+(4*MIN(EY3,h_col)/7)*(1-((4*MIN(EY3,h_col)/7)/(EY3-(3*MIN(EY3,h_col)/7)))^2/3))+$D3/2*((MAX(-f_yd,MIN(f_yd,200000*IF(EY3&lt;=h_col,0.0035*(EY3-d_2)/EY3,0.002*(EY3-d_2)/(EY3-3*h_col/7))))-f_cd*(1-(1-MAX(0,MIN(1,IF(EY3&lt;=h_col,0.0035*(EY3-d_2)/EY3,0.002*(EY3-d_2)/(EY3-3*h_col/7))/0.002)))^2))+(MAX(-f_yd,MIN(f_yd,200000*IF(EY3&lt;=h_col,0.0035*(EY3-(h_col-d_2))/EY3,0.002*(EY3-(h_col-d_2))/(EY3-3*h_col/7))))-f_cd*(1-(1-MAX(0,MIN(1,IF(EY3&lt;=h_col,0.0035*(EY3-(h_col-d_2))/EY3,0.002*(EY3-(h_col-d_2))/(EY3-3*h_col/7))/0.002)))^2))))/1000</f>
        <v/>
      </c>
      <c r="FA3">
        <f>IF($EZ3&lt;N_Ed-1E-9*MAX(1,N_Ed),(EW3+EX3)/2,EW3)</f>
        <v/>
      </c>
      <c r="FB3">
        <f>IF($EZ3&lt;N_Ed-1E-9*MAX(1,N_Ed),EX3,(EW3+EX3)/2)</f>
        <v/>
      </c>
      <c r="FC3">
        <f>h_col*((FA3+FB3)/2)/(1-(FA3+FB3)/2)</f>
        <v/>
      </c>
      <c r="FD3">
        <f>(f_cd*b_col*((3*MIN(FC3,h_col)/7)+(4*MIN(FC3,h_col)/7)*(1-((4*MIN(FC3,h_col)/7)/(FC3-(3*MIN(FC3,h_col)/7)))^2/3))+$D3/2*((MAX(-f_yd,MIN(f_yd,200000*IF(FC3&lt;=h_col,0.0035*(FC3-d_2)/FC3,0.002*(FC3-d_2)/(FC3-3*h_col/7))))-f_cd*(1-(1-MAX(0,MIN(1,IF(FC3&lt;=h_col,0.0035*(FC3-d_2)/FC3,0.002*(FC3-d_2)/(FC3-3*h_col/7))/0.002)))^2))+(MAX(-f_yd,MIN(f_yd,200000*IF(FC3&lt;=h_col,0.0035*(FC3-(h_col-d_2))/FC3,0.002*(FC3-(h_col-d_2))/(FC3-3*h_col/7))))-f_cd*(1-(1-MAX(0,MIN(1,IF(FC3&lt;=h_col,0.0035*(FC3-(h_col-d_2))/FC3,0.002*(FC3-(h_col-d_2))/(FC3-3*h_col/7))/0.002)))^2))))/1000</f>
        <v/>
      </c>
      <c r="FE3">
        <f>IF($FD3&lt;N_Ed-1E-9*MAX(1,N_Ed),(FA3+FB3)/2,FA3)</f>
        <v/>
      </c>
      <c r="FF3">
        <f>IF($FD3&lt;N_Ed-1E-9*MAX(1,N_Ed),FB3,(FA3+FB3)/2)</f>
        <v/>
      </c>
      <c r="FG3">
        <f>h_col*((FE3+FF3)/2)/(1-(FE3+FF3)/2)</f>
        <v/>
      </c>
      <c r="FH3">
        <f>(f_cd*b_col*((3*MIN(FG3,h_col)/7)+(4*MIN(FG3,h_col)/7)*(1-((4*MIN(FG3,h_col)/7)/(FG3-(3*MIN(FG3,h_col)/7)))^2/3))+$D3/2*((MAX(-f_yd,MIN(f_yd,200000*IF(FG3&lt;=h_col,0.0035*(FG3-d_2)/FG3,0.002*(FG3-d_2)/(FG3-3*h_col/7))))-f_cd*(1-(1-MAX(0,MIN(1,IF(FG3&lt;=h_col,0.0035*(FG3-d_2)/FG3,0.002*(FG3-d_2)/(FG3-3*h_col/7))/0.002)))^2))+(MAX(-f_yd,MIN(f_yd,200000*IF(FG3&lt;=h_col,0.0035*(FG3-(h_col-d_2))/FG3,0.002*(FG3-(h_col-d_2))/(FG3-3*h_col/7))))-f_cd*(1-(1-MAX(0,MIN(1,IF(FG3&lt;=h_col,0.0035*(FG3-(h_col-d_2))/FG3,0.002*(FG3-(h_col-d_2))/(FG3-3*h_col/7))/0.002)))^2))))/1000</f>
        <v/>
      </c>
      <c r="FI3">
        <f>IF($FH3&lt;N_Ed-1E-9*MAX(1,N_Ed),(FE3+FF3)/2,FE3)</f>
        <v/>
      </c>
      <c r="FJ3">
        <f>IF($FH3&lt;N_Ed-1E-9*MAX(1,N_Ed),FF3,(FE3+FF3)/2)</f>
        <v/>
      </c>
      <c r="FK3">
        <f>h_col*((FI3+FJ3)/2)/(1-(FI3+FJ3)/2)</f>
        <v/>
      </c>
      <c r="FL3">
        <f>(f_cd*b_col*((3*MIN(FK3,h_col)/7)+(4*MIN(FK3,h_col)/7)*(1-((4*MIN(FK3,h_col)/7)/(FK3-(3*MIN(FK3,h_col)/7)))^2/3))+$D3/2*((MAX(-f_yd,MIN(f_yd,200000*IF(FK3&lt;=h_col,0.0035*(FK3-d_2)/FK3,0.002*(FK3-d_2)/(FK3-3*h_col/7))))-f_cd*(1-(1-MAX(0,MIN(1,IF(FK3&lt;=h_col,0.0035*(FK3-d_2)/FK3,0.002*(FK3-d_2)/(FK3-3*h_col/7))/0.002)))^2))+(MAX(-f_yd,MIN(f_yd,200000*IF(FK3&lt;=h_col,0.0035*(FK3-(h_col-d_2))/FK3,0.002*(FK3-(h_col-d_2))/(FK3-3*h_col/7))))-f_cd*(1-(1-MAX(0,MIN(1,IF(FK3&lt;=h_col,0.0035*(FK3-(h_col-d_2))/FK3,0.002*(FK3-(h_col-d_2))/(FK3-3*h_col/7))/0.002)))^2))))/1000</f>
        <v/>
      </c>
      <c r="FM3">
        <f>IF($FL3&lt;N_Ed-1E-9*MAX(1,N_Ed),(FI3+FJ3)/2,FI3)</f>
        <v/>
      </c>
      <c r="FN3">
        <f>IF($FL3&lt;N_Ed-1E-9*MAX(1,N_Ed),FJ3,(FI3+FJ3)/2)</f>
        <v/>
      </c>
      <c r="FO3">
        <f>h_col*((FM3+FN3)/2)/(1-(FM3+FN3)/2)</f>
        <v/>
      </c>
      <c r="FP3">
        <f>(f_cd*b_col*((3*MIN(FO3,h_col)/7)+(4*MIN(FO3,h_col)/7)*(1-((4*MIN(FO3,h_col)/7)/(FO3-(3*MIN(FO3,h_col)/7)))^2/3))+$D3/2*((MAX(-f_yd,MIN(f_yd,200000*IF(FO3&lt;=h_col,0.0035*(FO3-d_2)/FO3,0.002*(FO3-d_2)/(FO3-3*h_col/7))))-f_cd*(1-(1-MAX(0,MIN(1,IF(FO3&lt;=h_col,0.0035*(FO3-d_2)/FO3,0.002*(FO3-d_2)/(FO3-3*h_col/7))/0.002)))^2))+(MAX(-f_yd,MIN(f_yd,200000*IF(FO3&lt;=h_col,0.0035*(FO3-(h_col-d_2))/FO3,0.002*(FO3-(h_col-d_2))/(FO3-3*h_col/7))))-f_cd*(1-(1-MAX(0,MIN(1,IF(FO3&lt;=h_col,0.0035*(FO3-(h_col-d_2))/FO3,0.002*(FO3-(h_col-d_2))/(FO3-3*h_col/7))/0.002)))^2))))/1000</f>
        <v/>
      </c>
      <c r="FQ3">
        <f>IF($FP3&lt;N_Ed-1E-9*MAX(1,N_Ed),(FM3+FN3)/2,FM3)</f>
        <v/>
      </c>
      <c r="FR3">
        <f>IF($FP3&lt;N_Ed-1E-9*MAX(1,N_Ed),FN3,(FM3+FN3)/2)</f>
        <v/>
      </c>
      <c r="FS3">
        <f>h_col*((FQ3+FR3)/2)/(1-(FQ3+FR3)/2)</f>
        <v/>
      </c>
      <c r="FT3">
        <f>(f_cd*b_col*((3*MIN(FS3,h_col)/7)+(4*MIN(FS3,h_col)/7)*(1-((4*MIN(FS3,h_col)/7)/(FS3-(3*MIN(FS3,h_col)/7)))^2/3))+$D3/2*((MAX(-f_yd,MIN(f_yd,200000*IF(FS3&lt;=h_col,0.0035*(FS3-d_2)/FS3,0.002*(FS3-d_2)/(FS3-3*h_col/7))))-f_cd*(1-(1-MAX(0,MIN(1,IF(FS3&lt;=h_col,0.0035*(FS3-d_2)/FS3,0.002*(FS3-d_2)/(FS3-3*h_col/7))/0.002)))^2))+(MAX(-f_yd,MIN(f_yd,200000*IF(FS3&lt;=h_col,0.0035*(FS3-(h_col-d_2))/FS3,0.002*(FS3-(h_col-d_2))/(FS3-3*h_col/7))))-f_cd*(1-(1-MAX(0,MIN(1,IF(FS3&lt;=h_col,0.0035*(FS3-(h_col-d_2))/FS3,0.002*(FS3-(h_col-d_2))/(FS3-3*h_col/7))/0.002)))^2))))/1000</f>
        <v/>
      </c>
      <c r="FU3">
        <f>IF($FT3&lt;N_Ed-1E-9*MAX(1,N_Ed),(FQ3+FR3)/2,FQ3)</f>
        <v/>
      </c>
      <c r="FV3">
        <f>IF($FT3&lt;N_Ed-1E-9*MAX(1,N_Ed),FR3,(FQ3+FR3)/2)</f>
        <v/>
      </c>
      <c r="FW3">
        <f>h_col*((FU3+FV3)/2)/(1-(FU3+FV3)/2)</f>
        <v/>
      </c>
      <c r="FX3">
        <f>(f_cd*b_col*((3*MIN(FW3,h_col)/7)+(4*MIN(FW3,h_col)/7)*(1-((4*MIN(FW3,h_col)/7)/(FW3-(3*MIN(FW3,h_col)/7)))^2/3))+$D3/2*((MAX(-f_yd,MIN(f_yd,200000*IF(FW3&lt;=h_col,0.0035*(FW3-d_2)/FW3,0.002*(FW3-d_2)/(FW3-3*h_col/7))))-f_cd*(1-(1-MAX(0,MIN(1,IF(FW3&lt;=h_col,0.0035*(FW3-d_2)/FW3,0.002*(FW3-d_2)/(FW3-3*h_col/7))/0.002)))^2))+(MAX(-f_yd,MIN(f_yd,200000*IF(FW3&lt;=h_col,0.0035*(FW3-(h_col-d_2))/FW3,0.002*(FW3-(h_col-d_2))/(FW3-3*h_col/7))))-f_cd*(1-(1-MAX(0,MIN(1,IF(FW3&lt;=h_col,0.0035*(FW3-(h_col-d_2))/FW3,0.002*(FW3-(h_col-d_2))/(FW3-3*h_col/7))/0.002)))^2))))/1000</f>
        <v/>
      </c>
      <c r="FY3">
        <f>IF($FX3&lt;N_Ed-1E-9*MAX(1,N_Ed),(FU3+FV3)/2,FU3)</f>
        <v/>
      </c>
      <c r="FZ3">
        <f>IF($FX3&lt;N_Ed-1E-9*MAX(1,N_Ed),FV3,(FU3+FV3)/2)</f>
        <v/>
      </c>
      <c r="GA3">
        <f>h_col*((FY3+FZ3)/2)/(1-(FY3+FZ3)/2)</f>
        <v/>
      </c>
      <c r="GB3">
        <f>(f_cd*b_col*((3*MIN(GA3,h_col)/7)+(4*MIN(GA3,h_col)/7)*(1-((4*MIN(GA3,h_col)/7)/(GA3-(3*MIN(GA3,h_col)/7)))^2/3))+$D3/2*((MAX(-f_yd,MIN(f_yd,200000*IF(GA3&lt;=h_col,0.0035*(GA3-d_2)/GA3,0.002*(GA3-d_2)/(GA3-3*h_col/7))))-f_cd*(1-(1-MAX(0,MIN(1,IF(GA3&lt;=h_col,0.0035*(GA3-d_2)/GA3,0.002*(GA3-d_2)/(GA3-3*h_col/7))/0.002)))^2))+(MAX(-f_yd,MIN(f_yd,200000*IF(GA3&lt;=h_col,0.0035*(GA3-(h_col-d_2))/GA3,0.002*(GA3-(h_col-d_2))/(GA3-3*h_col/7))))-f_cd*(1-(1-MAX(0,MIN(1,IF(GA3&lt;=h_col,0.0035*(GA3-(h_col-d_2))/GA3,0.002*(GA3-(h_col-d_2))/(GA3-3*h_col/7))/0.002)))^2))))/1000</f>
        <v/>
      </c>
      <c r="GC3">
        <f>IF($GB3&lt;N_Ed-1E-9*MAX(1,N_Ed),(FY3+FZ3)/2,FY3)</f>
        <v/>
      </c>
      <c r="GD3">
        <f>IF($GB3&lt;N_Ed-1E-9*MAX(1,N_Ed),FZ3,(FY3+FZ3)/2)</f>
        <v/>
      </c>
      <c r="GE3">
        <f>h_col*((GC3+GD3)/2)/(1-(GC3+GD3)/2)</f>
        <v/>
      </c>
      <c r="GF3">
        <f>(f_cd*b_col*((3*MIN(GE3,h_col)/7)+(4*MIN(GE3,h_col)/7)*(1-((4*MIN(GE3,h_col)/7)/(GE3-(3*MIN(GE3,h_col)/7)))^2/3))+$D3/2*((MAX(-f_yd,MIN(f_yd,200000*IF(GE3&lt;=h_col,0.0035*(GE3-d_2)/GE3,0.002*(GE3-d_2)/(GE3-3*h_col/7))))-f_cd*(1-(1-MAX(0,MIN(1,IF(GE3&lt;=h_col,0.0035*(GE3-d_2)/GE3,0.002*(GE3-d_2)/(GE3-3*h_col/7))/0.002)))^2))+(MAX(-f_yd,MIN(f_yd,200000*IF(GE3&lt;=h_col,0.0035*(GE3-(h_col-d_2))/GE3,0.002*(GE3-(h_col-d_2))/(GE3-3*h_col/7))))-f_cd*(1-(1-MAX(0,MIN(1,IF(GE3&lt;=h_col,0.0035*(GE3-(h_col-d_2))/GE3,0.002*(GE3-(h_col-d_2))/(GE3-3*h_col/7))/0.002)))^2))))/1000</f>
        <v/>
      </c>
      <c r="GG3">
        <f>IF($GF3&lt;N_Ed-1E-9*MAX(1,N_Ed),(GC3+GD3)/2,GC3)</f>
        <v/>
      </c>
      <c r="GH3">
        <f>IF($GF3&lt;N_Ed-1E-9*MAX(1,N_Ed),GD3,(GC3+GD3)/2)</f>
        <v/>
      </c>
      <c r="GI3">
        <f>h_col*((GG3+GH3)/2)/(1-(GG3+GH3)/2)</f>
        <v/>
      </c>
      <c r="GJ3">
        <f>(f_cd*b_col*((3*MIN(GI3,h_col)/7)+(4*MIN(GI3,h_col)/7)*(1-((4*MIN(GI3,h_col)/7)/(GI3-(3*MIN(GI3,h_col)/7)))^2/3))+$D3/2*((MAX(-f_yd,MIN(f_yd,200000*IF(GI3&lt;=h_col,0.0035*(GI3-d_2)/GI3,0.002*(GI3-d_2)/(GI3-3*h_col/7))))-f_cd*(1-(1-MAX(0,MIN(1,IF(GI3&lt;=h_col,0.0035*(GI3-d_2)/GI3,0.002*(GI3-d_2)/(GI3-3*h_col/7))/0.002)))^2))+(MAX(-f_yd,MIN(f_yd,200000*IF(GI3&lt;=h_col,0.0035*(GI3-(h_col-d_2))/GI3,0.002*(GI3-(h_col-d_2))/(GI3-3*h_col/7))))-f_cd*(1-(1-MAX(0,MIN(1,IF(GI3&lt;=h_col,0.0035*(GI3-(h_col-d_2))/GI3,0.002*(GI3-(h_col-d_2))/(GI3-3*h_col/7))/0.002)))^2))))/1000</f>
        <v/>
      </c>
      <c r="GK3">
        <f>IF($GJ3&lt;N_Ed-1E-9*MAX(1,N_Ed),(GG3+GH3)/2,GG3)</f>
        <v/>
      </c>
      <c r="GL3">
        <f>IF($GJ3&lt;N_Ed-1E-9*MAX(1,N_Ed),GH3,(GG3+GH3)/2)</f>
        <v/>
      </c>
      <c r="GM3">
        <f>h_col*((GK3+GL3)/2)/(1-(GK3+GL3)/2)</f>
        <v/>
      </c>
      <c r="GN3">
        <f>(f_cd*b_col*((3*MIN(GM3,h_col)/7)+(4*MIN(GM3,h_col)/7)*(1-((4*MIN(GM3,h_col)/7)/(GM3-(3*MIN(GM3,h_col)/7)))^2/3))+$D3/2*((MAX(-f_yd,MIN(f_yd,200000*IF(GM3&lt;=h_col,0.0035*(GM3-d_2)/GM3,0.002*(GM3-d_2)/(GM3-3*h_col/7))))-f_cd*(1-(1-MAX(0,MIN(1,IF(GM3&lt;=h_col,0.0035*(GM3-d_2)/GM3,0.002*(GM3-d_2)/(GM3-3*h_col/7))/0.002)))^2))+(MAX(-f_yd,MIN(f_yd,200000*IF(GM3&lt;=h_col,0.0035*(GM3-(h_col-d_2))/GM3,0.002*(GM3-(h_col-d_2))/(GM3-3*h_col/7))))-f_cd*(1-(1-MAX(0,MIN(1,IF(GM3&lt;=h_col,0.0035*(GM3-(h_col-d_2))/GM3,0.002*(GM3-(h_col-d_2))/(GM3-3*h_col/7))/0.002)))^2))))/1000</f>
        <v/>
      </c>
      <c r="GO3">
        <f>IF($GN3&lt;N_Ed-1E-9*MAX(1,N_Ed),(GK3+GL3)/2,GK3)</f>
        <v/>
      </c>
      <c r="GP3">
        <f>IF($GN3&lt;N_Ed-1E-9*MAX(1,N_Ed),GL3,(GK3+GL3)/2)</f>
        <v/>
      </c>
      <c r="GQ3">
        <f>h_col*((GO3+GP3)/2)/(1-(GO3+GP3)/2)</f>
        <v/>
      </c>
      <c r="GR3">
        <f>(f_cd*b_col*((3*MIN(GQ3,h_col)/7)+(4*MIN(GQ3,h_col)/7)*(1-((4*MIN(GQ3,h_col)/7)/(GQ3-(3*MIN(GQ3,h_col)/7)))^2/3))+$D3/2*((MAX(-f_yd,MIN(f_yd,200000*IF(GQ3&lt;=h_col,0.0035*(GQ3-d_2)/GQ3,0.002*(GQ3-d_2)/(GQ3-3*h_col/7))))-f_cd*(1-(1-MAX(0,MIN(1,IF(GQ3&lt;=h_col,0.0035*(GQ3-d_2)/GQ3,0.002*(GQ3-d_2)/(GQ3-3*h_col/7))/0.002)))^2))+(MAX(-f_yd,MIN(f_yd,200000*IF(GQ3&lt;=h_col,0.0035*(GQ3-(h_col-d_2))/GQ3,0.002*(GQ3-(h_col-d_2))/(GQ3-3*h_col/7))))-f_cd*(1-(1-MAX(0,MIN(1,IF(GQ3&lt;=h_col,0.0035*(GQ3-(h_col-d_2))/GQ3,0.002*(GQ3-(h_col-d_2))/(GQ3-3*h_col/7))/0.002)))^2))))/1000</f>
        <v/>
      </c>
      <c r="GS3">
        <f>IF($GR3&lt;N_Ed-1E-9*MAX(1,N_Ed),(GO3+GP3)/2,GO3)</f>
        <v/>
      </c>
      <c r="GT3">
        <f>IF($GR3&lt;N_Ed-1E-9*MAX(1,N_Ed),GP3,(GO3+GP3)/2)</f>
        <v/>
      </c>
      <c r="GU3">
        <f>h_col*((GS3+GT3)/2)/(1-(GS3+GT3)/2)</f>
        <v/>
      </c>
      <c r="GV3">
        <f>(f_cd*b_col*((3*MIN(GU3,h_col)/7)+(4*MIN(GU3,h_col)/7)*(1-((4*MIN(GU3,h_col)/7)/(GU3-(3*MIN(GU3,h_col)/7)))^2/3))+$D3/2*((MAX(-f_yd,MIN(f_yd,200000*IF(GU3&lt;=h_col,0.0035*(GU3-d_2)/GU3,0.002*(GU3-d_2)/(GU3-3*h_col/7))))-f_cd*(1-(1-MAX(0,MIN(1,IF(GU3&lt;=h_col,0.0035*(GU3-d_2)/GU3,0.002*(GU3-d_2)/(GU3-3*h_col/7))/0.002)))^2))+(MAX(-f_yd,MIN(f_yd,200000*IF(GU3&lt;=h_col,0.0035*(GU3-(h_col-d_2))/GU3,0.002*(GU3-(h_col-d_2))/(GU3-3*h_col/7))))-f_cd*(1-(1-MAX(0,MIN(1,IF(GU3&lt;=h_col,0.0035*(GU3-(h_col-d_2))/GU3,0.002*(GU3-(h_col-d_2))/(GU3-3*h_col/7))/0.002)))^2))))/1000</f>
        <v/>
      </c>
      <c r="GW3">
        <f>GU3</f>
        <v/>
      </c>
      <c r="GX3">
        <f>(f_cd*b_col*((3*MIN(GW3,h_col)/7)+(4*MIN(GW3,h_col)/7)*(1-((4*MIN(GW3,h_col)/7)/(GW3-(3*MIN(GW3,h_col)/7)))^2/3))+$D3/2*((MAX(-f_yd,MIN(f_yd,200000*IF(GW3&lt;=h_col,0.0035*(GW3-d_2)/GW3,0.002*(GW3-d_2)/(GW3-3*h_col/7))))-f_cd*(1-(1-MAX(0,MIN(1,IF(GW3&lt;=h_col,0.0035*(GW3-d_2)/GW3,0.002*(GW3-d_2)/(GW3-3*h_col/7))/0.002)))^2))+(MAX(-f_yd,MIN(f_yd,200000*IF(GW3&lt;=h_col,0.0035*(GW3-(h_col-d_2))/GW3,0.002*(GW3-(h_col-d_2))/(GW3-3*h_col/7))))-f_cd*(1-(1-MAX(0,MIN(1,IF(GW3&lt;=h_col,0.0035*(GW3-(h_col-d_2))/GW3,0.002*(GW3-(h_col-d_2))/(GW3-3*h_col/7))/0.002)))^2))))/1000</f>
        <v/>
      </c>
      <c r="GY3">
        <f>(f_cd*b_col*((3*MIN(GW3,h_col)/7)*(h_col/2-(3*MIN(GW3,h_col)/7)/2)+(4*MIN(GW3,h_col)/7)*((h_col/2-(3*MIN(GW3,h_col)/7))*(1-((4*MIN(GW3,h_col)/7)/(GW3-(3*MIN(GW3,h_col)/7)))^2/3)-(4*MIN(GW3,h_col)/7)*(0.5-((4*MIN(GW3,h_col)/7)/(GW3-(3*MIN(GW3,h_col)/7)))^2/4)))+$D3/2*((MAX(-f_yd,MIN(f_yd,200000*IF(GW3&lt;=h_col,0.0035*(GW3-d_2)/GW3,0.002*(GW3-d_2)/(GW3-3*h_col/7))))-f_cd*(1-(1-MAX(0,MIN(1,IF(GW3&lt;=h_col,0.0035*(GW3-d_2)/GW3,0.002*(GW3-d_2)/(GW3-3*h_col/7))/0.002)))^2))-(MAX(-f_yd,MIN(f_yd,200000*IF(GW3&lt;=h_col,0.0035*(GW3-(h_col-d_2))/GW3,0.002*(GW3-(h_col-d_2))/(GW3-3*h_col/7))))-f_cd*(1-(1-MAX(0,MIN(1,IF(GW3&lt;=h_col,0.0035*(GW3-(h_col-d_2))/GW3,0.002*(GW3-(h_col-d_2))/(GW3-3*h_col/7))/0.002)))^2)))*(h_col/2-d_2))/1E6</f>
        <v/>
      </c>
      <c r="GZ3">
        <f>GX3&gt;=N_Ed-1E-6*MAX(1,N_Ed)</f>
        <v/>
      </c>
      <c r="HA3">
        <f>IF(GZ3,GY3,-1E9)</f>
        <v/>
      </c>
    </row>
    <row r="4">
      <c r="A4" t="inlineStr">
        <is>
          <t>prov</t>
        </is>
      </c>
      <c r="D4">
        <f>A_sprov</f>
        <v/>
      </c>
      <c r="E4" t="n">
        <v>0</v>
      </c>
      <c r="F4">
        <f>1-1E-12</f>
        <v/>
      </c>
      <c r="G4">
        <f>h_col*((E4+F4)/2)/(1-(E4+F4)/2)</f>
        <v/>
      </c>
      <c r="H4">
        <f>(f_cd*b_col*((3*MIN(G4,h_col)/7)+(4*MIN(G4,h_col)/7)*(1-((4*MIN(G4,h_col)/7)/(G4-(3*MIN(G4,h_col)/7)))^2/3))+$D4/2*((MAX(-f_yd,MIN(f_yd,200000*IF(G4&lt;=h_col,0.0035*(G4-d_2)/G4,0.002*(G4-d_2)/(G4-3*h_col/7))))-f_cd*(1-(1-MAX(0,MIN(1,IF(G4&lt;=h_col,0.0035*(G4-d_2)/G4,0.002*(G4-d_2)/(G4-3*h_col/7))/0.002)))^2))+(MAX(-f_yd,MIN(f_yd,200000*IF(G4&lt;=h_col,0.0035*(G4-(h_col-d_2))/G4,0.002*(G4-(h_col-d_2))/(G4-3*h_col/7))))-f_cd*(1-(1-MAX(0,MIN(1,IF(G4&lt;=h_col,0.0035*(G4-(h_col-d_2))/G4,0.002*(G4-(h_col-d_2))/(G4-3*h_col/7))/0.002)))^2))))/1000</f>
        <v/>
      </c>
      <c r="I4">
        <f>IF($H4&lt;N_Ed-1E-9*MAX(1,N_Ed),(E4+F4)/2,E4)</f>
        <v/>
      </c>
      <c r="J4">
        <f>IF($H4&lt;N_Ed-1E-9*MAX(1,N_Ed),F4,(E4+F4)/2)</f>
        <v/>
      </c>
      <c r="K4">
        <f>h_col*((I4+J4)/2)/(1-(I4+J4)/2)</f>
        <v/>
      </c>
      <c r="L4">
        <f>(f_cd*b_col*((3*MIN(K4,h_col)/7)+(4*MIN(K4,h_col)/7)*(1-((4*MIN(K4,h_col)/7)/(K4-(3*MIN(K4,h_col)/7)))^2/3))+$D4/2*((MAX(-f_yd,MIN(f_yd,200000*IF(K4&lt;=h_col,0.0035*(K4-d_2)/K4,0.002*(K4-d_2)/(K4-3*h_col/7))))-f_cd*(1-(1-MAX(0,MIN(1,IF(K4&lt;=h_col,0.0035*(K4-d_2)/K4,0.002*(K4-d_2)/(K4-3*h_col/7))/0.002)))^2))+(MAX(-f_yd,MIN(f_yd,200000*IF(K4&lt;=h_col,0.0035*(K4-(h_col-d_2))/K4,0.002*(K4-(h_col-d_2))/(K4-3*h_col/7))))-f_cd*(1-(1-MAX(0,MIN(1,IF(K4&lt;=h_col,0.0035*(K4-(h_col-d_2))/K4,0.002*(K4-(h_col-d_2))/(K4-3*h_col/7))/0.002)))^2))))/1000</f>
        <v/>
      </c>
      <c r="M4">
        <f>IF($L4&lt;N_Ed-1E-9*MAX(1,N_Ed),(I4+J4)/2,I4)</f>
        <v/>
      </c>
      <c r="N4">
        <f>IF($L4&lt;N_Ed-1E-9*MAX(1,N_Ed),J4,(I4+J4)/2)</f>
        <v/>
      </c>
      <c r="O4">
        <f>h_col*((M4+N4)/2)/(1-(M4+N4)/2)</f>
        <v/>
      </c>
      <c r="P4">
        <f>(f_cd*b_col*((3*MIN(O4,h_col)/7)+(4*MIN(O4,h_col)/7)*(1-((4*MIN(O4,h_col)/7)/(O4-(3*MIN(O4,h_col)/7)))^2/3))+$D4/2*((MAX(-f_yd,MIN(f_yd,200000*IF(O4&lt;=h_col,0.0035*(O4-d_2)/O4,0.002*(O4-d_2)/(O4-3*h_col/7))))-f_cd*(1-(1-MAX(0,MIN(1,IF(O4&lt;=h_col,0.0035*(O4-d_2)/O4,0.002*(O4-d_2)/(O4-3*h_col/7))/0.002)))^2))+(MAX(-f_yd,MIN(f_yd,200000*IF(O4&lt;=h_col,0.0035*(O4-(h_col-d_2))/O4,0.002*(O4-(h_col-d_2))/(O4-3*h_col/7))))-f_cd*(1-(1-MAX(0,MIN(1,IF(O4&lt;=h_col,0.0035*(O4-(h_col-d_2))/O4,0.002*(O4-(h_col-d_2))/(O4-3*h_col/7))/0.002)))^2))))/1000</f>
        <v/>
      </c>
      <c r="Q4">
        <f>IF($P4&lt;N_Ed-1E-9*MAX(1,N_Ed),(M4+N4)/2,M4)</f>
        <v/>
      </c>
      <c r="R4">
        <f>IF($P4&lt;N_Ed-1E-9*MAX(1,N_Ed),N4,(M4+N4)/2)</f>
        <v/>
      </c>
      <c r="S4">
        <f>h_col*((Q4+R4)/2)/(1-(Q4+R4)/2)</f>
        <v/>
      </c>
      <c r="T4">
        <f>(f_cd*b_col*((3*MIN(S4,h_col)/7)+(4*MIN(S4,h_col)/7)*(1-((4*MIN(S4,h_col)/7)/(S4-(3*MIN(S4,h_col)/7)))^2/3))+$D4/2*((MAX(-f_yd,MIN(f_yd,200000*IF(S4&lt;=h_col,0.0035*(S4-d_2)/S4,0.002*(S4-d_2)/(S4-3*h_col/7))))-f_cd*(1-(1-MAX(0,MIN(1,IF(S4&lt;=h_col,0.0035*(S4-d_2)/S4,0.002*(S4-d_2)/(S4-3*h_col/7))/0.002)))^2))+(MAX(-f_yd,MIN(f_yd,200000*IF(S4&lt;=h_col,0.0035*(S4-(h_col-d_2))/S4,0.002*(S4-(h_col-d_2))/(S4-3*h_col/7))))-f_cd*(1-(1-MAX(0,MIN(1,IF(S4&lt;=h_col,0.0035*(S4-(h_col-d_2))/S4,0.002*(S4-(h_col-d_2))/(S4-3*h_col/7))/0.002)))^2))))/1000</f>
        <v/>
      </c>
      <c r="U4">
        <f>IF($T4&lt;N_Ed-1E-9*MAX(1,N_Ed),(Q4+R4)/2,Q4)</f>
        <v/>
      </c>
      <c r="V4">
        <f>IF($T4&lt;N_Ed-1E-9*MAX(1,N_Ed),R4,(Q4+R4)/2)</f>
        <v/>
      </c>
      <c r="W4">
        <f>h_col*((U4+V4)/2)/(1-(U4+V4)/2)</f>
        <v/>
      </c>
      <c r="X4">
        <f>(f_cd*b_col*((3*MIN(W4,h_col)/7)+(4*MIN(W4,h_col)/7)*(1-((4*MIN(W4,h_col)/7)/(W4-(3*MIN(W4,h_col)/7)))^2/3))+$D4/2*((MAX(-f_yd,MIN(f_yd,200000*IF(W4&lt;=h_col,0.0035*(W4-d_2)/W4,0.002*(W4-d_2)/(W4-3*h_col/7))))-f_cd*(1-(1-MAX(0,MIN(1,IF(W4&lt;=h_col,0.0035*(W4-d_2)/W4,0.002*(W4-d_2)/(W4-3*h_col/7))/0.002)))^2))+(MAX(-f_yd,MIN(f_yd,200000*IF(W4&lt;=h_col,0.0035*(W4-(h_col-d_2))/W4,0.002*(W4-(h_col-d_2))/(W4-3*h_col/7))))-f_cd*(1-(1-MAX(0,MIN(1,IF(W4&lt;=h_col,0.0035*(W4-(h_col-d_2))/W4,0.002*(W4-(h_col-d_2))/(W4-3*h_col/7))/0.002)))^2))))/1000</f>
        <v/>
      </c>
      <c r="Y4">
        <f>IF($X4&lt;N_Ed-1E-9*MAX(1,N_Ed),(U4+V4)/2,U4)</f>
        <v/>
      </c>
      <c r="Z4">
        <f>IF($X4&lt;N_Ed-1E-9*MAX(1,N_Ed),V4,(U4+V4)/2)</f>
        <v/>
      </c>
      <c r="AA4">
        <f>h_col*((Y4+Z4)/2)/(1-(Y4+Z4)/2)</f>
        <v/>
      </c>
      <c r="AB4">
        <f>(f_cd*b_col*((3*MIN(AA4,h_col)/7)+(4*MIN(AA4,h_col)/7)*(1-((4*MIN(AA4,h_col)/7)/(AA4-(3*MIN(AA4,h_col)/7)))^2/3))+$D4/2*((MAX(-f_yd,MIN(f_yd,200000*IF(AA4&lt;=h_col,0.0035*(AA4-d_2)/AA4,0.002*(AA4-d_2)/(AA4-3*h_col/7))))-f_cd*(1-(1-MAX(0,MIN(1,IF(AA4&lt;=h_col,0.0035*(AA4-d_2)/AA4,0.002*(AA4-d_2)/(AA4-3*h_col/7))/0.002)))^2))+(MAX(-f_yd,MIN(f_yd,200000*IF(AA4&lt;=h_col,0.0035*(AA4-(h_col-d_2))/AA4,0.002*(AA4-(h_col-d_2))/(AA4-3*h_col/7))))-f_cd*(1-(1-MAX(0,MIN(1,IF(AA4&lt;=h_col,0.0035*(AA4-(h_col-d_2))/AA4,0.002*(AA4-(h_col-d_2))/(AA4-3*h_col/7))/0.002)))^2))))/1000</f>
        <v/>
      </c>
      <c r="AC4">
        <f>IF($AB4&lt;N_Ed-1E-9*MAX(1,N_Ed),(Y4+Z4)/2,Y4)</f>
        <v/>
      </c>
      <c r="AD4">
        <f>IF($AB4&lt;N_Ed-1E-9*MAX(1,N_Ed),Z4,(Y4+Z4)/2)</f>
        <v/>
      </c>
      <c r="AE4">
        <f>h_col*((AC4+AD4)/2)/(1-(AC4+AD4)/2)</f>
        <v/>
      </c>
      <c r="AF4">
        <f>(f_cd*b_col*((3*MIN(AE4,h_col)/7)+(4*MIN(AE4,h_col)/7)*(1-((4*MIN(AE4,h_col)/7)/(AE4-(3*MIN(AE4,h_col)/7)))^2/3))+$D4/2*((MAX(-f_yd,MIN(f_yd,200000*IF(AE4&lt;=h_col,0.0035*(AE4-d_2)/AE4,0.002*(AE4-d_2)/(AE4-3*h_col/7))))-f_cd*(1-(1-MAX(0,MIN(1,IF(AE4&lt;=h_col,0.0035*(AE4-d_2)/AE4,0.002*(AE4-d_2)/(AE4-3*h_col/7))/0.002)))^2))+(MAX(-f_yd,MIN(f_yd,200000*IF(AE4&lt;=h_col,0.0035*(AE4-(h_col-d_2))/AE4,0.002*(AE4-(h_col-d_2))/(AE4-3*h_col/7))))-f_cd*(1-(1-MAX(0,MIN(1,IF(AE4&lt;=h_col,0.0035*(AE4-(h_col-d_2))/AE4,0.002*(AE4-(h_col-d_2))/(AE4-3*h_col/7))/0.002)))^2))))/1000</f>
        <v/>
      </c>
      <c r="AG4">
        <f>IF($AF4&lt;N_Ed-1E-9*MAX(1,N_Ed),(AC4+AD4)/2,AC4)</f>
        <v/>
      </c>
      <c r="AH4">
        <f>IF($AF4&lt;N_Ed-1E-9*MAX(1,N_Ed),AD4,(AC4+AD4)/2)</f>
        <v/>
      </c>
      <c r="AI4">
        <f>h_col*((AG4+AH4)/2)/(1-(AG4+AH4)/2)</f>
        <v/>
      </c>
      <c r="AJ4">
        <f>(f_cd*b_col*((3*MIN(AI4,h_col)/7)+(4*MIN(AI4,h_col)/7)*(1-((4*MIN(AI4,h_col)/7)/(AI4-(3*MIN(AI4,h_col)/7)))^2/3))+$D4/2*((MAX(-f_yd,MIN(f_yd,200000*IF(AI4&lt;=h_col,0.0035*(AI4-d_2)/AI4,0.002*(AI4-d_2)/(AI4-3*h_col/7))))-f_cd*(1-(1-MAX(0,MIN(1,IF(AI4&lt;=h_col,0.0035*(AI4-d_2)/AI4,0.002*(AI4-d_2)/(AI4-3*h_col/7))/0.002)))^2))+(MAX(-f_yd,MIN(f_yd,200000*IF(AI4&lt;=h_col,0.0035*(AI4-(h_col-d_2))/AI4,0.002*(AI4-(h_col-d_2))/(AI4-3*h_col/7))))-f_cd*(1-(1-MAX(0,MIN(1,IF(AI4&lt;=h_col,0.0035*(AI4-(h_col-d_2))/AI4,0.002*(AI4-(h_col-d_2))/(AI4-3*h_col/7))/0.002)))^2))))/1000</f>
        <v/>
      </c>
      <c r="AK4">
        <f>IF($AJ4&lt;N_Ed-1E-9*MAX(1,N_Ed),(AG4+AH4)/2,AG4)</f>
        <v/>
      </c>
      <c r="AL4">
        <f>IF($AJ4&lt;N_Ed-1E-9*MAX(1,N_Ed),AH4,(AG4+AH4)/2)</f>
        <v/>
      </c>
      <c r="AM4">
        <f>h_col*((AK4+AL4)/2)/(1-(AK4+AL4)/2)</f>
        <v/>
      </c>
      <c r="AN4">
        <f>(f_cd*b_col*((3*MIN(AM4,h_col)/7)+(4*MIN(AM4,h_col)/7)*(1-((4*MIN(AM4,h_col)/7)/(AM4-(3*MIN(AM4,h_col)/7)))^2/3))+$D4/2*((MAX(-f_yd,MIN(f_yd,200000*IF(AM4&lt;=h_col,0.0035*(AM4-d_2)/AM4,0.002*(AM4-d_2)/(AM4-3*h_col/7))))-f_cd*(1-(1-MAX(0,MIN(1,IF(AM4&lt;=h_col,0.0035*(AM4-d_2)/AM4,0.002*(AM4-d_2)/(AM4-3*h_col/7))/0.002)))^2))+(MAX(-f_yd,MIN(f_yd,200000*IF(AM4&lt;=h_col,0.0035*(AM4-(h_col-d_2))/AM4,0.002*(AM4-(h_col-d_2))/(AM4-3*h_col/7))))-f_cd*(1-(1-MAX(0,MIN(1,IF(AM4&lt;=h_col,0.0035*(AM4-(h_col-d_2))/AM4,0.002*(AM4-(h_col-d_2))/(AM4-3*h_col/7))/0.002)))^2))))/1000</f>
        <v/>
      </c>
      <c r="AO4">
        <f>IF($AN4&lt;N_Ed-1E-9*MAX(1,N_Ed),(AK4+AL4)/2,AK4)</f>
        <v/>
      </c>
      <c r="AP4">
        <f>IF($AN4&lt;N_Ed-1E-9*MAX(1,N_Ed),AL4,(AK4+AL4)/2)</f>
        <v/>
      </c>
      <c r="AQ4">
        <f>h_col*((AO4+AP4)/2)/(1-(AO4+AP4)/2)</f>
        <v/>
      </c>
      <c r="AR4">
        <f>(f_cd*b_col*((3*MIN(AQ4,h_col)/7)+(4*MIN(AQ4,h_col)/7)*(1-((4*MIN(AQ4,h_col)/7)/(AQ4-(3*MIN(AQ4,h_col)/7)))^2/3))+$D4/2*((MAX(-f_yd,MIN(f_yd,200000*IF(AQ4&lt;=h_col,0.0035*(AQ4-d_2)/AQ4,0.002*(AQ4-d_2)/(AQ4-3*h_col/7))))-f_cd*(1-(1-MAX(0,MIN(1,IF(AQ4&lt;=h_col,0.0035*(AQ4-d_2)/AQ4,0.002*(AQ4-d_2)/(AQ4-3*h_col/7))/0.002)))^2))+(MAX(-f_yd,MIN(f_yd,200000*IF(AQ4&lt;=h_col,0.0035*(AQ4-(h_col-d_2))/AQ4,0.002*(AQ4-(h_col-d_2))/(AQ4-3*h_col/7))))-f_cd*(1-(1-MAX(0,MIN(1,IF(AQ4&lt;=h_col,0.0035*(AQ4-(h_col-d_2))/AQ4,0.002*(AQ4-(h_col-d_2))/(AQ4-3*h_col/7))/0.002)))^2))))/1000</f>
        <v/>
      </c>
      <c r="AS4">
        <f>IF($AR4&lt;N_Ed-1E-9*MAX(1,N_Ed),(AO4+AP4)/2,AO4)</f>
        <v/>
      </c>
      <c r="AT4">
        <f>IF($AR4&lt;N_Ed-1E-9*MAX(1,N_Ed),AP4,(AO4+AP4)/2)</f>
        <v/>
      </c>
      <c r="AU4">
        <f>h_col*((AS4+AT4)/2)/(1-(AS4+AT4)/2)</f>
        <v/>
      </c>
      <c r="AV4">
        <f>(f_cd*b_col*((3*MIN(AU4,h_col)/7)+(4*MIN(AU4,h_col)/7)*(1-((4*MIN(AU4,h_col)/7)/(AU4-(3*MIN(AU4,h_col)/7)))^2/3))+$D4/2*((MAX(-f_yd,MIN(f_yd,200000*IF(AU4&lt;=h_col,0.0035*(AU4-d_2)/AU4,0.002*(AU4-d_2)/(AU4-3*h_col/7))))-f_cd*(1-(1-MAX(0,MIN(1,IF(AU4&lt;=h_col,0.0035*(AU4-d_2)/AU4,0.002*(AU4-d_2)/(AU4-3*h_col/7))/0.002)))^2))+(MAX(-f_yd,MIN(f_yd,200000*IF(AU4&lt;=h_col,0.0035*(AU4-(h_col-d_2))/AU4,0.002*(AU4-(h_col-d_2))/(AU4-3*h_col/7))))-f_cd*(1-(1-MAX(0,MIN(1,IF(AU4&lt;=h_col,0.0035*(AU4-(h_col-d_2))/AU4,0.002*(AU4-(h_col-d_2))/(AU4-3*h_col/7))/0.002)))^2))))/1000</f>
        <v/>
      </c>
      <c r="AW4">
        <f>IF($AV4&lt;N_Ed-1E-9*MAX(1,N_Ed),(AS4+AT4)/2,AS4)</f>
        <v/>
      </c>
      <c r="AX4">
        <f>IF($AV4&lt;N_Ed-1E-9*MAX(1,N_Ed),AT4,(AS4+AT4)/2)</f>
        <v/>
      </c>
      <c r="AY4">
        <f>h_col*((AW4+AX4)/2)/(1-(AW4+AX4)/2)</f>
        <v/>
      </c>
      <c r="AZ4">
        <f>(f_cd*b_col*((3*MIN(AY4,h_col)/7)+(4*MIN(AY4,h_col)/7)*(1-((4*MIN(AY4,h_col)/7)/(AY4-(3*MIN(AY4,h_col)/7)))^2/3))+$D4/2*((MAX(-f_yd,MIN(f_yd,200000*IF(AY4&lt;=h_col,0.0035*(AY4-d_2)/AY4,0.002*(AY4-d_2)/(AY4-3*h_col/7))))-f_cd*(1-(1-MAX(0,MIN(1,IF(AY4&lt;=h_col,0.0035*(AY4-d_2)/AY4,0.002*(AY4-d_2)/(AY4-3*h_col/7))/0.002)))^2))+(MAX(-f_yd,MIN(f_yd,200000*IF(AY4&lt;=h_col,0.0035*(AY4-(h_col-d_2))/AY4,0.002*(AY4-(h_col-d_2))/(AY4-3*h_col/7))))-f_cd*(1-(1-MAX(0,MIN(1,IF(AY4&lt;=h_col,0.0035*(AY4-(h_col-d_2))/AY4,0.002*(AY4-(h_col-d_2))/(AY4-3*h_col/7))/0.002)))^2))))/1000</f>
        <v/>
      </c>
      <c r="BA4">
        <f>IF($AZ4&lt;N_Ed-1E-9*MAX(1,N_Ed),(AW4+AX4)/2,AW4)</f>
        <v/>
      </c>
      <c r="BB4">
        <f>IF($AZ4&lt;N_Ed-1E-9*MAX(1,N_Ed),AX4,(AW4+AX4)/2)</f>
        <v/>
      </c>
      <c r="BC4">
        <f>h_col*((BA4+BB4)/2)/(1-(BA4+BB4)/2)</f>
        <v/>
      </c>
      <c r="BD4">
        <f>(f_cd*b_col*((3*MIN(BC4,h_col)/7)+(4*MIN(BC4,h_col)/7)*(1-((4*MIN(BC4,h_col)/7)/(BC4-(3*MIN(BC4,h_col)/7)))^2/3))+$D4/2*((MAX(-f_yd,MIN(f_yd,200000*IF(BC4&lt;=h_col,0.0035*(BC4-d_2)/BC4,0.002*(BC4-d_2)/(BC4-3*h_col/7))))-f_cd*(1-(1-MAX(0,MIN(1,IF(BC4&lt;=h_col,0.0035*(BC4-d_2)/BC4,0.002*(BC4-d_2)/(BC4-3*h_col/7))/0.002)))^2))+(MAX(-f_yd,MIN(f_yd,200000*IF(BC4&lt;=h_col,0.0035*(BC4-(h_col-d_2))/BC4,0.002*(BC4-(h_col-d_2))/(BC4-3*h_col/7))))-f_cd*(1-(1-MAX(0,MIN(1,IF(BC4&lt;=h_col,0.0035*(BC4-(h_col-d_2))/BC4,0.002*(BC4-(h_col-d_2))/(BC4-3*h_col/7))/0.002)))^2))))/1000</f>
        <v/>
      </c>
      <c r="BE4">
        <f>IF($BD4&lt;N_Ed-1E-9*MAX(1,N_Ed),(BA4+BB4)/2,BA4)</f>
        <v/>
      </c>
      <c r="BF4">
        <f>IF($BD4&lt;N_Ed-1E-9*MAX(1,N_Ed),BB4,(BA4+BB4)/2)</f>
        <v/>
      </c>
      <c r="BG4">
        <f>h_col*((BE4+BF4)/2)/(1-(BE4+BF4)/2)</f>
        <v/>
      </c>
      <c r="BH4">
        <f>(f_cd*b_col*((3*MIN(BG4,h_col)/7)+(4*MIN(BG4,h_col)/7)*(1-((4*MIN(BG4,h_col)/7)/(BG4-(3*MIN(BG4,h_col)/7)))^2/3))+$D4/2*((MAX(-f_yd,MIN(f_yd,200000*IF(BG4&lt;=h_col,0.0035*(BG4-d_2)/BG4,0.002*(BG4-d_2)/(BG4-3*h_col/7))))-f_cd*(1-(1-MAX(0,MIN(1,IF(BG4&lt;=h_col,0.0035*(BG4-d_2)/BG4,0.002*(BG4-d_2)/(BG4-3*h_col/7))/0.002)))^2))+(MAX(-f_yd,MIN(f_yd,200000*IF(BG4&lt;=h_col,0.0035*(BG4-(h_col-d_2))/BG4,0.002*(BG4-(h_col-d_2))/(BG4-3*h_col/7))))-f_cd*(1-(1-MAX(0,MIN(1,IF(BG4&lt;=h_col,0.0035*(BG4-(h_col-d_2))/BG4,0.002*(BG4-(h_col-d_2))/(BG4-3*h_col/7))/0.002)))^2))))/1000</f>
        <v/>
      </c>
      <c r="BI4">
        <f>IF($BH4&lt;N_Ed-1E-9*MAX(1,N_Ed),(BE4+BF4)/2,BE4)</f>
        <v/>
      </c>
      <c r="BJ4">
        <f>IF($BH4&lt;N_Ed-1E-9*MAX(1,N_Ed),BF4,(BE4+BF4)/2)</f>
        <v/>
      </c>
      <c r="BK4">
        <f>h_col*((BI4+BJ4)/2)/(1-(BI4+BJ4)/2)</f>
        <v/>
      </c>
      <c r="BL4">
        <f>(f_cd*b_col*((3*MIN(BK4,h_col)/7)+(4*MIN(BK4,h_col)/7)*(1-((4*MIN(BK4,h_col)/7)/(BK4-(3*MIN(BK4,h_col)/7)))^2/3))+$D4/2*((MAX(-f_yd,MIN(f_yd,200000*IF(BK4&lt;=h_col,0.0035*(BK4-d_2)/BK4,0.002*(BK4-d_2)/(BK4-3*h_col/7))))-f_cd*(1-(1-MAX(0,MIN(1,IF(BK4&lt;=h_col,0.0035*(BK4-d_2)/BK4,0.002*(BK4-d_2)/(BK4-3*h_col/7))/0.002)))^2))+(MAX(-f_yd,MIN(f_yd,200000*IF(BK4&lt;=h_col,0.0035*(BK4-(h_col-d_2))/BK4,0.002*(BK4-(h_col-d_2))/(BK4-3*h_col/7))))-f_cd*(1-(1-MAX(0,MIN(1,IF(BK4&lt;=h_col,0.0035*(BK4-(h_col-d_2))/BK4,0.002*(BK4-(h_col-d_2))/(BK4-3*h_col/7))/0.002)))^2))))/1000</f>
        <v/>
      </c>
      <c r="BM4">
        <f>IF($BL4&lt;N_Ed-1E-9*MAX(1,N_Ed),(BI4+BJ4)/2,BI4)</f>
        <v/>
      </c>
      <c r="BN4">
        <f>IF($BL4&lt;N_Ed-1E-9*MAX(1,N_Ed),BJ4,(BI4+BJ4)/2)</f>
        <v/>
      </c>
      <c r="BO4">
        <f>h_col*((BM4+BN4)/2)/(1-(BM4+BN4)/2)</f>
        <v/>
      </c>
      <c r="BP4">
        <f>(f_cd*b_col*((3*MIN(BO4,h_col)/7)+(4*MIN(BO4,h_col)/7)*(1-((4*MIN(BO4,h_col)/7)/(BO4-(3*MIN(BO4,h_col)/7)))^2/3))+$D4/2*((MAX(-f_yd,MIN(f_yd,200000*IF(BO4&lt;=h_col,0.0035*(BO4-d_2)/BO4,0.002*(BO4-d_2)/(BO4-3*h_col/7))))-f_cd*(1-(1-MAX(0,MIN(1,IF(BO4&lt;=h_col,0.0035*(BO4-d_2)/BO4,0.002*(BO4-d_2)/(BO4-3*h_col/7))/0.002)))^2))+(MAX(-f_yd,MIN(f_yd,200000*IF(BO4&lt;=h_col,0.0035*(BO4-(h_col-d_2))/BO4,0.002*(BO4-(h_col-d_2))/(BO4-3*h_col/7))))-f_cd*(1-(1-MAX(0,MIN(1,IF(BO4&lt;=h_col,0.0035*(BO4-(h_col-d_2))/BO4,0.002*(BO4-(h_col-d_2))/(BO4-3*h_col/7))/0.002)))^2))))/1000</f>
        <v/>
      </c>
      <c r="BQ4">
        <f>IF($BP4&lt;N_Ed-1E-9*MAX(1,N_Ed),(BM4+BN4)/2,BM4)</f>
        <v/>
      </c>
      <c r="BR4">
        <f>IF($BP4&lt;N_Ed-1E-9*MAX(1,N_Ed),BN4,(BM4+BN4)/2)</f>
        <v/>
      </c>
      <c r="BS4">
        <f>h_col*((BQ4+BR4)/2)/(1-(BQ4+BR4)/2)</f>
        <v/>
      </c>
      <c r="BT4">
        <f>(f_cd*b_col*((3*MIN(BS4,h_col)/7)+(4*MIN(BS4,h_col)/7)*(1-((4*MIN(BS4,h_col)/7)/(BS4-(3*MIN(BS4,h_col)/7)))^2/3))+$D4/2*((MAX(-f_yd,MIN(f_yd,200000*IF(BS4&lt;=h_col,0.0035*(BS4-d_2)/BS4,0.002*(BS4-d_2)/(BS4-3*h_col/7))))-f_cd*(1-(1-MAX(0,MIN(1,IF(BS4&lt;=h_col,0.0035*(BS4-d_2)/BS4,0.002*(BS4-d_2)/(BS4-3*h_col/7))/0.002)))^2))+(MAX(-f_yd,MIN(f_yd,200000*IF(BS4&lt;=h_col,0.0035*(BS4-(h_col-d_2))/BS4,0.002*(BS4-(h_col-d_2))/(BS4-3*h_col/7))))-f_cd*(1-(1-MAX(0,MIN(1,IF(BS4&lt;=h_col,0.0035*(BS4-(h_col-d_2))/BS4,0.002*(BS4-(h_col-d_2))/(BS4-3*h_col/7))/0.002)))^2))))/1000</f>
        <v/>
      </c>
      <c r="BU4">
        <f>IF($BT4&lt;N_Ed-1E-9*MAX(1,N_Ed),(BQ4+BR4)/2,BQ4)</f>
        <v/>
      </c>
      <c r="BV4">
        <f>IF($BT4&lt;N_Ed-1E-9*MAX(1,N_Ed),BR4,(BQ4+BR4)/2)</f>
        <v/>
      </c>
      <c r="BW4">
        <f>h_col*((BU4+BV4)/2)/(1-(BU4+BV4)/2)</f>
        <v/>
      </c>
      <c r="BX4">
        <f>(f_cd*b_col*((3*MIN(BW4,h_col)/7)+(4*MIN(BW4,h_col)/7)*(1-((4*MIN(BW4,h_col)/7)/(BW4-(3*MIN(BW4,h_col)/7)))^2/3))+$D4/2*((MAX(-f_yd,MIN(f_yd,200000*IF(BW4&lt;=h_col,0.0035*(BW4-d_2)/BW4,0.002*(BW4-d_2)/(BW4-3*h_col/7))))-f_cd*(1-(1-MAX(0,MIN(1,IF(BW4&lt;=h_col,0.0035*(BW4-d_2)/BW4,0.002*(BW4-d_2)/(BW4-3*h_col/7))/0.002)))^2))+(MAX(-f_yd,MIN(f_yd,200000*IF(BW4&lt;=h_col,0.0035*(BW4-(h_col-d_2))/BW4,0.002*(BW4-(h_col-d_2))/(BW4-3*h_col/7))))-f_cd*(1-(1-MAX(0,MIN(1,IF(BW4&lt;=h_col,0.0035*(BW4-(h_col-d_2))/BW4,0.002*(BW4-(h_col-d_2))/(BW4-3*h_col/7))/0.002)))^2))))/1000</f>
        <v/>
      </c>
      <c r="BY4">
        <f>IF($BX4&lt;N_Ed-1E-9*MAX(1,N_Ed),(BU4+BV4)/2,BU4)</f>
        <v/>
      </c>
      <c r="BZ4">
        <f>IF($BX4&lt;N_Ed-1E-9*MAX(1,N_Ed),BV4,(BU4+BV4)/2)</f>
        <v/>
      </c>
      <c r="CA4">
        <f>h_col*((BY4+BZ4)/2)/(1-(BY4+BZ4)/2)</f>
        <v/>
      </c>
      <c r="CB4">
        <f>(f_cd*b_col*((3*MIN(CA4,h_col)/7)+(4*MIN(CA4,h_col)/7)*(1-((4*MIN(CA4,h_col)/7)/(CA4-(3*MIN(CA4,h_col)/7)))^2/3))+$D4/2*((MAX(-f_yd,MIN(f_yd,200000*IF(CA4&lt;=h_col,0.0035*(CA4-d_2)/CA4,0.002*(CA4-d_2)/(CA4-3*h_col/7))))-f_cd*(1-(1-MAX(0,MIN(1,IF(CA4&lt;=h_col,0.0035*(CA4-d_2)/CA4,0.002*(CA4-d_2)/(CA4-3*h_col/7))/0.002)))^2))+(MAX(-f_yd,MIN(f_yd,200000*IF(CA4&lt;=h_col,0.0035*(CA4-(h_col-d_2))/CA4,0.002*(CA4-(h_col-d_2))/(CA4-3*h_col/7))))-f_cd*(1-(1-MAX(0,MIN(1,IF(CA4&lt;=h_col,0.0035*(CA4-(h_col-d_2))/CA4,0.002*(CA4-(h_col-d_2))/(CA4-3*h_col/7))/0.002)))^2))))/1000</f>
        <v/>
      </c>
      <c r="CC4">
        <f>IF($CB4&lt;N_Ed-1E-9*MAX(1,N_Ed),(BY4+BZ4)/2,BY4)</f>
        <v/>
      </c>
      <c r="CD4">
        <f>IF($CB4&lt;N_Ed-1E-9*MAX(1,N_Ed),BZ4,(BY4+BZ4)/2)</f>
        <v/>
      </c>
      <c r="CE4">
        <f>h_col*((CC4+CD4)/2)/(1-(CC4+CD4)/2)</f>
        <v/>
      </c>
      <c r="CF4">
        <f>(f_cd*b_col*((3*MIN(CE4,h_col)/7)+(4*MIN(CE4,h_col)/7)*(1-((4*MIN(CE4,h_col)/7)/(CE4-(3*MIN(CE4,h_col)/7)))^2/3))+$D4/2*((MAX(-f_yd,MIN(f_yd,200000*IF(CE4&lt;=h_col,0.0035*(CE4-d_2)/CE4,0.002*(CE4-d_2)/(CE4-3*h_col/7))))-f_cd*(1-(1-MAX(0,MIN(1,IF(CE4&lt;=h_col,0.0035*(CE4-d_2)/CE4,0.002*(CE4-d_2)/(CE4-3*h_col/7))/0.002)))^2))+(MAX(-f_yd,MIN(f_yd,200000*IF(CE4&lt;=h_col,0.0035*(CE4-(h_col-d_2))/CE4,0.002*(CE4-(h_col-d_2))/(CE4-3*h_col/7))))-f_cd*(1-(1-MAX(0,MIN(1,IF(CE4&lt;=h_col,0.0035*(CE4-(h_col-d_2))/CE4,0.002*(CE4-(h_col-d_2))/(CE4-3*h_col/7))/0.002)))^2))))/1000</f>
        <v/>
      </c>
      <c r="CG4">
        <f>IF($CF4&lt;N_Ed-1E-9*MAX(1,N_Ed),(CC4+CD4)/2,CC4)</f>
        <v/>
      </c>
      <c r="CH4">
        <f>IF($CF4&lt;N_Ed-1E-9*MAX(1,N_Ed),CD4,(CC4+CD4)/2)</f>
        <v/>
      </c>
      <c r="CI4">
        <f>h_col*((CG4+CH4)/2)/(1-(CG4+CH4)/2)</f>
        <v/>
      </c>
      <c r="CJ4">
        <f>(f_cd*b_col*((3*MIN(CI4,h_col)/7)+(4*MIN(CI4,h_col)/7)*(1-((4*MIN(CI4,h_col)/7)/(CI4-(3*MIN(CI4,h_col)/7)))^2/3))+$D4/2*((MAX(-f_yd,MIN(f_yd,200000*IF(CI4&lt;=h_col,0.0035*(CI4-d_2)/CI4,0.002*(CI4-d_2)/(CI4-3*h_col/7))))-f_cd*(1-(1-MAX(0,MIN(1,IF(CI4&lt;=h_col,0.0035*(CI4-d_2)/CI4,0.002*(CI4-d_2)/(CI4-3*h_col/7))/0.002)))^2))+(MAX(-f_yd,MIN(f_yd,200000*IF(CI4&lt;=h_col,0.0035*(CI4-(h_col-d_2))/CI4,0.002*(CI4-(h_col-d_2))/(CI4-3*h_col/7))))-f_cd*(1-(1-MAX(0,MIN(1,IF(CI4&lt;=h_col,0.0035*(CI4-(h_col-d_2))/CI4,0.002*(CI4-(h_col-d_2))/(CI4-3*h_col/7))/0.002)))^2))))/1000</f>
        <v/>
      </c>
      <c r="CK4">
        <f>IF($CJ4&lt;N_Ed-1E-9*MAX(1,N_Ed),(CG4+CH4)/2,CG4)</f>
        <v/>
      </c>
      <c r="CL4">
        <f>IF($CJ4&lt;N_Ed-1E-9*MAX(1,N_Ed),CH4,(CG4+CH4)/2)</f>
        <v/>
      </c>
      <c r="CM4">
        <f>h_col*((CK4+CL4)/2)/(1-(CK4+CL4)/2)</f>
        <v/>
      </c>
      <c r="CN4">
        <f>(f_cd*b_col*((3*MIN(CM4,h_col)/7)+(4*MIN(CM4,h_col)/7)*(1-((4*MIN(CM4,h_col)/7)/(CM4-(3*MIN(CM4,h_col)/7)))^2/3))+$D4/2*((MAX(-f_yd,MIN(f_yd,200000*IF(CM4&lt;=h_col,0.0035*(CM4-d_2)/CM4,0.002*(CM4-d_2)/(CM4-3*h_col/7))))-f_cd*(1-(1-MAX(0,MIN(1,IF(CM4&lt;=h_col,0.0035*(CM4-d_2)/CM4,0.002*(CM4-d_2)/(CM4-3*h_col/7))/0.002)))^2))+(MAX(-f_yd,MIN(f_yd,200000*IF(CM4&lt;=h_col,0.0035*(CM4-(h_col-d_2))/CM4,0.002*(CM4-(h_col-d_2))/(CM4-3*h_col/7))))-f_cd*(1-(1-MAX(0,MIN(1,IF(CM4&lt;=h_col,0.0035*(CM4-(h_col-d_2))/CM4,0.002*(CM4-(h_col-d_2))/(CM4-3*h_col/7))/0.002)))^2))))/1000</f>
        <v/>
      </c>
      <c r="CO4">
        <f>IF($CN4&lt;N_Ed-1E-9*MAX(1,N_Ed),(CK4+CL4)/2,CK4)</f>
        <v/>
      </c>
      <c r="CP4">
        <f>IF($CN4&lt;N_Ed-1E-9*MAX(1,N_Ed),CL4,(CK4+CL4)/2)</f>
        <v/>
      </c>
      <c r="CQ4">
        <f>h_col*((CO4+CP4)/2)/(1-(CO4+CP4)/2)</f>
        <v/>
      </c>
      <c r="CR4">
        <f>(f_cd*b_col*((3*MIN(CQ4,h_col)/7)+(4*MIN(CQ4,h_col)/7)*(1-((4*MIN(CQ4,h_col)/7)/(CQ4-(3*MIN(CQ4,h_col)/7)))^2/3))+$D4/2*((MAX(-f_yd,MIN(f_yd,200000*IF(CQ4&lt;=h_col,0.0035*(CQ4-d_2)/CQ4,0.002*(CQ4-d_2)/(CQ4-3*h_col/7))))-f_cd*(1-(1-MAX(0,MIN(1,IF(CQ4&lt;=h_col,0.0035*(CQ4-d_2)/CQ4,0.002*(CQ4-d_2)/(CQ4-3*h_col/7))/0.002)))^2))+(MAX(-f_yd,MIN(f_yd,200000*IF(CQ4&lt;=h_col,0.0035*(CQ4-(h_col-d_2))/CQ4,0.002*(CQ4-(h_col-d_2))/(CQ4-3*h_col/7))))-f_cd*(1-(1-MAX(0,MIN(1,IF(CQ4&lt;=h_col,0.0035*(CQ4-(h_col-d_2))/CQ4,0.002*(CQ4-(h_col-d_2))/(CQ4-3*h_col/7))/0.002)))^2))))/1000</f>
        <v/>
      </c>
      <c r="CS4">
        <f>IF($CR4&lt;N_Ed-1E-9*MAX(1,N_Ed),(CO4+CP4)/2,CO4)</f>
        <v/>
      </c>
      <c r="CT4">
        <f>IF($CR4&lt;N_Ed-1E-9*MAX(1,N_Ed),CP4,(CO4+CP4)/2)</f>
        <v/>
      </c>
      <c r="CU4">
        <f>h_col*((CS4+CT4)/2)/(1-(CS4+CT4)/2)</f>
        <v/>
      </c>
      <c r="CV4">
        <f>(f_cd*b_col*((3*MIN(CU4,h_col)/7)+(4*MIN(CU4,h_col)/7)*(1-((4*MIN(CU4,h_col)/7)/(CU4-(3*MIN(CU4,h_col)/7)))^2/3))+$D4/2*((MAX(-f_yd,MIN(f_yd,200000*IF(CU4&lt;=h_col,0.0035*(CU4-d_2)/CU4,0.002*(CU4-d_2)/(CU4-3*h_col/7))))-f_cd*(1-(1-MAX(0,MIN(1,IF(CU4&lt;=h_col,0.0035*(CU4-d_2)/CU4,0.002*(CU4-d_2)/(CU4-3*h_col/7))/0.002)))^2))+(MAX(-f_yd,MIN(f_yd,200000*IF(CU4&lt;=h_col,0.0035*(CU4-(h_col-d_2))/CU4,0.002*(CU4-(h_col-d_2))/(CU4-3*h_col/7))))-f_cd*(1-(1-MAX(0,MIN(1,IF(CU4&lt;=h_col,0.0035*(CU4-(h_col-d_2))/CU4,0.002*(CU4-(h_col-d_2))/(CU4-3*h_col/7))/0.002)))^2))))/1000</f>
        <v/>
      </c>
      <c r="CW4">
        <f>IF($CV4&lt;N_Ed-1E-9*MAX(1,N_Ed),(CS4+CT4)/2,CS4)</f>
        <v/>
      </c>
      <c r="CX4">
        <f>IF($CV4&lt;N_Ed-1E-9*MAX(1,N_Ed),CT4,(CS4+CT4)/2)</f>
        <v/>
      </c>
      <c r="CY4">
        <f>h_col*((CW4+CX4)/2)/(1-(CW4+CX4)/2)</f>
        <v/>
      </c>
      <c r="CZ4">
        <f>(f_cd*b_col*((3*MIN(CY4,h_col)/7)+(4*MIN(CY4,h_col)/7)*(1-((4*MIN(CY4,h_col)/7)/(CY4-(3*MIN(CY4,h_col)/7)))^2/3))+$D4/2*((MAX(-f_yd,MIN(f_yd,200000*IF(CY4&lt;=h_col,0.0035*(CY4-d_2)/CY4,0.002*(CY4-d_2)/(CY4-3*h_col/7))))-f_cd*(1-(1-MAX(0,MIN(1,IF(CY4&lt;=h_col,0.0035*(CY4-d_2)/CY4,0.002*(CY4-d_2)/(CY4-3*h_col/7))/0.002)))^2))+(MAX(-f_yd,MIN(f_yd,200000*IF(CY4&lt;=h_col,0.0035*(CY4-(h_col-d_2))/CY4,0.002*(CY4-(h_col-d_2))/(CY4-3*h_col/7))))-f_cd*(1-(1-MAX(0,MIN(1,IF(CY4&lt;=h_col,0.0035*(CY4-(h_col-d_2))/CY4,0.002*(CY4-(h_col-d_2))/(CY4-3*h_col/7))/0.002)))^2))))/1000</f>
        <v/>
      </c>
      <c r="DA4">
        <f>IF($CZ4&lt;N_Ed-1E-9*MAX(1,N_Ed),(CW4+CX4)/2,CW4)</f>
        <v/>
      </c>
      <c r="DB4">
        <f>IF($CZ4&lt;N_Ed-1E-9*MAX(1,N_Ed),CX4,(CW4+CX4)/2)</f>
        <v/>
      </c>
      <c r="DC4">
        <f>h_col*((DA4+DB4)/2)/(1-(DA4+DB4)/2)</f>
        <v/>
      </c>
      <c r="DD4">
        <f>(f_cd*b_col*((3*MIN(DC4,h_col)/7)+(4*MIN(DC4,h_col)/7)*(1-((4*MIN(DC4,h_col)/7)/(DC4-(3*MIN(DC4,h_col)/7)))^2/3))+$D4/2*((MAX(-f_yd,MIN(f_yd,200000*IF(DC4&lt;=h_col,0.0035*(DC4-d_2)/DC4,0.002*(DC4-d_2)/(DC4-3*h_col/7))))-f_cd*(1-(1-MAX(0,MIN(1,IF(DC4&lt;=h_col,0.0035*(DC4-d_2)/DC4,0.002*(DC4-d_2)/(DC4-3*h_col/7))/0.002)))^2))+(MAX(-f_yd,MIN(f_yd,200000*IF(DC4&lt;=h_col,0.0035*(DC4-(h_col-d_2))/DC4,0.002*(DC4-(h_col-d_2))/(DC4-3*h_col/7))))-f_cd*(1-(1-MAX(0,MIN(1,IF(DC4&lt;=h_col,0.0035*(DC4-(h_col-d_2))/DC4,0.002*(DC4-(h_col-d_2))/(DC4-3*h_col/7))/0.002)))^2))))/1000</f>
        <v/>
      </c>
      <c r="DE4">
        <f>IF($DD4&lt;N_Ed-1E-9*MAX(1,N_Ed),(DA4+DB4)/2,DA4)</f>
        <v/>
      </c>
      <c r="DF4">
        <f>IF($DD4&lt;N_Ed-1E-9*MAX(1,N_Ed),DB4,(DA4+DB4)/2)</f>
        <v/>
      </c>
      <c r="DG4">
        <f>h_col*((DE4+DF4)/2)/(1-(DE4+DF4)/2)</f>
        <v/>
      </c>
      <c r="DH4">
        <f>(f_cd*b_col*((3*MIN(DG4,h_col)/7)+(4*MIN(DG4,h_col)/7)*(1-((4*MIN(DG4,h_col)/7)/(DG4-(3*MIN(DG4,h_col)/7)))^2/3))+$D4/2*((MAX(-f_yd,MIN(f_yd,200000*IF(DG4&lt;=h_col,0.0035*(DG4-d_2)/DG4,0.002*(DG4-d_2)/(DG4-3*h_col/7))))-f_cd*(1-(1-MAX(0,MIN(1,IF(DG4&lt;=h_col,0.0035*(DG4-d_2)/DG4,0.002*(DG4-d_2)/(DG4-3*h_col/7))/0.002)))^2))+(MAX(-f_yd,MIN(f_yd,200000*IF(DG4&lt;=h_col,0.0035*(DG4-(h_col-d_2))/DG4,0.002*(DG4-(h_col-d_2))/(DG4-3*h_col/7))))-f_cd*(1-(1-MAX(0,MIN(1,IF(DG4&lt;=h_col,0.0035*(DG4-(h_col-d_2))/DG4,0.002*(DG4-(h_col-d_2))/(DG4-3*h_col/7))/0.002)))^2))))/1000</f>
        <v/>
      </c>
      <c r="DI4">
        <f>IF($DH4&lt;N_Ed-1E-9*MAX(1,N_Ed),(DE4+DF4)/2,DE4)</f>
        <v/>
      </c>
      <c r="DJ4">
        <f>IF($DH4&lt;N_Ed-1E-9*MAX(1,N_Ed),DF4,(DE4+DF4)/2)</f>
        <v/>
      </c>
      <c r="DK4">
        <f>h_col*((DI4+DJ4)/2)/(1-(DI4+DJ4)/2)</f>
        <v/>
      </c>
      <c r="DL4">
        <f>(f_cd*b_col*((3*MIN(DK4,h_col)/7)+(4*MIN(DK4,h_col)/7)*(1-((4*MIN(DK4,h_col)/7)/(DK4-(3*MIN(DK4,h_col)/7)))^2/3))+$D4/2*((MAX(-f_yd,MIN(f_yd,200000*IF(DK4&lt;=h_col,0.0035*(DK4-d_2)/DK4,0.002*(DK4-d_2)/(DK4-3*h_col/7))))-f_cd*(1-(1-MAX(0,MIN(1,IF(DK4&lt;=h_col,0.0035*(DK4-d_2)/DK4,0.002*(DK4-d_2)/(DK4-3*h_col/7))/0.002)))^2))+(MAX(-f_yd,MIN(f_yd,200000*IF(DK4&lt;=h_col,0.0035*(DK4-(h_col-d_2))/DK4,0.002*(DK4-(h_col-d_2))/(DK4-3*h_col/7))))-f_cd*(1-(1-MAX(0,MIN(1,IF(DK4&lt;=h_col,0.0035*(DK4-(h_col-d_2))/DK4,0.002*(DK4-(h_col-d_2))/(DK4-3*h_col/7))/0.002)))^2))))/1000</f>
        <v/>
      </c>
      <c r="DM4">
        <f>IF($DL4&lt;N_Ed-1E-9*MAX(1,N_Ed),(DI4+DJ4)/2,DI4)</f>
        <v/>
      </c>
      <c r="DN4">
        <f>IF($DL4&lt;N_Ed-1E-9*MAX(1,N_Ed),DJ4,(DI4+DJ4)/2)</f>
        <v/>
      </c>
      <c r="DO4">
        <f>h_col*((DM4+DN4)/2)/(1-(DM4+DN4)/2)</f>
        <v/>
      </c>
      <c r="DP4">
        <f>(f_cd*b_col*((3*MIN(DO4,h_col)/7)+(4*MIN(DO4,h_col)/7)*(1-((4*MIN(DO4,h_col)/7)/(DO4-(3*MIN(DO4,h_col)/7)))^2/3))+$D4/2*((MAX(-f_yd,MIN(f_yd,200000*IF(DO4&lt;=h_col,0.0035*(DO4-d_2)/DO4,0.002*(DO4-d_2)/(DO4-3*h_col/7))))-f_cd*(1-(1-MAX(0,MIN(1,IF(DO4&lt;=h_col,0.0035*(DO4-d_2)/DO4,0.002*(DO4-d_2)/(DO4-3*h_col/7))/0.002)))^2))+(MAX(-f_yd,MIN(f_yd,200000*IF(DO4&lt;=h_col,0.0035*(DO4-(h_col-d_2))/DO4,0.002*(DO4-(h_col-d_2))/(DO4-3*h_col/7))))-f_cd*(1-(1-MAX(0,MIN(1,IF(DO4&lt;=h_col,0.0035*(DO4-(h_col-d_2))/DO4,0.002*(DO4-(h_col-d_2))/(DO4-3*h_col/7))/0.002)))^2))))/1000</f>
        <v/>
      </c>
      <c r="DQ4">
        <f>IF($DP4&lt;N_Ed-1E-9*MAX(1,N_Ed),(DM4+DN4)/2,DM4)</f>
        <v/>
      </c>
      <c r="DR4">
        <f>IF($DP4&lt;N_Ed-1E-9*MAX(1,N_Ed),DN4,(DM4+DN4)/2)</f>
        <v/>
      </c>
      <c r="DS4">
        <f>h_col*((DQ4+DR4)/2)/(1-(DQ4+DR4)/2)</f>
        <v/>
      </c>
      <c r="DT4">
        <f>(f_cd*b_col*((3*MIN(DS4,h_col)/7)+(4*MIN(DS4,h_col)/7)*(1-((4*MIN(DS4,h_col)/7)/(DS4-(3*MIN(DS4,h_col)/7)))^2/3))+$D4/2*((MAX(-f_yd,MIN(f_yd,200000*IF(DS4&lt;=h_col,0.0035*(DS4-d_2)/DS4,0.002*(DS4-d_2)/(DS4-3*h_col/7))))-f_cd*(1-(1-MAX(0,MIN(1,IF(DS4&lt;=h_col,0.0035*(DS4-d_2)/DS4,0.002*(DS4-d_2)/(DS4-3*h_col/7))/0.002)))^2))+(MAX(-f_yd,MIN(f_yd,200000*IF(DS4&lt;=h_col,0.0035*(DS4-(h_col-d_2))/DS4,0.002*(DS4-(h_col-d_2))/(DS4-3*h_col/7))))-f_cd*(1-(1-MAX(0,MIN(1,IF(DS4&lt;=h_col,0.0035*(DS4-(h_col-d_2))/DS4,0.002*(DS4-(h_col-d_2))/(DS4-3*h_col/7))/0.002)))^2))))/1000</f>
        <v/>
      </c>
      <c r="DU4">
        <f>IF($DT4&lt;N_Ed-1E-9*MAX(1,N_Ed),(DQ4+DR4)/2,DQ4)</f>
        <v/>
      </c>
      <c r="DV4">
        <f>IF($DT4&lt;N_Ed-1E-9*MAX(1,N_Ed),DR4,(DQ4+DR4)/2)</f>
        <v/>
      </c>
      <c r="DW4">
        <f>h_col*((DU4+DV4)/2)/(1-(DU4+DV4)/2)</f>
        <v/>
      </c>
      <c r="DX4">
        <f>(f_cd*b_col*((3*MIN(DW4,h_col)/7)+(4*MIN(DW4,h_col)/7)*(1-((4*MIN(DW4,h_col)/7)/(DW4-(3*MIN(DW4,h_col)/7)))^2/3))+$D4/2*((MAX(-f_yd,MIN(f_yd,200000*IF(DW4&lt;=h_col,0.0035*(DW4-d_2)/DW4,0.002*(DW4-d_2)/(DW4-3*h_col/7))))-f_cd*(1-(1-MAX(0,MIN(1,IF(DW4&lt;=h_col,0.0035*(DW4-d_2)/DW4,0.002*(DW4-d_2)/(DW4-3*h_col/7))/0.002)))^2))+(MAX(-f_yd,MIN(f_yd,200000*IF(DW4&lt;=h_col,0.0035*(DW4-(h_col-d_2))/DW4,0.002*(DW4-(h_col-d_2))/(DW4-3*h_col/7))))-f_cd*(1-(1-MAX(0,MIN(1,IF(DW4&lt;=h_col,0.0035*(DW4-(h_col-d_2))/DW4,0.002*(DW4-(h_col-d_2))/(DW4-3*h_col/7))/0.002)))^2))))/1000</f>
        <v/>
      </c>
      <c r="DY4">
        <f>IF($DX4&lt;N_Ed-1E-9*MAX(1,N_Ed),(DU4+DV4)/2,DU4)</f>
        <v/>
      </c>
      <c r="DZ4">
        <f>IF($DX4&lt;N_Ed-1E-9*MAX(1,N_Ed),DV4,(DU4+DV4)/2)</f>
        <v/>
      </c>
      <c r="EA4">
        <f>h_col*((DY4+DZ4)/2)/(1-(DY4+DZ4)/2)</f>
        <v/>
      </c>
      <c r="EB4">
        <f>(f_cd*b_col*((3*MIN(EA4,h_col)/7)+(4*MIN(EA4,h_col)/7)*(1-((4*MIN(EA4,h_col)/7)/(EA4-(3*MIN(EA4,h_col)/7)))^2/3))+$D4/2*((MAX(-f_yd,MIN(f_yd,200000*IF(EA4&lt;=h_col,0.0035*(EA4-d_2)/EA4,0.002*(EA4-d_2)/(EA4-3*h_col/7))))-f_cd*(1-(1-MAX(0,MIN(1,IF(EA4&lt;=h_col,0.0035*(EA4-d_2)/EA4,0.002*(EA4-d_2)/(EA4-3*h_col/7))/0.002)))^2))+(MAX(-f_yd,MIN(f_yd,200000*IF(EA4&lt;=h_col,0.0035*(EA4-(h_col-d_2))/EA4,0.002*(EA4-(h_col-d_2))/(EA4-3*h_col/7))))-f_cd*(1-(1-MAX(0,MIN(1,IF(EA4&lt;=h_col,0.0035*(EA4-(h_col-d_2))/EA4,0.002*(EA4-(h_col-d_2))/(EA4-3*h_col/7))/0.002)))^2))))/1000</f>
        <v/>
      </c>
      <c r="EC4">
        <f>IF($EB4&lt;N_Ed-1E-9*MAX(1,N_Ed),(DY4+DZ4)/2,DY4)</f>
        <v/>
      </c>
      <c r="ED4">
        <f>IF($EB4&lt;N_Ed-1E-9*MAX(1,N_Ed),DZ4,(DY4+DZ4)/2)</f>
        <v/>
      </c>
      <c r="EE4">
        <f>h_col*((EC4+ED4)/2)/(1-(EC4+ED4)/2)</f>
        <v/>
      </c>
      <c r="EF4">
        <f>(f_cd*b_col*((3*MIN(EE4,h_col)/7)+(4*MIN(EE4,h_col)/7)*(1-((4*MIN(EE4,h_col)/7)/(EE4-(3*MIN(EE4,h_col)/7)))^2/3))+$D4/2*((MAX(-f_yd,MIN(f_yd,200000*IF(EE4&lt;=h_col,0.0035*(EE4-d_2)/EE4,0.002*(EE4-d_2)/(EE4-3*h_col/7))))-f_cd*(1-(1-MAX(0,MIN(1,IF(EE4&lt;=h_col,0.0035*(EE4-d_2)/EE4,0.002*(EE4-d_2)/(EE4-3*h_col/7))/0.002)))^2))+(MAX(-f_yd,MIN(f_yd,200000*IF(EE4&lt;=h_col,0.0035*(EE4-(h_col-d_2))/EE4,0.002*(EE4-(h_col-d_2))/(EE4-3*h_col/7))))-f_cd*(1-(1-MAX(0,MIN(1,IF(EE4&lt;=h_col,0.0035*(EE4-(h_col-d_2))/EE4,0.002*(EE4-(h_col-d_2))/(EE4-3*h_col/7))/0.002)))^2))))/1000</f>
        <v/>
      </c>
      <c r="EG4">
        <f>IF($EF4&lt;N_Ed-1E-9*MAX(1,N_Ed),(EC4+ED4)/2,EC4)</f>
        <v/>
      </c>
      <c r="EH4">
        <f>IF($EF4&lt;N_Ed-1E-9*MAX(1,N_Ed),ED4,(EC4+ED4)/2)</f>
        <v/>
      </c>
      <c r="EI4">
        <f>h_col*((EG4+EH4)/2)/(1-(EG4+EH4)/2)</f>
        <v/>
      </c>
      <c r="EJ4">
        <f>(f_cd*b_col*((3*MIN(EI4,h_col)/7)+(4*MIN(EI4,h_col)/7)*(1-((4*MIN(EI4,h_col)/7)/(EI4-(3*MIN(EI4,h_col)/7)))^2/3))+$D4/2*((MAX(-f_yd,MIN(f_yd,200000*IF(EI4&lt;=h_col,0.0035*(EI4-d_2)/EI4,0.002*(EI4-d_2)/(EI4-3*h_col/7))))-f_cd*(1-(1-MAX(0,MIN(1,IF(EI4&lt;=h_col,0.0035*(EI4-d_2)/EI4,0.002*(EI4-d_2)/(EI4-3*h_col/7))/0.002)))^2))+(MAX(-f_yd,MIN(f_yd,200000*IF(EI4&lt;=h_col,0.0035*(EI4-(h_col-d_2))/EI4,0.002*(EI4-(h_col-d_2))/(EI4-3*h_col/7))))-f_cd*(1-(1-MAX(0,MIN(1,IF(EI4&lt;=h_col,0.0035*(EI4-(h_col-d_2))/EI4,0.002*(EI4-(h_col-d_2))/(EI4-3*h_col/7))/0.002)))^2))))/1000</f>
        <v/>
      </c>
      <c r="EK4">
        <f>IF($EJ4&lt;N_Ed-1E-9*MAX(1,N_Ed),(EG4+EH4)/2,EG4)</f>
        <v/>
      </c>
      <c r="EL4">
        <f>IF($EJ4&lt;N_Ed-1E-9*MAX(1,N_Ed),EH4,(EG4+EH4)/2)</f>
        <v/>
      </c>
      <c r="EM4">
        <f>h_col*((EK4+EL4)/2)/(1-(EK4+EL4)/2)</f>
        <v/>
      </c>
      <c r="EN4">
        <f>(f_cd*b_col*((3*MIN(EM4,h_col)/7)+(4*MIN(EM4,h_col)/7)*(1-((4*MIN(EM4,h_col)/7)/(EM4-(3*MIN(EM4,h_col)/7)))^2/3))+$D4/2*((MAX(-f_yd,MIN(f_yd,200000*IF(EM4&lt;=h_col,0.0035*(EM4-d_2)/EM4,0.002*(EM4-d_2)/(EM4-3*h_col/7))))-f_cd*(1-(1-MAX(0,MIN(1,IF(EM4&lt;=h_col,0.0035*(EM4-d_2)/EM4,0.002*(EM4-d_2)/(EM4-3*h_col/7))/0.002)))^2))+(MAX(-f_yd,MIN(f_yd,200000*IF(EM4&lt;=h_col,0.0035*(EM4-(h_col-d_2))/EM4,0.002*(EM4-(h_col-d_2))/(EM4-3*h_col/7))))-f_cd*(1-(1-MAX(0,MIN(1,IF(EM4&lt;=h_col,0.0035*(EM4-(h_col-d_2))/EM4,0.002*(EM4-(h_col-d_2))/(EM4-3*h_col/7))/0.002)))^2))))/1000</f>
        <v/>
      </c>
      <c r="EO4">
        <f>IF($EN4&lt;N_Ed-1E-9*MAX(1,N_Ed),(EK4+EL4)/2,EK4)</f>
        <v/>
      </c>
      <c r="EP4">
        <f>IF($EN4&lt;N_Ed-1E-9*MAX(1,N_Ed),EL4,(EK4+EL4)/2)</f>
        <v/>
      </c>
      <c r="EQ4">
        <f>h_col*((EO4+EP4)/2)/(1-(EO4+EP4)/2)</f>
        <v/>
      </c>
      <c r="ER4">
        <f>(f_cd*b_col*((3*MIN(EQ4,h_col)/7)+(4*MIN(EQ4,h_col)/7)*(1-((4*MIN(EQ4,h_col)/7)/(EQ4-(3*MIN(EQ4,h_col)/7)))^2/3))+$D4/2*((MAX(-f_yd,MIN(f_yd,200000*IF(EQ4&lt;=h_col,0.0035*(EQ4-d_2)/EQ4,0.002*(EQ4-d_2)/(EQ4-3*h_col/7))))-f_cd*(1-(1-MAX(0,MIN(1,IF(EQ4&lt;=h_col,0.0035*(EQ4-d_2)/EQ4,0.002*(EQ4-d_2)/(EQ4-3*h_col/7))/0.002)))^2))+(MAX(-f_yd,MIN(f_yd,200000*IF(EQ4&lt;=h_col,0.0035*(EQ4-(h_col-d_2))/EQ4,0.002*(EQ4-(h_col-d_2))/(EQ4-3*h_col/7))))-f_cd*(1-(1-MAX(0,MIN(1,IF(EQ4&lt;=h_col,0.0035*(EQ4-(h_col-d_2))/EQ4,0.002*(EQ4-(h_col-d_2))/(EQ4-3*h_col/7))/0.002)))^2))))/1000</f>
        <v/>
      </c>
      <c r="ES4">
        <f>IF($ER4&lt;N_Ed-1E-9*MAX(1,N_Ed),(EO4+EP4)/2,EO4)</f>
        <v/>
      </c>
      <c r="ET4">
        <f>IF($ER4&lt;N_Ed-1E-9*MAX(1,N_Ed),EP4,(EO4+EP4)/2)</f>
        <v/>
      </c>
      <c r="EU4">
        <f>h_col*((ES4+ET4)/2)/(1-(ES4+ET4)/2)</f>
        <v/>
      </c>
      <c r="EV4">
        <f>(f_cd*b_col*((3*MIN(EU4,h_col)/7)+(4*MIN(EU4,h_col)/7)*(1-((4*MIN(EU4,h_col)/7)/(EU4-(3*MIN(EU4,h_col)/7)))^2/3))+$D4/2*((MAX(-f_yd,MIN(f_yd,200000*IF(EU4&lt;=h_col,0.0035*(EU4-d_2)/EU4,0.002*(EU4-d_2)/(EU4-3*h_col/7))))-f_cd*(1-(1-MAX(0,MIN(1,IF(EU4&lt;=h_col,0.0035*(EU4-d_2)/EU4,0.002*(EU4-d_2)/(EU4-3*h_col/7))/0.002)))^2))+(MAX(-f_yd,MIN(f_yd,200000*IF(EU4&lt;=h_col,0.0035*(EU4-(h_col-d_2))/EU4,0.002*(EU4-(h_col-d_2))/(EU4-3*h_col/7))))-f_cd*(1-(1-MAX(0,MIN(1,IF(EU4&lt;=h_col,0.0035*(EU4-(h_col-d_2))/EU4,0.002*(EU4-(h_col-d_2))/(EU4-3*h_col/7))/0.002)))^2))))/1000</f>
        <v/>
      </c>
      <c r="EW4">
        <f>IF($EV4&lt;N_Ed-1E-9*MAX(1,N_Ed),(ES4+ET4)/2,ES4)</f>
        <v/>
      </c>
      <c r="EX4">
        <f>IF($EV4&lt;N_Ed-1E-9*MAX(1,N_Ed),ET4,(ES4+ET4)/2)</f>
        <v/>
      </c>
      <c r="EY4">
        <f>h_col*((EW4+EX4)/2)/(1-(EW4+EX4)/2)</f>
        <v/>
      </c>
      <c r="EZ4">
        <f>(f_cd*b_col*((3*MIN(EY4,h_col)/7)+(4*MIN(EY4,h_col)/7)*(1-((4*MIN(EY4,h_col)/7)/(EY4-(3*MIN(EY4,h_col)/7)))^2/3))+$D4/2*((MAX(-f_yd,MIN(f_yd,200000*IF(EY4&lt;=h_col,0.0035*(EY4-d_2)/EY4,0.002*(EY4-d_2)/(EY4-3*h_col/7))))-f_cd*(1-(1-MAX(0,MIN(1,IF(EY4&lt;=h_col,0.0035*(EY4-d_2)/EY4,0.002*(EY4-d_2)/(EY4-3*h_col/7))/0.002)))^2))+(MAX(-f_yd,MIN(f_yd,200000*IF(EY4&lt;=h_col,0.0035*(EY4-(h_col-d_2))/EY4,0.002*(EY4-(h_col-d_2))/(EY4-3*h_col/7))))-f_cd*(1-(1-MAX(0,MIN(1,IF(EY4&lt;=h_col,0.0035*(EY4-(h_col-d_2))/EY4,0.002*(EY4-(h_col-d_2))/(EY4-3*h_col/7))/0.002)))^2))))/1000</f>
        <v/>
      </c>
      <c r="FA4">
        <f>IF($EZ4&lt;N_Ed-1E-9*MAX(1,N_Ed),(EW4+EX4)/2,EW4)</f>
        <v/>
      </c>
      <c r="FB4">
        <f>IF($EZ4&lt;N_Ed-1E-9*MAX(1,N_Ed),EX4,(EW4+EX4)/2)</f>
        <v/>
      </c>
      <c r="FC4">
        <f>h_col*((FA4+FB4)/2)/(1-(FA4+FB4)/2)</f>
        <v/>
      </c>
      <c r="FD4">
        <f>(f_cd*b_col*((3*MIN(FC4,h_col)/7)+(4*MIN(FC4,h_col)/7)*(1-((4*MIN(FC4,h_col)/7)/(FC4-(3*MIN(FC4,h_col)/7)))^2/3))+$D4/2*((MAX(-f_yd,MIN(f_yd,200000*IF(FC4&lt;=h_col,0.0035*(FC4-d_2)/FC4,0.002*(FC4-d_2)/(FC4-3*h_col/7))))-f_cd*(1-(1-MAX(0,MIN(1,IF(FC4&lt;=h_col,0.0035*(FC4-d_2)/FC4,0.002*(FC4-d_2)/(FC4-3*h_col/7))/0.002)))^2))+(MAX(-f_yd,MIN(f_yd,200000*IF(FC4&lt;=h_col,0.0035*(FC4-(h_col-d_2))/FC4,0.002*(FC4-(h_col-d_2))/(FC4-3*h_col/7))))-f_cd*(1-(1-MAX(0,MIN(1,IF(FC4&lt;=h_col,0.0035*(FC4-(h_col-d_2))/FC4,0.002*(FC4-(h_col-d_2))/(FC4-3*h_col/7))/0.002)))^2))))/1000</f>
        <v/>
      </c>
      <c r="FE4">
        <f>IF($FD4&lt;N_Ed-1E-9*MAX(1,N_Ed),(FA4+FB4)/2,FA4)</f>
        <v/>
      </c>
      <c r="FF4">
        <f>IF($FD4&lt;N_Ed-1E-9*MAX(1,N_Ed),FB4,(FA4+FB4)/2)</f>
        <v/>
      </c>
      <c r="FG4">
        <f>h_col*((FE4+FF4)/2)/(1-(FE4+FF4)/2)</f>
        <v/>
      </c>
      <c r="FH4">
        <f>(f_cd*b_col*((3*MIN(FG4,h_col)/7)+(4*MIN(FG4,h_col)/7)*(1-((4*MIN(FG4,h_col)/7)/(FG4-(3*MIN(FG4,h_col)/7)))^2/3))+$D4/2*((MAX(-f_yd,MIN(f_yd,200000*IF(FG4&lt;=h_col,0.0035*(FG4-d_2)/FG4,0.002*(FG4-d_2)/(FG4-3*h_col/7))))-f_cd*(1-(1-MAX(0,MIN(1,IF(FG4&lt;=h_col,0.0035*(FG4-d_2)/FG4,0.002*(FG4-d_2)/(FG4-3*h_col/7))/0.002)))^2))+(MAX(-f_yd,MIN(f_yd,200000*IF(FG4&lt;=h_col,0.0035*(FG4-(h_col-d_2))/FG4,0.002*(FG4-(h_col-d_2))/(FG4-3*h_col/7))))-f_cd*(1-(1-MAX(0,MIN(1,IF(FG4&lt;=h_col,0.0035*(FG4-(h_col-d_2))/FG4,0.002*(FG4-(h_col-d_2))/(FG4-3*h_col/7))/0.002)))^2))))/1000</f>
        <v/>
      </c>
      <c r="FI4">
        <f>IF($FH4&lt;N_Ed-1E-9*MAX(1,N_Ed),(FE4+FF4)/2,FE4)</f>
        <v/>
      </c>
      <c r="FJ4">
        <f>IF($FH4&lt;N_Ed-1E-9*MAX(1,N_Ed),FF4,(FE4+FF4)/2)</f>
        <v/>
      </c>
      <c r="FK4">
        <f>h_col*((FI4+FJ4)/2)/(1-(FI4+FJ4)/2)</f>
        <v/>
      </c>
      <c r="FL4">
        <f>(f_cd*b_col*((3*MIN(FK4,h_col)/7)+(4*MIN(FK4,h_col)/7)*(1-((4*MIN(FK4,h_col)/7)/(FK4-(3*MIN(FK4,h_col)/7)))^2/3))+$D4/2*((MAX(-f_yd,MIN(f_yd,200000*IF(FK4&lt;=h_col,0.0035*(FK4-d_2)/FK4,0.002*(FK4-d_2)/(FK4-3*h_col/7))))-f_cd*(1-(1-MAX(0,MIN(1,IF(FK4&lt;=h_col,0.0035*(FK4-d_2)/FK4,0.002*(FK4-d_2)/(FK4-3*h_col/7))/0.002)))^2))+(MAX(-f_yd,MIN(f_yd,200000*IF(FK4&lt;=h_col,0.0035*(FK4-(h_col-d_2))/FK4,0.002*(FK4-(h_col-d_2))/(FK4-3*h_col/7))))-f_cd*(1-(1-MAX(0,MIN(1,IF(FK4&lt;=h_col,0.0035*(FK4-(h_col-d_2))/FK4,0.002*(FK4-(h_col-d_2))/(FK4-3*h_col/7))/0.002)))^2))))/1000</f>
        <v/>
      </c>
      <c r="FM4">
        <f>IF($FL4&lt;N_Ed-1E-9*MAX(1,N_Ed),(FI4+FJ4)/2,FI4)</f>
        <v/>
      </c>
      <c r="FN4">
        <f>IF($FL4&lt;N_Ed-1E-9*MAX(1,N_Ed),FJ4,(FI4+FJ4)/2)</f>
        <v/>
      </c>
      <c r="FO4">
        <f>h_col*((FM4+FN4)/2)/(1-(FM4+FN4)/2)</f>
        <v/>
      </c>
      <c r="FP4">
        <f>(f_cd*b_col*((3*MIN(FO4,h_col)/7)+(4*MIN(FO4,h_col)/7)*(1-((4*MIN(FO4,h_col)/7)/(FO4-(3*MIN(FO4,h_col)/7)))^2/3))+$D4/2*((MAX(-f_yd,MIN(f_yd,200000*IF(FO4&lt;=h_col,0.0035*(FO4-d_2)/FO4,0.002*(FO4-d_2)/(FO4-3*h_col/7))))-f_cd*(1-(1-MAX(0,MIN(1,IF(FO4&lt;=h_col,0.0035*(FO4-d_2)/FO4,0.002*(FO4-d_2)/(FO4-3*h_col/7))/0.002)))^2))+(MAX(-f_yd,MIN(f_yd,200000*IF(FO4&lt;=h_col,0.0035*(FO4-(h_col-d_2))/FO4,0.002*(FO4-(h_col-d_2))/(FO4-3*h_col/7))))-f_cd*(1-(1-MAX(0,MIN(1,IF(FO4&lt;=h_col,0.0035*(FO4-(h_col-d_2))/FO4,0.002*(FO4-(h_col-d_2))/(FO4-3*h_col/7))/0.002)))^2))))/1000</f>
        <v/>
      </c>
      <c r="FQ4">
        <f>IF($FP4&lt;N_Ed-1E-9*MAX(1,N_Ed),(FM4+FN4)/2,FM4)</f>
        <v/>
      </c>
      <c r="FR4">
        <f>IF($FP4&lt;N_Ed-1E-9*MAX(1,N_Ed),FN4,(FM4+FN4)/2)</f>
        <v/>
      </c>
      <c r="FS4">
        <f>h_col*((FQ4+FR4)/2)/(1-(FQ4+FR4)/2)</f>
        <v/>
      </c>
      <c r="FT4">
        <f>(f_cd*b_col*((3*MIN(FS4,h_col)/7)+(4*MIN(FS4,h_col)/7)*(1-((4*MIN(FS4,h_col)/7)/(FS4-(3*MIN(FS4,h_col)/7)))^2/3))+$D4/2*((MAX(-f_yd,MIN(f_yd,200000*IF(FS4&lt;=h_col,0.0035*(FS4-d_2)/FS4,0.002*(FS4-d_2)/(FS4-3*h_col/7))))-f_cd*(1-(1-MAX(0,MIN(1,IF(FS4&lt;=h_col,0.0035*(FS4-d_2)/FS4,0.002*(FS4-d_2)/(FS4-3*h_col/7))/0.002)))^2))+(MAX(-f_yd,MIN(f_yd,200000*IF(FS4&lt;=h_col,0.0035*(FS4-(h_col-d_2))/FS4,0.002*(FS4-(h_col-d_2))/(FS4-3*h_col/7))))-f_cd*(1-(1-MAX(0,MIN(1,IF(FS4&lt;=h_col,0.0035*(FS4-(h_col-d_2))/FS4,0.002*(FS4-(h_col-d_2))/(FS4-3*h_col/7))/0.002)))^2))))/1000</f>
        <v/>
      </c>
      <c r="FU4">
        <f>IF($FT4&lt;N_Ed-1E-9*MAX(1,N_Ed),(FQ4+FR4)/2,FQ4)</f>
        <v/>
      </c>
      <c r="FV4">
        <f>IF($FT4&lt;N_Ed-1E-9*MAX(1,N_Ed),FR4,(FQ4+FR4)/2)</f>
        <v/>
      </c>
      <c r="FW4">
        <f>h_col*((FU4+FV4)/2)/(1-(FU4+FV4)/2)</f>
        <v/>
      </c>
      <c r="FX4">
        <f>(f_cd*b_col*((3*MIN(FW4,h_col)/7)+(4*MIN(FW4,h_col)/7)*(1-((4*MIN(FW4,h_col)/7)/(FW4-(3*MIN(FW4,h_col)/7)))^2/3))+$D4/2*((MAX(-f_yd,MIN(f_yd,200000*IF(FW4&lt;=h_col,0.0035*(FW4-d_2)/FW4,0.002*(FW4-d_2)/(FW4-3*h_col/7))))-f_cd*(1-(1-MAX(0,MIN(1,IF(FW4&lt;=h_col,0.0035*(FW4-d_2)/FW4,0.002*(FW4-d_2)/(FW4-3*h_col/7))/0.002)))^2))+(MAX(-f_yd,MIN(f_yd,200000*IF(FW4&lt;=h_col,0.0035*(FW4-(h_col-d_2))/FW4,0.002*(FW4-(h_col-d_2))/(FW4-3*h_col/7))))-f_cd*(1-(1-MAX(0,MIN(1,IF(FW4&lt;=h_col,0.0035*(FW4-(h_col-d_2))/FW4,0.002*(FW4-(h_col-d_2))/(FW4-3*h_col/7))/0.002)))^2))))/1000</f>
        <v/>
      </c>
      <c r="FY4">
        <f>IF($FX4&lt;N_Ed-1E-9*MAX(1,N_Ed),(FU4+FV4)/2,FU4)</f>
        <v/>
      </c>
      <c r="FZ4">
        <f>IF($FX4&lt;N_Ed-1E-9*MAX(1,N_Ed),FV4,(FU4+FV4)/2)</f>
        <v/>
      </c>
      <c r="GA4">
        <f>h_col*((FY4+FZ4)/2)/(1-(FY4+FZ4)/2)</f>
        <v/>
      </c>
      <c r="GB4">
        <f>(f_cd*b_col*((3*MIN(GA4,h_col)/7)+(4*MIN(GA4,h_col)/7)*(1-((4*MIN(GA4,h_col)/7)/(GA4-(3*MIN(GA4,h_col)/7)))^2/3))+$D4/2*((MAX(-f_yd,MIN(f_yd,200000*IF(GA4&lt;=h_col,0.0035*(GA4-d_2)/GA4,0.002*(GA4-d_2)/(GA4-3*h_col/7))))-f_cd*(1-(1-MAX(0,MIN(1,IF(GA4&lt;=h_col,0.0035*(GA4-d_2)/GA4,0.002*(GA4-d_2)/(GA4-3*h_col/7))/0.002)))^2))+(MAX(-f_yd,MIN(f_yd,200000*IF(GA4&lt;=h_col,0.0035*(GA4-(h_col-d_2))/GA4,0.002*(GA4-(h_col-d_2))/(GA4-3*h_col/7))))-f_cd*(1-(1-MAX(0,MIN(1,IF(GA4&lt;=h_col,0.0035*(GA4-(h_col-d_2))/GA4,0.002*(GA4-(h_col-d_2))/(GA4-3*h_col/7))/0.002)))^2))))/1000</f>
        <v/>
      </c>
      <c r="GC4">
        <f>IF($GB4&lt;N_Ed-1E-9*MAX(1,N_Ed),(FY4+FZ4)/2,FY4)</f>
        <v/>
      </c>
      <c r="GD4">
        <f>IF($GB4&lt;N_Ed-1E-9*MAX(1,N_Ed),FZ4,(FY4+FZ4)/2)</f>
        <v/>
      </c>
      <c r="GE4">
        <f>h_col*((GC4+GD4)/2)/(1-(GC4+GD4)/2)</f>
        <v/>
      </c>
      <c r="GF4">
        <f>(f_cd*b_col*((3*MIN(GE4,h_col)/7)+(4*MIN(GE4,h_col)/7)*(1-((4*MIN(GE4,h_col)/7)/(GE4-(3*MIN(GE4,h_col)/7)))^2/3))+$D4/2*((MAX(-f_yd,MIN(f_yd,200000*IF(GE4&lt;=h_col,0.0035*(GE4-d_2)/GE4,0.002*(GE4-d_2)/(GE4-3*h_col/7))))-f_cd*(1-(1-MAX(0,MIN(1,IF(GE4&lt;=h_col,0.0035*(GE4-d_2)/GE4,0.002*(GE4-d_2)/(GE4-3*h_col/7))/0.002)))^2))+(MAX(-f_yd,MIN(f_yd,200000*IF(GE4&lt;=h_col,0.0035*(GE4-(h_col-d_2))/GE4,0.002*(GE4-(h_col-d_2))/(GE4-3*h_col/7))))-f_cd*(1-(1-MAX(0,MIN(1,IF(GE4&lt;=h_col,0.0035*(GE4-(h_col-d_2))/GE4,0.002*(GE4-(h_col-d_2))/(GE4-3*h_col/7))/0.002)))^2))))/1000</f>
        <v/>
      </c>
      <c r="GG4">
        <f>IF($GF4&lt;N_Ed-1E-9*MAX(1,N_Ed),(GC4+GD4)/2,GC4)</f>
        <v/>
      </c>
      <c r="GH4">
        <f>IF($GF4&lt;N_Ed-1E-9*MAX(1,N_Ed),GD4,(GC4+GD4)/2)</f>
        <v/>
      </c>
      <c r="GI4">
        <f>h_col*((GG4+GH4)/2)/(1-(GG4+GH4)/2)</f>
        <v/>
      </c>
      <c r="GJ4">
        <f>(f_cd*b_col*((3*MIN(GI4,h_col)/7)+(4*MIN(GI4,h_col)/7)*(1-((4*MIN(GI4,h_col)/7)/(GI4-(3*MIN(GI4,h_col)/7)))^2/3))+$D4/2*((MAX(-f_yd,MIN(f_yd,200000*IF(GI4&lt;=h_col,0.0035*(GI4-d_2)/GI4,0.002*(GI4-d_2)/(GI4-3*h_col/7))))-f_cd*(1-(1-MAX(0,MIN(1,IF(GI4&lt;=h_col,0.0035*(GI4-d_2)/GI4,0.002*(GI4-d_2)/(GI4-3*h_col/7))/0.002)))^2))+(MAX(-f_yd,MIN(f_yd,200000*IF(GI4&lt;=h_col,0.0035*(GI4-(h_col-d_2))/GI4,0.002*(GI4-(h_col-d_2))/(GI4-3*h_col/7))))-f_cd*(1-(1-MAX(0,MIN(1,IF(GI4&lt;=h_col,0.0035*(GI4-(h_col-d_2))/GI4,0.002*(GI4-(h_col-d_2))/(GI4-3*h_col/7))/0.002)))^2))))/1000</f>
        <v/>
      </c>
      <c r="GK4">
        <f>IF($GJ4&lt;N_Ed-1E-9*MAX(1,N_Ed),(GG4+GH4)/2,GG4)</f>
        <v/>
      </c>
      <c r="GL4">
        <f>IF($GJ4&lt;N_Ed-1E-9*MAX(1,N_Ed),GH4,(GG4+GH4)/2)</f>
        <v/>
      </c>
      <c r="GM4">
        <f>h_col*((GK4+GL4)/2)/(1-(GK4+GL4)/2)</f>
        <v/>
      </c>
      <c r="GN4">
        <f>(f_cd*b_col*((3*MIN(GM4,h_col)/7)+(4*MIN(GM4,h_col)/7)*(1-((4*MIN(GM4,h_col)/7)/(GM4-(3*MIN(GM4,h_col)/7)))^2/3))+$D4/2*((MAX(-f_yd,MIN(f_yd,200000*IF(GM4&lt;=h_col,0.0035*(GM4-d_2)/GM4,0.002*(GM4-d_2)/(GM4-3*h_col/7))))-f_cd*(1-(1-MAX(0,MIN(1,IF(GM4&lt;=h_col,0.0035*(GM4-d_2)/GM4,0.002*(GM4-d_2)/(GM4-3*h_col/7))/0.002)))^2))+(MAX(-f_yd,MIN(f_yd,200000*IF(GM4&lt;=h_col,0.0035*(GM4-(h_col-d_2))/GM4,0.002*(GM4-(h_col-d_2))/(GM4-3*h_col/7))))-f_cd*(1-(1-MAX(0,MIN(1,IF(GM4&lt;=h_col,0.0035*(GM4-(h_col-d_2))/GM4,0.002*(GM4-(h_col-d_2))/(GM4-3*h_col/7))/0.002)))^2))))/1000</f>
        <v/>
      </c>
      <c r="GO4">
        <f>IF($GN4&lt;N_Ed-1E-9*MAX(1,N_Ed),(GK4+GL4)/2,GK4)</f>
        <v/>
      </c>
      <c r="GP4">
        <f>IF($GN4&lt;N_Ed-1E-9*MAX(1,N_Ed),GL4,(GK4+GL4)/2)</f>
        <v/>
      </c>
      <c r="GQ4">
        <f>h_col*((GO4+GP4)/2)/(1-(GO4+GP4)/2)</f>
        <v/>
      </c>
      <c r="GR4">
        <f>(f_cd*b_col*((3*MIN(GQ4,h_col)/7)+(4*MIN(GQ4,h_col)/7)*(1-((4*MIN(GQ4,h_col)/7)/(GQ4-(3*MIN(GQ4,h_col)/7)))^2/3))+$D4/2*((MAX(-f_yd,MIN(f_yd,200000*IF(GQ4&lt;=h_col,0.0035*(GQ4-d_2)/GQ4,0.002*(GQ4-d_2)/(GQ4-3*h_col/7))))-f_cd*(1-(1-MAX(0,MIN(1,IF(GQ4&lt;=h_col,0.0035*(GQ4-d_2)/GQ4,0.002*(GQ4-d_2)/(GQ4-3*h_col/7))/0.002)))^2))+(MAX(-f_yd,MIN(f_yd,200000*IF(GQ4&lt;=h_col,0.0035*(GQ4-(h_col-d_2))/GQ4,0.002*(GQ4-(h_col-d_2))/(GQ4-3*h_col/7))))-f_cd*(1-(1-MAX(0,MIN(1,IF(GQ4&lt;=h_col,0.0035*(GQ4-(h_col-d_2))/GQ4,0.002*(GQ4-(h_col-d_2))/(GQ4-3*h_col/7))/0.002)))^2))))/1000</f>
        <v/>
      </c>
      <c r="GS4">
        <f>IF($GR4&lt;N_Ed-1E-9*MAX(1,N_Ed),(GO4+GP4)/2,GO4)</f>
        <v/>
      </c>
      <c r="GT4">
        <f>IF($GR4&lt;N_Ed-1E-9*MAX(1,N_Ed),GP4,(GO4+GP4)/2)</f>
        <v/>
      </c>
      <c r="GU4">
        <f>h_col*((GS4+GT4)/2)/(1-(GS4+GT4)/2)</f>
        <v/>
      </c>
      <c r="GV4">
        <f>(f_cd*b_col*((3*MIN(GU4,h_col)/7)+(4*MIN(GU4,h_col)/7)*(1-((4*MIN(GU4,h_col)/7)/(GU4-(3*MIN(GU4,h_col)/7)))^2/3))+$D4/2*((MAX(-f_yd,MIN(f_yd,200000*IF(GU4&lt;=h_col,0.0035*(GU4-d_2)/GU4,0.002*(GU4-d_2)/(GU4-3*h_col/7))))-f_cd*(1-(1-MAX(0,MIN(1,IF(GU4&lt;=h_col,0.0035*(GU4-d_2)/GU4,0.002*(GU4-d_2)/(GU4-3*h_col/7))/0.002)))^2))+(MAX(-f_yd,MIN(f_yd,200000*IF(GU4&lt;=h_col,0.0035*(GU4-(h_col-d_2))/GU4,0.002*(GU4-(h_col-d_2))/(GU4-3*h_col/7))))-f_cd*(1-(1-MAX(0,MIN(1,IF(GU4&lt;=h_col,0.0035*(GU4-(h_col-d_2))/GU4,0.002*(GU4-(h_col-d_2))/(GU4-3*h_col/7))/0.002)))^2))))/1000</f>
        <v/>
      </c>
      <c r="GW4">
        <f>GU4</f>
        <v/>
      </c>
      <c r="GX4">
        <f>(f_cd*b_col*((3*MIN(GW4,h_col)/7)+(4*MIN(GW4,h_col)/7)*(1-((4*MIN(GW4,h_col)/7)/(GW4-(3*MIN(GW4,h_col)/7)))^2/3))+$D4/2*((MAX(-f_yd,MIN(f_yd,200000*IF(GW4&lt;=h_col,0.0035*(GW4-d_2)/GW4,0.002*(GW4-d_2)/(GW4-3*h_col/7))))-f_cd*(1-(1-MAX(0,MIN(1,IF(GW4&lt;=h_col,0.0035*(GW4-d_2)/GW4,0.002*(GW4-d_2)/(GW4-3*h_col/7))/0.002)))^2))+(MAX(-f_yd,MIN(f_yd,200000*IF(GW4&lt;=h_col,0.0035*(GW4-(h_col-d_2))/GW4,0.002*(GW4-(h_col-d_2))/(GW4-3*h_col/7))))-f_cd*(1-(1-MAX(0,MIN(1,IF(GW4&lt;=h_col,0.0035*(GW4-(h_col-d_2))/GW4,0.002*(GW4-(h_col-d_2))/(GW4-3*h_col/7))/0.002)))^2))))/1000</f>
        <v/>
      </c>
      <c r="GY4">
        <f>(f_cd*b_col*((3*MIN(GW4,h_col)/7)*(h_col/2-(3*MIN(GW4,h_col)/7)/2)+(4*MIN(GW4,h_col)/7)*((h_col/2-(3*MIN(GW4,h_col)/7))*(1-((4*MIN(GW4,h_col)/7)/(GW4-(3*MIN(GW4,h_col)/7)))^2/3)-(4*MIN(GW4,h_col)/7)*(0.5-((4*MIN(GW4,h_col)/7)/(GW4-(3*MIN(GW4,h_col)/7)))^2/4)))+$D4/2*((MAX(-f_yd,MIN(f_yd,200000*IF(GW4&lt;=h_col,0.0035*(GW4-d_2)/GW4,0.002*(GW4-d_2)/(GW4-3*h_col/7))))-f_cd*(1-(1-MAX(0,MIN(1,IF(GW4&lt;=h_col,0.0035*(GW4-d_2)/GW4,0.002*(GW4-d_2)/(GW4-3*h_col/7))/0.002)))^2))-(MAX(-f_yd,MIN(f_yd,200000*IF(GW4&lt;=h_col,0.0035*(GW4-(h_col-d_2))/GW4,0.002*(GW4-(h_col-d_2))/(GW4-3*h_col/7))))-f_cd*(1-(1-MAX(0,MIN(1,IF(GW4&lt;=h_col,0.0035*(GW4-(h_col-d_2))/GW4,0.002*(GW4-(h_col-d_2))/(GW4-3*h_col/7))/0.002)))^2)))*(h_col/2-d_2))/1E6</f>
        <v/>
      </c>
      <c r="GZ4">
        <f>GX4&gt;=N_Ed-1E-6*MAX(1,N_Ed)</f>
        <v/>
      </c>
      <c r="HA4">
        <f>IF(GZ4,GY4,-1E9)</f>
        <v/>
      </c>
    </row>
    <row r="6">
      <c r="A6" t="n">
        <v>1</v>
      </c>
      <c r="B6" t="n">
        <v>0</v>
      </c>
      <c r="C6">
        <f>As_top</f>
        <v/>
      </c>
      <c r="D6">
        <f>($B6+$C6)/2</f>
        <v/>
      </c>
      <c r="E6" t="n">
        <v>0</v>
      </c>
      <c r="F6">
        <f>1-1E-12</f>
        <v/>
      </c>
      <c r="G6">
        <f>h_col*((E6+F6)/2)/(1-(E6+F6)/2)</f>
        <v/>
      </c>
      <c r="H6">
        <f>(f_cd*b_col*((3*MIN(G6,h_col)/7)+(4*MIN(G6,h_col)/7)*(1-((4*MIN(G6,h_col)/7)/(G6-(3*MIN(G6,h_col)/7)))^2/3))+$D6/2*((MAX(-f_yd,MIN(f_yd,200000*IF(G6&lt;=h_col,0.0035*(G6-d_2)/G6,0.002*(G6-d_2)/(G6-3*h_col/7))))-f_cd*(1-(1-MAX(0,MIN(1,IF(G6&lt;=h_col,0.0035*(G6-d_2)/G6,0.002*(G6-d_2)/(G6-3*h_col/7))/0.002)))^2))+(MAX(-f_yd,MIN(f_yd,200000*IF(G6&lt;=h_col,0.0035*(G6-(h_col-d_2))/G6,0.002*(G6-(h_col-d_2))/(G6-3*h_col/7))))-f_cd*(1-(1-MAX(0,MIN(1,IF(G6&lt;=h_col,0.0035*(G6-(h_col-d_2))/G6,0.002*(G6-(h_col-d_2))/(G6-3*h_col/7))/0.002)))^2))))/1000</f>
        <v/>
      </c>
      <c r="I6">
        <f>IF($H6&lt;N_Ed-1E-9*MAX(1,N_Ed),(E6+F6)/2,E6)</f>
        <v/>
      </c>
      <c r="J6">
        <f>IF($H6&lt;N_Ed-1E-9*MAX(1,N_Ed),F6,(E6+F6)/2)</f>
        <v/>
      </c>
      <c r="K6">
        <f>h_col*((I6+J6)/2)/(1-(I6+J6)/2)</f>
        <v/>
      </c>
      <c r="L6">
        <f>(f_cd*b_col*((3*MIN(K6,h_col)/7)+(4*MIN(K6,h_col)/7)*(1-((4*MIN(K6,h_col)/7)/(K6-(3*MIN(K6,h_col)/7)))^2/3))+$D6/2*((MAX(-f_yd,MIN(f_yd,200000*IF(K6&lt;=h_col,0.0035*(K6-d_2)/K6,0.002*(K6-d_2)/(K6-3*h_col/7))))-f_cd*(1-(1-MAX(0,MIN(1,IF(K6&lt;=h_col,0.0035*(K6-d_2)/K6,0.002*(K6-d_2)/(K6-3*h_col/7))/0.002)))^2))+(MAX(-f_yd,MIN(f_yd,200000*IF(K6&lt;=h_col,0.0035*(K6-(h_col-d_2))/K6,0.002*(K6-(h_col-d_2))/(K6-3*h_col/7))))-f_cd*(1-(1-MAX(0,MIN(1,IF(K6&lt;=h_col,0.0035*(K6-(h_col-d_2))/K6,0.002*(K6-(h_col-d_2))/(K6-3*h_col/7))/0.002)))^2))))/1000</f>
        <v/>
      </c>
      <c r="M6">
        <f>IF($L6&lt;N_Ed-1E-9*MAX(1,N_Ed),(I6+J6)/2,I6)</f>
        <v/>
      </c>
      <c r="N6">
        <f>IF($L6&lt;N_Ed-1E-9*MAX(1,N_Ed),J6,(I6+J6)/2)</f>
        <v/>
      </c>
      <c r="O6">
        <f>h_col*((M6+N6)/2)/(1-(M6+N6)/2)</f>
        <v/>
      </c>
      <c r="P6">
        <f>(f_cd*b_col*((3*MIN(O6,h_col)/7)+(4*MIN(O6,h_col)/7)*(1-((4*MIN(O6,h_col)/7)/(O6-(3*MIN(O6,h_col)/7)))^2/3))+$D6/2*((MAX(-f_yd,MIN(f_yd,200000*IF(O6&lt;=h_col,0.0035*(O6-d_2)/O6,0.002*(O6-d_2)/(O6-3*h_col/7))))-f_cd*(1-(1-MAX(0,MIN(1,IF(O6&lt;=h_col,0.0035*(O6-d_2)/O6,0.002*(O6-d_2)/(O6-3*h_col/7))/0.002)))^2))+(MAX(-f_yd,MIN(f_yd,200000*IF(O6&lt;=h_col,0.0035*(O6-(h_col-d_2))/O6,0.002*(O6-(h_col-d_2))/(O6-3*h_col/7))))-f_cd*(1-(1-MAX(0,MIN(1,IF(O6&lt;=h_col,0.0035*(O6-(h_col-d_2))/O6,0.002*(O6-(h_col-d_2))/(O6-3*h_col/7))/0.002)))^2))))/1000</f>
        <v/>
      </c>
      <c r="Q6">
        <f>IF($P6&lt;N_Ed-1E-9*MAX(1,N_Ed),(M6+N6)/2,M6)</f>
        <v/>
      </c>
      <c r="R6">
        <f>IF($P6&lt;N_Ed-1E-9*MAX(1,N_Ed),N6,(M6+N6)/2)</f>
        <v/>
      </c>
      <c r="S6">
        <f>h_col*((Q6+R6)/2)/(1-(Q6+R6)/2)</f>
        <v/>
      </c>
      <c r="T6">
        <f>(f_cd*b_col*((3*MIN(S6,h_col)/7)+(4*MIN(S6,h_col)/7)*(1-((4*MIN(S6,h_col)/7)/(S6-(3*MIN(S6,h_col)/7)))^2/3))+$D6/2*((MAX(-f_yd,MIN(f_yd,200000*IF(S6&lt;=h_col,0.0035*(S6-d_2)/S6,0.002*(S6-d_2)/(S6-3*h_col/7))))-f_cd*(1-(1-MAX(0,MIN(1,IF(S6&lt;=h_col,0.0035*(S6-d_2)/S6,0.002*(S6-d_2)/(S6-3*h_col/7))/0.002)))^2))+(MAX(-f_yd,MIN(f_yd,200000*IF(S6&lt;=h_col,0.0035*(S6-(h_col-d_2))/S6,0.002*(S6-(h_col-d_2))/(S6-3*h_col/7))))-f_cd*(1-(1-MAX(0,MIN(1,IF(S6&lt;=h_col,0.0035*(S6-(h_col-d_2))/S6,0.002*(S6-(h_col-d_2))/(S6-3*h_col/7))/0.002)))^2))))/1000</f>
        <v/>
      </c>
      <c r="U6">
        <f>IF($T6&lt;N_Ed-1E-9*MAX(1,N_Ed),(Q6+R6)/2,Q6)</f>
        <v/>
      </c>
      <c r="V6">
        <f>IF($T6&lt;N_Ed-1E-9*MAX(1,N_Ed),R6,(Q6+R6)/2)</f>
        <v/>
      </c>
      <c r="W6">
        <f>h_col*((U6+V6)/2)/(1-(U6+V6)/2)</f>
        <v/>
      </c>
      <c r="X6">
        <f>(f_cd*b_col*((3*MIN(W6,h_col)/7)+(4*MIN(W6,h_col)/7)*(1-((4*MIN(W6,h_col)/7)/(W6-(3*MIN(W6,h_col)/7)))^2/3))+$D6/2*((MAX(-f_yd,MIN(f_yd,200000*IF(W6&lt;=h_col,0.0035*(W6-d_2)/W6,0.002*(W6-d_2)/(W6-3*h_col/7))))-f_cd*(1-(1-MAX(0,MIN(1,IF(W6&lt;=h_col,0.0035*(W6-d_2)/W6,0.002*(W6-d_2)/(W6-3*h_col/7))/0.002)))^2))+(MAX(-f_yd,MIN(f_yd,200000*IF(W6&lt;=h_col,0.0035*(W6-(h_col-d_2))/W6,0.002*(W6-(h_col-d_2))/(W6-3*h_col/7))))-f_cd*(1-(1-MAX(0,MIN(1,IF(W6&lt;=h_col,0.0035*(W6-(h_col-d_2))/W6,0.002*(W6-(h_col-d_2))/(W6-3*h_col/7))/0.002)))^2))))/1000</f>
        <v/>
      </c>
      <c r="Y6">
        <f>IF($X6&lt;N_Ed-1E-9*MAX(1,N_Ed),(U6+V6)/2,U6)</f>
        <v/>
      </c>
      <c r="Z6">
        <f>IF($X6&lt;N_Ed-1E-9*MAX(1,N_Ed),V6,(U6+V6)/2)</f>
        <v/>
      </c>
      <c r="AA6">
        <f>h_col*((Y6+Z6)/2)/(1-(Y6+Z6)/2)</f>
        <v/>
      </c>
      <c r="AB6">
        <f>(f_cd*b_col*((3*MIN(AA6,h_col)/7)+(4*MIN(AA6,h_col)/7)*(1-((4*MIN(AA6,h_col)/7)/(AA6-(3*MIN(AA6,h_col)/7)))^2/3))+$D6/2*((MAX(-f_yd,MIN(f_yd,200000*IF(AA6&lt;=h_col,0.0035*(AA6-d_2)/AA6,0.002*(AA6-d_2)/(AA6-3*h_col/7))))-f_cd*(1-(1-MAX(0,MIN(1,IF(AA6&lt;=h_col,0.0035*(AA6-d_2)/AA6,0.002*(AA6-d_2)/(AA6-3*h_col/7))/0.002)))^2))+(MAX(-f_yd,MIN(f_yd,200000*IF(AA6&lt;=h_col,0.0035*(AA6-(h_col-d_2))/AA6,0.002*(AA6-(h_col-d_2))/(AA6-3*h_col/7))))-f_cd*(1-(1-MAX(0,MIN(1,IF(AA6&lt;=h_col,0.0035*(AA6-(h_col-d_2))/AA6,0.002*(AA6-(h_col-d_2))/(AA6-3*h_col/7))/0.002)))^2))))/1000</f>
        <v/>
      </c>
      <c r="AC6">
        <f>IF($AB6&lt;N_Ed-1E-9*MAX(1,N_Ed),(Y6+Z6)/2,Y6)</f>
        <v/>
      </c>
      <c r="AD6">
        <f>IF($AB6&lt;N_Ed-1E-9*MAX(1,N_Ed),Z6,(Y6+Z6)/2)</f>
        <v/>
      </c>
      <c r="AE6">
        <f>h_col*((AC6+AD6)/2)/(1-(AC6+AD6)/2)</f>
        <v/>
      </c>
      <c r="AF6">
        <f>(f_cd*b_col*((3*MIN(AE6,h_col)/7)+(4*MIN(AE6,h_col)/7)*(1-((4*MIN(AE6,h_col)/7)/(AE6-(3*MIN(AE6,h_col)/7)))^2/3))+$D6/2*((MAX(-f_yd,MIN(f_yd,200000*IF(AE6&lt;=h_col,0.0035*(AE6-d_2)/AE6,0.002*(AE6-d_2)/(AE6-3*h_col/7))))-f_cd*(1-(1-MAX(0,MIN(1,IF(AE6&lt;=h_col,0.0035*(AE6-d_2)/AE6,0.002*(AE6-d_2)/(AE6-3*h_col/7))/0.002)))^2))+(MAX(-f_yd,MIN(f_yd,200000*IF(AE6&lt;=h_col,0.0035*(AE6-(h_col-d_2))/AE6,0.002*(AE6-(h_col-d_2))/(AE6-3*h_col/7))))-f_cd*(1-(1-MAX(0,MIN(1,IF(AE6&lt;=h_col,0.0035*(AE6-(h_col-d_2))/AE6,0.002*(AE6-(h_col-d_2))/(AE6-3*h_col/7))/0.002)))^2))))/1000</f>
        <v/>
      </c>
      <c r="AG6">
        <f>IF($AF6&lt;N_Ed-1E-9*MAX(1,N_Ed),(AC6+AD6)/2,AC6)</f>
        <v/>
      </c>
      <c r="AH6">
        <f>IF($AF6&lt;N_Ed-1E-9*MAX(1,N_Ed),AD6,(AC6+AD6)/2)</f>
        <v/>
      </c>
      <c r="AI6">
        <f>h_col*((AG6+AH6)/2)/(1-(AG6+AH6)/2)</f>
        <v/>
      </c>
      <c r="AJ6">
        <f>(f_cd*b_col*((3*MIN(AI6,h_col)/7)+(4*MIN(AI6,h_col)/7)*(1-((4*MIN(AI6,h_col)/7)/(AI6-(3*MIN(AI6,h_col)/7)))^2/3))+$D6/2*((MAX(-f_yd,MIN(f_yd,200000*IF(AI6&lt;=h_col,0.0035*(AI6-d_2)/AI6,0.002*(AI6-d_2)/(AI6-3*h_col/7))))-f_cd*(1-(1-MAX(0,MIN(1,IF(AI6&lt;=h_col,0.0035*(AI6-d_2)/AI6,0.002*(AI6-d_2)/(AI6-3*h_col/7))/0.002)))^2))+(MAX(-f_yd,MIN(f_yd,200000*IF(AI6&lt;=h_col,0.0035*(AI6-(h_col-d_2))/AI6,0.002*(AI6-(h_col-d_2))/(AI6-3*h_col/7))))-f_cd*(1-(1-MAX(0,MIN(1,IF(AI6&lt;=h_col,0.0035*(AI6-(h_col-d_2))/AI6,0.002*(AI6-(h_col-d_2))/(AI6-3*h_col/7))/0.002)))^2))))/1000</f>
        <v/>
      </c>
      <c r="AK6">
        <f>IF($AJ6&lt;N_Ed-1E-9*MAX(1,N_Ed),(AG6+AH6)/2,AG6)</f>
        <v/>
      </c>
      <c r="AL6">
        <f>IF($AJ6&lt;N_Ed-1E-9*MAX(1,N_Ed),AH6,(AG6+AH6)/2)</f>
        <v/>
      </c>
      <c r="AM6">
        <f>h_col*((AK6+AL6)/2)/(1-(AK6+AL6)/2)</f>
        <v/>
      </c>
      <c r="AN6">
        <f>(f_cd*b_col*((3*MIN(AM6,h_col)/7)+(4*MIN(AM6,h_col)/7)*(1-((4*MIN(AM6,h_col)/7)/(AM6-(3*MIN(AM6,h_col)/7)))^2/3))+$D6/2*((MAX(-f_yd,MIN(f_yd,200000*IF(AM6&lt;=h_col,0.0035*(AM6-d_2)/AM6,0.002*(AM6-d_2)/(AM6-3*h_col/7))))-f_cd*(1-(1-MAX(0,MIN(1,IF(AM6&lt;=h_col,0.0035*(AM6-d_2)/AM6,0.002*(AM6-d_2)/(AM6-3*h_col/7))/0.002)))^2))+(MAX(-f_yd,MIN(f_yd,200000*IF(AM6&lt;=h_col,0.0035*(AM6-(h_col-d_2))/AM6,0.002*(AM6-(h_col-d_2))/(AM6-3*h_col/7))))-f_cd*(1-(1-MAX(0,MIN(1,IF(AM6&lt;=h_col,0.0035*(AM6-(h_col-d_2))/AM6,0.002*(AM6-(h_col-d_2))/(AM6-3*h_col/7))/0.002)))^2))))/1000</f>
        <v/>
      </c>
      <c r="AO6">
        <f>IF($AN6&lt;N_Ed-1E-9*MAX(1,N_Ed),(AK6+AL6)/2,AK6)</f>
        <v/>
      </c>
      <c r="AP6">
        <f>IF($AN6&lt;N_Ed-1E-9*MAX(1,N_Ed),AL6,(AK6+AL6)/2)</f>
        <v/>
      </c>
      <c r="AQ6">
        <f>h_col*((AO6+AP6)/2)/(1-(AO6+AP6)/2)</f>
        <v/>
      </c>
      <c r="AR6">
        <f>(f_cd*b_col*((3*MIN(AQ6,h_col)/7)+(4*MIN(AQ6,h_col)/7)*(1-((4*MIN(AQ6,h_col)/7)/(AQ6-(3*MIN(AQ6,h_col)/7)))^2/3))+$D6/2*((MAX(-f_yd,MIN(f_yd,200000*IF(AQ6&lt;=h_col,0.0035*(AQ6-d_2)/AQ6,0.002*(AQ6-d_2)/(AQ6-3*h_col/7))))-f_cd*(1-(1-MAX(0,MIN(1,IF(AQ6&lt;=h_col,0.0035*(AQ6-d_2)/AQ6,0.002*(AQ6-d_2)/(AQ6-3*h_col/7))/0.002)))^2))+(MAX(-f_yd,MIN(f_yd,200000*IF(AQ6&lt;=h_col,0.0035*(AQ6-(h_col-d_2))/AQ6,0.002*(AQ6-(h_col-d_2))/(AQ6-3*h_col/7))))-f_cd*(1-(1-MAX(0,MIN(1,IF(AQ6&lt;=h_col,0.0035*(AQ6-(h_col-d_2))/AQ6,0.002*(AQ6-(h_col-d_2))/(AQ6-3*h_col/7))/0.002)))^2))))/1000</f>
        <v/>
      </c>
      <c r="AS6">
        <f>IF($AR6&lt;N_Ed-1E-9*MAX(1,N_Ed),(AO6+AP6)/2,AO6)</f>
        <v/>
      </c>
      <c r="AT6">
        <f>IF($AR6&lt;N_Ed-1E-9*MAX(1,N_Ed),AP6,(AO6+AP6)/2)</f>
        <v/>
      </c>
      <c r="AU6">
        <f>h_col*((AS6+AT6)/2)/(1-(AS6+AT6)/2)</f>
        <v/>
      </c>
      <c r="AV6">
        <f>(f_cd*b_col*((3*MIN(AU6,h_col)/7)+(4*MIN(AU6,h_col)/7)*(1-((4*MIN(AU6,h_col)/7)/(AU6-(3*MIN(AU6,h_col)/7)))^2/3))+$D6/2*((MAX(-f_yd,MIN(f_yd,200000*IF(AU6&lt;=h_col,0.0035*(AU6-d_2)/AU6,0.002*(AU6-d_2)/(AU6-3*h_col/7))))-f_cd*(1-(1-MAX(0,MIN(1,IF(AU6&lt;=h_col,0.0035*(AU6-d_2)/AU6,0.002*(AU6-d_2)/(AU6-3*h_col/7))/0.002)))^2))+(MAX(-f_yd,MIN(f_yd,200000*IF(AU6&lt;=h_col,0.0035*(AU6-(h_col-d_2))/AU6,0.002*(AU6-(h_col-d_2))/(AU6-3*h_col/7))))-f_cd*(1-(1-MAX(0,MIN(1,IF(AU6&lt;=h_col,0.0035*(AU6-(h_col-d_2))/AU6,0.002*(AU6-(h_col-d_2))/(AU6-3*h_col/7))/0.002)))^2))))/1000</f>
        <v/>
      </c>
      <c r="AW6">
        <f>IF($AV6&lt;N_Ed-1E-9*MAX(1,N_Ed),(AS6+AT6)/2,AS6)</f>
        <v/>
      </c>
      <c r="AX6">
        <f>IF($AV6&lt;N_Ed-1E-9*MAX(1,N_Ed),AT6,(AS6+AT6)/2)</f>
        <v/>
      </c>
      <c r="AY6">
        <f>h_col*((AW6+AX6)/2)/(1-(AW6+AX6)/2)</f>
        <v/>
      </c>
      <c r="AZ6">
        <f>(f_cd*b_col*((3*MIN(AY6,h_col)/7)+(4*MIN(AY6,h_col)/7)*(1-((4*MIN(AY6,h_col)/7)/(AY6-(3*MIN(AY6,h_col)/7)))^2/3))+$D6/2*((MAX(-f_yd,MIN(f_yd,200000*IF(AY6&lt;=h_col,0.0035*(AY6-d_2)/AY6,0.002*(AY6-d_2)/(AY6-3*h_col/7))))-f_cd*(1-(1-MAX(0,MIN(1,IF(AY6&lt;=h_col,0.0035*(AY6-d_2)/AY6,0.002*(AY6-d_2)/(AY6-3*h_col/7))/0.002)))^2))+(MAX(-f_yd,MIN(f_yd,200000*IF(AY6&lt;=h_col,0.0035*(AY6-(h_col-d_2))/AY6,0.002*(AY6-(h_col-d_2))/(AY6-3*h_col/7))))-f_cd*(1-(1-MAX(0,MIN(1,IF(AY6&lt;=h_col,0.0035*(AY6-(h_col-d_2))/AY6,0.002*(AY6-(h_col-d_2))/(AY6-3*h_col/7))/0.002)))^2))))/1000</f>
        <v/>
      </c>
      <c r="BA6">
        <f>IF($AZ6&lt;N_Ed-1E-9*MAX(1,N_Ed),(AW6+AX6)/2,AW6)</f>
        <v/>
      </c>
      <c r="BB6">
        <f>IF($AZ6&lt;N_Ed-1E-9*MAX(1,N_Ed),AX6,(AW6+AX6)/2)</f>
        <v/>
      </c>
      <c r="BC6">
        <f>h_col*((BA6+BB6)/2)/(1-(BA6+BB6)/2)</f>
        <v/>
      </c>
      <c r="BD6">
        <f>(f_cd*b_col*((3*MIN(BC6,h_col)/7)+(4*MIN(BC6,h_col)/7)*(1-((4*MIN(BC6,h_col)/7)/(BC6-(3*MIN(BC6,h_col)/7)))^2/3))+$D6/2*((MAX(-f_yd,MIN(f_yd,200000*IF(BC6&lt;=h_col,0.0035*(BC6-d_2)/BC6,0.002*(BC6-d_2)/(BC6-3*h_col/7))))-f_cd*(1-(1-MAX(0,MIN(1,IF(BC6&lt;=h_col,0.0035*(BC6-d_2)/BC6,0.002*(BC6-d_2)/(BC6-3*h_col/7))/0.002)))^2))+(MAX(-f_yd,MIN(f_yd,200000*IF(BC6&lt;=h_col,0.0035*(BC6-(h_col-d_2))/BC6,0.002*(BC6-(h_col-d_2))/(BC6-3*h_col/7))))-f_cd*(1-(1-MAX(0,MIN(1,IF(BC6&lt;=h_col,0.0035*(BC6-(h_col-d_2))/BC6,0.002*(BC6-(h_col-d_2))/(BC6-3*h_col/7))/0.002)))^2))))/1000</f>
        <v/>
      </c>
      <c r="BE6">
        <f>IF($BD6&lt;N_Ed-1E-9*MAX(1,N_Ed),(BA6+BB6)/2,BA6)</f>
        <v/>
      </c>
      <c r="BF6">
        <f>IF($BD6&lt;N_Ed-1E-9*MAX(1,N_Ed),BB6,(BA6+BB6)/2)</f>
        <v/>
      </c>
      <c r="BG6">
        <f>h_col*((BE6+BF6)/2)/(1-(BE6+BF6)/2)</f>
        <v/>
      </c>
      <c r="BH6">
        <f>(f_cd*b_col*((3*MIN(BG6,h_col)/7)+(4*MIN(BG6,h_col)/7)*(1-((4*MIN(BG6,h_col)/7)/(BG6-(3*MIN(BG6,h_col)/7)))^2/3))+$D6/2*((MAX(-f_yd,MIN(f_yd,200000*IF(BG6&lt;=h_col,0.0035*(BG6-d_2)/BG6,0.002*(BG6-d_2)/(BG6-3*h_col/7))))-f_cd*(1-(1-MAX(0,MIN(1,IF(BG6&lt;=h_col,0.0035*(BG6-d_2)/BG6,0.002*(BG6-d_2)/(BG6-3*h_col/7))/0.002)))^2))+(MAX(-f_yd,MIN(f_yd,200000*IF(BG6&lt;=h_col,0.0035*(BG6-(h_col-d_2))/BG6,0.002*(BG6-(h_col-d_2))/(BG6-3*h_col/7))))-f_cd*(1-(1-MAX(0,MIN(1,IF(BG6&lt;=h_col,0.0035*(BG6-(h_col-d_2))/BG6,0.002*(BG6-(h_col-d_2))/(BG6-3*h_col/7))/0.002)))^2))))/1000</f>
        <v/>
      </c>
      <c r="BI6">
        <f>IF($BH6&lt;N_Ed-1E-9*MAX(1,N_Ed),(BE6+BF6)/2,BE6)</f>
        <v/>
      </c>
      <c r="BJ6">
        <f>IF($BH6&lt;N_Ed-1E-9*MAX(1,N_Ed),BF6,(BE6+BF6)/2)</f>
        <v/>
      </c>
      <c r="BK6">
        <f>h_col*((BI6+BJ6)/2)/(1-(BI6+BJ6)/2)</f>
        <v/>
      </c>
      <c r="BL6">
        <f>(f_cd*b_col*((3*MIN(BK6,h_col)/7)+(4*MIN(BK6,h_col)/7)*(1-((4*MIN(BK6,h_col)/7)/(BK6-(3*MIN(BK6,h_col)/7)))^2/3))+$D6/2*((MAX(-f_yd,MIN(f_yd,200000*IF(BK6&lt;=h_col,0.0035*(BK6-d_2)/BK6,0.002*(BK6-d_2)/(BK6-3*h_col/7))))-f_cd*(1-(1-MAX(0,MIN(1,IF(BK6&lt;=h_col,0.0035*(BK6-d_2)/BK6,0.002*(BK6-d_2)/(BK6-3*h_col/7))/0.002)))^2))+(MAX(-f_yd,MIN(f_yd,200000*IF(BK6&lt;=h_col,0.0035*(BK6-(h_col-d_2))/BK6,0.002*(BK6-(h_col-d_2))/(BK6-3*h_col/7))))-f_cd*(1-(1-MAX(0,MIN(1,IF(BK6&lt;=h_col,0.0035*(BK6-(h_col-d_2))/BK6,0.002*(BK6-(h_col-d_2))/(BK6-3*h_col/7))/0.002)))^2))))/1000</f>
        <v/>
      </c>
      <c r="BM6">
        <f>IF($BL6&lt;N_Ed-1E-9*MAX(1,N_Ed),(BI6+BJ6)/2,BI6)</f>
        <v/>
      </c>
      <c r="BN6">
        <f>IF($BL6&lt;N_Ed-1E-9*MAX(1,N_Ed),BJ6,(BI6+BJ6)/2)</f>
        <v/>
      </c>
      <c r="BO6">
        <f>h_col*((BM6+BN6)/2)/(1-(BM6+BN6)/2)</f>
        <v/>
      </c>
      <c r="BP6">
        <f>(f_cd*b_col*((3*MIN(BO6,h_col)/7)+(4*MIN(BO6,h_col)/7)*(1-((4*MIN(BO6,h_col)/7)/(BO6-(3*MIN(BO6,h_col)/7)))^2/3))+$D6/2*((MAX(-f_yd,MIN(f_yd,200000*IF(BO6&lt;=h_col,0.0035*(BO6-d_2)/BO6,0.002*(BO6-d_2)/(BO6-3*h_col/7))))-f_cd*(1-(1-MAX(0,MIN(1,IF(BO6&lt;=h_col,0.0035*(BO6-d_2)/BO6,0.002*(BO6-d_2)/(BO6-3*h_col/7))/0.002)))^2))+(MAX(-f_yd,MIN(f_yd,200000*IF(BO6&lt;=h_col,0.0035*(BO6-(h_col-d_2))/BO6,0.002*(BO6-(h_col-d_2))/(BO6-3*h_col/7))))-f_cd*(1-(1-MAX(0,MIN(1,IF(BO6&lt;=h_col,0.0035*(BO6-(h_col-d_2))/BO6,0.002*(BO6-(h_col-d_2))/(BO6-3*h_col/7))/0.002)))^2))))/1000</f>
        <v/>
      </c>
      <c r="BQ6">
        <f>IF($BP6&lt;N_Ed-1E-9*MAX(1,N_Ed),(BM6+BN6)/2,BM6)</f>
        <v/>
      </c>
      <c r="BR6">
        <f>IF($BP6&lt;N_Ed-1E-9*MAX(1,N_Ed),BN6,(BM6+BN6)/2)</f>
        <v/>
      </c>
      <c r="BS6">
        <f>h_col*((BQ6+BR6)/2)/(1-(BQ6+BR6)/2)</f>
        <v/>
      </c>
      <c r="BT6">
        <f>(f_cd*b_col*((3*MIN(BS6,h_col)/7)+(4*MIN(BS6,h_col)/7)*(1-((4*MIN(BS6,h_col)/7)/(BS6-(3*MIN(BS6,h_col)/7)))^2/3))+$D6/2*((MAX(-f_yd,MIN(f_yd,200000*IF(BS6&lt;=h_col,0.0035*(BS6-d_2)/BS6,0.002*(BS6-d_2)/(BS6-3*h_col/7))))-f_cd*(1-(1-MAX(0,MIN(1,IF(BS6&lt;=h_col,0.0035*(BS6-d_2)/BS6,0.002*(BS6-d_2)/(BS6-3*h_col/7))/0.002)))^2))+(MAX(-f_yd,MIN(f_yd,200000*IF(BS6&lt;=h_col,0.0035*(BS6-(h_col-d_2))/BS6,0.002*(BS6-(h_col-d_2))/(BS6-3*h_col/7))))-f_cd*(1-(1-MAX(0,MIN(1,IF(BS6&lt;=h_col,0.0035*(BS6-(h_col-d_2))/BS6,0.002*(BS6-(h_col-d_2))/(BS6-3*h_col/7))/0.002)))^2))))/1000</f>
        <v/>
      </c>
      <c r="BU6">
        <f>IF($BT6&lt;N_Ed-1E-9*MAX(1,N_Ed),(BQ6+BR6)/2,BQ6)</f>
        <v/>
      </c>
      <c r="BV6">
        <f>IF($BT6&lt;N_Ed-1E-9*MAX(1,N_Ed),BR6,(BQ6+BR6)/2)</f>
        <v/>
      </c>
      <c r="BW6">
        <f>h_col*((BU6+BV6)/2)/(1-(BU6+BV6)/2)</f>
        <v/>
      </c>
      <c r="BX6">
        <f>(f_cd*b_col*((3*MIN(BW6,h_col)/7)+(4*MIN(BW6,h_col)/7)*(1-((4*MIN(BW6,h_col)/7)/(BW6-(3*MIN(BW6,h_col)/7)))^2/3))+$D6/2*((MAX(-f_yd,MIN(f_yd,200000*IF(BW6&lt;=h_col,0.0035*(BW6-d_2)/BW6,0.002*(BW6-d_2)/(BW6-3*h_col/7))))-f_cd*(1-(1-MAX(0,MIN(1,IF(BW6&lt;=h_col,0.0035*(BW6-d_2)/BW6,0.002*(BW6-d_2)/(BW6-3*h_col/7))/0.002)))^2))+(MAX(-f_yd,MIN(f_yd,200000*IF(BW6&lt;=h_col,0.0035*(BW6-(h_col-d_2))/BW6,0.002*(BW6-(h_col-d_2))/(BW6-3*h_col/7))))-f_cd*(1-(1-MAX(0,MIN(1,IF(BW6&lt;=h_col,0.0035*(BW6-(h_col-d_2))/BW6,0.002*(BW6-(h_col-d_2))/(BW6-3*h_col/7))/0.002)))^2))))/1000</f>
        <v/>
      </c>
      <c r="BY6">
        <f>IF($BX6&lt;N_Ed-1E-9*MAX(1,N_Ed),(BU6+BV6)/2,BU6)</f>
        <v/>
      </c>
      <c r="BZ6">
        <f>IF($BX6&lt;N_Ed-1E-9*MAX(1,N_Ed),BV6,(BU6+BV6)/2)</f>
        <v/>
      </c>
      <c r="CA6">
        <f>h_col*((BY6+BZ6)/2)/(1-(BY6+BZ6)/2)</f>
        <v/>
      </c>
      <c r="CB6">
        <f>(f_cd*b_col*((3*MIN(CA6,h_col)/7)+(4*MIN(CA6,h_col)/7)*(1-((4*MIN(CA6,h_col)/7)/(CA6-(3*MIN(CA6,h_col)/7)))^2/3))+$D6/2*((MAX(-f_yd,MIN(f_yd,200000*IF(CA6&lt;=h_col,0.0035*(CA6-d_2)/CA6,0.002*(CA6-d_2)/(CA6-3*h_col/7))))-f_cd*(1-(1-MAX(0,MIN(1,IF(CA6&lt;=h_col,0.0035*(CA6-d_2)/CA6,0.002*(CA6-d_2)/(CA6-3*h_col/7))/0.002)))^2))+(MAX(-f_yd,MIN(f_yd,200000*IF(CA6&lt;=h_col,0.0035*(CA6-(h_col-d_2))/CA6,0.002*(CA6-(h_col-d_2))/(CA6-3*h_col/7))))-f_cd*(1-(1-MAX(0,MIN(1,IF(CA6&lt;=h_col,0.0035*(CA6-(h_col-d_2))/CA6,0.002*(CA6-(h_col-d_2))/(CA6-3*h_col/7))/0.002)))^2))))/1000</f>
        <v/>
      </c>
      <c r="CC6">
        <f>IF($CB6&lt;N_Ed-1E-9*MAX(1,N_Ed),(BY6+BZ6)/2,BY6)</f>
        <v/>
      </c>
      <c r="CD6">
        <f>IF($CB6&lt;N_Ed-1E-9*MAX(1,N_Ed),BZ6,(BY6+BZ6)/2)</f>
        <v/>
      </c>
      <c r="CE6">
        <f>h_col*((CC6+CD6)/2)/(1-(CC6+CD6)/2)</f>
        <v/>
      </c>
      <c r="CF6">
        <f>(f_cd*b_col*((3*MIN(CE6,h_col)/7)+(4*MIN(CE6,h_col)/7)*(1-((4*MIN(CE6,h_col)/7)/(CE6-(3*MIN(CE6,h_col)/7)))^2/3))+$D6/2*((MAX(-f_yd,MIN(f_yd,200000*IF(CE6&lt;=h_col,0.0035*(CE6-d_2)/CE6,0.002*(CE6-d_2)/(CE6-3*h_col/7))))-f_cd*(1-(1-MAX(0,MIN(1,IF(CE6&lt;=h_col,0.0035*(CE6-d_2)/CE6,0.002*(CE6-d_2)/(CE6-3*h_col/7))/0.002)))^2))+(MAX(-f_yd,MIN(f_yd,200000*IF(CE6&lt;=h_col,0.0035*(CE6-(h_col-d_2))/CE6,0.002*(CE6-(h_col-d_2))/(CE6-3*h_col/7))))-f_cd*(1-(1-MAX(0,MIN(1,IF(CE6&lt;=h_col,0.0035*(CE6-(h_col-d_2))/CE6,0.002*(CE6-(h_col-d_2))/(CE6-3*h_col/7))/0.002)))^2))))/1000</f>
        <v/>
      </c>
      <c r="CG6">
        <f>IF($CF6&lt;N_Ed-1E-9*MAX(1,N_Ed),(CC6+CD6)/2,CC6)</f>
        <v/>
      </c>
      <c r="CH6">
        <f>IF($CF6&lt;N_Ed-1E-9*MAX(1,N_Ed),CD6,(CC6+CD6)/2)</f>
        <v/>
      </c>
      <c r="CI6">
        <f>h_col*((CG6+CH6)/2)/(1-(CG6+CH6)/2)</f>
        <v/>
      </c>
      <c r="CJ6">
        <f>(f_cd*b_col*((3*MIN(CI6,h_col)/7)+(4*MIN(CI6,h_col)/7)*(1-((4*MIN(CI6,h_col)/7)/(CI6-(3*MIN(CI6,h_col)/7)))^2/3))+$D6/2*((MAX(-f_yd,MIN(f_yd,200000*IF(CI6&lt;=h_col,0.0035*(CI6-d_2)/CI6,0.002*(CI6-d_2)/(CI6-3*h_col/7))))-f_cd*(1-(1-MAX(0,MIN(1,IF(CI6&lt;=h_col,0.0035*(CI6-d_2)/CI6,0.002*(CI6-d_2)/(CI6-3*h_col/7))/0.002)))^2))+(MAX(-f_yd,MIN(f_yd,200000*IF(CI6&lt;=h_col,0.0035*(CI6-(h_col-d_2))/CI6,0.002*(CI6-(h_col-d_2))/(CI6-3*h_col/7))))-f_cd*(1-(1-MAX(0,MIN(1,IF(CI6&lt;=h_col,0.0035*(CI6-(h_col-d_2))/CI6,0.002*(CI6-(h_col-d_2))/(CI6-3*h_col/7))/0.002)))^2))))/1000</f>
        <v/>
      </c>
      <c r="CK6">
        <f>IF($CJ6&lt;N_Ed-1E-9*MAX(1,N_Ed),(CG6+CH6)/2,CG6)</f>
        <v/>
      </c>
      <c r="CL6">
        <f>IF($CJ6&lt;N_Ed-1E-9*MAX(1,N_Ed),CH6,(CG6+CH6)/2)</f>
        <v/>
      </c>
      <c r="CM6">
        <f>h_col*((CK6+CL6)/2)/(1-(CK6+CL6)/2)</f>
        <v/>
      </c>
      <c r="CN6">
        <f>(f_cd*b_col*((3*MIN(CM6,h_col)/7)+(4*MIN(CM6,h_col)/7)*(1-((4*MIN(CM6,h_col)/7)/(CM6-(3*MIN(CM6,h_col)/7)))^2/3))+$D6/2*((MAX(-f_yd,MIN(f_yd,200000*IF(CM6&lt;=h_col,0.0035*(CM6-d_2)/CM6,0.002*(CM6-d_2)/(CM6-3*h_col/7))))-f_cd*(1-(1-MAX(0,MIN(1,IF(CM6&lt;=h_col,0.0035*(CM6-d_2)/CM6,0.002*(CM6-d_2)/(CM6-3*h_col/7))/0.002)))^2))+(MAX(-f_yd,MIN(f_yd,200000*IF(CM6&lt;=h_col,0.0035*(CM6-(h_col-d_2))/CM6,0.002*(CM6-(h_col-d_2))/(CM6-3*h_col/7))))-f_cd*(1-(1-MAX(0,MIN(1,IF(CM6&lt;=h_col,0.0035*(CM6-(h_col-d_2))/CM6,0.002*(CM6-(h_col-d_2))/(CM6-3*h_col/7))/0.002)))^2))))/1000</f>
        <v/>
      </c>
      <c r="CO6">
        <f>IF($CN6&lt;N_Ed-1E-9*MAX(1,N_Ed),(CK6+CL6)/2,CK6)</f>
        <v/>
      </c>
      <c r="CP6">
        <f>IF($CN6&lt;N_Ed-1E-9*MAX(1,N_Ed),CL6,(CK6+CL6)/2)</f>
        <v/>
      </c>
      <c r="CQ6">
        <f>h_col*((CO6+CP6)/2)/(1-(CO6+CP6)/2)</f>
        <v/>
      </c>
      <c r="CR6">
        <f>(f_cd*b_col*((3*MIN(CQ6,h_col)/7)+(4*MIN(CQ6,h_col)/7)*(1-((4*MIN(CQ6,h_col)/7)/(CQ6-(3*MIN(CQ6,h_col)/7)))^2/3))+$D6/2*((MAX(-f_yd,MIN(f_yd,200000*IF(CQ6&lt;=h_col,0.0035*(CQ6-d_2)/CQ6,0.002*(CQ6-d_2)/(CQ6-3*h_col/7))))-f_cd*(1-(1-MAX(0,MIN(1,IF(CQ6&lt;=h_col,0.0035*(CQ6-d_2)/CQ6,0.002*(CQ6-d_2)/(CQ6-3*h_col/7))/0.002)))^2))+(MAX(-f_yd,MIN(f_yd,200000*IF(CQ6&lt;=h_col,0.0035*(CQ6-(h_col-d_2))/CQ6,0.002*(CQ6-(h_col-d_2))/(CQ6-3*h_col/7))))-f_cd*(1-(1-MAX(0,MIN(1,IF(CQ6&lt;=h_col,0.0035*(CQ6-(h_col-d_2))/CQ6,0.002*(CQ6-(h_col-d_2))/(CQ6-3*h_col/7))/0.002)))^2))))/1000</f>
        <v/>
      </c>
      <c r="CS6">
        <f>IF($CR6&lt;N_Ed-1E-9*MAX(1,N_Ed),(CO6+CP6)/2,CO6)</f>
        <v/>
      </c>
      <c r="CT6">
        <f>IF($CR6&lt;N_Ed-1E-9*MAX(1,N_Ed),CP6,(CO6+CP6)/2)</f>
        <v/>
      </c>
      <c r="CU6">
        <f>h_col*((CS6+CT6)/2)/(1-(CS6+CT6)/2)</f>
        <v/>
      </c>
      <c r="CV6">
        <f>(f_cd*b_col*((3*MIN(CU6,h_col)/7)+(4*MIN(CU6,h_col)/7)*(1-((4*MIN(CU6,h_col)/7)/(CU6-(3*MIN(CU6,h_col)/7)))^2/3))+$D6/2*((MAX(-f_yd,MIN(f_yd,200000*IF(CU6&lt;=h_col,0.0035*(CU6-d_2)/CU6,0.002*(CU6-d_2)/(CU6-3*h_col/7))))-f_cd*(1-(1-MAX(0,MIN(1,IF(CU6&lt;=h_col,0.0035*(CU6-d_2)/CU6,0.002*(CU6-d_2)/(CU6-3*h_col/7))/0.002)))^2))+(MAX(-f_yd,MIN(f_yd,200000*IF(CU6&lt;=h_col,0.0035*(CU6-(h_col-d_2))/CU6,0.002*(CU6-(h_col-d_2))/(CU6-3*h_col/7))))-f_cd*(1-(1-MAX(0,MIN(1,IF(CU6&lt;=h_col,0.0035*(CU6-(h_col-d_2))/CU6,0.002*(CU6-(h_col-d_2))/(CU6-3*h_col/7))/0.002)))^2))))/1000</f>
        <v/>
      </c>
      <c r="CW6">
        <f>IF($CV6&lt;N_Ed-1E-9*MAX(1,N_Ed),(CS6+CT6)/2,CS6)</f>
        <v/>
      </c>
      <c r="CX6">
        <f>IF($CV6&lt;N_Ed-1E-9*MAX(1,N_Ed),CT6,(CS6+CT6)/2)</f>
        <v/>
      </c>
      <c r="CY6">
        <f>h_col*((CW6+CX6)/2)/(1-(CW6+CX6)/2)</f>
        <v/>
      </c>
      <c r="CZ6">
        <f>(f_cd*b_col*((3*MIN(CY6,h_col)/7)+(4*MIN(CY6,h_col)/7)*(1-((4*MIN(CY6,h_col)/7)/(CY6-(3*MIN(CY6,h_col)/7)))^2/3))+$D6/2*((MAX(-f_yd,MIN(f_yd,200000*IF(CY6&lt;=h_col,0.0035*(CY6-d_2)/CY6,0.002*(CY6-d_2)/(CY6-3*h_col/7))))-f_cd*(1-(1-MAX(0,MIN(1,IF(CY6&lt;=h_col,0.0035*(CY6-d_2)/CY6,0.002*(CY6-d_2)/(CY6-3*h_col/7))/0.002)))^2))+(MAX(-f_yd,MIN(f_yd,200000*IF(CY6&lt;=h_col,0.0035*(CY6-(h_col-d_2))/CY6,0.002*(CY6-(h_col-d_2))/(CY6-3*h_col/7))))-f_cd*(1-(1-MAX(0,MIN(1,IF(CY6&lt;=h_col,0.0035*(CY6-(h_col-d_2))/CY6,0.002*(CY6-(h_col-d_2))/(CY6-3*h_col/7))/0.002)))^2))))/1000</f>
        <v/>
      </c>
      <c r="DA6">
        <f>IF($CZ6&lt;N_Ed-1E-9*MAX(1,N_Ed),(CW6+CX6)/2,CW6)</f>
        <v/>
      </c>
      <c r="DB6">
        <f>IF($CZ6&lt;N_Ed-1E-9*MAX(1,N_Ed),CX6,(CW6+CX6)/2)</f>
        <v/>
      </c>
      <c r="DC6">
        <f>h_col*((DA6+DB6)/2)/(1-(DA6+DB6)/2)</f>
        <v/>
      </c>
      <c r="DD6">
        <f>(f_cd*b_col*((3*MIN(DC6,h_col)/7)+(4*MIN(DC6,h_col)/7)*(1-((4*MIN(DC6,h_col)/7)/(DC6-(3*MIN(DC6,h_col)/7)))^2/3))+$D6/2*((MAX(-f_yd,MIN(f_yd,200000*IF(DC6&lt;=h_col,0.0035*(DC6-d_2)/DC6,0.002*(DC6-d_2)/(DC6-3*h_col/7))))-f_cd*(1-(1-MAX(0,MIN(1,IF(DC6&lt;=h_col,0.0035*(DC6-d_2)/DC6,0.002*(DC6-d_2)/(DC6-3*h_col/7))/0.002)))^2))+(MAX(-f_yd,MIN(f_yd,200000*IF(DC6&lt;=h_col,0.0035*(DC6-(h_col-d_2))/DC6,0.002*(DC6-(h_col-d_2))/(DC6-3*h_col/7))))-f_cd*(1-(1-MAX(0,MIN(1,IF(DC6&lt;=h_col,0.0035*(DC6-(h_col-d_2))/DC6,0.002*(DC6-(h_col-d_2))/(DC6-3*h_col/7))/0.002)))^2))))/1000</f>
        <v/>
      </c>
      <c r="DE6">
        <f>IF($DD6&lt;N_Ed-1E-9*MAX(1,N_Ed),(DA6+DB6)/2,DA6)</f>
        <v/>
      </c>
      <c r="DF6">
        <f>IF($DD6&lt;N_Ed-1E-9*MAX(1,N_Ed),DB6,(DA6+DB6)/2)</f>
        <v/>
      </c>
      <c r="DG6">
        <f>h_col*((DE6+DF6)/2)/(1-(DE6+DF6)/2)</f>
        <v/>
      </c>
      <c r="DH6">
        <f>(f_cd*b_col*((3*MIN(DG6,h_col)/7)+(4*MIN(DG6,h_col)/7)*(1-((4*MIN(DG6,h_col)/7)/(DG6-(3*MIN(DG6,h_col)/7)))^2/3))+$D6/2*((MAX(-f_yd,MIN(f_yd,200000*IF(DG6&lt;=h_col,0.0035*(DG6-d_2)/DG6,0.002*(DG6-d_2)/(DG6-3*h_col/7))))-f_cd*(1-(1-MAX(0,MIN(1,IF(DG6&lt;=h_col,0.0035*(DG6-d_2)/DG6,0.002*(DG6-d_2)/(DG6-3*h_col/7))/0.002)))^2))+(MAX(-f_yd,MIN(f_yd,200000*IF(DG6&lt;=h_col,0.0035*(DG6-(h_col-d_2))/DG6,0.002*(DG6-(h_col-d_2))/(DG6-3*h_col/7))))-f_cd*(1-(1-MAX(0,MIN(1,IF(DG6&lt;=h_col,0.0035*(DG6-(h_col-d_2))/DG6,0.002*(DG6-(h_col-d_2))/(DG6-3*h_col/7))/0.002)))^2))))/1000</f>
        <v/>
      </c>
      <c r="DI6">
        <f>IF($DH6&lt;N_Ed-1E-9*MAX(1,N_Ed),(DE6+DF6)/2,DE6)</f>
        <v/>
      </c>
      <c r="DJ6">
        <f>IF($DH6&lt;N_Ed-1E-9*MAX(1,N_Ed),DF6,(DE6+DF6)/2)</f>
        <v/>
      </c>
      <c r="DK6">
        <f>h_col*((DI6+DJ6)/2)/(1-(DI6+DJ6)/2)</f>
        <v/>
      </c>
      <c r="DL6">
        <f>(f_cd*b_col*((3*MIN(DK6,h_col)/7)+(4*MIN(DK6,h_col)/7)*(1-((4*MIN(DK6,h_col)/7)/(DK6-(3*MIN(DK6,h_col)/7)))^2/3))+$D6/2*((MAX(-f_yd,MIN(f_yd,200000*IF(DK6&lt;=h_col,0.0035*(DK6-d_2)/DK6,0.002*(DK6-d_2)/(DK6-3*h_col/7))))-f_cd*(1-(1-MAX(0,MIN(1,IF(DK6&lt;=h_col,0.0035*(DK6-d_2)/DK6,0.002*(DK6-d_2)/(DK6-3*h_col/7))/0.002)))^2))+(MAX(-f_yd,MIN(f_yd,200000*IF(DK6&lt;=h_col,0.0035*(DK6-(h_col-d_2))/DK6,0.002*(DK6-(h_col-d_2))/(DK6-3*h_col/7))))-f_cd*(1-(1-MAX(0,MIN(1,IF(DK6&lt;=h_col,0.0035*(DK6-(h_col-d_2))/DK6,0.002*(DK6-(h_col-d_2))/(DK6-3*h_col/7))/0.002)))^2))))/1000</f>
        <v/>
      </c>
      <c r="DM6">
        <f>IF($DL6&lt;N_Ed-1E-9*MAX(1,N_Ed),(DI6+DJ6)/2,DI6)</f>
        <v/>
      </c>
      <c r="DN6">
        <f>IF($DL6&lt;N_Ed-1E-9*MAX(1,N_Ed),DJ6,(DI6+DJ6)/2)</f>
        <v/>
      </c>
      <c r="DO6">
        <f>h_col*((DM6+DN6)/2)/(1-(DM6+DN6)/2)</f>
        <v/>
      </c>
      <c r="DP6">
        <f>(f_cd*b_col*((3*MIN(DO6,h_col)/7)+(4*MIN(DO6,h_col)/7)*(1-((4*MIN(DO6,h_col)/7)/(DO6-(3*MIN(DO6,h_col)/7)))^2/3))+$D6/2*((MAX(-f_yd,MIN(f_yd,200000*IF(DO6&lt;=h_col,0.0035*(DO6-d_2)/DO6,0.002*(DO6-d_2)/(DO6-3*h_col/7))))-f_cd*(1-(1-MAX(0,MIN(1,IF(DO6&lt;=h_col,0.0035*(DO6-d_2)/DO6,0.002*(DO6-d_2)/(DO6-3*h_col/7))/0.002)))^2))+(MAX(-f_yd,MIN(f_yd,200000*IF(DO6&lt;=h_col,0.0035*(DO6-(h_col-d_2))/DO6,0.002*(DO6-(h_col-d_2))/(DO6-3*h_col/7))))-f_cd*(1-(1-MAX(0,MIN(1,IF(DO6&lt;=h_col,0.0035*(DO6-(h_col-d_2))/DO6,0.002*(DO6-(h_col-d_2))/(DO6-3*h_col/7))/0.002)))^2))))/1000</f>
        <v/>
      </c>
      <c r="DQ6">
        <f>IF($DP6&lt;N_Ed-1E-9*MAX(1,N_Ed),(DM6+DN6)/2,DM6)</f>
        <v/>
      </c>
      <c r="DR6">
        <f>IF($DP6&lt;N_Ed-1E-9*MAX(1,N_Ed),DN6,(DM6+DN6)/2)</f>
        <v/>
      </c>
      <c r="DS6">
        <f>h_col*((DQ6+DR6)/2)/(1-(DQ6+DR6)/2)</f>
        <v/>
      </c>
      <c r="DT6">
        <f>(f_cd*b_col*((3*MIN(DS6,h_col)/7)+(4*MIN(DS6,h_col)/7)*(1-((4*MIN(DS6,h_col)/7)/(DS6-(3*MIN(DS6,h_col)/7)))^2/3))+$D6/2*((MAX(-f_yd,MIN(f_yd,200000*IF(DS6&lt;=h_col,0.0035*(DS6-d_2)/DS6,0.002*(DS6-d_2)/(DS6-3*h_col/7))))-f_cd*(1-(1-MAX(0,MIN(1,IF(DS6&lt;=h_col,0.0035*(DS6-d_2)/DS6,0.002*(DS6-d_2)/(DS6-3*h_col/7))/0.002)))^2))+(MAX(-f_yd,MIN(f_yd,200000*IF(DS6&lt;=h_col,0.0035*(DS6-(h_col-d_2))/DS6,0.002*(DS6-(h_col-d_2))/(DS6-3*h_col/7))))-f_cd*(1-(1-MAX(0,MIN(1,IF(DS6&lt;=h_col,0.0035*(DS6-(h_col-d_2))/DS6,0.002*(DS6-(h_col-d_2))/(DS6-3*h_col/7))/0.002)))^2))))/1000</f>
        <v/>
      </c>
      <c r="DU6">
        <f>IF($DT6&lt;N_Ed-1E-9*MAX(1,N_Ed),(DQ6+DR6)/2,DQ6)</f>
        <v/>
      </c>
      <c r="DV6">
        <f>IF($DT6&lt;N_Ed-1E-9*MAX(1,N_Ed),DR6,(DQ6+DR6)/2)</f>
        <v/>
      </c>
      <c r="DW6">
        <f>h_col*((DU6+DV6)/2)/(1-(DU6+DV6)/2)</f>
        <v/>
      </c>
      <c r="DX6">
        <f>(f_cd*b_col*((3*MIN(DW6,h_col)/7)+(4*MIN(DW6,h_col)/7)*(1-((4*MIN(DW6,h_col)/7)/(DW6-(3*MIN(DW6,h_col)/7)))^2/3))+$D6/2*((MAX(-f_yd,MIN(f_yd,200000*IF(DW6&lt;=h_col,0.0035*(DW6-d_2)/DW6,0.002*(DW6-d_2)/(DW6-3*h_col/7))))-f_cd*(1-(1-MAX(0,MIN(1,IF(DW6&lt;=h_col,0.0035*(DW6-d_2)/DW6,0.002*(DW6-d_2)/(DW6-3*h_col/7))/0.002)))^2))+(MAX(-f_yd,MIN(f_yd,200000*IF(DW6&lt;=h_col,0.0035*(DW6-(h_col-d_2))/DW6,0.002*(DW6-(h_col-d_2))/(DW6-3*h_col/7))))-f_cd*(1-(1-MAX(0,MIN(1,IF(DW6&lt;=h_col,0.0035*(DW6-(h_col-d_2))/DW6,0.002*(DW6-(h_col-d_2))/(DW6-3*h_col/7))/0.002)))^2))))/1000</f>
        <v/>
      </c>
      <c r="DY6">
        <f>IF($DX6&lt;N_Ed-1E-9*MAX(1,N_Ed),(DU6+DV6)/2,DU6)</f>
        <v/>
      </c>
      <c r="DZ6">
        <f>IF($DX6&lt;N_Ed-1E-9*MAX(1,N_Ed),DV6,(DU6+DV6)/2)</f>
        <v/>
      </c>
      <c r="EA6">
        <f>h_col*((DY6+DZ6)/2)/(1-(DY6+DZ6)/2)</f>
        <v/>
      </c>
      <c r="EB6">
        <f>(f_cd*b_col*((3*MIN(EA6,h_col)/7)+(4*MIN(EA6,h_col)/7)*(1-((4*MIN(EA6,h_col)/7)/(EA6-(3*MIN(EA6,h_col)/7)))^2/3))+$D6/2*((MAX(-f_yd,MIN(f_yd,200000*IF(EA6&lt;=h_col,0.0035*(EA6-d_2)/EA6,0.002*(EA6-d_2)/(EA6-3*h_col/7))))-f_cd*(1-(1-MAX(0,MIN(1,IF(EA6&lt;=h_col,0.0035*(EA6-d_2)/EA6,0.002*(EA6-d_2)/(EA6-3*h_col/7))/0.002)))^2))+(MAX(-f_yd,MIN(f_yd,200000*IF(EA6&lt;=h_col,0.0035*(EA6-(h_col-d_2))/EA6,0.002*(EA6-(h_col-d_2))/(EA6-3*h_col/7))))-f_cd*(1-(1-MAX(0,MIN(1,IF(EA6&lt;=h_col,0.0035*(EA6-(h_col-d_2))/EA6,0.002*(EA6-(h_col-d_2))/(EA6-3*h_col/7))/0.002)))^2))))/1000</f>
        <v/>
      </c>
      <c r="EC6">
        <f>IF($EB6&lt;N_Ed-1E-9*MAX(1,N_Ed),(DY6+DZ6)/2,DY6)</f>
        <v/>
      </c>
      <c r="ED6">
        <f>IF($EB6&lt;N_Ed-1E-9*MAX(1,N_Ed),DZ6,(DY6+DZ6)/2)</f>
        <v/>
      </c>
      <c r="EE6">
        <f>h_col*((EC6+ED6)/2)/(1-(EC6+ED6)/2)</f>
        <v/>
      </c>
      <c r="EF6">
        <f>(f_cd*b_col*((3*MIN(EE6,h_col)/7)+(4*MIN(EE6,h_col)/7)*(1-((4*MIN(EE6,h_col)/7)/(EE6-(3*MIN(EE6,h_col)/7)))^2/3))+$D6/2*((MAX(-f_yd,MIN(f_yd,200000*IF(EE6&lt;=h_col,0.0035*(EE6-d_2)/EE6,0.002*(EE6-d_2)/(EE6-3*h_col/7))))-f_cd*(1-(1-MAX(0,MIN(1,IF(EE6&lt;=h_col,0.0035*(EE6-d_2)/EE6,0.002*(EE6-d_2)/(EE6-3*h_col/7))/0.002)))^2))+(MAX(-f_yd,MIN(f_yd,200000*IF(EE6&lt;=h_col,0.0035*(EE6-(h_col-d_2))/EE6,0.002*(EE6-(h_col-d_2))/(EE6-3*h_col/7))))-f_cd*(1-(1-MAX(0,MIN(1,IF(EE6&lt;=h_col,0.0035*(EE6-(h_col-d_2))/EE6,0.002*(EE6-(h_col-d_2))/(EE6-3*h_col/7))/0.002)))^2))))/1000</f>
        <v/>
      </c>
      <c r="EG6">
        <f>IF($EF6&lt;N_Ed-1E-9*MAX(1,N_Ed),(EC6+ED6)/2,EC6)</f>
        <v/>
      </c>
      <c r="EH6">
        <f>IF($EF6&lt;N_Ed-1E-9*MAX(1,N_Ed),ED6,(EC6+ED6)/2)</f>
        <v/>
      </c>
      <c r="EI6">
        <f>h_col*((EG6+EH6)/2)/(1-(EG6+EH6)/2)</f>
        <v/>
      </c>
      <c r="EJ6">
        <f>(f_cd*b_col*((3*MIN(EI6,h_col)/7)+(4*MIN(EI6,h_col)/7)*(1-((4*MIN(EI6,h_col)/7)/(EI6-(3*MIN(EI6,h_col)/7)))^2/3))+$D6/2*((MAX(-f_yd,MIN(f_yd,200000*IF(EI6&lt;=h_col,0.0035*(EI6-d_2)/EI6,0.002*(EI6-d_2)/(EI6-3*h_col/7))))-f_cd*(1-(1-MAX(0,MIN(1,IF(EI6&lt;=h_col,0.0035*(EI6-d_2)/EI6,0.002*(EI6-d_2)/(EI6-3*h_col/7))/0.002)))^2))+(MAX(-f_yd,MIN(f_yd,200000*IF(EI6&lt;=h_col,0.0035*(EI6-(h_col-d_2))/EI6,0.002*(EI6-(h_col-d_2))/(EI6-3*h_col/7))))-f_cd*(1-(1-MAX(0,MIN(1,IF(EI6&lt;=h_col,0.0035*(EI6-(h_col-d_2))/EI6,0.002*(EI6-(h_col-d_2))/(EI6-3*h_col/7))/0.002)))^2))))/1000</f>
        <v/>
      </c>
      <c r="EK6">
        <f>IF($EJ6&lt;N_Ed-1E-9*MAX(1,N_Ed),(EG6+EH6)/2,EG6)</f>
        <v/>
      </c>
      <c r="EL6">
        <f>IF($EJ6&lt;N_Ed-1E-9*MAX(1,N_Ed),EH6,(EG6+EH6)/2)</f>
        <v/>
      </c>
      <c r="EM6">
        <f>h_col*((EK6+EL6)/2)/(1-(EK6+EL6)/2)</f>
        <v/>
      </c>
      <c r="EN6">
        <f>(f_cd*b_col*((3*MIN(EM6,h_col)/7)+(4*MIN(EM6,h_col)/7)*(1-((4*MIN(EM6,h_col)/7)/(EM6-(3*MIN(EM6,h_col)/7)))^2/3))+$D6/2*((MAX(-f_yd,MIN(f_yd,200000*IF(EM6&lt;=h_col,0.0035*(EM6-d_2)/EM6,0.002*(EM6-d_2)/(EM6-3*h_col/7))))-f_cd*(1-(1-MAX(0,MIN(1,IF(EM6&lt;=h_col,0.0035*(EM6-d_2)/EM6,0.002*(EM6-d_2)/(EM6-3*h_col/7))/0.002)))^2))+(MAX(-f_yd,MIN(f_yd,200000*IF(EM6&lt;=h_col,0.0035*(EM6-(h_col-d_2))/EM6,0.002*(EM6-(h_col-d_2))/(EM6-3*h_col/7))))-f_cd*(1-(1-MAX(0,MIN(1,IF(EM6&lt;=h_col,0.0035*(EM6-(h_col-d_2))/EM6,0.002*(EM6-(h_col-d_2))/(EM6-3*h_col/7))/0.002)))^2))))/1000</f>
        <v/>
      </c>
      <c r="EO6">
        <f>IF($EN6&lt;N_Ed-1E-9*MAX(1,N_Ed),(EK6+EL6)/2,EK6)</f>
        <v/>
      </c>
      <c r="EP6">
        <f>IF($EN6&lt;N_Ed-1E-9*MAX(1,N_Ed),EL6,(EK6+EL6)/2)</f>
        <v/>
      </c>
      <c r="EQ6">
        <f>h_col*((EO6+EP6)/2)/(1-(EO6+EP6)/2)</f>
        <v/>
      </c>
      <c r="ER6">
        <f>(f_cd*b_col*((3*MIN(EQ6,h_col)/7)+(4*MIN(EQ6,h_col)/7)*(1-((4*MIN(EQ6,h_col)/7)/(EQ6-(3*MIN(EQ6,h_col)/7)))^2/3))+$D6/2*((MAX(-f_yd,MIN(f_yd,200000*IF(EQ6&lt;=h_col,0.0035*(EQ6-d_2)/EQ6,0.002*(EQ6-d_2)/(EQ6-3*h_col/7))))-f_cd*(1-(1-MAX(0,MIN(1,IF(EQ6&lt;=h_col,0.0035*(EQ6-d_2)/EQ6,0.002*(EQ6-d_2)/(EQ6-3*h_col/7))/0.002)))^2))+(MAX(-f_yd,MIN(f_yd,200000*IF(EQ6&lt;=h_col,0.0035*(EQ6-(h_col-d_2))/EQ6,0.002*(EQ6-(h_col-d_2))/(EQ6-3*h_col/7))))-f_cd*(1-(1-MAX(0,MIN(1,IF(EQ6&lt;=h_col,0.0035*(EQ6-(h_col-d_2))/EQ6,0.002*(EQ6-(h_col-d_2))/(EQ6-3*h_col/7))/0.002)))^2))))/1000</f>
        <v/>
      </c>
      <c r="ES6">
        <f>IF($ER6&lt;N_Ed-1E-9*MAX(1,N_Ed),(EO6+EP6)/2,EO6)</f>
        <v/>
      </c>
      <c r="ET6">
        <f>IF($ER6&lt;N_Ed-1E-9*MAX(1,N_Ed),EP6,(EO6+EP6)/2)</f>
        <v/>
      </c>
      <c r="EU6">
        <f>h_col*((ES6+ET6)/2)/(1-(ES6+ET6)/2)</f>
        <v/>
      </c>
      <c r="EV6">
        <f>(f_cd*b_col*((3*MIN(EU6,h_col)/7)+(4*MIN(EU6,h_col)/7)*(1-((4*MIN(EU6,h_col)/7)/(EU6-(3*MIN(EU6,h_col)/7)))^2/3))+$D6/2*((MAX(-f_yd,MIN(f_yd,200000*IF(EU6&lt;=h_col,0.0035*(EU6-d_2)/EU6,0.002*(EU6-d_2)/(EU6-3*h_col/7))))-f_cd*(1-(1-MAX(0,MIN(1,IF(EU6&lt;=h_col,0.0035*(EU6-d_2)/EU6,0.002*(EU6-d_2)/(EU6-3*h_col/7))/0.002)))^2))+(MAX(-f_yd,MIN(f_yd,200000*IF(EU6&lt;=h_col,0.0035*(EU6-(h_col-d_2))/EU6,0.002*(EU6-(h_col-d_2))/(EU6-3*h_col/7))))-f_cd*(1-(1-MAX(0,MIN(1,IF(EU6&lt;=h_col,0.0035*(EU6-(h_col-d_2))/EU6,0.002*(EU6-(h_col-d_2))/(EU6-3*h_col/7))/0.002)))^2))))/1000</f>
        <v/>
      </c>
      <c r="EW6">
        <f>IF($EV6&lt;N_Ed-1E-9*MAX(1,N_Ed),(ES6+ET6)/2,ES6)</f>
        <v/>
      </c>
      <c r="EX6">
        <f>IF($EV6&lt;N_Ed-1E-9*MAX(1,N_Ed),ET6,(ES6+ET6)/2)</f>
        <v/>
      </c>
      <c r="EY6">
        <f>h_col*((EW6+EX6)/2)/(1-(EW6+EX6)/2)</f>
        <v/>
      </c>
      <c r="EZ6">
        <f>(f_cd*b_col*((3*MIN(EY6,h_col)/7)+(4*MIN(EY6,h_col)/7)*(1-((4*MIN(EY6,h_col)/7)/(EY6-(3*MIN(EY6,h_col)/7)))^2/3))+$D6/2*((MAX(-f_yd,MIN(f_yd,200000*IF(EY6&lt;=h_col,0.0035*(EY6-d_2)/EY6,0.002*(EY6-d_2)/(EY6-3*h_col/7))))-f_cd*(1-(1-MAX(0,MIN(1,IF(EY6&lt;=h_col,0.0035*(EY6-d_2)/EY6,0.002*(EY6-d_2)/(EY6-3*h_col/7))/0.002)))^2))+(MAX(-f_yd,MIN(f_yd,200000*IF(EY6&lt;=h_col,0.0035*(EY6-(h_col-d_2))/EY6,0.002*(EY6-(h_col-d_2))/(EY6-3*h_col/7))))-f_cd*(1-(1-MAX(0,MIN(1,IF(EY6&lt;=h_col,0.0035*(EY6-(h_col-d_2))/EY6,0.002*(EY6-(h_col-d_2))/(EY6-3*h_col/7))/0.002)))^2))))/1000</f>
        <v/>
      </c>
      <c r="FA6">
        <f>IF($EZ6&lt;N_Ed-1E-9*MAX(1,N_Ed),(EW6+EX6)/2,EW6)</f>
        <v/>
      </c>
      <c r="FB6">
        <f>IF($EZ6&lt;N_Ed-1E-9*MAX(1,N_Ed),EX6,(EW6+EX6)/2)</f>
        <v/>
      </c>
      <c r="FC6">
        <f>h_col*((FA6+FB6)/2)/(1-(FA6+FB6)/2)</f>
        <v/>
      </c>
      <c r="FD6">
        <f>(f_cd*b_col*((3*MIN(FC6,h_col)/7)+(4*MIN(FC6,h_col)/7)*(1-((4*MIN(FC6,h_col)/7)/(FC6-(3*MIN(FC6,h_col)/7)))^2/3))+$D6/2*((MAX(-f_yd,MIN(f_yd,200000*IF(FC6&lt;=h_col,0.0035*(FC6-d_2)/FC6,0.002*(FC6-d_2)/(FC6-3*h_col/7))))-f_cd*(1-(1-MAX(0,MIN(1,IF(FC6&lt;=h_col,0.0035*(FC6-d_2)/FC6,0.002*(FC6-d_2)/(FC6-3*h_col/7))/0.002)))^2))+(MAX(-f_yd,MIN(f_yd,200000*IF(FC6&lt;=h_col,0.0035*(FC6-(h_col-d_2))/FC6,0.002*(FC6-(h_col-d_2))/(FC6-3*h_col/7))))-f_cd*(1-(1-MAX(0,MIN(1,IF(FC6&lt;=h_col,0.0035*(FC6-(h_col-d_2))/FC6,0.002*(FC6-(h_col-d_2))/(FC6-3*h_col/7))/0.002)))^2))))/1000</f>
        <v/>
      </c>
      <c r="FE6">
        <f>IF($FD6&lt;N_Ed-1E-9*MAX(1,N_Ed),(FA6+FB6)/2,FA6)</f>
        <v/>
      </c>
      <c r="FF6">
        <f>IF($FD6&lt;N_Ed-1E-9*MAX(1,N_Ed),FB6,(FA6+FB6)/2)</f>
        <v/>
      </c>
      <c r="FG6">
        <f>h_col*((FE6+FF6)/2)/(1-(FE6+FF6)/2)</f>
        <v/>
      </c>
      <c r="FH6">
        <f>(f_cd*b_col*((3*MIN(FG6,h_col)/7)+(4*MIN(FG6,h_col)/7)*(1-((4*MIN(FG6,h_col)/7)/(FG6-(3*MIN(FG6,h_col)/7)))^2/3))+$D6/2*((MAX(-f_yd,MIN(f_yd,200000*IF(FG6&lt;=h_col,0.0035*(FG6-d_2)/FG6,0.002*(FG6-d_2)/(FG6-3*h_col/7))))-f_cd*(1-(1-MAX(0,MIN(1,IF(FG6&lt;=h_col,0.0035*(FG6-d_2)/FG6,0.002*(FG6-d_2)/(FG6-3*h_col/7))/0.002)))^2))+(MAX(-f_yd,MIN(f_yd,200000*IF(FG6&lt;=h_col,0.0035*(FG6-(h_col-d_2))/FG6,0.002*(FG6-(h_col-d_2))/(FG6-3*h_col/7))))-f_cd*(1-(1-MAX(0,MIN(1,IF(FG6&lt;=h_col,0.0035*(FG6-(h_col-d_2))/FG6,0.002*(FG6-(h_col-d_2))/(FG6-3*h_col/7))/0.002)))^2))))/1000</f>
        <v/>
      </c>
      <c r="FI6">
        <f>IF($FH6&lt;N_Ed-1E-9*MAX(1,N_Ed),(FE6+FF6)/2,FE6)</f>
        <v/>
      </c>
      <c r="FJ6">
        <f>IF($FH6&lt;N_Ed-1E-9*MAX(1,N_Ed),FF6,(FE6+FF6)/2)</f>
        <v/>
      </c>
      <c r="FK6">
        <f>h_col*((FI6+FJ6)/2)/(1-(FI6+FJ6)/2)</f>
        <v/>
      </c>
      <c r="FL6">
        <f>(f_cd*b_col*((3*MIN(FK6,h_col)/7)+(4*MIN(FK6,h_col)/7)*(1-((4*MIN(FK6,h_col)/7)/(FK6-(3*MIN(FK6,h_col)/7)))^2/3))+$D6/2*((MAX(-f_yd,MIN(f_yd,200000*IF(FK6&lt;=h_col,0.0035*(FK6-d_2)/FK6,0.002*(FK6-d_2)/(FK6-3*h_col/7))))-f_cd*(1-(1-MAX(0,MIN(1,IF(FK6&lt;=h_col,0.0035*(FK6-d_2)/FK6,0.002*(FK6-d_2)/(FK6-3*h_col/7))/0.002)))^2))+(MAX(-f_yd,MIN(f_yd,200000*IF(FK6&lt;=h_col,0.0035*(FK6-(h_col-d_2))/FK6,0.002*(FK6-(h_col-d_2))/(FK6-3*h_col/7))))-f_cd*(1-(1-MAX(0,MIN(1,IF(FK6&lt;=h_col,0.0035*(FK6-(h_col-d_2))/FK6,0.002*(FK6-(h_col-d_2))/(FK6-3*h_col/7))/0.002)))^2))))/1000</f>
        <v/>
      </c>
      <c r="FM6">
        <f>IF($FL6&lt;N_Ed-1E-9*MAX(1,N_Ed),(FI6+FJ6)/2,FI6)</f>
        <v/>
      </c>
      <c r="FN6">
        <f>IF($FL6&lt;N_Ed-1E-9*MAX(1,N_Ed),FJ6,(FI6+FJ6)/2)</f>
        <v/>
      </c>
      <c r="FO6">
        <f>h_col*((FM6+FN6)/2)/(1-(FM6+FN6)/2)</f>
        <v/>
      </c>
      <c r="FP6">
        <f>(f_cd*b_col*((3*MIN(FO6,h_col)/7)+(4*MIN(FO6,h_col)/7)*(1-((4*MIN(FO6,h_col)/7)/(FO6-(3*MIN(FO6,h_col)/7)))^2/3))+$D6/2*((MAX(-f_yd,MIN(f_yd,200000*IF(FO6&lt;=h_col,0.0035*(FO6-d_2)/FO6,0.002*(FO6-d_2)/(FO6-3*h_col/7))))-f_cd*(1-(1-MAX(0,MIN(1,IF(FO6&lt;=h_col,0.0035*(FO6-d_2)/FO6,0.002*(FO6-d_2)/(FO6-3*h_col/7))/0.002)))^2))+(MAX(-f_yd,MIN(f_yd,200000*IF(FO6&lt;=h_col,0.0035*(FO6-(h_col-d_2))/FO6,0.002*(FO6-(h_col-d_2))/(FO6-3*h_col/7))))-f_cd*(1-(1-MAX(0,MIN(1,IF(FO6&lt;=h_col,0.0035*(FO6-(h_col-d_2))/FO6,0.002*(FO6-(h_col-d_2))/(FO6-3*h_col/7))/0.002)))^2))))/1000</f>
        <v/>
      </c>
      <c r="FQ6">
        <f>IF($FP6&lt;N_Ed-1E-9*MAX(1,N_Ed),(FM6+FN6)/2,FM6)</f>
        <v/>
      </c>
      <c r="FR6">
        <f>IF($FP6&lt;N_Ed-1E-9*MAX(1,N_Ed),FN6,(FM6+FN6)/2)</f>
        <v/>
      </c>
      <c r="FS6">
        <f>h_col*((FQ6+FR6)/2)/(1-(FQ6+FR6)/2)</f>
        <v/>
      </c>
      <c r="FT6">
        <f>(f_cd*b_col*((3*MIN(FS6,h_col)/7)+(4*MIN(FS6,h_col)/7)*(1-((4*MIN(FS6,h_col)/7)/(FS6-(3*MIN(FS6,h_col)/7)))^2/3))+$D6/2*((MAX(-f_yd,MIN(f_yd,200000*IF(FS6&lt;=h_col,0.0035*(FS6-d_2)/FS6,0.002*(FS6-d_2)/(FS6-3*h_col/7))))-f_cd*(1-(1-MAX(0,MIN(1,IF(FS6&lt;=h_col,0.0035*(FS6-d_2)/FS6,0.002*(FS6-d_2)/(FS6-3*h_col/7))/0.002)))^2))+(MAX(-f_yd,MIN(f_yd,200000*IF(FS6&lt;=h_col,0.0035*(FS6-(h_col-d_2))/FS6,0.002*(FS6-(h_col-d_2))/(FS6-3*h_col/7))))-f_cd*(1-(1-MAX(0,MIN(1,IF(FS6&lt;=h_col,0.0035*(FS6-(h_col-d_2))/FS6,0.002*(FS6-(h_col-d_2))/(FS6-3*h_col/7))/0.002)))^2))))/1000</f>
        <v/>
      </c>
      <c r="FU6">
        <f>IF($FT6&lt;N_Ed-1E-9*MAX(1,N_Ed),(FQ6+FR6)/2,FQ6)</f>
        <v/>
      </c>
      <c r="FV6">
        <f>IF($FT6&lt;N_Ed-1E-9*MAX(1,N_Ed),FR6,(FQ6+FR6)/2)</f>
        <v/>
      </c>
      <c r="FW6">
        <f>h_col*((FU6+FV6)/2)/(1-(FU6+FV6)/2)</f>
        <v/>
      </c>
      <c r="FX6">
        <f>(f_cd*b_col*((3*MIN(FW6,h_col)/7)+(4*MIN(FW6,h_col)/7)*(1-((4*MIN(FW6,h_col)/7)/(FW6-(3*MIN(FW6,h_col)/7)))^2/3))+$D6/2*((MAX(-f_yd,MIN(f_yd,200000*IF(FW6&lt;=h_col,0.0035*(FW6-d_2)/FW6,0.002*(FW6-d_2)/(FW6-3*h_col/7))))-f_cd*(1-(1-MAX(0,MIN(1,IF(FW6&lt;=h_col,0.0035*(FW6-d_2)/FW6,0.002*(FW6-d_2)/(FW6-3*h_col/7))/0.002)))^2))+(MAX(-f_yd,MIN(f_yd,200000*IF(FW6&lt;=h_col,0.0035*(FW6-(h_col-d_2))/FW6,0.002*(FW6-(h_col-d_2))/(FW6-3*h_col/7))))-f_cd*(1-(1-MAX(0,MIN(1,IF(FW6&lt;=h_col,0.0035*(FW6-(h_col-d_2))/FW6,0.002*(FW6-(h_col-d_2))/(FW6-3*h_col/7))/0.002)))^2))))/1000</f>
        <v/>
      </c>
      <c r="FY6">
        <f>IF($FX6&lt;N_Ed-1E-9*MAX(1,N_Ed),(FU6+FV6)/2,FU6)</f>
        <v/>
      </c>
      <c r="FZ6">
        <f>IF($FX6&lt;N_Ed-1E-9*MAX(1,N_Ed),FV6,(FU6+FV6)/2)</f>
        <v/>
      </c>
      <c r="GA6">
        <f>h_col*((FY6+FZ6)/2)/(1-(FY6+FZ6)/2)</f>
        <v/>
      </c>
      <c r="GB6">
        <f>(f_cd*b_col*((3*MIN(GA6,h_col)/7)+(4*MIN(GA6,h_col)/7)*(1-((4*MIN(GA6,h_col)/7)/(GA6-(3*MIN(GA6,h_col)/7)))^2/3))+$D6/2*((MAX(-f_yd,MIN(f_yd,200000*IF(GA6&lt;=h_col,0.0035*(GA6-d_2)/GA6,0.002*(GA6-d_2)/(GA6-3*h_col/7))))-f_cd*(1-(1-MAX(0,MIN(1,IF(GA6&lt;=h_col,0.0035*(GA6-d_2)/GA6,0.002*(GA6-d_2)/(GA6-3*h_col/7))/0.002)))^2))+(MAX(-f_yd,MIN(f_yd,200000*IF(GA6&lt;=h_col,0.0035*(GA6-(h_col-d_2))/GA6,0.002*(GA6-(h_col-d_2))/(GA6-3*h_col/7))))-f_cd*(1-(1-MAX(0,MIN(1,IF(GA6&lt;=h_col,0.0035*(GA6-(h_col-d_2))/GA6,0.002*(GA6-(h_col-d_2))/(GA6-3*h_col/7))/0.002)))^2))))/1000</f>
        <v/>
      </c>
      <c r="GC6">
        <f>IF($GB6&lt;N_Ed-1E-9*MAX(1,N_Ed),(FY6+FZ6)/2,FY6)</f>
        <v/>
      </c>
      <c r="GD6">
        <f>IF($GB6&lt;N_Ed-1E-9*MAX(1,N_Ed),FZ6,(FY6+FZ6)/2)</f>
        <v/>
      </c>
      <c r="GE6">
        <f>h_col*((GC6+GD6)/2)/(1-(GC6+GD6)/2)</f>
        <v/>
      </c>
      <c r="GF6">
        <f>(f_cd*b_col*((3*MIN(GE6,h_col)/7)+(4*MIN(GE6,h_col)/7)*(1-((4*MIN(GE6,h_col)/7)/(GE6-(3*MIN(GE6,h_col)/7)))^2/3))+$D6/2*((MAX(-f_yd,MIN(f_yd,200000*IF(GE6&lt;=h_col,0.0035*(GE6-d_2)/GE6,0.002*(GE6-d_2)/(GE6-3*h_col/7))))-f_cd*(1-(1-MAX(0,MIN(1,IF(GE6&lt;=h_col,0.0035*(GE6-d_2)/GE6,0.002*(GE6-d_2)/(GE6-3*h_col/7))/0.002)))^2))+(MAX(-f_yd,MIN(f_yd,200000*IF(GE6&lt;=h_col,0.0035*(GE6-(h_col-d_2))/GE6,0.002*(GE6-(h_col-d_2))/(GE6-3*h_col/7))))-f_cd*(1-(1-MAX(0,MIN(1,IF(GE6&lt;=h_col,0.0035*(GE6-(h_col-d_2))/GE6,0.002*(GE6-(h_col-d_2))/(GE6-3*h_col/7))/0.002)))^2))))/1000</f>
        <v/>
      </c>
      <c r="GG6">
        <f>IF($GF6&lt;N_Ed-1E-9*MAX(1,N_Ed),(GC6+GD6)/2,GC6)</f>
        <v/>
      </c>
      <c r="GH6">
        <f>IF($GF6&lt;N_Ed-1E-9*MAX(1,N_Ed),GD6,(GC6+GD6)/2)</f>
        <v/>
      </c>
      <c r="GI6">
        <f>h_col*((GG6+GH6)/2)/(1-(GG6+GH6)/2)</f>
        <v/>
      </c>
      <c r="GJ6">
        <f>(f_cd*b_col*((3*MIN(GI6,h_col)/7)+(4*MIN(GI6,h_col)/7)*(1-((4*MIN(GI6,h_col)/7)/(GI6-(3*MIN(GI6,h_col)/7)))^2/3))+$D6/2*((MAX(-f_yd,MIN(f_yd,200000*IF(GI6&lt;=h_col,0.0035*(GI6-d_2)/GI6,0.002*(GI6-d_2)/(GI6-3*h_col/7))))-f_cd*(1-(1-MAX(0,MIN(1,IF(GI6&lt;=h_col,0.0035*(GI6-d_2)/GI6,0.002*(GI6-d_2)/(GI6-3*h_col/7))/0.002)))^2))+(MAX(-f_yd,MIN(f_yd,200000*IF(GI6&lt;=h_col,0.0035*(GI6-(h_col-d_2))/GI6,0.002*(GI6-(h_col-d_2))/(GI6-3*h_col/7))))-f_cd*(1-(1-MAX(0,MIN(1,IF(GI6&lt;=h_col,0.0035*(GI6-(h_col-d_2))/GI6,0.002*(GI6-(h_col-d_2))/(GI6-3*h_col/7))/0.002)))^2))))/1000</f>
        <v/>
      </c>
      <c r="GK6">
        <f>IF($GJ6&lt;N_Ed-1E-9*MAX(1,N_Ed),(GG6+GH6)/2,GG6)</f>
        <v/>
      </c>
      <c r="GL6">
        <f>IF($GJ6&lt;N_Ed-1E-9*MAX(1,N_Ed),GH6,(GG6+GH6)/2)</f>
        <v/>
      </c>
      <c r="GM6">
        <f>h_col*((GK6+GL6)/2)/(1-(GK6+GL6)/2)</f>
        <v/>
      </c>
      <c r="GN6">
        <f>(f_cd*b_col*((3*MIN(GM6,h_col)/7)+(4*MIN(GM6,h_col)/7)*(1-((4*MIN(GM6,h_col)/7)/(GM6-(3*MIN(GM6,h_col)/7)))^2/3))+$D6/2*((MAX(-f_yd,MIN(f_yd,200000*IF(GM6&lt;=h_col,0.0035*(GM6-d_2)/GM6,0.002*(GM6-d_2)/(GM6-3*h_col/7))))-f_cd*(1-(1-MAX(0,MIN(1,IF(GM6&lt;=h_col,0.0035*(GM6-d_2)/GM6,0.002*(GM6-d_2)/(GM6-3*h_col/7))/0.002)))^2))+(MAX(-f_yd,MIN(f_yd,200000*IF(GM6&lt;=h_col,0.0035*(GM6-(h_col-d_2))/GM6,0.002*(GM6-(h_col-d_2))/(GM6-3*h_col/7))))-f_cd*(1-(1-MAX(0,MIN(1,IF(GM6&lt;=h_col,0.0035*(GM6-(h_col-d_2))/GM6,0.002*(GM6-(h_col-d_2))/(GM6-3*h_col/7))/0.002)))^2))))/1000</f>
        <v/>
      </c>
      <c r="GO6">
        <f>IF($GN6&lt;N_Ed-1E-9*MAX(1,N_Ed),(GK6+GL6)/2,GK6)</f>
        <v/>
      </c>
      <c r="GP6">
        <f>IF($GN6&lt;N_Ed-1E-9*MAX(1,N_Ed),GL6,(GK6+GL6)/2)</f>
        <v/>
      </c>
      <c r="GQ6">
        <f>h_col*((GO6+GP6)/2)/(1-(GO6+GP6)/2)</f>
        <v/>
      </c>
      <c r="GR6">
        <f>(f_cd*b_col*((3*MIN(GQ6,h_col)/7)+(4*MIN(GQ6,h_col)/7)*(1-((4*MIN(GQ6,h_col)/7)/(GQ6-(3*MIN(GQ6,h_col)/7)))^2/3))+$D6/2*((MAX(-f_yd,MIN(f_yd,200000*IF(GQ6&lt;=h_col,0.0035*(GQ6-d_2)/GQ6,0.002*(GQ6-d_2)/(GQ6-3*h_col/7))))-f_cd*(1-(1-MAX(0,MIN(1,IF(GQ6&lt;=h_col,0.0035*(GQ6-d_2)/GQ6,0.002*(GQ6-d_2)/(GQ6-3*h_col/7))/0.002)))^2))+(MAX(-f_yd,MIN(f_yd,200000*IF(GQ6&lt;=h_col,0.0035*(GQ6-(h_col-d_2))/GQ6,0.002*(GQ6-(h_col-d_2))/(GQ6-3*h_col/7))))-f_cd*(1-(1-MAX(0,MIN(1,IF(GQ6&lt;=h_col,0.0035*(GQ6-(h_col-d_2))/GQ6,0.002*(GQ6-(h_col-d_2))/(GQ6-3*h_col/7))/0.002)))^2))))/1000</f>
        <v/>
      </c>
      <c r="GS6">
        <f>IF($GR6&lt;N_Ed-1E-9*MAX(1,N_Ed),(GO6+GP6)/2,GO6)</f>
        <v/>
      </c>
      <c r="GT6">
        <f>IF($GR6&lt;N_Ed-1E-9*MAX(1,N_Ed),GP6,(GO6+GP6)/2)</f>
        <v/>
      </c>
      <c r="GU6">
        <f>h_col*((GS6+GT6)/2)/(1-(GS6+GT6)/2)</f>
        <v/>
      </c>
      <c r="GV6">
        <f>(f_cd*b_col*((3*MIN(GU6,h_col)/7)+(4*MIN(GU6,h_col)/7)*(1-((4*MIN(GU6,h_col)/7)/(GU6-(3*MIN(GU6,h_col)/7)))^2/3))+$D6/2*((MAX(-f_yd,MIN(f_yd,200000*IF(GU6&lt;=h_col,0.0035*(GU6-d_2)/GU6,0.002*(GU6-d_2)/(GU6-3*h_col/7))))-f_cd*(1-(1-MAX(0,MIN(1,IF(GU6&lt;=h_col,0.0035*(GU6-d_2)/GU6,0.002*(GU6-d_2)/(GU6-3*h_col/7))/0.002)))^2))+(MAX(-f_yd,MIN(f_yd,200000*IF(GU6&lt;=h_col,0.0035*(GU6-(h_col-d_2))/GU6,0.002*(GU6-(h_col-d_2))/(GU6-3*h_col/7))))-f_cd*(1-(1-MAX(0,MIN(1,IF(GU6&lt;=h_col,0.0035*(GU6-(h_col-d_2))/GU6,0.002*(GU6-(h_col-d_2))/(GU6-3*h_col/7))/0.002)))^2))))/1000</f>
        <v/>
      </c>
      <c r="GW6">
        <f>GU6</f>
        <v/>
      </c>
      <c r="GX6">
        <f>(f_cd*b_col*((3*MIN(GW6,h_col)/7)+(4*MIN(GW6,h_col)/7)*(1-((4*MIN(GW6,h_col)/7)/(GW6-(3*MIN(GW6,h_col)/7)))^2/3))+$D6/2*((MAX(-f_yd,MIN(f_yd,200000*IF(GW6&lt;=h_col,0.0035*(GW6-d_2)/GW6,0.002*(GW6-d_2)/(GW6-3*h_col/7))))-f_cd*(1-(1-MAX(0,MIN(1,IF(GW6&lt;=h_col,0.0035*(GW6-d_2)/GW6,0.002*(GW6-d_2)/(GW6-3*h_col/7))/0.002)))^2))+(MAX(-f_yd,MIN(f_yd,200000*IF(GW6&lt;=h_col,0.0035*(GW6-(h_col-d_2))/GW6,0.002*(GW6-(h_col-d_2))/(GW6-3*h_col/7))))-f_cd*(1-(1-MAX(0,MIN(1,IF(GW6&lt;=h_col,0.0035*(GW6-(h_col-d_2))/GW6,0.002*(GW6-(h_col-d_2))/(GW6-3*h_col/7))/0.002)))^2))))/1000</f>
        <v/>
      </c>
      <c r="GY6">
        <f>(f_cd*b_col*((3*MIN(GW6,h_col)/7)*(h_col/2-(3*MIN(GW6,h_col)/7)/2)+(4*MIN(GW6,h_col)/7)*((h_col/2-(3*MIN(GW6,h_col)/7))*(1-((4*MIN(GW6,h_col)/7)/(GW6-(3*MIN(GW6,h_col)/7)))^2/3)-(4*MIN(GW6,h_col)/7)*(0.5-((4*MIN(GW6,h_col)/7)/(GW6-(3*MIN(GW6,h_col)/7)))^2/4)))+$D6/2*((MAX(-f_yd,MIN(f_yd,200000*IF(GW6&lt;=h_col,0.0035*(GW6-d_2)/GW6,0.002*(GW6-d_2)/(GW6-3*h_col/7))))-f_cd*(1-(1-MAX(0,MIN(1,IF(GW6&lt;=h_col,0.0035*(GW6-d_2)/GW6,0.002*(GW6-d_2)/(GW6-3*h_col/7))/0.002)))^2))-(MAX(-f_yd,MIN(f_yd,200000*IF(GW6&lt;=h_col,0.0035*(GW6-(h_col-d_2))/GW6,0.002*(GW6-(h_col-d_2))/(GW6-3*h_col/7))))-f_cd*(1-(1-MAX(0,MIN(1,IF(GW6&lt;=h_col,0.0035*(GW6-(h_col-d_2))/GW6,0.002*(GW6-(h_col-d_2))/(GW6-3*h_col/7))/0.002)))^2)))*(h_col/2-d_2))/1E6</f>
        <v/>
      </c>
      <c r="GZ6">
        <f>GX6&gt;=N_Ed-1E-6*MAX(1,N_Ed)</f>
        <v/>
      </c>
      <c r="HA6">
        <f>IF(GZ6,GY6,-1E9)</f>
        <v/>
      </c>
    </row>
    <row r="7">
      <c r="A7" t="n">
        <v>2</v>
      </c>
      <c r="B7">
        <f>IF($HA6&gt;=M_d,$B6,$D6)</f>
        <v/>
      </c>
      <c r="C7">
        <f>IF($HA6&gt;=M_d,$D6,$C6)</f>
        <v/>
      </c>
      <c r="D7">
        <f>($B7+$C7)/2</f>
        <v/>
      </c>
      <c r="E7" t="n">
        <v>0</v>
      </c>
      <c r="F7">
        <f>1-1E-12</f>
        <v/>
      </c>
      <c r="G7">
        <f>h_col*((E7+F7)/2)/(1-(E7+F7)/2)</f>
        <v/>
      </c>
      <c r="H7">
        <f>(f_cd*b_col*((3*MIN(G7,h_col)/7)+(4*MIN(G7,h_col)/7)*(1-((4*MIN(G7,h_col)/7)/(G7-(3*MIN(G7,h_col)/7)))^2/3))+$D7/2*((MAX(-f_yd,MIN(f_yd,200000*IF(G7&lt;=h_col,0.0035*(G7-d_2)/G7,0.002*(G7-d_2)/(G7-3*h_col/7))))-f_cd*(1-(1-MAX(0,MIN(1,IF(G7&lt;=h_col,0.0035*(G7-d_2)/G7,0.002*(G7-d_2)/(G7-3*h_col/7))/0.002)))^2))+(MAX(-f_yd,MIN(f_yd,200000*IF(G7&lt;=h_col,0.0035*(G7-(h_col-d_2))/G7,0.002*(G7-(h_col-d_2))/(G7-3*h_col/7))))-f_cd*(1-(1-MAX(0,MIN(1,IF(G7&lt;=h_col,0.0035*(G7-(h_col-d_2))/G7,0.002*(G7-(h_col-d_2))/(G7-3*h_col/7))/0.002)))^2))))/1000</f>
        <v/>
      </c>
      <c r="I7">
        <f>IF($H7&lt;N_Ed-1E-9*MAX(1,N_Ed),(E7+F7)/2,E7)</f>
        <v/>
      </c>
      <c r="J7">
        <f>IF($H7&lt;N_Ed-1E-9*MAX(1,N_Ed),F7,(E7+F7)/2)</f>
        <v/>
      </c>
      <c r="K7">
        <f>h_col*((I7+J7)/2)/(1-(I7+J7)/2)</f>
        <v/>
      </c>
      <c r="L7">
        <f>(f_cd*b_col*((3*MIN(K7,h_col)/7)+(4*MIN(K7,h_col)/7)*(1-((4*MIN(K7,h_col)/7)/(K7-(3*MIN(K7,h_col)/7)))^2/3))+$D7/2*((MAX(-f_yd,MIN(f_yd,200000*IF(K7&lt;=h_col,0.0035*(K7-d_2)/K7,0.002*(K7-d_2)/(K7-3*h_col/7))))-f_cd*(1-(1-MAX(0,MIN(1,IF(K7&lt;=h_col,0.0035*(K7-d_2)/K7,0.002*(K7-d_2)/(K7-3*h_col/7))/0.002)))^2))+(MAX(-f_yd,MIN(f_yd,200000*IF(K7&lt;=h_col,0.0035*(K7-(h_col-d_2))/K7,0.002*(K7-(h_col-d_2))/(K7-3*h_col/7))))-f_cd*(1-(1-MAX(0,MIN(1,IF(K7&lt;=h_col,0.0035*(K7-(h_col-d_2))/K7,0.002*(K7-(h_col-d_2))/(K7-3*h_col/7))/0.002)))^2))))/1000</f>
        <v/>
      </c>
      <c r="M7">
        <f>IF($L7&lt;N_Ed-1E-9*MAX(1,N_Ed),(I7+J7)/2,I7)</f>
        <v/>
      </c>
      <c r="N7">
        <f>IF($L7&lt;N_Ed-1E-9*MAX(1,N_Ed),J7,(I7+J7)/2)</f>
        <v/>
      </c>
      <c r="O7">
        <f>h_col*((M7+N7)/2)/(1-(M7+N7)/2)</f>
        <v/>
      </c>
      <c r="P7">
        <f>(f_cd*b_col*((3*MIN(O7,h_col)/7)+(4*MIN(O7,h_col)/7)*(1-((4*MIN(O7,h_col)/7)/(O7-(3*MIN(O7,h_col)/7)))^2/3))+$D7/2*((MAX(-f_yd,MIN(f_yd,200000*IF(O7&lt;=h_col,0.0035*(O7-d_2)/O7,0.002*(O7-d_2)/(O7-3*h_col/7))))-f_cd*(1-(1-MAX(0,MIN(1,IF(O7&lt;=h_col,0.0035*(O7-d_2)/O7,0.002*(O7-d_2)/(O7-3*h_col/7))/0.002)))^2))+(MAX(-f_yd,MIN(f_yd,200000*IF(O7&lt;=h_col,0.0035*(O7-(h_col-d_2))/O7,0.002*(O7-(h_col-d_2))/(O7-3*h_col/7))))-f_cd*(1-(1-MAX(0,MIN(1,IF(O7&lt;=h_col,0.0035*(O7-(h_col-d_2))/O7,0.002*(O7-(h_col-d_2))/(O7-3*h_col/7))/0.002)))^2))))/1000</f>
        <v/>
      </c>
      <c r="Q7">
        <f>IF($P7&lt;N_Ed-1E-9*MAX(1,N_Ed),(M7+N7)/2,M7)</f>
        <v/>
      </c>
      <c r="R7">
        <f>IF($P7&lt;N_Ed-1E-9*MAX(1,N_Ed),N7,(M7+N7)/2)</f>
        <v/>
      </c>
      <c r="S7">
        <f>h_col*((Q7+R7)/2)/(1-(Q7+R7)/2)</f>
        <v/>
      </c>
      <c r="T7">
        <f>(f_cd*b_col*((3*MIN(S7,h_col)/7)+(4*MIN(S7,h_col)/7)*(1-((4*MIN(S7,h_col)/7)/(S7-(3*MIN(S7,h_col)/7)))^2/3))+$D7/2*((MAX(-f_yd,MIN(f_yd,200000*IF(S7&lt;=h_col,0.0035*(S7-d_2)/S7,0.002*(S7-d_2)/(S7-3*h_col/7))))-f_cd*(1-(1-MAX(0,MIN(1,IF(S7&lt;=h_col,0.0035*(S7-d_2)/S7,0.002*(S7-d_2)/(S7-3*h_col/7))/0.002)))^2))+(MAX(-f_yd,MIN(f_yd,200000*IF(S7&lt;=h_col,0.0035*(S7-(h_col-d_2))/S7,0.002*(S7-(h_col-d_2))/(S7-3*h_col/7))))-f_cd*(1-(1-MAX(0,MIN(1,IF(S7&lt;=h_col,0.0035*(S7-(h_col-d_2))/S7,0.002*(S7-(h_col-d_2))/(S7-3*h_col/7))/0.002)))^2))))/1000</f>
        <v/>
      </c>
      <c r="U7">
        <f>IF($T7&lt;N_Ed-1E-9*MAX(1,N_Ed),(Q7+R7)/2,Q7)</f>
        <v/>
      </c>
      <c r="V7">
        <f>IF($T7&lt;N_Ed-1E-9*MAX(1,N_Ed),R7,(Q7+R7)/2)</f>
        <v/>
      </c>
      <c r="W7">
        <f>h_col*((U7+V7)/2)/(1-(U7+V7)/2)</f>
        <v/>
      </c>
      <c r="X7">
        <f>(f_cd*b_col*((3*MIN(W7,h_col)/7)+(4*MIN(W7,h_col)/7)*(1-((4*MIN(W7,h_col)/7)/(W7-(3*MIN(W7,h_col)/7)))^2/3))+$D7/2*((MAX(-f_yd,MIN(f_yd,200000*IF(W7&lt;=h_col,0.0035*(W7-d_2)/W7,0.002*(W7-d_2)/(W7-3*h_col/7))))-f_cd*(1-(1-MAX(0,MIN(1,IF(W7&lt;=h_col,0.0035*(W7-d_2)/W7,0.002*(W7-d_2)/(W7-3*h_col/7))/0.002)))^2))+(MAX(-f_yd,MIN(f_yd,200000*IF(W7&lt;=h_col,0.0035*(W7-(h_col-d_2))/W7,0.002*(W7-(h_col-d_2))/(W7-3*h_col/7))))-f_cd*(1-(1-MAX(0,MIN(1,IF(W7&lt;=h_col,0.0035*(W7-(h_col-d_2))/W7,0.002*(W7-(h_col-d_2))/(W7-3*h_col/7))/0.002)))^2))))/1000</f>
        <v/>
      </c>
      <c r="Y7">
        <f>IF($X7&lt;N_Ed-1E-9*MAX(1,N_Ed),(U7+V7)/2,U7)</f>
        <v/>
      </c>
      <c r="Z7">
        <f>IF($X7&lt;N_Ed-1E-9*MAX(1,N_Ed),V7,(U7+V7)/2)</f>
        <v/>
      </c>
      <c r="AA7">
        <f>h_col*((Y7+Z7)/2)/(1-(Y7+Z7)/2)</f>
        <v/>
      </c>
      <c r="AB7">
        <f>(f_cd*b_col*((3*MIN(AA7,h_col)/7)+(4*MIN(AA7,h_col)/7)*(1-((4*MIN(AA7,h_col)/7)/(AA7-(3*MIN(AA7,h_col)/7)))^2/3))+$D7/2*((MAX(-f_yd,MIN(f_yd,200000*IF(AA7&lt;=h_col,0.0035*(AA7-d_2)/AA7,0.002*(AA7-d_2)/(AA7-3*h_col/7))))-f_cd*(1-(1-MAX(0,MIN(1,IF(AA7&lt;=h_col,0.0035*(AA7-d_2)/AA7,0.002*(AA7-d_2)/(AA7-3*h_col/7))/0.002)))^2))+(MAX(-f_yd,MIN(f_yd,200000*IF(AA7&lt;=h_col,0.0035*(AA7-(h_col-d_2))/AA7,0.002*(AA7-(h_col-d_2))/(AA7-3*h_col/7))))-f_cd*(1-(1-MAX(0,MIN(1,IF(AA7&lt;=h_col,0.0035*(AA7-(h_col-d_2))/AA7,0.002*(AA7-(h_col-d_2))/(AA7-3*h_col/7))/0.002)))^2))))/1000</f>
        <v/>
      </c>
      <c r="AC7">
        <f>IF($AB7&lt;N_Ed-1E-9*MAX(1,N_Ed),(Y7+Z7)/2,Y7)</f>
        <v/>
      </c>
      <c r="AD7">
        <f>IF($AB7&lt;N_Ed-1E-9*MAX(1,N_Ed),Z7,(Y7+Z7)/2)</f>
        <v/>
      </c>
      <c r="AE7">
        <f>h_col*((AC7+AD7)/2)/(1-(AC7+AD7)/2)</f>
        <v/>
      </c>
      <c r="AF7">
        <f>(f_cd*b_col*((3*MIN(AE7,h_col)/7)+(4*MIN(AE7,h_col)/7)*(1-((4*MIN(AE7,h_col)/7)/(AE7-(3*MIN(AE7,h_col)/7)))^2/3))+$D7/2*((MAX(-f_yd,MIN(f_yd,200000*IF(AE7&lt;=h_col,0.0035*(AE7-d_2)/AE7,0.002*(AE7-d_2)/(AE7-3*h_col/7))))-f_cd*(1-(1-MAX(0,MIN(1,IF(AE7&lt;=h_col,0.0035*(AE7-d_2)/AE7,0.002*(AE7-d_2)/(AE7-3*h_col/7))/0.002)))^2))+(MAX(-f_yd,MIN(f_yd,200000*IF(AE7&lt;=h_col,0.0035*(AE7-(h_col-d_2))/AE7,0.002*(AE7-(h_col-d_2))/(AE7-3*h_col/7))))-f_cd*(1-(1-MAX(0,MIN(1,IF(AE7&lt;=h_col,0.0035*(AE7-(h_col-d_2))/AE7,0.002*(AE7-(h_col-d_2))/(AE7-3*h_col/7))/0.002)))^2))))/1000</f>
        <v/>
      </c>
      <c r="AG7">
        <f>IF($AF7&lt;N_Ed-1E-9*MAX(1,N_Ed),(AC7+AD7)/2,AC7)</f>
        <v/>
      </c>
      <c r="AH7">
        <f>IF($AF7&lt;N_Ed-1E-9*MAX(1,N_Ed),AD7,(AC7+AD7)/2)</f>
        <v/>
      </c>
      <c r="AI7">
        <f>h_col*((AG7+AH7)/2)/(1-(AG7+AH7)/2)</f>
        <v/>
      </c>
      <c r="AJ7">
        <f>(f_cd*b_col*((3*MIN(AI7,h_col)/7)+(4*MIN(AI7,h_col)/7)*(1-((4*MIN(AI7,h_col)/7)/(AI7-(3*MIN(AI7,h_col)/7)))^2/3))+$D7/2*((MAX(-f_yd,MIN(f_yd,200000*IF(AI7&lt;=h_col,0.0035*(AI7-d_2)/AI7,0.002*(AI7-d_2)/(AI7-3*h_col/7))))-f_cd*(1-(1-MAX(0,MIN(1,IF(AI7&lt;=h_col,0.0035*(AI7-d_2)/AI7,0.002*(AI7-d_2)/(AI7-3*h_col/7))/0.002)))^2))+(MAX(-f_yd,MIN(f_yd,200000*IF(AI7&lt;=h_col,0.0035*(AI7-(h_col-d_2))/AI7,0.002*(AI7-(h_col-d_2))/(AI7-3*h_col/7))))-f_cd*(1-(1-MAX(0,MIN(1,IF(AI7&lt;=h_col,0.0035*(AI7-(h_col-d_2))/AI7,0.002*(AI7-(h_col-d_2))/(AI7-3*h_col/7))/0.002)))^2))))/1000</f>
        <v/>
      </c>
      <c r="AK7">
        <f>IF($AJ7&lt;N_Ed-1E-9*MAX(1,N_Ed),(AG7+AH7)/2,AG7)</f>
        <v/>
      </c>
      <c r="AL7">
        <f>IF($AJ7&lt;N_Ed-1E-9*MAX(1,N_Ed),AH7,(AG7+AH7)/2)</f>
        <v/>
      </c>
      <c r="AM7">
        <f>h_col*((AK7+AL7)/2)/(1-(AK7+AL7)/2)</f>
        <v/>
      </c>
      <c r="AN7">
        <f>(f_cd*b_col*((3*MIN(AM7,h_col)/7)+(4*MIN(AM7,h_col)/7)*(1-((4*MIN(AM7,h_col)/7)/(AM7-(3*MIN(AM7,h_col)/7)))^2/3))+$D7/2*((MAX(-f_yd,MIN(f_yd,200000*IF(AM7&lt;=h_col,0.0035*(AM7-d_2)/AM7,0.002*(AM7-d_2)/(AM7-3*h_col/7))))-f_cd*(1-(1-MAX(0,MIN(1,IF(AM7&lt;=h_col,0.0035*(AM7-d_2)/AM7,0.002*(AM7-d_2)/(AM7-3*h_col/7))/0.002)))^2))+(MAX(-f_yd,MIN(f_yd,200000*IF(AM7&lt;=h_col,0.0035*(AM7-(h_col-d_2))/AM7,0.002*(AM7-(h_col-d_2))/(AM7-3*h_col/7))))-f_cd*(1-(1-MAX(0,MIN(1,IF(AM7&lt;=h_col,0.0035*(AM7-(h_col-d_2))/AM7,0.002*(AM7-(h_col-d_2))/(AM7-3*h_col/7))/0.002)))^2))))/1000</f>
        <v/>
      </c>
      <c r="AO7">
        <f>IF($AN7&lt;N_Ed-1E-9*MAX(1,N_Ed),(AK7+AL7)/2,AK7)</f>
        <v/>
      </c>
      <c r="AP7">
        <f>IF($AN7&lt;N_Ed-1E-9*MAX(1,N_Ed),AL7,(AK7+AL7)/2)</f>
        <v/>
      </c>
      <c r="AQ7">
        <f>h_col*((AO7+AP7)/2)/(1-(AO7+AP7)/2)</f>
        <v/>
      </c>
      <c r="AR7">
        <f>(f_cd*b_col*((3*MIN(AQ7,h_col)/7)+(4*MIN(AQ7,h_col)/7)*(1-((4*MIN(AQ7,h_col)/7)/(AQ7-(3*MIN(AQ7,h_col)/7)))^2/3))+$D7/2*((MAX(-f_yd,MIN(f_yd,200000*IF(AQ7&lt;=h_col,0.0035*(AQ7-d_2)/AQ7,0.002*(AQ7-d_2)/(AQ7-3*h_col/7))))-f_cd*(1-(1-MAX(0,MIN(1,IF(AQ7&lt;=h_col,0.0035*(AQ7-d_2)/AQ7,0.002*(AQ7-d_2)/(AQ7-3*h_col/7))/0.002)))^2))+(MAX(-f_yd,MIN(f_yd,200000*IF(AQ7&lt;=h_col,0.0035*(AQ7-(h_col-d_2))/AQ7,0.002*(AQ7-(h_col-d_2))/(AQ7-3*h_col/7))))-f_cd*(1-(1-MAX(0,MIN(1,IF(AQ7&lt;=h_col,0.0035*(AQ7-(h_col-d_2))/AQ7,0.002*(AQ7-(h_col-d_2))/(AQ7-3*h_col/7))/0.002)))^2))))/1000</f>
        <v/>
      </c>
      <c r="AS7">
        <f>IF($AR7&lt;N_Ed-1E-9*MAX(1,N_Ed),(AO7+AP7)/2,AO7)</f>
        <v/>
      </c>
      <c r="AT7">
        <f>IF($AR7&lt;N_Ed-1E-9*MAX(1,N_Ed),AP7,(AO7+AP7)/2)</f>
        <v/>
      </c>
      <c r="AU7">
        <f>h_col*((AS7+AT7)/2)/(1-(AS7+AT7)/2)</f>
        <v/>
      </c>
      <c r="AV7">
        <f>(f_cd*b_col*((3*MIN(AU7,h_col)/7)+(4*MIN(AU7,h_col)/7)*(1-((4*MIN(AU7,h_col)/7)/(AU7-(3*MIN(AU7,h_col)/7)))^2/3))+$D7/2*((MAX(-f_yd,MIN(f_yd,200000*IF(AU7&lt;=h_col,0.0035*(AU7-d_2)/AU7,0.002*(AU7-d_2)/(AU7-3*h_col/7))))-f_cd*(1-(1-MAX(0,MIN(1,IF(AU7&lt;=h_col,0.0035*(AU7-d_2)/AU7,0.002*(AU7-d_2)/(AU7-3*h_col/7))/0.002)))^2))+(MAX(-f_yd,MIN(f_yd,200000*IF(AU7&lt;=h_col,0.0035*(AU7-(h_col-d_2))/AU7,0.002*(AU7-(h_col-d_2))/(AU7-3*h_col/7))))-f_cd*(1-(1-MAX(0,MIN(1,IF(AU7&lt;=h_col,0.0035*(AU7-(h_col-d_2))/AU7,0.002*(AU7-(h_col-d_2))/(AU7-3*h_col/7))/0.002)))^2))))/1000</f>
        <v/>
      </c>
      <c r="AW7">
        <f>IF($AV7&lt;N_Ed-1E-9*MAX(1,N_Ed),(AS7+AT7)/2,AS7)</f>
        <v/>
      </c>
      <c r="AX7">
        <f>IF($AV7&lt;N_Ed-1E-9*MAX(1,N_Ed),AT7,(AS7+AT7)/2)</f>
        <v/>
      </c>
      <c r="AY7">
        <f>h_col*((AW7+AX7)/2)/(1-(AW7+AX7)/2)</f>
        <v/>
      </c>
      <c r="AZ7">
        <f>(f_cd*b_col*((3*MIN(AY7,h_col)/7)+(4*MIN(AY7,h_col)/7)*(1-((4*MIN(AY7,h_col)/7)/(AY7-(3*MIN(AY7,h_col)/7)))^2/3))+$D7/2*((MAX(-f_yd,MIN(f_yd,200000*IF(AY7&lt;=h_col,0.0035*(AY7-d_2)/AY7,0.002*(AY7-d_2)/(AY7-3*h_col/7))))-f_cd*(1-(1-MAX(0,MIN(1,IF(AY7&lt;=h_col,0.0035*(AY7-d_2)/AY7,0.002*(AY7-d_2)/(AY7-3*h_col/7))/0.002)))^2))+(MAX(-f_yd,MIN(f_yd,200000*IF(AY7&lt;=h_col,0.0035*(AY7-(h_col-d_2))/AY7,0.002*(AY7-(h_col-d_2))/(AY7-3*h_col/7))))-f_cd*(1-(1-MAX(0,MIN(1,IF(AY7&lt;=h_col,0.0035*(AY7-(h_col-d_2))/AY7,0.002*(AY7-(h_col-d_2))/(AY7-3*h_col/7))/0.002)))^2))))/1000</f>
        <v/>
      </c>
      <c r="BA7">
        <f>IF($AZ7&lt;N_Ed-1E-9*MAX(1,N_Ed),(AW7+AX7)/2,AW7)</f>
        <v/>
      </c>
      <c r="BB7">
        <f>IF($AZ7&lt;N_Ed-1E-9*MAX(1,N_Ed),AX7,(AW7+AX7)/2)</f>
        <v/>
      </c>
      <c r="BC7">
        <f>h_col*((BA7+BB7)/2)/(1-(BA7+BB7)/2)</f>
        <v/>
      </c>
      <c r="BD7">
        <f>(f_cd*b_col*((3*MIN(BC7,h_col)/7)+(4*MIN(BC7,h_col)/7)*(1-((4*MIN(BC7,h_col)/7)/(BC7-(3*MIN(BC7,h_col)/7)))^2/3))+$D7/2*((MAX(-f_yd,MIN(f_yd,200000*IF(BC7&lt;=h_col,0.0035*(BC7-d_2)/BC7,0.002*(BC7-d_2)/(BC7-3*h_col/7))))-f_cd*(1-(1-MAX(0,MIN(1,IF(BC7&lt;=h_col,0.0035*(BC7-d_2)/BC7,0.002*(BC7-d_2)/(BC7-3*h_col/7))/0.002)))^2))+(MAX(-f_yd,MIN(f_yd,200000*IF(BC7&lt;=h_col,0.0035*(BC7-(h_col-d_2))/BC7,0.002*(BC7-(h_col-d_2))/(BC7-3*h_col/7))))-f_cd*(1-(1-MAX(0,MIN(1,IF(BC7&lt;=h_col,0.0035*(BC7-(h_col-d_2))/BC7,0.002*(BC7-(h_col-d_2))/(BC7-3*h_col/7))/0.002)))^2))))/1000</f>
        <v/>
      </c>
      <c r="BE7">
        <f>IF($BD7&lt;N_Ed-1E-9*MAX(1,N_Ed),(BA7+BB7)/2,BA7)</f>
        <v/>
      </c>
      <c r="BF7">
        <f>IF($BD7&lt;N_Ed-1E-9*MAX(1,N_Ed),BB7,(BA7+BB7)/2)</f>
        <v/>
      </c>
      <c r="BG7">
        <f>h_col*((BE7+BF7)/2)/(1-(BE7+BF7)/2)</f>
        <v/>
      </c>
      <c r="BH7">
        <f>(f_cd*b_col*((3*MIN(BG7,h_col)/7)+(4*MIN(BG7,h_col)/7)*(1-((4*MIN(BG7,h_col)/7)/(BG7-(3*MIN(BG7,h_col)/7)))^2/3))+$D7/2*((MAX(-f_yd,MIN(f_yd,200000*IF(BG7&lt;=h_col,0.0035*(BG7-d_2)/BG7,0.002*(BG7-d_2)/(BG7-3*h_col/7))))-f_cd*(1-(1-MAX(0,MIN(1,IF(BG7&lt;=h_col,0.0035*(BG7-d_2)/BG7,0.002*(BG7-d_2)/(BG7-3*h_col/7))/0.002)))^2))+(MAX(-f_yd,MIN(f_yd,200000*IF(BG7&lt;=h_col,0.0035*(BG7-(h_col-d_2))/BG7,0.002*(BG7-(h_col-d_2))/(BG7-3*h_col/7))))-f_cd*(1-(1-MAX(0,MIN(1,IF(BG7&lt;=h_col,0.0035*(BG7-(h_col-d_2))/BG7,0.002*(BG7-(h_col-d_2))/(BG7-3*h_col/7))/0.002)))^2))))/1000</f>
        <v/>
      </c>
      <c r="BI7">
        <f>IF($BH7&lt;N_Ed-1E-9*MAX(1,N_Ed),(BE7+BF7)/2,BE7)</f>
        <v/>
      </c>
      <c r="BJ7">
        <f>IF($BH7&lt;N_Ed-1E-9*MAX(1,N_Ed),BF7,(BE7+BF7)/2)</f>
        <v/>
      </c>
      <c r="BK7">
        <f>h_col*((BI7+BJ7)/2)/(1-(BI7+BJ7)/2)</f>
        <v/>
      </c>
      <c r="BL7">
        <f>(f_cd*b_col*((3*MIN(BK7,h_col)/7)+(4*MIN(BK7,h_col)/7)*(1-((4*MIN(BK7,h_col)/7)/(BK7-(3*MIN(BK7,h_col)/7)))^2/3))+$D7/2*((MAX(-f_yd,MIN(f_yd,200000*IF(BK7&lt;=h_col,0.0035*(BK7-d_2)/BK7,0.002*(BK7-d_2)/(BK7-3*h_col/7))))-f_cd*(1-(1-MAX(0,MIN(1,IF(BK7&lt;=h_col,0.0035*(BK7-d_2)/BK7,0.002*(BK7-d_2)/(BK7-3*h_col/7))/0.002)))^2))+(MAX(-f_yd,MIN(f_yd,200000*IF(BK7&lt;=h_col,0.0035*(BK7-(h_col-d_2))/BK7,0.002*(BK7-(h_col-d_2))/(BK7-3*h_col/7))))-f_cd*(1-(1-MAX(0,MIN(1,IF(BK7&lt;=h_col,0.0035*(BK7-(h_col-d_2))/BK7,0.002*(BK7-(h_col-d_2))/(BK7-3*h_col/7))/0.002)))^2))))/1000</f>
        <v/>
      </c>
      <c r="BM7">
        <f>IF($BL7&lt;N_Ed-1E-9*MAX(1,N_Ed),(BI7+BJ7)/2,BI7)</f>
        <v/>
      </c>
      <c r="BN7">
        <f>IF($BL7&lt;N_Ed-1E-9*MAX(1,N_Ed),BJ7,(BI7+BJ7)/2)</f>
        <v/>
      </c>
      <c r="BO7">
        <f>h_col*((BM7+BN7)/2)/(1-(BM7+BN7)/2)</f>
        <v/>
      </c>
      <c r="BP7">
        <f>(f_cd*b_col*((3*MIN(BO7,h_col)/7)+(4*MIN(BO7,h_col)/7)*(1-((4*MIN(BO7,h_col)/7)/(BO7-(3*MIN(BO7,h_col)/7)))^2/3))+$D7/2*((MAX(-f_yd,MIN(f_yd,200000*IF(BO7&lt;=h_col,0.0035*(BO7-d_2)/BO7,0.002*(BO7-d_2)/(BO7-3*h_col/7))))-f_cd*(1-(1-MAX(0,MIN(1,IF(BO7&lt;=h_col,0.0035*(BO7-d_2)/BO7,0.002*(BO7-d_2)/(BO7-3*h_col/7))/0.002)))^2))+(MAX(-f_yd,MIN(f_yd,200000*IF(BO7&lt;=h_col,0.0035*(BO7-(h_col-d_2))/BO7,0.002*(BO7-(h_col-d_2))/(BO7-3*h_col/7))))-f_cd*(1-(1-MAX(0,MIN(1,IF(BO7&lt;=h_col,0.0035*(BO7-(h_col-d_2))/BO7,0.002*(BO7-(h_col-d_2))/(BO7-3*h_col/7))/0.002)))^2))))/1000</f>
        <v/>
      </c>
      <c r="BQ7">
        <f>IF($BP7&lt;N_Ed-1E-9*MAX(1,N_Ed),(BM7+BN7)/2,BM7)</f>
        <v/>
      </c>
      <c r="BR7">
        <f>IF($BP7&lt;N_Ed-1E-9*MAX(1,N_Ed),BN7,(BM7+BN7)/2)</f>
        <v/>
      </c>
      <c r="BS7">
        <f>h_col*((BQ7+BR7)/2)/(1-(BQ7+BR7)/2)</f>
        <v/>
      </c>
      <c r="BT7">
        <f>(f_cd*b_col*((3*MIN(BS7,h_col)/7)+(4*MIN(BS7,h_col)/7)*(1-((4*MIN(BS7,h_col)/7)/(BS7-(3*MIN(BS7,h_col)/7)))^2/3))+$D7/2*((MAX(-f_yd,MIN(f_yd,200000*IF(BS7&lt;=h_col,0.0035*(BS7-d_2)/BS7,0.002*(BS7-d_2)/(BS7-3*h_col/7))))-f_cd*(1-(1-MAX(0,MIN(1,IF(BS7&lt;=h_col,0.0035*(BS7-d_2)/BS7,0.002*(BS7-d_2)/(BS7-3*h_col/7))/0.002)))^2))+(MAX(-f_yd,MIN(f_yd,200000*IF(BS7&lt;=h_col,0.0035*(BS7-(h_col-d_2))/BS7,0.002*(BS7-(h_col-d_2))/(BS7-3*h_col/7))))-f_cd*(1-(1-MAX(0,MIN(1,IF(BS7&lt;=h_col,0.0035*(BS7-(h_col-d_2))/BS7,0.002*(BS7-(h_col-d_2))/(BS7-3*h_col/7))/0.002)))^2))))/1000</f>
        <v/>
      </c>
      <c r="BU7">
        <f>IF($BT7&lt;N_Ed-1E-9*MAX(1,N_Ed),(BQ7+BR7)/2,BQ7)</f>
        <v/>
      </c>
      <c r="BV7">
        <f>IF($BT7&lt;N_Ed-1E-9*MAX(1,N_Ed),BR7,(BQ7+BR7)/2)</f>
        <v/>
      </c>
      <c r="BW7">
        <f>h_col*((BU7+BV7)/2)/(1-(BU7+BV7)/2)</f>
        <v/>
      </c>
      <c r="BX7">
        <f>(f_cd*b_col*((3*MIN(BW7,h_col)/7)+(4*MIN(BW7,h_col)/7)*(1-((4*MIN(BW7,h_col)/7)/(BW7-(3*MIN(BW7,h_col)/7)))^2/3))+$D7/2*((MAX(-f_yd,MIN(f_yd,200000*IF(BW7&lt;=h_col,0.0035*(BW7-d_2)/BW7,0.002*(BW7-d_2)/(BW7-3*h_col/7))))-f_cd*(1-(1-MAX(0,MIN(1,IF(BW7&lt;=h_col,0.0035*(BW7-d_2)/BW7,0.002*(BW7-d_2)/(BW7-3*h_col/7))/0.002)))^2))+(MAX(-f_yd,MIN(f_yd,200000*IF(BW7&lt;=h_col,0.0035*(BW7-(h_col-d_2))/BW7,0.002*(BW7-(h_col-d_2))/(BW7-3*h_col/7))))-f_cd*(1-(1-MAX(0,MIN(1,IF(BW7&lt;=h_col,0.0035*(BW7-(h_col-d_2))/BW7,0.002*(BW7-(h_col-d_2))/(BW7-3*h_col/7))/0.002)))^2))))/1000</f>
        <v/>
      </c>
      <c r="BY7">
        <f>IF($BX7&lt;N_Ed-1E-9*MAX(1,N_Ed),(BU7+BV7)/2,BU7)</f>
        <v/>
      </c>
      <c r="BZ7">
        <f>IF($BX7&lt;N_Ed-1E-9*MAX(1,N_Ed),BV7,(BU7+BV7)/2)</f>
        <v/>
      </c>
      <c r="CA7">
        <f>h_col*((BY7+BZ7)/2)/(1-(BY7+BZ7)/2)</f>
        <v/>
      </c>
      <c r="CB7">
        <f>(f_cd*b_col*((3*MIN(CA7,h_col)/7)+(4*MIN(CA7,h_col)/7)*(1-((4*MIN(CA7,h_col)/7)/(CA7-(3*MIN(CA7,h_col)/7)))^2/3))+$D7/2*((MAX(-f_yd,MIN(f_yd,200000*IF(CA7&lt;=h_col,0.0035*(CA7-d_2)/CA7,0.002*(CA7-d_2)/(CA7-3*h_col/7))))-f_cd*(1-(1-MAX(0,MIN(1,IF(CA7&lt;=h_col,0.0035*(CA7-d_2)/CA7,0.002*(CA7-d_2)/(CA7-3*h_col/7))/0.002)))^2))+(MAX(-f_yd,MIN(f_yd,200000*IF(CA7&lt;=h_col,0.0035*(CA7-(h_col-d_2))/CA7,0.002*(CA7-(h_col-d_2))/(CA7-3*h_col/7))))-f_cd*(1-(1-MAX(0,MIN(1,IF(CA7&lt;=h_col,0.0035*(CA7-(h_col-d_2))/CA7,0.002*(CA7-(h_col-d_2))/(CA7-3*h_col/7))/0.002)))^2))))/1000</f>
        <v/>
      </c>
      <c r="CC7">
        <f>IF($CB7&lt;N_Ed-1E-9*MAX(1,N_Ed),(BY7+BZ7)/2,BY7)</f>
        <v/>
      </c>
      <c r="CD7">
        <f>IF($CB7&lt;N_Ed-1E-9*MAX(1,N_Ed),BZ7,(BY7+BZ7)/2)</f>
        <v/>
      </c>
      <c r="CE7">
        <f>h_col*((CC7+CD7)/2)/(1-(CC7+CD7)/2)</f>
        <v/>
      </c>
      <c r="CF7">
        <f>(f_cd*b_col*((3*MIN(CE7,h_col)/7)+(4*MIN(CE7,h_col)/7)*(1-((4*MIN(CE7,h_col)/7)/(CE7-(3*MIN(CE7,h_col)/7)))^2/3))+$D7/2*((MAX(-f_yd,MIN(f_yd,200000*IF(CE7&lt;=h_col,0.0035*(CE7-d_2)/CE7,0.002*(CE7-d_2)/(CE7-3*h_col/7))))-f_cd*(1-(1-MAX(0,MIN(1,IF(CE7&lt;=h_col,0.0035*(CE7-d_2)/CE7,0.002*(CE7-d_2)/(CE7-3*h_col/7))/0.002)))^2))+(MAX(-f_yd,MIN(f_yd,200000*IF(CE7&lt;=h_col,0.0035*(CE7-(h_col-d_2))/CE7,0.002*(CE7-(h_col-d_2))/(CE7-3*h_col/7))))-f_cd*(1-(1-MAX(0,MIN(1,IF(CE7&lt;=h_col,0.0035*(CE7-(h_col-d_2))/CE7,0.002*(CE7-(h_col-d_2))/(CE7-3*h_col/7))/0.002)))^2))))/1000</f>
        <v/>
      </c>
      <c r="CG7">
        <f>IF($CF7&lt;N_Ed-1E-9*MAX(1,N_Ed),(CC7+CD7)/2,CC7)</f>
        <v/>
      </c>
      <c r="CH7">
        <f>IF($CF7&lt;N_Ed-1E-9*MAX(1,N_Ed),CD7,(CC7+CD7)/2)</f>
        <v/>
      </c>
      <c r="CI7">
        <f>h_col*((CG7+CH7)/2)/(1-(CG7+CH7)/2)</f>
        <v/>
      </c>
      <c r="CJ7">
        <f>(f_cd*b_col*((3*MIN(CI7,h_col)/7)+(4*MIN(CI7,h_col)/7)*(1-((4*MIN(CI7,h_col)/7)/(CI7-(3*MIN(CI7,h_col)/7)))^2/3))+$D7/2*((MAX(-f_yd,MIN(f_yd,200000*IF(CI7&lt;=h_col,0.0035*(CI7-d_2)/CI7,0.002*(CI7-d_2)/(CI7-3*h_col/7))))-f_cd*(1-(1-MAX(0,MIN(1,IF(CI7&lt;=h_col,0.0035*(CI7-d_2)/CI7,0.002*(CI7-d_2)/(CI7-3*h_col/7))/0.002)))^2))+(MAX(-f_yd,MIN(f_yd,200000*IF(CI7&lt;=h_col,0.0035*(CI7-(h_col-d_2))/CI7,0.002*(CI7-(h_col-d_2))/(CI7-3*h_col/7))))-f_cd*(1-(1-MAX(0,MIN(1,IF(CI7&lt;=h_col,0.0035*(CI7-(h_col-d_2))/CI7,0.002*(CI7-(h_col-d_2))/(CI7-3*h_col/7))/0.002)))^2))))/1000</f>
        <v/>
      </c>
      <c r="CK7">
        <f>IF($CJ7&lt;N_Ed-1E-9*MAX(1,N_Ed),(CG7+CH7)/2,CG7)</f>
        <v/>
      </c>
      <c r="CL7">
        <f>IF($CJ7&lt;N_Ed-1E-9*MAX(1,N_Ed),CH7,(CG7+CH7)/2)</f>
        <v/>
      </c>
      <c r="CM7">
        <f>h_col*((CK7+CL7)/2)/(1-(CK7+CL7)/2)</f>
        <v/>
      </c>
      <c r="CN7">
        <f>(f_cd*b_col*((3*MIN(CM7,h_col)/7)+(4*MIN(CM7,h_col)/7)*(1-((4*MIN(CM7,h_col)/7)/(CM7-(3*MIN(CM7,h_col)/7)))^2/3))+$D7/2*((MAX(-f_yd,MIN(f_yd,200000*IF(CM7&lt;=h_col,0.0035*(CM7-d_2)/CM7,0.002*(CM7-d_2)/(CM7-3*h_col/7))))-f_cd*(1-(1-MAX(0,MIN(1,IF(CM7&lt;=h_col,0.0035*(CM7-d_2)/CM7,0.002*(CM7-d_2)/(CM7-3*h_col/7))/0.002)))^2))+(MAX(-f_yd,MIN(f_yd,200000*IF(CM7&lt;=h_col,0.0035*(CM7-(h_col-d_2))/CM7,0.002*(CM7-(h_col-d_2))/(CM7-3*h_col/7))))-f_cd*(1-(1-MAX(0,MIN(1,IF(CM7&lt;=h_col,0.0035*(CM7-(h_col-d_2))/CM7,0.002*(CM7-(h_col-d_2))/(CM7-3*h_col/7))/0.002)))^2))))/1000</f>
        <v/>
      </c>
      <c r="CO7">
        <f>IF($CN7&lt;N_Ed-1E-9*MAX(1,N_Ed),(CK7+CL7)/2,CK7)</f>
        <v/>
      </c>
      <c r="CP7">
        <f>IF($CN7&lt;N_Ed-1E-9*MAX(1,N_Ed),CL7,(CK7+CL7)/2)</f>
        <v/>
      </c>
      <c r="CQ7">
        <f>h_col*((CO7+CP7)/2)/(1-(CO7+CP7)/2)</f>
        <v/>
      </c>
      <c r="CR7">
        <f>(f_cd*b_col*((3*MIN(CQ7,h_col)/7)+(4*MIN(CQ7,h_col)/7)*(1-((4*MIN(CQ7,h_col)/7)/(CQ7-(3*MIN(CQ7,h_col)/7)))^2/3))+$D7/2*((MAX(-f_yd,MIN(f_yd,200000*IF(CQ7&lt;=h_col,0.0035*(CQ7-d_2)/CQ7,0.002*(CQ7-d_2)/(CQ7-3*h_col/7))))-f_cd*(1-(1-MAX(0,MIN(1,IF(CQ7&lt;=h_col,0.0035*(CQ7-d_2)/CQ7,0.002*(CQ7-d_2)/(CQ7-3*h_col/7))/0.002)))^2))+(MAX(-f_yd,MIN(f_yd,200000*IF(CQ7&lt;=h_col,0.0035*(CQ7-(h_col-d_2))/CQ7,0.002*(CQ7-(h_col-d_2))/(CQ7-3*h_col/7))))-f_cd*(1-(1-MAX(0,MIN(1,IF(CQ7&lt;=h_col,0.0035*(CQ7-(h_col-d_2))/CQ7,0.002*(CQ7-(h_col-d_2))/(CQ7-3*h_col/7))/0.002)))^2))))/1000</f>
        <v/>
      </c>
      <c r="CS7">
        <f>IF($CR7&lt;N_Ed-1E-9*MAX(1,N_Ed),(CO7+CP7)/2,CO7)</f>
        <v/>
      </c>
      <c r="CT7">
        <f>IF($CR7&lt;N_Ed-1E-9*MAX(1,N_Ed),CP7,(CO7+CP7)/2)</f>
        <v/>
      </c>
      <c r="CU7">
        <f>h_col*((CS7+CT7)/2)/(1-(CS7+CT7)/2)</f>
        <v/>
      </c>
      <c r="CV7">
        <f>(f_cd*b_col*((3*MIN(CU7,h_col)/7)+(4*MIN(CU7,h_col)/7)*(1-((4*MIN(CU7,h_col)/7)/(CU7-(3*MIN(CU7,h_col)/7)))^2/3))+$D7/2*((MAX(-f_yd,MIN(f_yd,200000*IF(CU7&lt;=h_col,0.0035*(CU7-d_2)/CU7,0.002*(CU7-d_2)/(CU7-3*h_col/7))))-f_cd*(1-(1-MAX(0,MIN(1,IF(CU7&lt;=h_col,0.0035*(CU7-d_2)/CU7,0.002*(CU7-d_2)/(CU7-3*h_col/7))/0.002)))^2))+(MAX(-f_yd,MIN(f_yd,200000*IF(CU7&lt;=h_col,0.0035*(CU7-(h_col-d_2))/CU7,0.002*(CU7-(h_col-d_2))/(CU7-3*h_col/7))))-f_cd*(1-(1-MAX(0,MIN(1,IF(CU7&lt;=h_col,0.0035*(CU7-(h_col-d_2))/CU7,0.002*(CU7-(h_col-d_2))/(CU7-3*h_col/7))/0.002)))^2))))/1000</f>
        <v/>
      </c>
      <c r="CW7">
        <f>IF($CV7&lt;N_Ed-1E-9*MAX(1,N_Ed),(CS7+CT7)/2,CS7)</f>
        <v/>
      </c>
      <c r="CX7">
        <f>IF($CV7&lt;N_Ed-1E-9*MAX(1,N_Ed),CT7,(CS7+CT7)/2)</f>
        <v/>
      </c>
      <c r="CY7">
        <f>h_col*((CW7+CX7)/2)/(1-(CW7+CX7)/2)</f>
        <v/>
      </c>
      <c r="CZ7">
        <f>(f_cd*b_col*((3*MIN(CY7,h_col)/7)+(4*MIN(CY7,h_col)/7)*(1-((4*MIN(CY7,h_col)/7)/(CY7-(3*MIN(CY7,h_col)/7)))^2/3))+$D7/2*((MAX(-f_yd,MIN(f_yd,200000*IF(CY7&lt;=h_col,0.0035*(CY7-d_2)/CY7,0.002*(CY7-d_2)/(CY7-3*h_col/7))))-f_cd*(1-(1-MAX(0,MIN(1,IF(CY7&lt;=h_col,0.0035*(CY7-d_2)/CY7,0.002*(CY7-d_2)/(CY7-3*h_col/7))/0.002)))^2))+(MAX(-f_yd,MIN(f_yd,200000*IF(CY7&lt;=h_col,0.0035*(CY7-(h_col-d_2))/CY7,0.002*(CY7-(h_col-d_2))/(CY7-3*h_col/7))))-f_cd*(1-(1-MAX(0,MIN(1,IF(CY7&lt;=h_col,0.0035*(CY7-(h_col-d_2))/CY7,0.002*(CY7-(h_col-d_2))/(CY7-3*h_col/7))/0.002)))^2))))/1000</f>
        <v/>
      </c>
      <c r="DA7">
        <f>IF($CZ7&lt;N_Ed-1E-9*MAX(1,N_Ed),(CW7+CX7)/2,CW7)</f>
        <v/>
      </c>
      <c r="DB7">
        <f>IF($CZ7&lt;N_Ed-1E-9*MAX(1,N_Ed),CX7,(CW7+CX7)/2)</f>
        <v/>
      </c>
      <c r="DC7">
        <f>h_col*((DA7+DB7)/2)/(1-(DA7+DB7)/2)</f>
        <v/>
      </c>
      <c r="DD7">
        <f>(f_cd*b_col*((3*MIN(DC7,h_col)/7)+(4*MIN(DC7,h_col)/7)*(1-((4*MIN(DC7,h_col)/7)/(DC7-(3*MIN(DC7,h_col)/7)))^2/3))+$D7/2*((MAX(-f_yd,MIN(f_yd,200000*IF(DC7&lt;=h_col,0.0035*(DC7-d_2)/DC7,0.002*(DC7-d_2)/(DC7-3*h_col/7))))-f_cd*(1-(1-MAX(0,MIN(1,IF(DC7&lt;=h_col,0.0035*(DC7-d_2)/DC7,0.002*(DC7-d_2)/(DC7-3*h_col/7))/0.002)))^2))+(MAX(-f_yd,MIN(f_yd,200000*IF(DC7&lt;=h_col,0.0035*(DC7-(h_col-d_2))/DC7,0.002*(DC7-(h_col-d_2))/(DC7-3*h_col/7))))-f_cd*(1-(1-MAX(0,MIN(1,IF(DC7&lt;=h_col,0.0035*(DC7-(h_col-d_2))/DC7,0.002*(DC7-(h_col-d_2))/(DC7-3*h_col/7))/0.002)))^2))))/1000</f>
        <v/>
      </c>
      <c r="DE7">
        <f>IF($DD7&lt;N_Ed-1E-9*MAX(1,N_Ed),(DA7+DB7)/2,DA7)</f>
        <v/>
      </c>
      <c r="DF7">
        <f>IF($DD7&lt;N_Ed-1E-9*MAX(1,N_Ed),DB7,(DA7+DB7)/2)</f>
        <v/>
      </c>
      <c r="DG7">
        <f>h_col*((DE7+DF7)/2)/(1-(DE7+DF7)/2)</f>
        <v/>
      </c>
      <c r="DH7">
        <f>(f_cd*b_col*((3*MIN(DG7,h_col)/7)+(4*MIN(DG7,h_col)/7)*(1-((4*MIN(DG7,h_col)/7)/(DG7-(3*MIN(DG7,h_col)/7)))^2/3))+$D7/2*((MAX(-f_yd,MIN(f_yd,200000*IF(DG7&lt;=h_col,0.0035*(DG7-d_2)/DG7,0.002*(DG7-d_2)/(DG7-3*h_col/7))))-f_cd*(1-(1-MAX(0,MIN(1,IF(DG7&lt;=h_col,0.0035*(DG7-d_2)/DG7,0.002*(DG7-d_2)/(DG7-3*h_col/7))/0.002)))^2))+(MAX(-f_yd,MIN(f_yd,200000*IF(DG7&lt;=h_col,0.0035*(DG7-(h_col-d_2))/DG7,0.002*(DG7-(h_col-d_2))/(DG7-3*h_col/7))))-f_cd*(1-(1-MAX(0,MIN(1,IF(DG7&lt;=h_col,0.0035*(DG7-(h_col-d_2))/DG7,0.002*(DG7-(h_col-d_2))/(DG7-3*h_col/7))/0.002)))^2))))/1000</f>
        <v/>
      </c>
      <c r="DI7">
        <f>IF($DH7&lt;N_Ed-1E-9*MAX(1,N_Ed),(DE7+DF7)/2,DE7)</f>
        <v/>
      </c>
      <c r="DJ7">
        <f>IF($DH7&lt;N_Ed-1E-9*MAX(1,N_Ed),DF7,(DE7+DF7)/2)</f>
        <v/>
      </c>
      <c r="DK7">
        <f>h_col*((DI7+DJ7)/2)/(1-(DI7+DJ7)/2)</f>
        <v/>
      </c>
      <c r="DL7">
        <f>(f_cd*b_col*((3*MIN(DK7,h_col)/7)+(4*MIN(DK7,h_col)/7)*(1-((4*MIN(DK7,h_col)/7)/(DK7-(3*MIN(DK7,h_col)/7)))^2/3))+$D7/2*((MAX(-f_yd,MIN(f_yd,200000*IF(DK7&lt;=h_col,0.0035*(DK7-d_2)/DK7,0.002*(DK7-d_2)/(DK7-3*h_col/7))))-f_cd*(1-(1-MAX(0,MIN(1,IF(DK7&lt;=h_col,0.0035*(DK7-d_2)/DK7,0.002*(DK7-d_2)/(DK7-3*h_col/7))/0.002)))^2))+(MAX(-f_yd,MIN(f_yd,200000*IF(DK7&lt;=h_col,0.0035*(DK7-(h_col-d_2))/DK7,0.002*(DK7-(h_col-d_2))/(DK7-3*h_col/7))))-f_cd*(1-(1-MAX(0,MIN(1,IF(DK7&lt;=h_col,0.0035*(DK7-(h_col-d_2))/DK7,0.002*(DK7-(h_col-d_2))/(DK7-3*h_col/7))/0.002)))^2))))/1000</f>
        <v/>
      </c>
      <c r="DM7">
        <f>IF($DL7&lt;N_Ed-1E-9*MAX(1,N_Ed),(DI7+DJ7)/2,DI7)</f>
        <v/>
      </c>
      <c r="DN7">
        <f>IF($DL7&lt;N_Ed-1E-9*MAX(1,N_Ed),DJ7,(DI7+DJ7)/2)</f>
        <v/>
      </c>
      <c r="DO7">
        <f>h_col*((DM7+DN7)/2)/(1-(DM7+DN7)/2)</f>
        <v/>
      </c>
      <c r="DP7">
        <f>(f_cd*b_col*((3*MIN(DO7,h_col)/7)+(4*MIN(DO7,h_col)/7)*(1-((4*MIN(DO7,h_col)/7)/(DO7-(3*MIN(DO7,h_col)/7)))^2/3))+$D7/2*((MAX(-f_yd,MIN(f_yd,200000*IF(DO7&lt;=h_col,0.0035*(DO7-d_2)/DO7,0.002*(DO7-d_2)/(DO7-3*h_col/7))))-f_cd*(1-(1-MAX(0,MIN(1,IF(DO7&lt;=h_col,0.0035*(DO7-d_2)/DO7,0.002*(DO7-d_2)/(DO7-3*h_col/7))/0.002)))^2))+(MAX(-f_yd,MIN(f_yd,200000*IF(DO7&lt;=h_col,0.0035*(DO7-(h_col-d_2))/DO7,0.002*(DO7-(h_col-d_2))/(DO7-3*h_col/7))))-f_cd*(1-(1-MAX(0,MIN(1,IF(DO7&lt;=h_col,0.0035*(DO7-(h_col-d_2))/DO7,0.002*(DO7-(h_col-d_2))/(DO7-3*h_col/7))/0.002)))^2))))/1000</f>
        <v/>
      </c>
      <c r="DQ7">
        <f>IF($DP7&lt;N_Ed-1E-9*MAX(1,N_Ed),(DM7+DN7)/2,DM7)</f>
        <v/>
      </c>
      <c r="DR7">
        <f>IF($DP7&lt;N_Ed-1E-9*MAX(1,N_Ed),DN7,(DM7+DN7)/2)</f>
        <v/>
      </c>
      <c r="DS7">
        <f>h_col*((DQ7+DR7)/2)/(1-(DQ7+DR7)/2)</f>
        <v/>
      </c>
      <c r="DT7">
        <f>(f_cd*b_col*((3*MIN(DS7,h_col)/7)+(4*MIN(DS7,h_col)/7)*(1-((4*MIN(DS7,h_col)/7)/(DS7-(3*MIN(DS7,h_col)/7)))^2/3))+$D7/2*((MAX(-f_yd,MIN(f_yd,200000*IF(DS7&lt;=h_col,0.0035*(DS7-d_2)/DS7,0.002*(DS7-d_2)/(DS7-3*h_col/7))))-f_cd*(1-(1-MAX(0,MIN(1,IF(DS7&lt;=h_col,0.0035*(DS7-d_2)/DS7,0.002*(DS7-d_2)/(DS7-3*h_col/7))/0.002)))^2))+(MAX(-f_yd,MIN(f_yd,200000*IF(DS7&lt;=h_col,0.0035*(DS7-(h_col-d_2))/DS7,0.002*(DS7-(h_col-d_2))/(DS7-3*h_col/7))))-f_cd*(1-(1-MAX(0,MIN(1,IF(DS7&lt;=h_col,0.0035*(DS7-(h_col-d_2))/DS7,0.002*(DS7-(h_col-d_2))/(DS7-3*h_col/7))/0.002)))^2))))/1000</f>
        <v/>
      </c>
      <c r="DU7">
        <f>IF($DT7&lt;N_Ed-1E-9*MAX(1,N_Ed),(DQ7+DR7)/2,DQ7)</f>
        <v/>
      </c>
      <c r="DV7">
        <f>IF($DT7&lt;N_Ed-1E-9*MAX(1,N_Ed),DR7,(DQ7+DR7)/2)</f>
        <v/>
      </c>
      <c r="DW7">
        <f>h_col*((DU7+DV7)/2)/(1-(DU7+DV7)/2)</f>
        <v/>
      </c>
      <c r="DX7">
        <f>(f_cd*b_col*((3*MIN(DW7,h_col)/7)+(4*MIN(DW7,h_col)/7)*(1-((4*MIN(DW7,h_col)/7)/(DW7-(3*MIN(DW7,h_col)/7)))^2/3))+$D7/2*((MAX(-f_yd,MIN(f_yd,200000*IF(DW7&lt;=h_col,0.0035*(DW7-d_2)/DW7,0.002*(DW7-d_2)/(DW7-3*h_col/7))))-f_cd*(1-(1-MAX(0,MIN(1,IF(DW7&lt;=h_col,0.0035*(DW7-d_2)/DW7,0.002*(DW7-d_2)/(DW7-3*h_col/7))/0.002)))^2))+(MAX(-f_yd,MIN(f_yd,200000*IF(DW7&lt;=h_col,0.0035*(DW7-(h_col-d_2))/DW7,0.002*(DW7-(h_col-d_2))/(DW7-3*h_col/7))))-f_cd*(1-(1-MAX(0,MIN(1,IF(DW7&lt;=h_col,0.0035*(DW7-(h_col-d_2))/DW7,0.002*(DW7-(h_col-d_2))/(DW7-3*h_col/7))/0.002)))^2))))/1000</f>
        <v/>
      </c>
      <c r="DY7">
        <f>IF($DX7&lt;N_Ed-1E-9*MAX(1,N_Ed),(DU7+DV7)/2,DU7)</f>
        <v/>
      </c>
      <c r="DZ7">
        <f>IF($DX7&lt;N_Ed-1E-9*MAX(1,N_Ed),DV7,(DU7+DV7)/2)</f>
        <v/>
      </c>
      <c r="EA7">
        <f>h_col*((DY7+DZ7)/2)/(1-(DY7+DZ7)/2)</f>
        <v/>
      </c>
      <c r="EB7">
        <f>(f_cd*b_col*((3*MIN(EA7,h_col)/7)+(4*MIN(EA7,h_col)/7)*(1-((4*MIN(EA7,h_col)/7)/(EA7-(3*MIN(EA7,h_col)/7)))^2/3))+$D7/2*((MAX(-f_yd,MIN(f_yd,200000*IF(EA7&lt;=h_col,0.0035*(EA7-d_2)/EA7,0.002*(EA7-d_2)/(EA7-3*h_col/7))))-f_cd*(1-(1-MAX(0,MIN(1,IF(EA7&lt;=h_col,0.0035*(EA7-d_2)/EA7,0.002*(EA7-d_2)/(EA7-3*h_col/7))/0.002)))^2))+(MAX(-f_yd,MIN(f_yd,200000*IF(EA7&lt;=h_col,0.0035*(EA7-(h_col-d_2))/EA7,0.002*(EA7-(h_col-d_2))/(EA7-3*h_col/7))))-f_cd*(1-(1-MAX(0,MIN(1,IF(EA7&lt;=h_col,0.0035*(EA7-(h_col-d_2))/EA7,0.002*(EA7-(h_col-d_2))/(EA7-3*h_col/7))/0.002)))^2))))/1000</f>
        <v/>
      </c>
      <c r="EC7">
        <f>IF($EB7&lt;N_Ed-1E-9*MAX(1,N_Ed),(DY7+DZ7)/2,DY7)</f>
        <v/>
      </c>
      <c r="ED7">
        <f>IF($EB7&lt;N_Ed-1E-9*MAX(1,N_Ed),DZ7,(DY7+DZ7)/2)</f>
        <v/>
      </c>
      <c r="EE7">
        <f>h_col*((EC7+ED7)/2)/(1-(EC7+ED7)/2)</f>
        <v/>
      </c>
      <c r="EF7">
        <f>(f_cd*b_col*((3*MIN(EE7,h_col)/7)+(4*MIN(EE7,h_col)/7)*(1-((4*MIN(EE7,h_col)/7)/(EE7-(3*MIN(EE7,h_col)/7)))^2/3))+$D7/2*((MAX(-f_yd,MIN(f_yd,200000*IF(EE7&lt;=h_col,0.0035*(EE7-d_2)/EE7,0.002*(EE7-d_2)/(EE7-3*h_col/7))))-f_cd*(1-(1-MAX(0,MIN(1,IF(EE7&lt;=h_col,0.0035*(EE7-d_2)/EE7,0.002*(EE7-d_2)/(EE7-3*h_col/7))/0.002)))^2))+(MAX(-f_yd,MIN(f_yd,200000*IF(EE7&lt;=h_col,0.0035*(EE7-(h_col-d_2))/EE7,0.002*(EE7-(h_col-d_2))/(EE7-3*h_col/7))))-f_cd*(1-(1-MAX(0,MIN(1,IF(EE7&lt;=h_col,0.0035*(EE7-(h_col-d_2))/EE7,0.002*(EE7-(h_col-d_2))/(EE7-3*h_col/7))/0.002)))^2))))/1000</f>
        <v/>
      </c>
      <c r="EG7">
        <f>IF($EF7&lt;N_Ed-1E-9*MAX(1,N_Ed),(EC7+ED7)/2,EC7)</f>
        <v/>
      </c>
      <c r="EH7">
        <f>IF($EF7&lt;N_Ed-1E-9*MAX(1,N_Ed),ED7,(EC7+ED7)/2)</f>
        <v/>
      </c>
      <c r="EI7">
        <f>h_col*((EG7+EH7)/2)/(1-(EG7+EH7)/2)</f>
        <v/>
      </c>
      <c r="EJ7">
        <f>(f_cd*b_col*((3*MIN(EI7,h_col)/7)+(4*MIN(EI7,h_col)/7)*(1-((4*MIN(EI7,h_col)/7)/(EI7-(3*MIN(EI7,h_col)/7)))^2/3))+$D7/2*((MAX(-f_yd,MIN(f_yd,200000*IF(EI7&lt;=h_col,0.0035*(EI7-d_2)/EI7,0.002*(EI7-d_2)/(EI7-3*h_col/7))))-f_cd*(1-(1-MAX(0,MIN(1,IF(EI7&lt;=h_col,0.0035*(EI7-d_2)/EI7,0.002*(EI7-d_2)/(EI7-3*h_col/7))/0.002)))^2))+(MAX(-f_yd,MIN(f_yd,200000*IF(EI7&lt;=h_col,0.0035*(EI7-(h_col-d_2))/EI7,0.002*(EI7-(h_col-d_2))/(EI7-3*h_col/7))))-f_cd*(1-(1-MAX(0,MIN(1,IF(EI7&lt;=h_col,0.0035*(EI7-(h_col-d_2))/EI7,0.002*(EI7-(h_col-d_2))/(EI7-3*h_col/7))/0.002)))^2))))/1000</f>
        <v/>
      </c>
      <c r="EK7">
        <f>IF($EJ7&lt;N_Ed-1E-9*MAX(1,N_Ed),(EG7+EH7)/2,EG7)</f>
        <v/>
      </c>
      <c r="EL7">
        <f>IF($EJ7&lt;N_Ed-1E-9*MAX(1,N_Ed),EH7,(EG7+EH7)/2)</f>
        <v/>
      </c>
      <c r="EM7">
        <f>h_col*((EK7+EL7)/2)/(1-(EK7+EL7)/2)</f>
        <v/>
      </c>
      <c r="EN7">
        <f>(f_cd*b_col*((3*MIN(EM7,h_col)/7)+(4*MIN(EM7,h_col)/7)*(1-((4*MIN(EM7,h_col)/7)/(EM7-(3*MIN(EM7,h_col)/7)))^2/3))+$D7/2*((MAX(-f_yd,MIN(f_yd,200000*IF(EM7&lt;=h_col,0.0035*(EM7-d_2)/EM7,0.002*(EM7-d_2)/(EM7-3*h_col/7))))-f_cd*(1-(1-MAX(0,MIN(1,IF(EM7&lt;=h_col,0.0035*(EM7-d_2)/EM7,0.002*(EM7-d_2)/(EM7-3*h_col/7))/0.002)))^2))+(MAX(-f_yd,MIN(f_yd,200000*IF(EM7&lt;=h_col,0.0035*(EM7-(h_col-d_2))/EM7,0.002*(EM7-(h_col-d_2))/(EM7-3*h_col/7))))-f_cd*(1-(1-MAX(0,MIN(1,IF(EM7&lt;=h_col,0.0035*(EM7-(h_col-d_2))/EM7,0.002*(EM7-(h_col-d_2))/(EM7-3*h_col/7))/0.002)))^2))))/1000</f>
        <v/>
      </c>
      <c r="EO7">
        <f>IF($EN7&lt;N_Ed-1E-9*MAX(1,N_Ed),(EK7+EL7)/2,EK7)</f>
        <v/>
      </c>
      <c r="EP7">
        <f>IF($EN7&lt;N_Ed-1E-9*MAX(1,N_Ed),EL7,(EK7+EL7)/2)</f>
        <v/>
      </c>
      <c r="EQ7">
        <f>h_col*((EO7+EP7)/2)/(1-(EO7+EP7)/2)</f>
        <v/>
      </c>
      <c r="ER7">
        <f>(f_cd*b_col*((3*MIN(EQ7,h_col)/7)+(4*MIN(EQ7,h_col)/7)*(1-((4*MIN(EQ7,h_col)/7)/(EQ7-(3*MIN(EQ7,h_col)/7)))^2/3))+$D7/2*((MAX(-f_yd,MIN(f_yd,200000*IF(EQ7&lt;=h_col,0.0035*(EQ7-d_2)/EQ7,0.002*(EQ7-d_2)/(EQ7-3*h_col/7))))-f_cd*(1-(1-MAX(0,MIN(1,IF(EQ7&lt;=h_col,0.0035*(EQ7-d_2)/EQ7,0.002*(EQ7-d_2)/(EQ7-3*h_col/7))/0.002)))^2))+(MAX(-f_yd,MIN(f_yd,200000*IF(EQ7&lt;=h_col,0.0035*(EQ7-(h_col-d_2))/EQ7,0.002*(EQ7-(h_col-d_2))/(EQ7-3*h_col/7))))-f_cd*(1-(1-MAX(0,MIN(1,IF(EQ7&lt;=h_col,0.0035*(EQ7-(h_col-d_2))/EQ7,0.002*(EQ7-(h_col-d_2))/(EQ7-3*h_col/7))/0.002)))^2))))/1000</f>
        <v/>
      </c>
      <c r="ES7">
        <f>IF($ER7&lt;N_Ed-1E-9*MAX(1,N_Ed),(EO7+EP7)/2,EO7)</f>
        <v/>
      </c>
      <c r="ET7">
        <f>IF($ER7&lt;N_Ed-1E-9*MAX(1,N_Ed),EP7,(EO7+EP7)/2)</f>
        <v/>
      </c>
      <c r="EU7">
        <f>h_col*((ES7+ET7)/2)/(1-(ES7+ET7)/2)</f>
        <v/>
      </c>
      <c r="EV7">
        <f>(f_cd*b_col*((3*MIN(EU7,h_col)/7)+(4*MIN(EU7,h_col)/7)*(1-((4*MIN(EU7,h_col)/7)/(EU7-(3*MIN(EU7,h_col)/7)))^2/3))+$D7/2*((MAX(-f_yd,MIN(f_yd,200000*IF(EU7&lt;=h_col,0.0035*(EU7-d_2)/EU7,0.002*(EU7-d_2)/(EU7-3*h_col/7))))-f_cd*(1-(1-MAX(0,MIN(1,IF(EU7&lt;=h_col,0.0035*(EU7-d_2)/EU7,0.002*(EU7-d_2)/(EU7-3*h_col/7))/0.002)))^2))+(MAX(-f_yd,MIN(f_yd,200000*IF(EU7&lt;=h_col,0.0035*(EU7-(h_col-d_2))/EU7,0.002*(EU7-(h_col-d_2))/(EU7-3*h_col/7))))-f_cd*(1-(1-MAX(0,MIN(1,IF(EU7&lt;=h_col,0.0035*(EU7-(h_col-d_2))/EU7,0.002*(EU7-(h_col-d_2))/(EU7-3*h_col/7))/0.002)))^2))))/1000</f>
        <v/>
      </c>
      <c r="EW7">
        <f>IF($EV7&lt;N_Ed-1E-9*MAX(1,N_Ed),(ES7+ET7)/2,ES7)</f>
        <v/>
      </c>
      <c r="EX7">
        <f>IF($EV7&lt;N_Ed-1E-9*MAX(1,N_Ed),ET7,(ES7+ET7)/2)</f>
        <v/>
      </c>
      <c r="EY7">
        <f>h_col*((EW7+EX7)/2)/(1-(EW7+EX7)/2)</f>
        <v/>
      </c>
      <c r="EZ7">
        <f>(f_cd*b_col*((3*MIN(EY7,h_col)/7)+(4*MIN(EY7,h_col)/7)*(1-((4*MIN(EY7,h_col)/7)/(EY7-(3*MIN(EY7,h_col)/7)))^2/3))+$D7/2*((MAX(-f_yd,MIN(f_yd,200000*IF(EY7&lt;=h_col,0.0035*(EY7-d_2)/EY7,0.002*(EY7-d_2)/(EY7-3*h_col/7))))-f_cd*(1-(1-MAX(0,MIN(1,IF(EY7&lt;=h_col,0.0035*(EY7-d_2)/EY7,0.002*(EY7-d_2)/(EY7-3*h_col/7))/0.002)))^2))+(MAX(-f_yd,MIN(f_yd,200000*IF(EY7&lt;=h_col,0.0035*(EY7-(h_col-d_2))/EY7,0.002*(EY7-(h_col-d_2))/(EY7-3*h_col/7))))-f_cd*(1-(1-MAX(0,MIN(1,IF(EY7&lt;=h_col,0.0035*(EY7-(h_col-d_2))/EY7,0.002*(EY7-(h_col-d_2))/(EY7-3*h_col/7))/0.002)))^2))))/1000</f>
        <v/>
      </c>
      <c r="FA7">
        <f>IF($EZ7&lt;N_Ed-1E-9*MAX(1,N_Ed),(EW7+EX7)/2,EW7)</f>
        <v/>
      </c>
      <c r="FB7">
        <f>IF($EZ7&lt;N_Ed-1E-9*MAX(1,N_Ed),EX7,(EW7+EX7)/2)</f>
        <v/>
      </c>
      <c r="FC7">
        <f>h_col*((FA7+FB7)/2)/(1-(FA7+FB7)/2)</f>
        <v/>
      </c>
      <c r="FD7">
        <f>(f_cd*b_col*((3*MIN(FC7,h_col)/7)+(4*MIN(FC7,h_col)/7)*(1-((4*MIN(FC7,h_col)/7)/(FC7-(3*MIN(FC7,h_col)/7)))^2/3))+$D7/2*((MAX(-f_yd,MIN(f_yd,200000*IF(FC7&lt;=h_col,0.0035*(FC7-d_2)/FC7,0.002*(FC7-d_2)/(FC7-3*h_col/7))))-f_cd*(1-(1-MAX(0,MIN(1,IF(FC7&lt;=h_col,0.0035*(FC7-d_2)/FC7,0.002*(FC7-d_2)/(FC7-3*h_col/7))/0.002)))^2))+(MAX(-f_yd,MIN(f_yd,200000*IF(FC7&lt;=h_col,0.0035*(FC7-(h_col-d_2))/FC7,0.002*(FC7-(h_col-d_2))/(FC7-3*h_col/7))))-f_cd*(1-(1-MAX(0,MIN(1,IF(FC7&lt;=h_col,0.0035*(FC7-(h_col-d_2))/FC7,0.002*(FC7-(h_col-d_2))/(FC7-3*h_col/7))/0.002)))^2))))/1000</f>
        <v/>
      </c>
      <c r="FE7">
        <f>IF($FD7&lt;N_Ed-1E-9*MAX(1,N_Ed),(FA7+FB7)/2,FA7)</f>
        <v/>
      </c>
      <c r="FF7">
        <f>IF($FD7&lt;N_Ed-1E-9*MAX(1,N_Ed),FB7,(FA7+FB7)/2)</f>
        <v/>
      </c>
      <c r="FG7">
        <f>h_col*((FE7+FF7)/2)/(1-(FE7+FF7)/2)</f>
        <v/>
      </c>
      <c r="FH7">
        <f>(f_cd*b_col*((3*MIN(FG7,h_col)/7)+(4*MIN(FG7,h_col)/7)*(1-((4*MIN(FG7,h_col)/7)/(FG7-(3*MIN(FG7,h_col)/7)))^2/3))+$D7/2*((MAX(-f_yd,MIN(f_yd,200000*IF(FG7&lt;=h_col,0.0035*(FG7-d_2)/FG7,0.002*(FG7-d_2)/(FG7-3*h_col/7))))-f_cd*(1-(1-MAX(0,MIN(1,IF(FG7&lt;=h_col,0.0035*(FG7-d_2)/FG7,0.002*(FG7-d_2)/(FG7-3*h_col/7))/0.002)))^2))+(MAX(-f_yd,MIN(f_yd,200000*IF(FG7&lt;=h_col,0.0035*(FG7-(h_col-d_2))/FG7,0.002*(FG7-(h_col-d_2))/(FG7-3*h_col/7))))-f_cd*(1-(1-MAX(0,MIN(1,IF(FG7&lt;=h_col,0.0035*(FG7-(h_col-d_2))/FG7,0.002*(FG7-(h_col-d_2))/(FG7-3*h_col/7))/0.002)))^2))))/1000</f>
        <v/>
      </c>
      <c r="FI7">
        <f>IF($FH7&lt;N_Ed-1E-9*MAX(1,N_Ed),(FE7+FF7)/2,FE7)</f>
        <v/>
      </c>
      <c r="FJ7">
        <f>IF($FH7&lt;N_Ed-1E-9*MAX(1,N_Ed),FF7,(FE7+FF7)/2)</f>
        <v/>
      </c>
      <c r="FK7">
        <f>h_col*((FI7+FJ7)/2)/(1-(FI7+FJ7)/2)</f>
        <v/>
      </c>
      <c r="FL7">
        <f>(f_cd*b_col*((3*MIN(FK7,h_col)/7)+(4*MIN(FK7,h_col)/7)*(1-((4*MIN(FK7,h_col)/7)/(FK7-(3*MIN(FK7,h_col)/7)))^2/3))+$D7/2*((MAX(-f_yd,MIN(f_yd,200000*IF(FK7&lt;=h_col,0.0035*(FK7-d_2)/FK7,0.002*(FK7-d_2)/(FK7-3*h_col/7))))-f_cd*(1-(1-MAX(0,MIN(1,IF(FK7&lt;=h_col,0.0035*(FK7-d_2)/FK7,0.002*(FK7-d_2)/(FK7-3*h_col/7))/0.002)))^2))+(MAX(-f_yd,MIN(f_yd,200000*IF(FK7&lt;=h_col,0.0035*(FK7-(h_col-d_2))/FK7,0.002*(FK7-(h_col-d_2))/(FK7-3*h_col/7))))-f_cd*(1-(1-MAX(0,MIN(1,IF(FK7&lt;=h_col,0.0035*(FK7-(h_col-d_2))/FK7,0.002*(FK7-(h_col-d_2))/(FK7-3*h_col/7))/0.002)))^2))))/1000</f>
        <v/>
      </c>
      <c r="FM7">
        <f>IF($FL7&lt;N_Ed-1E-9*MAX(1,N_Ed),(FI7+FJ7)/2,FI7)</f>
        <v/>
      </c>
      <c r="FN7">
        <f>IF($FL7&lt;N_Ed-1E-9*MAX(1,N_Ed),FJ7,(FI7+FJ7)/2)</f>
        <v/>
      </c>
      <c r="FO7">
        <f>h_col*((FM7+FN7)/2)/(1-(FM7+FN7)/2)</f>
        <v/>
      </c>
      <c r="FP7">
        <f>(f_cd*b_col*((3*MIN(FO7,h_col)/7)+(4*MIN(FO7,h_col)/7)*(1-((4*MIN(FO7,h_col)/7)/(FO7-(3*MIN(FO7,h_col)/7)))^2/3))+$D7/2*((MAX(-f_yd,MIN(f_yd,200000*IF(FO7&lt;=h_col,0.0035*(FO7-d_2)/FO7,0.002*(FO7-d_2)/(FO7-3*h_col/7))))-f_cd*(1-(1-MAX(0,MIN(1,IF(FO7&lt;=h_col,0.0035*(FO7-d_2)/FO7,0.002*(FO7-d_2)/(FO7-3*h_col/7))/0.002)))^2))+(MAX(-f_yd,MIN(f_yd,200000*IF(FO7&lt;=h_col,0.0035*(FO7-(h_col-d_2))/FO7,0.002*(FO7-(h_col-d_2))/(FO7-3*h_col/7))))-f_cd*(1-(1-MAX(0,MIN(1,IF(FO7&lt;=h_col,0.0035*(FO7-(h_col-d_2))/FO7,0.002*(FO7-(h_col-d_2))/(FO7-3*h_col/7))/0.002)))^2))))/1000</f>
        <v/>
      </c>
      <c r="FQ7">
        <f>IF($FP7&lt;N_Ed-1E-9*MAX(1,N_Ed),(FM7+FN7)/2,FM7)</f>
        <v/>
      </c>
      <c r="FR7">
        <f>IF($FP7&lt;N_Ed-1E-9*MAX(1,N_Ed),FN7,(FM7+FN7)/2)</f>
        <v/>
      </c>
      <c r="FS7">
        <f>h_col*((FQ7+FR7)/2)/(1-(FQ7+FR7)/2)</f>
        <v/>
      </c>
      <c r="FT7">
        <f>(f_cd*b_col*((3*MIN(FS7,h_col)/7)+(4*MIN(FS7,h_col)/7)*(1-((4*MIN(FS7,h_col)/7)/(FS7-(3*MIN(FS7,h_col)/7)))^2/3))+$D7/2*((MAX(-f_yd,MIN(f_yd,200000*IF(FS7&lt;=h_col,0.0035*(FS7-d_2)/FS7,0.002*(FS7-d_2)/(FS7-3*h_col/7))))-f_cd*(1-(1-MAX(0,MIN(1,IF(FS7&lt;=h_col,0.0035*(FS7-d_2)/FS7,0.002*(FS7-d_2)/(FS7-3*h_col/7))/0.002)))^2))+(MAX(-f_yd,MIN(f_yd,200000*IF(FS7&lt;=h_col,0.0035*(FS7-(h_col-d_2))/FS7,0.002*(FS7-(h_col-d_2))/(FS7-3*h_col/7))))-f_cd*(1-(1-MAX(0,MIN(1,IF(FS7&lt;=h_col,0.0035*(FS7-(h_col-d_2))/FS7,0.002*(FS7-(h_col-d_2))/(FS7-3*h_col/7))/0.002)))^2))))/1000</f>
        <v/>
      </c>
      <c r="FU7">
        <f>IF($FT7&lt;N_Ed-1E-9*MAX(1,N_Ed),(FQ7+FR7)/2,FQ7)</f>
        <v/>
      </c>
      <c r="FV7">
        <f>IF($FT7&lt;N_Ed-1E-9*MAX(1,N_Ed),FR7,(FQ7+FR7)/2)</f>
        <v/>
      </c>
      <c r="FW7">
        <f>h_col*((FU7+FV7)/2)/(1-(FU7+FV7)/2)</f>
        <v/>
      </c>
      <c r="FX7">
        <f>(f_cd*b_col*((3*MIN(FW7,h_col)/7)+(4*MIN(FW7,h_col)/7)*(1-((4*MIN(FW7,h_col)/7)/(FW7-(3*MIN(FW7,h_col)/7)))^2/3))+$D7/2*((MAX(-f_yd,MIN(f_yd,200000*IF(FW7&lt;=h_col,0.0035*(FW7-d_2)/FW7,0.002*(FW7-d_2)/(FW7-3*h_col/7))))-f_cd*(1-(1-MAX(0,MIN(1,IF(FW7&lt;=h_col,0.0035*(FW7-d_2)/FW7,0.002*(FW7-d_2)/(FW7-3*h_col/7))/0.002)))^2))+(MAX(-f_yd,MIN(f_yd,200000*IF(FW7&lt;=h_col,0.0035*(FW7-(h_col-d_2))/FW7,0.002*(FW7-(h_col-d_2))/(FW7-3*h_col/7))))-f_cd*(1-(1-MAX(0,MIN(1,IF(FW7&lt;=h_col,0.0035*(FW7-(h_col-d_2))/FW7,0.002*(FW7-(h_col-d_2))/(FW7-3*h_col/7))/0.002)))^2))))/1000</f>
        <v/>
      </c>
      <c r="FY7">
        <f>IF($FX7&lt;N_Ed-1E-9*MAX(1,N_Ed),(FU7+FV7)/2,FU7)</f>
        <v/>
      </c>
      <c r="FZ7">
        <f>IF($FX7&lt;N_Ed-1E-9*MAX(1,N_Ed),FV7,(FU7+FV7)/2)</f>
        <v/>
      </c>
      <c r="GA7">
        <f>h_col*((FY7+FZ7)/2)/(1-(FY7+FZ7)/2)</f>
        <v/>
      </c>
      <c r="GB7">
        <f>(f_cd*b_col*((3*MIN(GA7,h_col)/7)+(4*MIN(GA7,h_col)/7)*(1-((4*MIN(GA7,h_col)/7)/(GA7-(3*MIN(GA7,h_col)/7)))^2/3))+$D7/2*((MAX(-f_yd,MIN(f_yd,200000*IF(GA7&lt;=h_col,0.0035*(GA7-d_2)/GA7,0.002*(GA7-d_2)/(GA7-3*h_col/7))))-f_cd*(1-(1-MAX(0,MIN(1,IF(GA7&lt;=h_col,0.0035*(GA7-d_2)/GA7,0.002*(GA7-d_2)/(GA7-3*h_col/7))/0.002)))^2))+(MAX(-f_yd,MIN(f_yd,200000*IF(GA7&lt;=h_col,0.0035*(GA7-(h_col-d_2))/GA7,0.002*(GA7-(h_col-d_2))/(GA7-3*h_col/7))))-f_cd*(1-(1-MAX(0,MIN(1,IF(GA7&lt;=h_col,0.0035*(GA7-(h_col-d_2))/GA7,0.002*(GA7-(h_col-d_2))/(GA7-3*h_col/7))/0.002)))^2))))/1000</f>
        <v/>
      </c>
      <c r="GC7">
        <f>IF($GB7&lt;N_Ed-1E-9*MAX(1,N_Ed),(FY7+FZ7)/2,FY7)</f>
        <v/>
      </c>
      <c r="GD7">
        <f>IF($GB7&lt;N_Ed-1E-9*MAX(1,N_Ed),FZ7,(FY7+FZ7)/2)</f>
        <v/>
      </c>
      <c r="GE7">
        <f>h_col*((GC7+GD7)/2)/(1-(GC7+GD7)/2)</f>
        <v/>
      </c>
      <c r="GF7">
        <f>(f_cd*b_col*((3*MIN(GE7,h_col)/7)+(4*MIN(GE7,h_col)/7)*(1-((4*MIN(GE7,h_col)/7)/(GE7-(3*MIN(GE7,h_col)/7)))^2/3))+$D7/2*((MAX(-f_yd,MIN(f_yd,200000*IF(GE7&lt;=h_col,0.0035*(GE7-d_2)/GE7,0.002*(GE7-d_2)/(GE7-3*h_col/7))))-f_cd*(1-(1-MAX(0,MIN(1,IF(GE7&lt;=h_col,0.0035*(GE7-d_2)/GE7,0.002*(GE7-d_2)/(GE7-3*h_col/7))/0.002)))^2))+(MAX(-f_yd,MIN(f_yd,200000*IF(GE7&lt;=h_col,0.0035*(GE7-(h_col-d_2))/GE7,0.002*(GE7-(h_col-d_2))/(GE7-3*h_col/7))))-f_cd*(1-(1-MAX(0,MIN(1,IF(GE7&lt;=h_col,0.0035*(GE7-(h_col-d_2))/GE7,0.002*(GE7-(h_col-d_2))/(GE7-3*h_col/7))/0.002)))^2))))/1000</f>
        <v/>
      </c>
      <c r="GG7">
        <f>IF($GF7&lt;N_Ed-1E-9*MAX(1,N_Ed),(GC7+GD7)/2,GC7)</f>
        <v/>
      </c>
      <c r="GH7">
        <f>IF($GF7&lt;N_Ed-1E-9*MAX(1,N_Ed),GD7,(GC7+GD7)/2)</f>
        <v/>
      </c>
      <c r="GI7">
        <f>h_col*((GG7+GH7)/2)/(1-(GG7+GH7)/2)</f>
        <v/>
      </c>
      <c r="GJ7">
        <f>(f_cd*b_col*((3*MIN(GI7,h_col)/7)+(4*MIN(GI7,h_col)/7)*(1-((4*MIN(GI7,h_col)/7)/(GI7-(3*MIN(GI7,h_col)/7)))^2/3))+$D7/2*((MAX(-f_yd,MIN(f_yd,200000*IF(GI7&lt;=h_col,0.0035*(GI7-d_2)/GI7,0.002*(GI7-d_2)/(GI7-3*h_col/7))))-f_cd*(1-(1-MAX(0,MIN(1,IF(GI7&lt;=h_col,0.0035*(GI7-d_2)/GI7,0.002*(GI7-d_2)/(GI7-3*h_col/7))/0.002)))^2))+(MAX(-f_yd,MIN(f_yd,200000*IF(GI7&lt;=h_col,0.0035*(GI7-(h_col-d_2))/GI7,0.002*(GI7-(h_col-d_2))/(GI7-3*h_col/7))))-f_cd*(1-(1-MAX(0,MIN(1,IF(GI7&lt;=h_col,0.0035*(GI7-(h_col-d_2))/GI7,0.002*(GI7-(h_col-d_2))/(GI7-3*h_col/7))/0.002)))^2))))/1000</f>
        <v/>
      </c>
      <c r="GK7">
        <f>IF($GJ7&lt;N_Ed-1E-9*MAX(1,N_Ed),(GG7+GH7)/2,GG7)</f>
        <v/>
      </c>
      <c r="GL7">
        <f>IF($GJ7&lt;N_Ed-1E-9*MAX(1,N_Ed),GH7,(GG7+GH7)/2)</f>
        <v/>
      </c>
      <c r="GM7">
        <f>h_col*((GK7+GL7)/2)/(1-(GK7+GL7)/2)</f>
        <v/>
      </c>
      <c r="GN7">
        <f>(f_cd*b_col*((3*MIN(GM7,h_col)/7)+(4*MIN(GM7,h_col)/7)*(1-((4*MIN(GM7,h_col)/7)/(GM7-(3*MIN(GM7,h_col)/7)))^2/3))+$D7/2*((MAX(-f_yd,MIN(f_yd,200000*IF(GM7&lt;=h_col,0.0035*(GM7-d_2)/GM7,0.002*(GM7-d_2)/(GM7-3*h_col/7))))-f_cd*(1-(1-MAX(0,MIN(1,IF(GM7&lt;=h_col,0.0035*(GM7-d_2)/GM7,0.002*(GM7-d_2)/(GM7-3*h_col/7))/0.002)))^2))+(MAX(-f_yd,MIN(f_yd,200000*IF(GM7&lt;=h_col,0.0035*(GM7-(h_col-d_2))/GM7,0.002*(GM7-(h_col-d_2))/(GM7-3*h_col/7))))-f_cd*(1-(1-MAX(0,MIN(1,IF(GM7&lt;=h_col,0.0035*(GM7-(h_col-d_2))/GM7,0.002*(GM7-(h_col-d_2))/(GM7-3*h_col/7))/0.002)))^2))))/1000</f>
        <v/>
      </c>
      <c r="GO7">
        <f>IF($GN7&lt;N_Ed-1E-9*MAX(1,N_Ed),(GK7+GL7)/2,GK7)</f>
        <v/>
      </c>
      <c r="GP7">
        <f>IF($GN7&lt;N_Ed-1E-9*MAX(1,N_Ed),GL7,(GK7+GL7)/2)</f>
        <v/>
      </c>
      <c r="GQ7">
        <f>h_col*((GO7+GP7)/2)/(1-(GO7+GP7)/2)</f>
        <v/>
      </c>
      <c r="GR7">
        <f>(f_cd*b_col*((3*MIN(GQ7,h_col)/7)+(4*MIN(GQ7,h_col)/7)*(1-((4*MIN(GQ7,h_col)/7)/(GQ7-(3*MIN(GQ7,h_col)/7)))^2/3))+$D7/2*((MAX(-f_yd,MIN(f_yd,200000*IF(GQ7&lt;=h_col,0.0035*(GQ7-d_2)/GQ7,0.002*(GQ7-d_2)/(GQ7-3*h_col/7))))-f_cd*(1-(1-MAX(0,MIN(1,IF(GQ7&lt;=h_col,0.0035*(GQ7-d_2)/GQ7,0.002*(GQ7-d_2)/(GQ7-3*h_col/7))/0.002)))^2))+(MAX(-f_yd,MIN(f_yd,200000*IF(GQ7&lt;=h_col,0.0035*(GQ7-(h_col-d_2))/GQ7,0.002*(GQ7-(h_col-d_2))/(GQ7-3*h_col/7))))-f_cd*(1-(1-MAX(0,MIN(1,IF(GQ7&lt;=h_col,0.0035*(GQ7-(h_col-d_2))/GQ7,0.002*(GQ7-(h_col-d_2))/(GQ7-3*h_col/7))/0.002)))^2))))/1000</f>
        <v/>
      </c>
      <c r="GS7">
        <f>IF($GR7&lt;N_Ed-1E-9*MAX(1,N_Ed),(GO7+GP7)/2,GO7)</f>
        <v/>
      </c>
      <c r="GT7">
        <f>IF($GR7&lt;N_Ed-1E-9*MAX(1,N_Ed),GP7,(GO7+GP7)/2)</f>
        <v/>
      </c>
      <c r="GU7">
        <f>h_col*((GS7+GT7)/2)/(1-(GS7+GT7)/2)</f>
        <v/>
      </c>
      <c r="GV7">
        <f>(f_cd*b_col*((3*MIN(GU7,h_col)/7)+(4*MIN(GU7,h_col)/7)*(1-((4*MIN(GU7,h_col)/7)/(GU7-(3*MIN(GU7,h_col)/7)))^2/3))+$D7/2*((MAX(-f_yd,MIN(f_yd,200000*IF(GU7&lt;=h_col,0.0035*(GU7-d_2)/GU7,0.002*(GU7-d_2)/(GU7-3*h_col/7))))-f_cd*(1-(1-MAX(0,MIN(1,IF(GU7&lt;=h_col,0.0035*(GU7-d_2)/GU7,0.002*(GU7-d_2)/(GU7-3*h_col/7))/0.002)))^2))+(MAX(-f_yd,MIN(f_yd,200000*IF(GU7&lt;=h_col,0.0035*(GU7-(h_col-d_2))/GU7,0.002*(GU7-(h_col-d_2))/(GU7-3*h_col/7))))-f_cd*(1-(1-MAX(0,MIN(1,IF(GU7&lt;=h_col,0.0035*(GU7-(h_col-d_2))/GU7,0.002*(GU7-(h_col-d_2))/(GU7-3*h_col/7))/0.002)))^2))))/1000</f>
        <v/>
      </c>
      <c r="GW7">
        <f>GU7</f>
        <v/>
      </c>
      <c r="GX7">
        <f>(f_cd*b_col*((3*MIN(GW7,h_col)/7)+(4*MIN(GW7,h_col)/7)*(1-((4*MIN(GW7,h_col)/7)/(GW7-(3*MIN(GW7,h_col)/7)))^2/3))+$D7/2*((MAX(-f_yd,MIN(f_yd,200000*IF(GW7&lt;=h_col,0.0035*(GW7-d_2)/GW7,0.002*(GW7-d_2)/(GW7-3*h_col/7))))-f_cd*(1-(1-MAX(0,MIN(1,IF(GW7&lt;=h_col,0.0035*(GW7-d_2)/GW7,0.002*(GW7-d_2)/(GW7-3*h_col/7))/0.002)))^2))+(MAX(-f_yd,MIN(f_yd,200000*IF(GW7&lt;=h_col,0.0035*(GW7-(h_col-d_2))/GW7,0.002*(GW7-(h_col-d_2))/(GW7-3*h_col/7))))-f_cd*(1-(1-MAX(0,MIN(1,IF(GW7&lt;=h_col,0.0035*(GW7-(h_col-d_2))/GW7,0.002*(GW7-(h_col-d_2))/(GW7-3*h_col/7))/0.002)))^2))))/1000</f>
        <v/>
      </c>
      <c r="GY7">
        <f>(f_cd*b_col*((3*MIN(GW7,h_col)/7)*(h_col/2-(3*MIN(GW7,h_col)/7)/2)+(4*MIN(GW7,h_col)/7)*((h_col/2-(3*MIN(GW7,h_col)/7))*(1-((4*MIN(GW7,h_col)/7)/(GW7-(3*MIN(GW7,h_col)/7)))^2/3)-(4*MIN(GW7,h_col)/7)*(0.5-((4*MIN(GW7,h_col)/7)/(GW7-(3*MIN(GW7,h_col)/7)))^2/4)))+$D7/2*((MAX(-f_yd,MIN(f_yd,200000*IF(GW7&lt;=h_col,0.0035*(GW7-d_2)/GW7,0.002*(GW7-d_2)/(GW7-3*h_col/7))))-f_cd*(1-(1-MAX(0,MIN(1,IF(GW7&lt;=h_col,0.0035*(GW7-d_2)/GW7,0.002*(GW7-d_2)/(GW7-3*h_col/7))/0.002)))^2))-(MAX(-f_yd,MIN(f_yd,200000*IF(GW7&lt;=h_col,0.0035*(GW7-(h_col-d_2))/GW7,0.002*(GW7-(h_col-d_2))/(GW7-3*h_col/7))))-f_cd*(1-(1-MAX(0,MIN(1,IF(GW7&lt;=h_col,0.0035*(GW7-(h_col-d_2))/GW7,0.002*(GW7-(h_col-d_2))/(GW7-3*h_col/7))/0.002)))^2)))*(h_col/2-d_2))/1E6</f>
        <v/>
      </c>
      <c r="GZ7">
        <f>GX7&gt;=N_Ed-1E-6*MAX(1,N_Ed)</f>
        <v/>
      </c>
      <c r="HA7">
        <f>IF(GZ7,GY7,-1E9)</f>
        <v/>
      </c>
    </row>
    <row r="8">
      <c r="A8" t="n">
        <v>3</v>
      </c>
      <c r="B8">
        <f>IF($HA7&gt;=M_d,$B7,$D7)</f>
        <v/>
      </c>
      <c r="C8">
        <f>IF($HA7&gt;=M_d,$D7,$C7)</f>
        <v/>
      </c>
      <c r="D8">
        <f>($B8+$C8)/2</f>
        <v/>
      </c>
      <c r="E8" t="n">
        <v>0</v>
      </c>
      <c r="F8">
        <f>1-1E-12</f>
        <v/>
      </c>
      <c r="G8">
        <f>h_col*((E8+F8)/2)/(1-(E8+F8)/2)</f>
        <v/>
      </c>
      <c r="H8">
        <f>(f_cd*b_col*((3*MIN(G8,h_col)/7)+(4*MIN(G8,h_col)/7)*(1-((4*MIN(G8,h_col)/7)/(G8-(3*MIN(G8,h_col)/7)))^2/3))+$D8/2*((MAX(-f_yd,MIN(f_yd,200000*IF(G8&lt;=h_col,0.0035*(G8-d_2)/G8,0.002*(G8-d_2)/(G8-3*h_col/7))))-f_cd*(1-(1-MAX(0,MIN(1,IF(G8&lt;=h_col,0.0035*(G8-d_2)/G8,0.002*(G8-d_2)/(G8-3*h_col/7))/0.002)))^2))+(MAX(-f_yd,MIN(f_yd,200000*IF(G8&lt;=h_col,0.0035*(G8-(h_col-d_2))/G8,0.002*(G8-(h_col-d_2))/(G8-3*h_col/7))))-f_cd*(1-(1-MAX(0,MIN(1,IF(G8&lt;=h_col,0.0035*(G8-(h_col-d_2))/G8,0.002*(G8-(h_col-d_2))/(G8-3*h_col/7))/0.002)))^2))))/1000</f>
        <v/>
      </c>
      <c r="I8">
        <f>IF($H8&lt;N_Ed-1E-9*MAX(1,N_Ed),(E8+F8)/2,E8)</f>
        <v/>
      </c>
      <c r="J8">
        <f>IF($H8&lt;N_Ed-1E-9*MAX(1,N_Ed),F8,(E8+F8)/2)</f>
        <v/>
      </c>
      <c r="K8">
        <f>h_col*((I8+J8)/2)/(1-(I8+J8)/2)</f>
        <v/>
      </c>
      <c r="L8">
        <f>(f_cd*b_col*((3*MIN(K8,h_col)/7)+(4*MIN(K8,h_col)/7)*(1-((4*MIN(K8,h_col)/7)/(K8-(3*MIN(K8,h_col)/7)))^2/3))+$D8/2*((MAX(-f_yd,MIN(f_yd,200000*IF(K8&lt;=h_col,0.0035*(K8-d_2)/K8,0.002*(K8-d_2)/(K8-3*h_col/7))))-f_cd*(1-(1-MAX(0,MIN(1,IF(K8&lt;=h_col,0.0035*(K8-d_2)/K8,0.002*(K8-d_2)/(K8-3*h_col/7))/0.002)))^2))+(MAX(-f_yd,MIN(f_yd,200000*IF(K8&lt;=h_col,0.0035*(K8-(h_col-d_2))/K8,0.002*(K8-(h_col-d_2))/(K8-3*h_col/7))))-f_cd*(1-(1-MAX(0,MIN(1,IF(K8&lt;=h_col,0.0035*(K8-(h_col-d_2))/K8,0.002*(K8-(h_col-d_2))/(K8-3*h_col/7))/0.002)))^2))))/1000</f>
        <v/>
      </c>
      <c r="M8">
        <f>IF($L8&lt;N_Ed-1E-9*MAX(1,N_Ed),(I8+J8)/2,I8)</f>
        <v/>
      </c>
      <c r="N8">
        <f>IF($L8&lt;N_Ed-1E-9*MAX(1,N_Ed),J8,(I8+J8)/2)</f>
        <v/>
      </c>
      <c r="O8">
        <f>h_col*((M8+N8)/2)/(1-(M8+N8)/2)</f>
        <v/>
      </c>
      <c r="P8">
        <f>(f_cd*b_col*((3*MIN(O8,h_col)/7)+(4*MIN(O8,h_col)/7)*(1-((4*MIN(O8,h_col)/7)/(O8-(3*MIN(O8,h_col)/7)))^2/3))+$D8/2*((MAX(-f_yd,MIN(f_yd,200000*IF(O8&lt;=h_col,0.0035*(O8-d_2)/O8,0.002*(O8-d_2)/(O8-3*h_col/7))))-f_cd*(1-(1-MAX(0,MIN(1,IF(O8&lt;=h_col,0.0035*(O8-d_2)/O8,0.002*(O8-d_2)/(O8-3*h_col/7))/0.002)))^2))+(MAX(-f_yd,MIN(f_yd,200000*IF(O8&lt;=h_col,0.0035*(O8-(h_col-d_2))/O8,0.002*(O8-(h_col-d_2))/(O8-3*h_col/7))))-f_cd*(1-(1-MAX(0,MIN(1,IF(O8&lt;=h_col,0.0035*(O8-(h_col-d_2))/O8,0.002*(O8-(h_col-d_2))/(O8-3*h_col/7))/0.002)))^2))))/1000</f>
        <v/>
      </c>
      <c r="Q8">
        <f>IF($P8&lt;N_Ed-1E-9*MAX(1,N_Ed),(M8+N8)/2,M8)</f>
        <v/>
      </c>
      <c r="R8">
        <f>IF($P8&lt;N_Ed-1E-9*MAX(1,N_Ed),N8,(M8+N8)/2)</f>
        <v/>
      </c>
      <c r="S8">
        <f>h_col*((Q8+R8)/2)/(1-(Q8+R8)/2)</f>
        <v/>
      </c>
      <c r="T8">
        <f>(f_cd*b_col*((3*MIN(S8,h_col)/7)+(4*MIN(S8,h_col)/7)*(1-((4*MIN(S8,h_col)/7)/(S8-(3*MIN(S8,h_col)/7)))^2/3))+$D8/2*((MAX(-f_yd,MIN(f_yd,200000*IF(S8&lt;=h_col,0.0035*(S8-d_2)/S8,0.002*(S8-d_2)/(S8-3*h_col/7))))-f_cd*(1-(1-MAX(0,MIN(1,IF(S8&lt;=h_col,0.0035*(S8-d_2)/S8,0.002*(S8-d_2)/(S8-3*h_col/7))/0.002)))^2))+(MAX(-f_yd,MIN(f_yd,200000*IF(S8&lt;=h_col,0.0035*(S8-(h_col-d_2))/S8,0.002*(S8-(h_col-d_2))/(S8-3*h_col/7))))-f_cd*(1-(1-MAX(0,MIN(1,IF(S8&lt;=h_col,0.0035*(S8-(h_col-d_2))/S8,0.002*(S8-(h_col-d_2))/(S8-3*h_col/7))/0.002)))^2))))/1000</f>
        <v/>
      </c>
      <c r="U8">
        <f>IF($T8&lt;N_Ed-1E-9*MAX(1,N_Ed),(Q8+R8)/2,Q8)</f>
        <v/>
      </c>
      <c r="V8">
        <f>IF($T8&lt;N_Ed-1E-9*MAX(1,N_Ed),R8,(Q8+R8)/2)</f>
        <v/>
      </c>
      <c r="W8">
        <f>h_col*((U8+V8)/2)/(1-(U8+V8)/2)</f>
        <v/>
      </c>
      <c r="X8">
        <f>(f_cd*b_col*((3*MIN(W8,h_col)/7)+(4*MIN(W8,h_col)/7)*(1-((4*MIN(W8,h_col)/7)/(W8-(3*MIN(W8,h_col)/7)))^2/3))+$D8/2*((MAX(-f_yd,MIN(f_yd,200000*IF(W8&lt;=h_col,0.0035*(W8-d_2)/W8,0.002*(W8-d_2)/(W8-3*h_col/7))))-f_cd*(1-(1-MAX(0,MIN(1,IF(W8&lt;=h_col,0.0035*(W8-d_2)/W8,0.002*(W8-d_2)/(W8-3*h_col/7))/0.002)))^2))+(MAX(-f_yd,MIN(f_yd,200000*IF(W8&lt;=h_col,0.0035*(W8-(h_col-d_2))/W8,0.002*(W8-(h_col-d_2))/(W8-3*h_col/7))))-f_cd*(1-(1-MAX(0,MIN(1,IF(W8&lt;=h_col,0.0035*(W8-(h_col-d_2))/W8,0.002*(W8-(h_col-d_2))/(W8-3*h_col/7))/0.002)))^2))))/1000</f>
        <v/>
      </c>
      <c r="Y8">
        <f>IF($X8&lt;N_Ed-1E-9*MAX(1,N_Ed),(U8+V8)/2,U8)</f>
        <v/>
      </c>
      <c r="Z8">
        <f>IF($X8&lt;N_Ed-1E-9*MAX(1,N_Ed),V8,(U8+V8)/2)</f>
        <v/>
      </c>
      <c r="AA8">
        <f>h_col*((Y8+Z8)/2)/(1-(Y8+Z8)/2)</f>
        <v/>
      </c>
      <c r="AB8">
        <f>(f_cd*b_col*((3*MIN(AA8,h_col)/7)+(4*MIN(AA8,h_col)/7)*(1-((4*MIN(AA8,h_col)/7)/(AA8-(3*MIN(AA8,h_col)/7)))^2/3))+$D8/2*((MAX(-f_yd,MIN(f_yd,200000*IF(AA8&lt;=h_col,0.0035*(AA8-d_2)/AA8,0.002*(AA8-d_2)/(AA8-3*h_col/7))))-f_cd*(1-(1-MAX(0,MIN(1,IF(AA8&lt;=h_col,0.0035*(AA8-d_2)/AA8,0.002*(AA8-d_2)/(AA8-3*h_col/7))/0.002)))^2))+(MAX(-f_yd,MIN(f_yd,200000*IF(AA8&lt;=h_col,0.0035*(AA8-(h_col-d_2))/AA8,0.002*(AA8-(h_col-d_2))/(AA8-3*h_col/7))))-f_cd*(1-(1-MAX(0,MIN(1,IF(AA8&lt;=h_col,0.0035*(AA8-(h_col-d_2))/AA8,0.002*(AA8-(h_col-d_2))/(AA8-3*h_col/7))/0.002)))^2))))/1000</f>
        <v/>
      </c>
      <c r="AC8">
        <f>IF($AB8&lt;N_Ed-1E-9*MAX(1,N_Ed),(Y8+Z8)/2,Y8)</f>
        <v/>
      </c>
      <c r="AD8">
        <f>IF($AB8&lt;N_Ed-1E-9*MAX(1,N_Ed),Z8,(Y8+Z8)/2)</f>
        <v/>
      </c>
      <c r="AE8">
        <f>h_col*((AC8+AD8)/2)/(1-(AC8+AD8)/2)</f>
        <v/>
      </c>
      <c r="AF8">
        <f>(f_cd*b_col*((3*MIN(AE8,h_col)/7)+(4*MIN(AE8,h_col)/7)*(1-((4*MIN(AE8,h_col)/7)/(AE8-(3*MIN(AE8,h_col)/7)))^2/3))+$D8/2*((MAX(-f_yd,MIN(f_yd,200000*IF(AE8&lt;=h_col,0.0035*(AE8-d_2)/AE8,0.002*(AE8-d_2)/(AE8-3*h_col/7))))-f_cd*(1-(1-MAX(0,MIN(1,IF(AE8&lt;=h_col,0.0035*(AE8-d_2)/AE8,0.002*(AE8-d_2)/(AE8-3*h_col/7))/0.002)))^2))+(MAX(-f_yd,MIN(f_yd,200000*IF(AE8&lt;=h_col,0.0035*(AE8-(h_col-d_2))/AE8,0.002*(AE8-(h_col-d_2))/(AE8-3*h_col/7))))-f_cd*(1-(1-MAX(0,MIN(1,IF(AE8&lt;=h_col,0.0035*(AE8-(h_col-d_2))/AE8,0.002*(AE8-(h_col-d_2))/(AE8-3*h_col/7))/0.002)))^2))))/1000</f>
        <v/>
      </c>
      <c r="AG8">
        <f>IF($AF8&lt;N_Ed-1E-9*MAX(1,N_Ed),(AC8+AD8)/2,AC8)</f>
        <v/>
      </c>
      <c r="AH8">
        <f>IF($AF8&lt;N_Ed-1E-9*MAX(1,N_Ed),AD8,(AC8+AD8)/2)</f>
        <v/>
      </c>
      <c r="AI8">
        <f>h_col*((AG8+AH8)/2)/(1-(AG8+AH8)/2)</f>
        <v/>
      </c>
      <c r="AJ8">
        <f>(f_cd*b_col*((3*MIN(AI8,h_col)/7)+(4*MIN(AI8,h_col)/7)*(1-((4*MIN(AI8,h_col)/7)/(AI8-(3*MIN(AI8,h_col)/7)))^2/3))+$D8/2*((MAX(-f_yd,MIN(f_yd,200000*IF(AI8&lt;=h_col,0.0035*(AI8-d_2)/AI8,0.002*(AI8-d_2)/(AI8-3*h_col/7))))-f_cd*(1-(1-MAX(0,MIN(1,IF(AI8&lt;=h_col,0.0035*(AI8-d_2)/AI8,0.002*(AI8-d_2)/(AI8-3*h_col/7))/0.002)))^2))+(MAX(-f_yd,MIN(f_yd,200000*IF(AI8&lt;=h_col,0.0035*(AI8-(h_col-d_2))/AI8,0.002*(AI8-(h_col-d_2))/(AI8-3*h_col/7))))-f_cd*(1-(1-MAX(0,MIN(1,IF(AI8&lt;=h_col,0.0035*(AI8-(h_col-d_2))/AI8,0.002*(AI8-(h_col-d_2))/(AI8-3*h_col/7))/0.002)))^2))))/1000</f>
        <v/>
      </c>
      <c r="AK8">
        <f>IF($AJ8&lt;N_Ed-1E-9*MAX(1,N_Ed),(AG8+AH8)/2,AG8)</f>
        <v/>
      </c>
      <c r="AL8">
        <f>IF($AJ8&lt;N_Ed-1E-9*MAX(1,N_Ed),AH8,(AG8+AH8)/2)</f>
        <v/>
      </c>
      <c r="AM8">
        <f>h_col*((AK8+AL8)/2)/(1-(AK8+AL8)/2)</f>
        <v/>
      </c>
      <c r="AN8">
        <f>(f_cd*b_col*((3*MIN(AM8,h_col)/7)+(4*MIN(AM8,h_col)/7)*(1-((4*MIN(AM8,h_col)/7)/(AM8-(3*MIN(AM8,h_col)/7)))^2/3))+$D8/2*((MAX(-f_yd,MIN(f_yd,200000*IF(AM8&lt;=h_col,0.0035*(AM8-d_2)/AM8,0.002*(AM8-d_2)/(AM8-3*h_col/7))))-f_cd*(1-(1-MAX(0,MIN(1,IF(AM8&lt;=h_col,0.0035*(AM8-d_2)/AM8,0.002*(AM8-d_2)/(AM8-3*h_col/7))/0.002)))^2))+(MAX(-f_yd,MIN(f_yd,200000*IF(AM8&lt;=h_col,0.0035*(AM8-(h_col-d_2))/AM8,0.002*(AM8-(h_col-d_2))/(AM8-3*h_col/7))))-f_cd*(1-(1-MAX(0,MIN(1,IF(AM8&lt;=h_col,0.0035*(AM8-(h_col-d_2))/AM8,0.002*(AM8-(h_col-d_2))/(AM8-3*h_col/7))/0.002)))^2))))/1000</f>
        <v/>
      </c>
      <c r="AO8">
        <f>IF($AN8&lt;N_Ed-1E-9*MAX(1,N_Ed),(AK8+AL8)/2,AK8)</f>
        <v/>
      </c>
      <c r="AP8">
        <f>IF($AN8&lt;N_Ed-1E-9*MAX(1,N_Ed),AL8,(AK8+AL8)/2)</f>
        <v/>
      </c>
      <c r="AQ8">
        <f>h_col*((AO8+AP8)/2)/(1-(AO8+AP8)/2)</f>
        <v/>
      </c>
      <c r="AR8">
        <f>(f_cd*b_col*((3*MIN(AQ8,h_col)/7)+(4*MIN(AQ8,h_col)/7)*(1-((4*MIN(AQ8,h_col)/7)/(AQ8-(3*MIN(AQ8,h_col)/7)))^2/3))+$D8/2*((MAX(-f_yd,MIN(f_yd,200000*IF(AQ8&lt;=h_col,0.0035*(AQ8-d_2)/AQ8,0.002*(AQ8-d_2)/(AQ8-3*h_col/7))))-f_cd*(1-(1-MAX(0,MIN(1,IF(AQ8&lt;=h_col,0.0035*(AQ8-d_2)/AQ8,0.002*(AQ8-d_2)/(AQ8-3*h_col/7))/0.002)))^2))+(MAX(-f_yd,MIN(f_yd,200000*IF(AQ8&lt;=h_col,0.0035*(AQ8-(h_col-d_2))/AQ8,0.002*(AQ8-(h_col-d_2))/(AQ8-3*h_col/7))))-f_cd*(1-(1-MAX(0,MIN(1,IF(AQ8&lt;=h_col,0.0035*(AQ8-(h_col-d_2))/AQ8,0.002*(AQ8-(h_col-d_2))/(AQ8-3*h_col/7))/0.002)))^2))))/1000</f>
        <v/>
      </c>
      <c r="AS8">
        <f>IF($AR8&lt;N_Ed-1E-9*MAX(1,N_Ed),(AO8+AP8)/2,AO8)</f>
        <v/>
      </c>
      <c r="AT8">
        <f>IF($AR8&lt;N_Ed-1E-9*MAX(1,N_Ed),AP8,(AO8+AP8)/2)</f>
        <v/>
      </c>
      <c r="AU8">
        <f>h_col*((AS8+AT8)/2)/(1-(AS8+AT8)/2)</f>
        <v/>
      </c>
      <c r="AV8">
        <f>(f_cd*b_col*((3*MIN(AU8,h_col)/7)+(4*MIN(AU8,h_col)/7)*(1-((4*MIN(AU8,h_col)/7)/(AU8-(3*MIN(AU8,h_col)/7)))^2/3))+$D8/2*((MAX(-f_yd,MIN(f_yd,200000*IF(AU8&lt;=h_col,0.0035*(AU8-d_2)/AU8,0.002*(AU8-d_2)/(AU8-3*h_col/7))))-f_cd*(1-(1-MAX(0,MIN(1,IF(AU8&lt;=h_col,0.0035*(AU8-d_2)/AU8,0.002*(AU8-d_2)/(AU8-3*h_col/7))/0.002)))^2))+(MAX(-f_yd,MIN(f_yd,200000*IF(AU8&lt;=h_col,0.0035*(AU8-(h_col-d_2))/AU8,0.002*(AU8-(h_col-d_2))/(AU8-3*h_col/7))))-f_cd*(1-(1-MAX(0,MIN(1,IF(AU8&lt;=h_col,0.0035*(AU8-(h_col-d_2))/AU8,0.002*(AU8-(h_col-d_2))/(AU8-3*h_col/7))/0.002)))^2))))/1000</f>
        <v/>
      </c>
      <c r="AW8">
        <f>IF($AV8&lt;N_Ed-1E-9*MAX(1,N_Ed),(AS8+AT8)/2,AS8)</f>
        <v/>
      </c>
      <c r="AX8">
        <f>IF($AV8&lt;N_Ed-1E-9*MAX(1,N_Ed),AT8,(AS8+AT8)/2)</f>
        <v/>
      </c>
      <c r="AY8">
        <f>h_col*((AW8+AX8)/2)/(1-(AW8+AX8)/2)</f>
        <v/>
      </c>
      <c r="AZ8">
        <f>(f_cd*b_col*((3*MIN(AY8,h_col)/7)+(4*MIN(AY8,h_col)/7)*(1-((4*MIN(AY8,h_col)/7)/(AY8-(3*MIN(AY8,h_col)/7)))^2/3))+$D8/2*((MAX(-f_yd,MIN(f_yd,200000*IF(AY8&lt;=h_col,0.0035*(AY8-d_2)/AY8,0.002*(AY8-d_2)/(AY8-3*h_col/7))))-f_cd*(1-(1-MAX(0,MIN(1,IF(AY8&lt;=h_col,0.0035*(AY8-d_2)/AY8,0.002*(AY8-d_2)/(AY8-3*h_col/7))/0.002)))^2))+(MAX(-f_yd,MIN(f_yd,200000*IF(AY8&lt;=h_col,0.0035*(AY8-(h_col-d_2))/AY8,0.002*(AY8-(h_col-d_2))/(AY8-3*h_col/7))))-f_cd*(1-(1-MAX(0,MIN(1,IF(AY8&lt;=h_col,0.0035*(AY8-(h_col-d_2))/AY8,0.002*(AY8-(h_col-d_2))/(AY8-3*h_col/7))/0.002)))^2))))/1000</f>
        <v/>
      </c>
      <c r="BA8">
        <f>IF($AZ8&lt;N_Ed-1E-9*MAX(1,N_Ed),(AW8+AX8)/2,AW8)</f>
        <v/>
      </c>
      <c r="BB8">
        <f>IF($AZ8&lt;N_Ed-1E-9*MAX(1,N_Ed),AX8,(AW8+AX8)/2)</f>
        <v/>
      </c>
      <c r="BC8">
        <f>h_col*((BA8+BB8)/2)/(1-(BA8+BB8)/2)</f>
        <v/>
      </c>
      <c r="BD8">
        <f>(f_cd*b_col*((3*MIN(BC8,h_col)/7)+(4*MIN(BC8,h_col)/7)*(1-((4*MIN(BC8,h_col)/7)/(BC8-(3*MIN(BC8,h_col)/7)))^2/3))+$D8/2*((MAX(-f_yd,MIN(f_yd,200000*IF(BC8&lt;=h_col,0.0035*(BC8-d_2)/BC8,0.002*(BC8-d_2)/(BC8-3*h_col/7))))-f_cd*(1-(1-MAX(0,MIN(1,IF(BC8&lt;=h_col,0.0035*(BC8-d_2)/BC8,0.002*(BC8-d_2)/(BC8-3*h_col/7))/0.002)))^2))+(MAX(-f_yd,MIN(f_yd,200000*IF(BC8&lt;=h_col,0.0035*(BC8-(h_col-d_2))/BC8,0.002*(BC8-(h_col-d_2))/(BC8-3*h_col/7))))-f_cd*(1-(1-MAX(0,MIN(1,IF(BC8&lt;=h_col,0.0035*(BC8-(h_col-d_2))/BC8,0.002*(BC8-(h_col-d_2))/(BC8-3*h_col/7))/0.002)))^2))))/1000</f>
        <v/>
      </c>
      <c r="BE8">
        <f>IF($BD8&lt;N_Ed-1E-9*MAX(1,N_Ed),(BA8+BB8)/2,BA8)</f>
        <v/>
      </c>
      <c r="BF8">
        <f>IF($BD8&lt;N_Ed-1E-9*MAX(1,N_Ed),BB8,(BA8+BB8)/2)</f>
        <v/>
      </c>
      <c r="BG8">
        <f>h_col*((BE8+BF8)/2)/(1-(BE8+BF8)/2)</f>
        <v/>
      </c>
      <c r="BH8">
        <f>(f_cd*b_col*((3*MIN(BG8,h_col)/7)+(4*MIN(BG8,h_col)/7)*(1-((4*MIN(BG8,h_col)/7)/(BG8-(3*MIN(BG8,h_col)/7)))^2/3))+$D8/2*((MAX(-f_yd,MIN(f_yd,200000*IF(BG8&lt;=h_col,0.0035*(BG8-d_2)/BG8,0.002*(BG8-d_2)/(BG8-3*h_col/7))))-f_cd*(1-(1-MAX(0,MIN(1,IF(BG8&lt;=h_col,0.0035*(BG8-d_2)/BG8,0.002*(BG8-d_2)/(BG8-3*h_col/7))/0.002)))^2))+(MAX(-f_yd,MIN(f_yd,200000*IF(BG8&lt;=h_col,0.0035*(BG8-(h_col-d_2))/BG8,0.002*(BG8-(h_col-d_2))/(BG8-3*h_col/7))))-f_cd*(1-(1-MAX(0,MIN(1,IF(BG8&lt;=h_col,0.0035*(BG8-(h_col-d_2))/BG8,0.002*(BG8-(h_col-d_2))/(BG8-3*h_col/7))/0.002)))^2))))/1000</f>
        <v/>
      </c>
      <c r="BI8">
        <f>IF($BH8&lt;N_Ed-1E-9*MAX(1,N_Ed),(BE8+BF8)/2,BE8)</f>
        <v/>
      </c>
      <c r="BJ8">
        <f>IF($BH8&lt;N_Ed-1E-9*MAX(1,N_Ed),BF8,(BE8+BF8)/2)</f>
        <v/>
      </c>
      <c r="BK8">
        <f>h_col*((BI8+BJ8)/2)/(1-(BI8+BJ8)/2)</f>
        <v/>
      </c>
      <c r="BL8">
        <f>(f_cd*b_col*((3*MIN(BK8,h_col)/7)+(4*MIN(BK8,h_col)/7)*(1-((4*MIN(BK8,h_col)/7)/(BK8-(3*MIN(BK8,h_col)/7)))^2/3))+$D8/2*((MAX(-f_yd,MIN(f_yd,200000*IF(BK8&lt;=h_col,0.0035*(BK8-d_2)/BK8,0.002*(BK8-d_2)/(BK8-3*h_col/7))))-f_cd*(1-(1-MAX(0,MIN(1,IF(BK8&lt;=h_col,0.0035*(BK8-d_2)/BK8,0.002*(BK8-d_2)/(BK8-3*h_col/7))/0.002)))^2))+(MAX(-f_yd,MIN(f_yd,200000*IF(BK8&lt;=h_col,0.0035*(BK8-(h_col-d_2))/BK8,0.002*(BK8-(h_col-d_2))/(BK8-3*h_col/7))))-f_cd*(1-(1-MAX(0,MIN(1,IF(BK8&lt;=h_col,0.0035*(BK8-(h_col-d_2))/BK8,0.002*(BK8-(h_col-d_2))/(BK8-3*h_col/7))/0.002)))^2))))/1000</f>
        <v/>
      </c>
      <c r="BM8">
        <f>IF($BL8&lt;N_Ed-1E-9*MAX(1,N_Ed),(BI8+BJ8)/2,BI8)</f>
        <v/>
      </c>
      <c r="BN8">
        <f>IF($BL8&lt;N_Ed-1E-9*MAX(1,N_Ed),BJ8,(BI8+BJ8)/2)</f>
        <v/>
      </c>
      <c r="BO8">
        <f>h_col*((BM8+BN8)/2)/(1-(BM8+BN8)/2)</f>
        <v/>
      </c>
      <c r="BP8">
        <f>(f_cd*b_col*((3*MIN(BO8,h_col)/7)+(4*MIN(BO8,h_col)/7)*(1-((4*MIN(BO8,h_col)/7)/(BO8-(3*MIN(BO8,h_col)/7)))^2/3))+$D8/2*((MAX(-f_yd,MIN(f_yd,200000*IF(BO8&lt;=h_col,0.0035*(BO8-d_2)/BO8,0.002*(BO8-d_2)/(BO8-3*h_col/7))))-f_cd*(1-(1-MAX(0,MIN(1,IF(BO8&lt;=h_col,0.0035*(BO8-d_2)/BO8,0.002*(BO8-d_2)/(BO8-3*h_col/7))/0.002)))^2))+(MAX(-f_yd,MIN(f_yd,200000*IF(BO8&lt;=h_col,0.0035*(BO8-(h_col-d_2))/BO8,0.002*(BO8-(h_col-d_2))/(BO8-3*h_col/7))))-f_cd*(1-(1-MAX(0,MIN(1,IF(BO8&lt;=h_col,0.0035*(BO8-(h_col-d_2))/BO8,0.002*(BO8-(h_col-d_2))/(BO8-3*h_col/7))/0.002)))^2))))/1000</f>
        <v/>
      </c>
      <c r="BQ8">
        <f>IF($BP8&lt;N_Ed-1E-9*MAX(1,N_Ed),(BM8+BN8)/2,BM8)</f>
        <v/>
      </c>
      <c r="BR8">
        <f>IF($BP8&lt;N_Ed-1E-9*MAX(1,N_Ed),BN8,(BM8+BN8)/2)</f>
        <v/>
      </c>
      <c r="BS8">
        <f>h_col*((BQ8+BR8)/2)/(1-(BQ8+BR8)/2)</f>
        <v/>
      </c>
      <c r="BT8">
        <f>(f_cd*b_col*((3*MIN(BS8,h_col)/7)+(4*MIN(BS8,h_col)/7)*(1-((4*MIN(BS8,h_col)/7)/(BS8-(3*MIN(BS8,h_col)/7)))^2/3))+$D8/2*((MAX(-f_yd,MIN(f_yd,200000*IF(BS8&lt;=h_col,0.0035*(BS8-d_2)/BS8,0.002*(BS8-d_2)/(BS8-3*h_col/7))))-f_cd*(1-(1-MAX(0,MIN(1,IF(BS8&lt;=h_col,0.0035*(BS8-d_2)/BS8,0.002*(BS8-d_2)/(BS8-3*h_col/7))/0.002)))^2))+(MAX(-f_yd,MIN(f_yd,200000*IF(BS8&lt;=h_col,0.0035*(BS8-(h_col-d_2))/BS8,0.002*(BS8-(h_col-d_2))/(BS8-3*h_col/7))))-f_cd*(1-(1-MAX(0,MIN(1,IF(BS8&lt;=h_col,0.0035*(BS8-(h_col-d_2))/BS8,0.002*(BS8-(h_col-d_2))/(BS8-3*h_col/7))/0.002)))^2))))/1000</f>
        <v/>
      </c>
      <c r="BU8">
        <f>IF($BT8&lt;N_Ed-1E-9*MAX(1,N_Ed),(BQ8+BR8)/2,BQ8)</f>
        <v/>
      </c>
      <c r="BV8">
        <f>IF($BT8&lt;N_Ed-1E-9*MAX(1,N_Ed),BR8,(BQ8+BR8)/2)</f>
        <v/>
      </c>
      <c r="BW8">
        <f>h_col*((BU8+BV8)/2)/(1-(BU8+BV8)/2)</f>
        <v/>
      </c>
      <c r="BX8">
        <f>(f_cd*b_col*((3*MIN(BW8,h_col)/7)+(4*MIN(BW8,h_col)/7)*(1-((4*MIN(BW8,h_col)/7)/(BW8-(3*MIN(BW8,h_col)/7)))^2/3))+$D8/2*((MAX(-f_yd,MIN(f_yd,200000*IF(BW8&lt;=h_col,0.0035*(BW8-d_2)/BW8,0.002*(BW8-d_2)/(BW8-3*h_col/7))))-f_cd*(1-(1-MAX(0,MIN(1,IF(BW8&lt;=h_col,0.0035*(BW8-d_2)/BW8,0.002*(BW8-d_2)/(BW8-3*h_col/7))/0.002)))^2))+(MAX(-f_yd,MIN(f_yd,200000*IF(BW8&lt;=h_col,0.0035*(BW8-(h_col-d_2))/BW8,0.002*(BW8-(h_col-d_2))/(BW8-3*h_col/7))))-f_cd*(1-(1-MAX(0,MIN(1,IF(BW8&lt;=h_col,0.0035*(BW8-(h_col-d_2))/BW8,0.002*(BW8-(h_col-d_2))/(BW8-3*h_col/7))/0.002)))^2))))/1000</f>
        <v/>
      </c>
      <c r="BY8">
        <f>IF($BX8&lt;N_Ed-1E-9*MAX(1,N_Ed),(BU8+BV8)/2,BU8)</f>
        <v/>
      </c>
      <c r="BZ8">
        <f>IF($BX8&lt;N_Ed-1E-9*MAX(1,N_Ed),BV8,(BU8+BV8)/2)</f>
        <v/>
      </c>
      <c r="CA8">
        <f>h_col*((BY8+BZ8)/2)/(1-(BY8+BZ8)/2)</f>
        <v/>
      </c>
      <c r="CB8">
        <f>(f_cd*b_col*((3*MIN(CA8,h_col)/7)+(4*MIN(CA8,h_col)/7)*(1-((4*MIN(CA8,h_col)/7)/(CA8-(3*MIN(CA8,h_col)/7)))^2/3))+$D8/2*((MAX(-f_yd,MIN(f_yd,200000*IF(CA8&lt;=h_col,0.0035*(CA8-d_2)/CA8,0.002*(CA8-d_2)/(CA8-3*h_col/7))))-f_cd*(1-(1-MAX(0,MIN(1,IF(CA8&lt;=h_col,0.0035*(CA8-d_2)/CA8,0.002*(CA8-d_2)/(CA8-3*h_col/7))/0.002)))^2))+(MAX(-f_yd,MIN(f_yd,200000*IF(CA8&lt;=h_col,0.0035*(CA8-(h_col-d_2))/CA8,0.002*(CA8-(h_col-d_2))/(CA8-3*h_col/7))))-f_cd*(1-(1-MAX(0,MIN(1,IF(CA8&lt;=h_col,0.0035*(CA8-(h_col-d_2))/CA8,0.002*(CA8-(h_col-d_2))/(CA8-3*h_col/7))/0.002)))^2))))/1000</f>
        <v/>
      </c>
      <c r="CC8">
        <f>IF($CB8&lt;N_Ed-1E-9*MAX(1,N_Ed),(BY8+BZ8)/2,BY8)</f>
        <v/>
      </c>
      <c r="CD8">
        <f>IF($CB8&lt;N_Ed-1E-9*MAX(1,N_Ed),BZ8,(BY8+BZ8)/2)</f>
        <v/>
      </c>
      <c r="CE8">
        <f>h_col*((CC8+CD8)/2)/(1-(CC8+CD8)/2)</f>
        <v/>
      </c>
      <c r="CF8">
        <f>(f_cd*b_col*((3*MIN(CE8,h_col)/7)+(4*MIN(CE8,h_col)/7)*(1-((4*MIN(CE8,h_col)/7)/(CE8-(3*MIN(CE8,h_col)/7)))^2/3))+$D8/2*((MAX(-f_yd,MIN(f_yd,200000*IF(CE8&lt;=h_col,0.0035*(CE8-d_2)/CE8,0.002*(CE8-d_2)/(CE8-3*h_col/7))))-f_cd*(1-(1-MAX(0,MIN(1,IF(CE8&lt;=h_col,0.0035*(CE8-d_2)/CE8,0.002*(CE8-d_2)/(CE8-3*h_col/7))/0.002)))^2))+(MAX(-f_yd,MIN(f_yd,200000*IF(CE8&lt;=h_col,0.0035*(CE8-(h_col-d_2))/CE8,0.002*(CE8-(h_col-d_2))/(CE8-3*h_col/7))))-f_cd*(1-(1-MAX(0,MIN(1,IF(CE8&lt;=h_col,0.0035*(CE8-(h_col-d_2))/CE8,0.002*(CE8-(h_col-d_2))/(CE8-3*h_col/7))/0.002)))^2))))/1000</f>
        <v/>
      </c>
      <c r="CG8">
        <f>IF($CF8&lt;N_Ed-1E-9*MAX(1,N_Ed),(CC8+CD8)/2,CC8)</f>
        <v/>
      </c>
      <c r="CH8">
        <f>IF($CF8&lt;N_Ed-1E-9*MAX(1,N_Ed),CD8,(CC8+CD8)/2)</f>
        <v/>
      </c>
      <c r="CI8">
        <f>h_col*((CG8+CH8)/2)/(1-(CG8+CH8)/2)</f>
        <v/>
      </c>
      <c r="CJ8">
        <f>(f_cd*b_col*((3*MIN(CI8,h_col)/7)+(4*MIN(CI8,h_col)/7)*(1-((4*MIN(CI8,h_col)/7)/(CI8-(3*MIN(CI8,h_col)/7)))^2/3))+$D8/2*((MAX(-f_yd,MIN(f_yd,200000*IF(CI8&lt;=h_col,0.0035*(CI8-d_2)/CI8,0.002*(CI8-d_2)/(CI8-3*h_col/7))))-f_cd*(1-(1-MAX(0,MIN(1,IF(CI8&lt;=h_col,0.0035*(CI8-d_2)/CI8,0.002*(CI8-d_2)/(CI8-3*h_col/7))/0.002)))^2))+(MAX(-f_yd,MIN(f_yd,200000*IF(CI8&lt;=h_col,0.0035*(CI8-(h_col-d_2))/CI8,0.002*(CI8-(h_col-d_2))/(CI8-3*h_col/7))))-f_cd*(1-(1-MAX(0,MIN(1,IF(CI8&lt;=h_col,0.0035*(CI8-(h_col-d_2))/CI8,0.002*(CI8-(h_col-d_2))/(CI8-3*h_col/7))/0.002)))^2))))/1000</f>
        <v/>
      </c>
      <c r="CK8">
        <f>IF($CJ8&lt;N_Ed-1E-9*MAX(1,N_Ed),(CG8+CH8)/2,CG8)</f>
        <v/>
      </c>
      <c r="CL8">
        <f>IF($CJ8&lt;N_Ed-1E-9*MAX(1,N_Ed),CH8,(CG8+CH8)/2)</f>
        <v/>
      </c>
      <c r="CM8">
        <f>h_col*((CK8+CL8)/2)/(1-(CK8+CL8)/2)</f>
        <v/>
      </c>
      <c r="CN8">
        <f>(f_cd*b_col*((3*MIN(CM8,h_col)/7)+(4*MIN(CM8,h_col)/7)*(1-((4*MIN(CM8,h_col)/7)/(CM8-(3*MIN(CM8,h_col)/7)))^2/3))+$D8/2*((MAX(-f_yd,MIN(f_yd,200000*IF(CM8&lt;=h_col,0.0035*(CM8-d_2)/CM8,0.002*(CM8-d_2)/(CM8-3*h_col/7))))-f_cd*(1-(1-MAX(0,MIN(1,IF(CM8&lt;=h_col,0.0035*(CM8-d_2)/CM8,0.002*(CM8-d_2)/(CM8-3*h_col/7))/0.002)))^2))+(MAX(-f_yd,MIN(f_yd,200000*IF(CM8&lt;=h_col,0.0035*(CM8-(h_col-d_2))/CM8,0.002*(CM8-(h_col-d_2))/(CM8-3*h_col/7))))-f_cd*(1-(1-MAX(0,MIN(1,IF(CM8&lt;=h_col,0.0035*(CM8-(h_col-d_2))/CM8,0.002*(CM8-(h_col-d_2))/(CM8-3*h_col/7))/0.002)))^2))))/1000</f>
        <v/>
      </c>
      <c r="CO8">
        <f>IF($CN8&lt;N_Ed-1E-9*MAX(1,N_Ed),(CK8+CL8)/2,CK8)</f>
        <v/>
      </c>
      <c r="CP8">
        <f>IF($CN8&lt;N_Ed-1E-9*MAX(1,N_Ed),CL8,(CK8+CL8)/2)</f>
        <v/>
      </c>
      <c r="CQ8">
        <f>h_col*((CO8+CP8)/2)/(1-(CO8+CP8)/2)</f>
        <v/>
      </c>
      <c r="CR8">
        <f>(f_cd*b_col*((3*MIN(CQ8,h_col)/7)+(4*MIN(CQ8,h_col)/7)*(1-((4*MIN(CQ8,h_col)/7)/(CQ8-(3*MIN(CQ8,h_col)/7)))^2/3))+$D8/2*((MAX(-f_yd,MIN(f_yd,200000*IF(CQ8&lt;=h_col,0.0035*(CQ8-d_2)/CQ8,0.002*(CQ8-d_2)/(CQ8-3*h_col/7))))-f_cd*(1-(1-MAX(0,MIN(1,IF(CQ8&lt;=h_col,0.0035*(CQ8-d_2)/CQ8,0.002*(CQ8-d_2)/(CQ8-3*h_col/7))/0.002)))^2))+(MAX(-f_yd,MIN(f_yd,200000*IF(CQ8&lt;=h_col,0.0035*(CQ8-(h_col-d_2))/CQ8,0.002*(CQ8-(h_col-d_2))/(CQ8-3*h_col/7))))-f_cd*(1-(1-MAX(0,MIN(1,IF(CQ8&lt;=h_col,0.0035*(CQ8-(h_col-d_2))/CQ8,0.002*(CQ8-(h_col-d_2))/(CQ8-3*h_col/7))/0.002)))^2))))/1000</f>
        <v/>
      </c>
      <c r="CS8">
        <f>IF($CR8&lt;N_Ed-1E-9*MAX(1,N_Ed),(CO8+CP8)/2,CO8)</f>
        <v/>
      </c>
      <c r="CT8">
        <f>IF($CR8&lt;N_Ed-1E-9*MAX(1,N_Ed),CP8,(CO8+CP8)/2)</f>
        <v/>
      </c>
      <c r="CU8">
        <f>h_col*((CS8+CT8)/2)/(1-(CS8+CT8)/2)</f>
        <v/>
      </c>
      <c r="CV8">
        <f>(f_cd*b_col*((3*MIN(CU8,h_col)/7)+(4*MIN(CU8,h_col)/7)*(1-((4*MIN(CU8,h_col)/7)/(CU8-(3*MIN(CU8,h_col)/7)))^2/3))+$D8/2*((MAX(-f_yd,MIN(f_yd,200000*IF(CU8&lt;=h_col,0.0035*(CU8-d_2)/CU8,0.002*(CU8-d_2)/(CU8-3*h_col/7))))-f_cd*(1-(1-MAX(0,MIN(1,IF(CU8&lt;=h_col,0.0035*(CU8-d_2)/CU8,0.002*(CU8-d_2)/(CU8-3*h_col/7))/0.002)))^2))+(MAX(-f_yd,MIN(f_yd,200000*IF(CU8&lt;=h_col,0.0035*(CU8-(h_col-d_2))/CU8,0.002*(CU8-(h_col-d_2))/(CU8-3*h_col/7))))-f_cd*(1-(1-MAX(0,MIN(1,IF(CU8&lt;=h_col,0.0035*(CU8-(h_col-d_2))/CU8,0.002*(CU8-(h_col-d_2))/(CU8-3*h_col/7))/0.002)))^2))))/1000</f>
        <v/>
      </c>
      <c r="CW8">
        <f>IF($CV8&lt;N_Ed-1E-9*MAX(1,N_Ed),(CS8+CT8)/2,CS8)</f>
        <v/>
      </c>
      <c r="CX8">
        <f>IF($CV8&lt;N_Ed-1E-9*MAX(1,N_Ed),CT8,(CS8+CT8)/2)</f>
        <v/>
      </c>
      <c r="CY8">
        <f>h_col*((CW8+CX8)/2)/(1-(CW8+CX8)/2)</f>
        <v/>
      </c>
      <c r="CZ8">
        <f>(f_cd*b_col*((3*MIN(CY8,h_col)/7)+(4*MIN(CY8,h_col)/7)*(1-((4*MIN(CY8,h_col)/7)/(CY8-(3*MIN(CY8,h_col)/7)))^2/3))+$D8/2*((MAX(-f_yd,MIN(f_yd,200000*IF(CY8&lt;=h_col,0.0035*(CY8-d_2)/CY8,0.002*(CY8-d_2)/(CY8-3*h_col/7))))-f_cd*(1-(1-MAX(0,MIN(1,IF(CY8&lt;=h_col,0.0035*(CY8-d_2)/CY8,0.002*(CY8-d_2)/(CY8-3*h_col/7))/0.002)))^2))+(MAX(-f_yd,MIN(f_yd,200000*IF(CY8&lt;=h_col,0.0035*(CY8-(h_col-d_2))/CY8,0.002*(CY8-(h_col-d_2))/(CY8-3*h_col/7))))-f_cd*(1-(1-MAX(0,MIN(1,IF(CY8&lt;=h_col,0.0035*(CY8-(h_col-d_2))/CY8,0.002*(CY8-(h_col-d_2))/(CY8-3*h_col/7))/0.002)))^2))))/1000</f>
        <v/>
      </c>
      <c r="DA8">
        <f>IF($CZ8&lt;N_Ed-1E-9*MAX(1,N_Ed),(CW8+CX8)/2,CW8)</f>
        <v/>
      </c>
      <c r="DB8">
        <f>IF($CZ8&lt;N_Ed-1E-9*MAX(1,N_Ed),CX8,(CW8+CX8)/2)</f>
        <v/>
      </c>
      <c r="DC8">
        <f>h_col*((DA8+DB8)/2)/(1-(DA8+DB8)/2)</f>
        <v/>
      </c>
      <c r="DD8">
        <f>(f_cd*b_col*((3*MIN(DC8,h_col)/7)+(4*MIN(DC8,h_col)/7)*(1-((4*MIN(DC8,h_col)/7)/(DC8-(3*MIN(DC8,h_col)/7)))^2/3))+$D8/2*((MAX(-f_yd,MIN(f_yd,200000*IF(DC8&lt;=h_col,0.0035*(DC8-d_2)/DC8,0.002*(DC8-d_2)/(DC8-3*h_col/7))))-f_cd*(1-(1-MAX(0,MIN(1,IF(DC8&lt;=h_col,0.0035*(DC8-d_2)/DC8,0.002*(DC8-d_2)/(DC8-3*h_col/7))/0.002)))^2))+(MAX(-f_yd,MIN(f_yd,200000*IF(DC8&lt;=h_col,0.0035*(DC8-(h_col-d_2))/DC8,0.002*(DC8-(h_col-d_2))/(DC8-3*h_col/7))))-f_cd*(1-(1-MAX(0,MIN(1,IF(DC8&lt;=h_col,0.0035*(DC8-(h_col-d_2))/DC8,0.002*(DC8-(h_col-d_2))/(DC8-3*h_col/7))/0.002)))^2))))/1000</f>
        <v/>
      </c>
      <c r="DE8">
        <f>IF($DD8&lt;N_Ed-1E-9*MAX(1,N_Ed),(DA8+DB8)/2,DA8)</f>
        <v/>
      </c>
      <c r="DF8">
        <f>IF($DD8&lt;N_Ed-1E-9*MAX(1,N_Ed),DB8,(DA8+DB8)/2)</f>
        <v/>
      </c>
      <c r="DG8">
        <f>h_col*((DE8+DF8)/2)/(1-(DE8+DF8)/2)</f>
        <v/>
      </c>
      <c r="DH8">
        <f>(f_cd*b_col*((3*MIN(DG8,h_col)/7)+(4*MIN(DG8,h_col)/7)*(1-((4*MIN(DG8,h_col)/7)/(DG8-(3*MIN(DG8,h_col)/7)))^2/3))+$D8/2*((MAX(-f_yd,MIN(f_yd,200000*IF(DG8&lt;=h_col,0.0035*(DG8-d_2)/DG8,0.002*(DG8-d_2)/(DG8-3*h_col/7))))-f_cd*(1-(1-MAX(0,MIN(1,IF(DG8&lt;=h_col,0.0035*(DG8-d_2)/DG8,0.002*(DG8-d_2)/(DG8-3*h_col/7))/0.002)))^2))+(MAX(-f_yd,MIN(f_yd,200000*IF(DG8&lt;=h_col,0.0035*(DG8-(h_col-d_2))/DG8,0.002*(DG8-(h_col-d_2))/(DG8-3*h_col/7))))-f_cd*(1-(1-MAX(0,MIN(1,IF(DG8&lt;=h_col,0.0035*(DG8-(h_col-d_2))/DG8,0.002*(DG8-(h_col-d_2))/(DG8-3*h_col/7))/0.002)))^2))))/1000</f>
        <v/>
      </c>
      <c r="DI8">
        <f>IF($DH8&lt;N_Ed-1E-9*MAX(1,N_Ed),(DE8+DF8)/2,DE8)</f>
        <v/>
      </c>
      <c r="DJ8">
        <f>IF($DH8&lt;N_Ed-1E-9*MAX(1,N_Ed),DF8,(DE8+DF8)/2)</f>
        <v/>
      </c>
      <c r="DK8">
        <f>h_col*((DI8+DJ8)/2)/(1-(DI8+DJ8)/2)</f>
        <v/>
      </c>
      <c r="DL8">
        <f>(f_cd*b_col*((3*MIN(DK8,h_col)/7)+(4*MIN(DK8,h_col)/7)*(1-((4*MIN(DK8,h_col)/7)/(DK8-(3*MIN(DK8,h_col)/7)))^2/3))+$D8/2*((MAX(-f_yd,MIN(f_yd,200000*IF(DK8&lt;=h_col,0.0035*(DK8-d_2)/DK8,0.002*(DK8-d_2)/(DK8-3*h_col/7))))-f_cd*(1-(1-MAX(0,MIN(1,IF(DK8&lt;=h_col,0.0035*(DK8-d_2)/DK8,0.002*(DK8-d_2)/(DK8-3*h_col/7))/0.002)))^2))+(MAX(-f_yd,MIN(f_yd,200000*IF(DK8&lt;=h_col,0.0035*(DK8-(h_col-d_2))/DK8,0.002*(DK8-(h_col-d_2))/(DK8-3*h_col/7))))-f_cd*(1-(1-MAX(0,MIN(1,IF(DK8&lt;=h_col,0.0035*(DK8-(h_col-d_2))/DK8,0.002*(DK8-(h_col-d_2))/(DK8-3*h_col/7))/0.002)))^2))))/1000</f>
        <v/>
      </c>
      <c r="DM8">
        <f>IF($DL8&lt;N_Ed-1E-9*MAX(1,N_Ed),(DI8+DJ8)/2,DI8)</f>
        <v/>
      </c>
      <c r="DN8">
        <f>IF($DL8&lt;N_Ed-1E-9*MAX(1,N_Ed),DJ8,(DI8+DJ8)/2)</f>
        <v/>
      </c>
      <c r="DO8">
        <f>h_col*((DM8+DN8)/2)/(1-(DM8+DN8)/2)</f>
        <v/>
      </c>
      <c r="DP8">
        <f>(f_cd*b_col*((3*MIN(DO8,h_col)/7)+(4*MIN(DO8,h_col)/7)*(1-((4*MIN(DO8,h_col)/7)/(DO8-(3*MIN(DO8,h_col)/7)))^2/3))+$D8/2*((MAX(-f_yd,MIN(f_yd,200000*IF(DO8&lt;=h_col,0.0035*(DO8-d_2)/DO8,0.002*(DO8-d_2)/(DO8-3*h_col/7))))-f_cd*(1-(1-MAX(0,MIN(1,IF(DO8&lt;=h_col,0.0035*(DO8-d_2)/DO8,0.002*(DO8-d_2)/(DO8-3*h_col/7))/0.002)))^2))+(MAX(-f_yd,MIN(f_yd,200000*IF(DO8&lt;=h_col,0.0035*(DO8-(h_col-d_2))/DO8,0.002*(DO8-(h_col-d_2))/(DO8-3*h_col/7))))-f_cd*(1-(1-MAX(0,MIN(1,IF(DO8&lt;=h_col,0.0035*(DO8-(h_col-d_2))/DO8,0.002*(DO8-(h_col-d_2))/(DO8-3*h_col/7))/0.002)))^2))))/1000</f>
        <v/>
      </c>
      <c r="DQ8">
        <f>IF($DP8&lt;N_Ed-1E-9*MAX(1,N_Ed),(DM8+DN8)/2,DM8)</f>
        <v/>
      </c>
      <c r="DR8">
        <f>IF($DP8&lt;N_Ed-1E-9*MAX(1,N_Ed),DN8,(DM8+DN8)/2)</f>
        <v/>
      </c>
      <c r="DS8">
        <f>h_col*((DQ8+DR8)/2)/(1-(DQ8+DR8)/2)</f>
        <v/>
      </c>
      <c r="DT8">
        <f>(f_cd*b_col*((3*MIN(DS8,h_col)/7)+(4*MIN(DS8,h_col)/7)*(1-((4*MIN(DS8,h_col)/7)/(DS8-(3*MIN(DS8,h_col)/7)))^2/3))+$D8/2*((MAX(-f_yd,MIN(f_yd,200000*IF(DS8&lt;=h_col,0.0035*(DS8-d_2)/DS8,0.002*(DS8-d_2)/(DS8-3*h_col/7))))-f_cd*(1-(1-MAX(0,MIN(1,IF(DS8&lt;=h_col,0.0035*(DS8-d_2)/DS8,0.002*(DS8-d_2)/(DS8-3*h_col/7))/0.002)))^2))+(MAX(-f_yd,MIN(f_yd,200000*IF(DS8&lt;=h_col,0.0035*(DS8-(h_col-d_2))/DS8,0.002*(DS8-(h_col-d_2))/(DS8-3*h_col/7))))-f_cd*(1-(1-MAX(0,MIN(1,IF(DS8&lt;=h_col,0.0035*(DS8-(h_col-d_2))/DS8,0.002*(DS8-(h_col-d_2))/(DS8-3*h_col/7))/0.002)))^2))))/1000</f>
        <v/>
      </c>
      <c r="DU8">
        <f>IF($DT8&lt;N_Ed-1E-9*MAX(1,N_Ed),(DQ8+DR8)/2,DQ8)</f>
        <v/>
      </c>
      <c r="DV8">
        <f>IF($DT8&lt;N_Ed-1E-9*MAX(1,N_Ed),DR8,(DQ8+DR8)/2)</f>
        <v/>
      </c>
      <c r="DW8">
        <f>h_col*((DU8+DV8)/2)/(1-(DU8+DV8)/2)</f>
        <v/>
      </c>
      <c r="DX8">
        <f>(f_cd*b_col*((3*MIN(DW8,h_col)/7)+(4*MIN(DW8,h_col)/7)*(1-((4*MIN(DW8,h_col)/7)/(DW8-(3*MIN(DW8,h_col)/7)))^2/3))+$D8/2*((MAX(-f_yd,MIN(f_yd,200000*IF(DW8&lt;=h_col,0.0035*(DW8-d_2)/DW8,0.002*(DW8-d_2)/(DW8-3*h_col/7))))-f_cd*(1-(1-MAX(0,MIN(1,IF(DW8&lt;=h_col,0.0035*(DW8-d_2)/DW8,0.002*(DW8-d_2)/(DW8-3*h_col/7))/0.002)))^2))+(MAX(-f_yd,MIN(f_yd,200000*IF(DW8&lt;=h_col,0.0035*(DW8-(h_col-d_2))/DW8,0.002*(DW8-(h_col-d_2))/(DW8-3*h_col/7))))-f_cd*(1-(1-MAX(0,MIN(1,IF(DW8&lt;=h_col,0.0035*(DW8-(h_col-d_2))/DW8,0.002*(DW8-(h_col-d_2))/(DW8-3*h_col/7))/0.002)))^2))))/1000</f>
        <v/>
      </c>
      <c r="DY8">
        <f>IF($DX8&lt;N_Ed-1E-9*MAX(1,N_Ed),(DU8+DV8)/2,DU8)</f>
        <v/>
      </c>
      <c r="DZ8">
        <f>IF($DX8&lt;N_Ed-1E-9*MAX(1,N_Ed),DV8,(DU8+DV8)/2)</f>
        <v/>
      </c>
      <c r="EA8">
        <f>h_col*((DY8+DZ8)/2)/(1-(DY8+DZ8)/2)</f>
        <v/>
      </c>
      <c r="EB8">
        <f>(f_cd*b_col*((3*MIN(EA8,h_col)/7)+(4*MIN(EA8,h_col)/7)*(1-((4*MIN(EA8,h_col)/7)/(EA8-(3*MIN(EA8,h_col)/7)))^2/3))+$D8/2*((MAX(-f_yd,MIN(f_yd,200000*IF(EA8&lt;=h_col,0.0035*(EA8-d_2)/EA8,0.002*(EA8-d_2)/(EA8-3*h_col/7))))-f_cd*(1-(1-MAX(0,MIN(1,IF(EA8&lt;=h_col,0.0035*(EA8-d_2)/EA8,0.002*(EA8-d_2)/(EA8-3*h_col/7))/0.002)))^2))+(MAX(-f_yd,MIN(f_yd,200000*IF(EA8&lt;=h_col,0.0035*(EA8-(h_col-d_2))/EA8,0.002*(EA8-(h_col-d_2))/(EA8-3*h_col/7))))-f_cd*(1-(1-MAX(0,MIN(1,IF(EA8&lt;=h_col,0.0035*(EA8-(h_col-d_2))/EA8,0.002*(EA8-(h_col-d_2))/(EA8-3*h_col/7))/0.002)))^2))))/1000</f>
        <v/>
      </c>
      <c r="EC8">
        <f>IF($EB8&lt;N_Ed-1E-9*MAX(1,N_Ed),(DY8+DZ8)/2,DY8)</f>
        <v/>
      </c>
      <c r="ED8">
        <f>IF($EB8&lt;N_Ed-1E-9*MAX(1,N_Ed),DZ8,(DY8+DZ8)/2)</f>
        <v/>
      </c>
      <c r="EE8">
        <f>h_col*((EC8+ED8)/2)/(1-(EC8+ED8)/2)</f>
        <v/>
      </c>
      <c r="EF8">
        <f>(f_cd*b_col*((3*MIN(EE8,h_col)/7)+(4*MIN(EE8,h_col)/7)*(1-((4*MIN(EE8,h_col)/7)/(EE8-(3*MIN(EE8,h_col)/7)))^2/3))+$D8/2*((MAX(-f_yd,MIN(f_yd,200000*IF(EE8&lt;=h_col,0.0035*(EE8-d_2)/EE8,0.002*(EE8-d_2)/(EE8-3*h_col/7))))-f_cd*(1-(1-MAX(0,MIN(1,IF(EE8&lt;=h_col,0.0035*(EE8-d_2)/EE8,0.002*(EE8-d_2)/(EE8-3*h_col/7))/0.002)))^2))+(MAX(-f_yd,MIN(f_yd,200000*IF(EE8&lt;=h_col,0.0035*(EE8-(h_col-d_2))/EE8,0.002*(EE8-(h_col-d_2))/(EE8-3*h_col/7))))-f_cd*(1-(1-MAX(0,MIN(1,IF(EE8&lt;=h_col,0.0035*(EE8-(h_col-d_2))/EE8,0.002*(EE8-(h_col-d_2))/(EE8-3*h_col/7))/0.002)))^2))))/1000</f>
        <v/>
      </c>
      <c r="EG8">
        <f>IF($EF8&lt;N_Ed-1E-9*MAX(1,N_Ed),(EC8+ED8)/2,EC8)</f>
        <v/>
      </c>
      <c r="EH8">
        <f>IF($EF8&lt;N_Ed-1E-9*MAX(1,N_Ed),ED8,(EC8+ED8)/2)</f>
        <v/>
      </c>
      <c r="EI8">
        <f>h_col*((EG8+EH8)/2)/(1-(EG8+EH8)/2)</f>
        <v/>
      </c>
      <c r="EJ8">
        <f>(f_cd*b_col*((3*MIN(EI8,h_col)/7)+(4*MIN(EI8,h_col)/7)*(1-((4*MIN(EI8,h_col)/7)/(EI8-(3*MIN(EI8,h_col)/7)))^2/3))+$D8/2*((MAX(-f_yd,MIN(f_yd,200000*IF(EI8&lt;=h_col,0.0035*(EI8-d_2)/EI8,0.002*(EI8-d_2)/(EI8-3*h_col/7))))-f_cd*(1-(1-MAX(0,MIN(1,IF(EI8&lt;=h_col,0.0035*(EI8-d_2)/EI8,0.002*(EI8-d_2)/(EI8-3*h_col/7))/0.002)))^2))+(MAX(-f_yd,MIN(f_yd,200000*IF(EI8&lt;=h_col,0.0035*(EI8-(h_col-d_2))/EI8,0.002*(EI8-(h_col-d_2))/(EI8-3*h_col/7))))-f_cd*(1-(1-MAX(0,MIN(1,IF(EI8&lt;=h_col,0.0035*(EI8-(h_col-d_2))/EI8,0.002*(EI8-(h_col-d_2))/(EI8-3*h_col/7))/0.002)))^2))))/1000</f>
        <v/>
      </c>
      <c r="EK8">
        <f>IF($EJ8&lt;N_Ed-1E-9*MAX(1,N_Ed),(EG8+EH8)/2,EG8)</f>
        <v/>
      </c>
      <c r="EL8">
        <f>IF($EJ8&lt;N_Ed-1E-9*MAX(1,N_Ed),EH8,(EG8+EH8)/2)</f>
        <v/>
      </c>
      <c r="EM8">
        <f>h_col*((EK8+EL8)/2)/(1-(EK8+EL8)/2)</f>
        <v/>
      </c>
      <c r="EN8">
        <f>(f_cd*b_col*((3*MIN(EM8,h_col)/7)+(4*MIN(EM8,h_col)/7)*(1-((4*MIN(EM8,h_col)/7)/(EM8-(3*MIN(EM8,h_col)/7)))^2/3))+$D8/2*((MAX(-f_yd,MIN(f_yd,200000*IF(EM8&lt;=h_col,0.0035*(EM8-d_2)/EM8,0.002*(EM8-d_2)/(EM8-3*h_col/7))))-f_cd*(1-(1-MAX(0,MIN(1,IF(EM8&lt;=h_col,0.0035*(EM8-d_2)/EM8,0.002*(EM8-d_2)/(EM8-3*h_col/7))/0.002)))^2))+(MAX(-f_yd,MIN(f_yd,200000*IF(EM8&lt;=h_col,0.0035*(EM8-(h_col-d_2))/EM8,0.002*(EM8-(h_col-d_2))/(EM8-3*h_col/7))))-f_cd*(1-(1-MAX(0,MIN(1,IF(EM8&lt;=h_col,0.0035*(EM8-(h_col-d_2))/EM8,0.002*(EM8-(h_col-d_2))/(EM8-3*h_col/7))/0.002)))^2))))/1000</f>
        <v/>
      </c>
      <c r="EO8">
        <f>IF($EN8&lt;N_Ed-1E-9*MAX(1,N_Ed),(EK8+EL8)/2,EK8)</f>
        <v/>
      </c>
      <c r="EP8">
        <f>IF($EN8&lt;N_Ed-1E-9*MAX(1,N_Ed),EL8,(EK8+EL8)/2)</f>
        <v/>
      </c>
      <c r="EQ8">
        <f>h_col*((EO8+EP8)/2)/(1-(EO8+EP8)/2)</f>
        <v/>
      </c>
      <c r="ER8">
        <f>(f_cd*b_col*((3*MIN(EQ8,h_col)/7)+(4*MIN(EQ8,h_col)/7)*(1-((4*MIN(EQ8,h_col)/7)/(EQ8-(3*MIN(EQ8,h_col)/7)))^2/3))+$D8/2*((MAX(-f_yd,MIN(f_yd,200000*IF(EQ8&lt;=h_col,0.0035*(EQ8-d_2)/EQ8,0.002*(EQ8-d_2)/(EQ8-3*h_col/7))))-f_cd*(1-(1-MAX(0,MIN(1,IF(EQ8&lt;=h_col,0.0035*(EQ8-d_2)/EQ8,0.002*(EQ8-d_2)/(EQ8-3*h_col/7))/0.002)))^2))+(MAX(-f_yd,MIN(f_yd,200000*IF(EQ8&lt;=h_col,0.0035*(EQ8-(h_col-d_2))/EQ8,0.002*(EQ8-(h_col-d_2))/(EQ8-3*h_col/7))))-f_cd*(1-(1-MAX(0,MIN(1,IF(EQ8&lt;=h_col,0.0035*(EQ8-(h_col-d_2))/EQ8,0.002*(EQ8-(h_col-d_2))/(EQ8-3*h_col/7))/0.002)))^2))))/1000</f>
        <v/>
      </c>
      <c r="ES8">
        <f>IF($ER8&lt;N_Ed-1E-9*MAX(1,N_Ed),(EO8+EP8)/2,EO8)</f>
        <v/>
      </c>
      <c r="ET8">
        <f>IF($ER8&lt;N_Ed-1E-9*MAX(1,N_Ed),EP8,(EO8+EP8)/2)</f>
        <v/>
      </c>
      <c r="EU8">
        <f>h_col*((ES8+ET8)/2)/(1-(ES8+ET8)/2)</f>
        <v/>
      </c>
      <c r="EV8">
        <f>(f_cd*b_col*((3*MIN(EU8,h_col)/7)+(4*MIN(EU8,h_col)/7)*(1-((4*MIN(EU8,h_col)/7)/(EU8-(3*MIN(EU8,h_col)/7)))^2/3))+$D8/2*((MAX(-f_yd,MIN(f_yd,200000*IF(EU8&lt;=h_col,0.0035*(EU8-d_2)/EU8,0.002*(EU8-d_2)/(EU8-3*h_col/7))))-f_cd*(1-(1-MAX(0,MIN(1,IF(EU8&lt;=h_col,0.0035*(EU8-d_2)/EU8,0.002*(EU8-d_2)/(EU8-3*h_col/7))/0.002)))^2))+(MAX(-f_yd,MIN(f_yd,200000*IF(EU8&lt;=h_col,0.0035*(EU8-(h_col-d_2))/EU8,0.002*(EU8-(h_col-d_2))/(EU8-3*h_col/7))))-f_cd*(1-(1-MAX(0,MIN(1,IF(EU8&lt;=h_col,0.0035*(EU8-(h_col-d_2))/EU8,0.002*(EU8-(h_col-d_2))/(EU8-3*h_col/7))/0.002)))^2))))/1000</f>
        <v/>
      </c>
      <c r="EW8">
        <f>IF($EV8&lt;N_Ed-1E-9*MAX(1,N_Ed),(ES8+ET8)/2,ES8)</f>
        <v/>
      </c>
      <c r="EX8">
        <f>IF($EV8&lt;N_Ed-1E-9*MAX(1,N_Ed),ET8,(ES8+ET8)/2)</f>
        <v/>
      </c>
      <c r="EY8">
        <f>h_col*((EW8+EX8)/2)/(1-(EW8+EX8)/2)</f>
        <v/>
      </c>
      <c r="EZ8">
        <f>(f_cd*b_col*((3*MIN(EY8,h_col)/7)+(4*MIN(EY8,h_col)/7)*(1-((4*MIN(EY8,h_col)/7)/(EY8-(3*MIN(EY8,h_col)/7)))^2/3))+$D8/2*((MAX(-f_yd,MIN(f_yd,200000*IF(EY8&lt;=h_col,0.0035*(EY8-d_2)/EY8,0.002*(EY8-d_2)/(EY8-3*h_col/7))))-f_cd*(1-(1-MAX(0,MIN(1,IF(EY8&lt;=h_col,0.0035*(EY8-d_2)/EY8,0.002*(EY8-d_2)/(EY8-3*h_col/7))/0.002)))^2))+(MAX(-f_yd,MIN(f_yd,200000*IF(EY8&lt;=h_col,0.0035*(EY8-(h_col-d_2))/EY8,0.002*(EY8-(h_col-d_2))/(EY8-3*h_col/7))))-f_cd*(1-(1-MAX(0,MIN(1,IF(EY8&lt;=h_col,0.0035*(EY8-(h_col-d_2))/EY8,0.002*(EY8-(h_col-d_2))/(EY8-3*h_col/7))/0.002)))^2))))/1000</f>
        <v/>
      </c>
      <c r="FA8">
        <f>IF($EZ8&lt;N_Ed-1E-9*MAX(1,N_Ed),(EW8+EX8)/2,EW8)</f>
        <v/>
      </c>
      <c r="FB8">
        <f>IF($EZ8&lt;N_Ed-1E-9*MAX(1,N_Ed),EX8,(EW8+EX8)/2)</f>
        <v/>
      </c>
      <c r="FC8">
        <f>h_col*((FA8+FB8)/2)/(1-(FA8+FB8)/2)</f>
        <v/>
      </c>
      <c r="FD8">
        <f>(f_cd*b_col*((3*MIN(FC8,h_col)/7)+(4*MIN(FC8,h_col)/7)*(1-((4*MIN(FC8,h_col)/7)/(FC8-(3*MIN(FC8,h_col)/7)))^2/3))+$D8/2*((MAX(-f_yd,MIN(f_yd,200000*IF(FC8&lt;=h_col,0.0035*(FC8-d_2)/FC8,0.002*(FC8-d_2)/(FC8-3*h_col/7))))-f_cd*(1-(1-MAX(0,MIN(1,IF(FC8&lt;=h_col,0.0035*(FC8-d_2)/FC8,0.002*(FC8-d_2)/(FC8-3*h_col/7))/0.002)))^2))+(MAX(-f_yd,MIN(f_yd,200000*IF(FC8&lt;=h_col,0.0035*(FC8-(h_col-d_2))/FC8,0.002*(FC8-(h_col-d_2))/(FC8-3*h_col/7))))-f_cd*(1-(1-MAX(0,MIN(1,IF(FC8&lt;=h_col,0.0035*(FC8-(h_col-d_2))/FC8,0.002*(FC8-(h_col-d_2))/(FC8-3*h_col/7))/0.002)))^2))))/1000</f>
        <v/>
      </c>
      <c r="FE8">
        <f>IF($FD8&lt;N_Ed-1E-9*MAX(1,N_Ed),(FA8+FB8)/2,FA8)</f>
        <v/>
      </c>
      <c r="FF8">
        <f>IF($FD8&lt;N_Ed-1E-9*MAX(1,N_Ed),FB8,(FA8+FB8)/2)</f>
        <v/>
      </c>
      <c r="FG8">
        <f>h_col*((FE8+FF8)/2)/(1-(FE8+FF8)/2)</f>
        <v/>
      </c>
      <c r="FH8">
        <f>(f_cd*b_col*((3*MIN(FG8,h_col)/7)+(4*MIN(FG8,h_col)/7)*(1-((4*MIN(FG8,h_col)/7)/(FG8-(3*MIN(FG8,h_col)/7)))^2/3))+$D8/2*((MAX(-f_yd,MIN(f_yd,200000*IF(FG8&lt;=h_col,0.0035*(FG8-d_2)/FG8,0.002*(FG8-d_2)/(FG8-3*h_col/7))))-f_cd*(1-(1-MAX(0,MIN(1,IF(FG8&lt;=h_col,0.0035*(FG8-d_2)/FG8,0.002*(FG8-d_2)/(FG8-3*h_col/7))/0.002)))^2))+(MAX(-f_yd,MIN(f_yd,200000*IF(FG8&lt;=h_col,0.0035*(FG8-(h_col-d_2))/FG8,0.002*(FG8-(h_col-d_2))/(FG8-3*h_col/7))))-f_cd*(1-(1-MAX(0,MIN(1,IF(FG8&lt;=h_col,0.0035*(FG8-(h_col-d_2))/FG8,0.002*(FG8-(h_col-d_2))/(FG8-3*h_col/7))/0.002)))^2))))/1000</f>
        <v/>
      </c>
      <c r="FI8">
        <f>IF($FH8&lt;N_Ed-1E-9*MAX(1,N_Ed),(FE8+FF8)/2,FE8)</f>
        <v/>
      </c>
      <c r="FJ8">
        <f>IF($FH8&lt;N_Ed-1E-9*MAX(1,N_Ed),FF8,(FE8+FF8)/2)</f>
        <v/>
      </c>
      <c r="FK8">
        <f>h_col*((FI8+FJ8)/2)/(1-(FI8+FJ8)/2)</f>
        <v/>
      </c>
      <c r="FL8">
        <f>(f_cd*b_col*((3*MIN(FK8,h_col)/7)+(4*MIN(FK8,h_col)/7)*(1-((4*MIN(FK8,h_col)/7)/(FK8-(3*MIN(FK8,h_col)/7)))^2/3))+$D8/2*((MAX(-f_yd,MIN(f_yd,200000*IF(FK8&lt;=h_col,0.0035*(FK8-d_2)/FK8,0.002*(FK8-d_2)/(FK8-3*h_col/7))))-f_cd*(1-(1-MAX(0,MIN(1,IF(FK8&lt;=h_col,0.0035*(FK8-d_2)/FK8,0.002*(FK8-d_2)/(FK8-3*h_col/7))/0.002)))^2))+(MAX(-f_yd,MIN(f_yd,200000*IF(FK8&lt;=h_col,0.0035*(FK8-(h_col-d_2))/FK8,0.002*(FK8-(h_col-d_2))/(FK8-3*h_col/7))))-f_cd*(1-(1-MAX(0,MIN(1,IF(FK8&lt;=h_col,0.0035*(FK8-(h_col-d_2))/FK8,0.002*(FK8-(h_col-d_2))/(FK8-3*h_col/7))/0.002)))^2))))/1000</f>
        <v/>
      </c>
      <c r="FM8">
        <f>IF($FL8&lt;N_Ed-1E-9*MAX(1,N_Ed),(FI8+FJ8)/2,FI8)</f>
        <v/>
      </c>
      <c r="FN8">
        <f>IF($FL8&lt;N_Ed-1E-9*MAX(1,N_Ed),FJ8,(FI8+FJ8)/2)</f>
        <v/>
      </c>
      <c r="FO8">
        <f>h_col*((FM8+FN8)/2)/(1-(FM8+FN8)/2)</f>
        <v/>
      </c>
      <c r="FP8">
        <f>(f_cd*b_col*((3*MIN(FO8,h_col)/7)+(4*MIN(FO8,h_col)/7)*(1-((4*MIN(FO8,h_col)/7)/(FO8-(3*MIN(FO8,h_col)/7)))^2/3))+$D8/2*((MAX(-f_yd,MIN(f_yd,200000*IF(FO8&lt;=h_col,0.0035*(FO8-d_2)/FO8,0.002*(FO8-d_2)/(FO8-3*h_col/7))))-f_cd*(1-(1-MAX(0,MIN(1,IF(FO8&lt;=h_col,0.0035*(FO8-d_2)/FO8,0.002*(FO8-d_2)/(FO8-3*h_col/7))/0.002)))^2))+(MAX(-f_yd,MIN(f_yd,200000*IF(FO8&lt;=h_col,0.0035*(FO8-(h_col-d_2))/FO8,0.002*(FO8-(h_col-d_2))/(FO8-3*h_col/7))))-f_cd*(1-(1-MAX(0,MIN(1,IF(FO8&lt;=h_col,0.0035*(FO8-(h_col-d_2))/FO8,0.002*(FO8-(h_col-d_2))/(FO8-3*h_col/7))/0.002)))^2))))/1000</f>
        <v/>
      </c>
      <c r="FQ8">
        <f>IF($FP8&lt;N_Ed-1E-9*MAX(1,N_Ed),(FM8+FN8)/2,FM8)</f>
        <v/>
      </c>
      <c r="FR8">
        <f>IF($FP8&lt;N_Ed-1E-9*MAX(1,N_Ed),FN8,(FM8+FN8)/2)</f>
        <v/>
      </c>
      <c r="FS8">
        <f>h_col*((FQ8+FR8)/2)/(1-(FQ8+FR8)/2)</f>
        <v/>
      </c>
      <c r="FT8">
        <f>(f_cd*b_col*((3*MIN(FS8,h_col)/7)+(4*MIN(FS8,h_col)/7)*(1-((4*MIN(FS8,h_col)/7)/(FS8-(3*MIN(FS8,h_col)/7)))^2/3))+$D8/2*((MAX(-f_yd,MIN(f_yd,200000*IF(FS8&lt;=h_col,0.0035*(FS8-d_2)/FS8,0.002*(FS8-d_2)/(FS8-3*h_col/7))))-f_cd*(1-(1-MAX(0,MIN(1,IF(FS8&lt;=h_col,0.0035*(FS8-d_2)/FS8,0.002*(FS8-d_2)/(FS8-3*h_col/7))/0.002)))^2))+(MAX(-f_yd,MIN(f_yd,200000*IF(FS8&lt;=h_col,0.0035*(FS8-(h_col-d_2))/FS8,0.002*(FS8-(h_col-d_2))/(FS8-3*h_col/7))))-f_cd*(1-(1-MAX(0,MIN(1,IF(FS8&lt;=h_col,0.0035*(FS8-(h_col-d_2))/FS8,0.002*(FS8-(h_col-d_2))/(FS8-3*h_col/7))/0.002)))^2))))/1000</f>
        <v/>
      </c>
      <c r="FU8">
        <f>IF($FT8&lt;N_Ed-1E-9*MAX(1,N_Ed),(FQ8+FR8)/2,FQ8)</f>
        <v/>
      </c>
      <c r="FV8">
        <f>IF($FT8&lt;N_Ed-1E-9*MAX(1,N_Ed),FR8,(FQ8+FR8)/2)</f>
        <v/>
      </c>
      <c r="FW8">
        <f>h_col*((FU8+FV8)/2)/(1-(FU8+FV8)/2)</f>
        <v/>
      </c>
      <c r="FX8">
        <f>(f_cd*b_col*((3*MIN(FW8,h_col)/7)+(4*MIN(FW8,h_col)/7)*(1-((4*MIN(FW8,h_col)/7)/(FW8-(3*MIN(FW8,h_col)/7)))^2/3))+$D8/2*((MAX(-f_yd,MIN(f_yd,200000*IF(FW8&lt;=h_col,0.0035*(FW8-d_2)/FW8,0.002*(FW8-d_2)/(FW8-3*h_col/7))))-f_cd*(1-(1-MAX(0,MIN(1,IF(FW8&lt;=h_col,0.0035*(FW8-d_2)/FW8,0.002*(FW8-d_2)/(FW8-3*h_col/7))/0.002)))^2))+(MAX(-f_yd,MIN(f_yd,200000*IF(FW8&lt;=h_col,0.0035*(FW8-(h_col-d_2))/FW8,0.002*(FW8-(h_col-d_2))/(FW8-3*h_col/7))))-f_cd*(1-(1-MAX(0,MIN(1,IF(FW8&lt;=h_col,0.0035*(FW8-(h_col-d_2))/FW8,0.002*(FW8-(h_col-d_2))/(FW8-3*h_col/7))/0.002)))^2))))/1000</f>
        <v/>
      </c>
      <c r="FY8">
        <f>IF($FX8&lt;N_Ed-1E-9*MAX(1,N_Ed),(FU8+FV8)/2,FU8)</f>
        <v/>
      </c>
      <c r="FZ8">
        <f>IF($FX8&lt;N_Ed-1E-9*MAX(1,N_Ed),FV8,(FU8+FV8)/2)</f>
        <v/>
      </c>
      <c r="GA8">
        <f>h_col*((FY8+FZ8)/2)/(1-(FY8+FZ8)/2)</f>
        <v/>
      </c>
      <c r="GB8">
        <f>(f_cd*b_col*((3*MIN(GA8,h_col)/7)+(4*MIN(GA8,h_col)/7)*(1-((4*MIN(GA8,h_col)/7)/(GA8-(3*MIN(GA8,h_col)/7)))^2/3))+$D8/2*((MAX(-f_yd,MIN(f_yd,200000*IF(GA8&lt;=h_col,0.0035*(GA8-d_2)/GA8,0.002*(GA8-d_2)/(GA8-3*h_col/7))))-f_cd*(1-(1-MAX(0,MIN(1,IF(GA8&lt;=h_col,0.0035*(GA8-d_2)/GA8,0.002*(GA8-d_2)/(GA8-3*h_col/7))/0.002)))^2))+(MAX(-f_yd,MIN(f_yd,200000*IF(GA8&lt;=h_col,0.0035*(GA8-(h_col-d_2))/GA8,0.002*(GA8-(h_col-d_2))/(GA8-3*h_col/7))))-f_cd*(1-(1-MAX(0,MIN(1,IF(GA8&lt;=h_col,0.0035*(GA8-(h_col-d_2))/GA8,0.002*(GA8-(h_col-d_2))/(GA8-3*h_col/7))/0.002)))^2))))/1000</f>
        <v/>
      </c>
      <c r="GC8">
        <f>IF($GB8&lt;N_Ed-1E-9*MAX(1,N_Ed),(FY8+FZ8)/2,FY8)</f>
        <v/>
      </c>
      <c r="GD8">
        <f>IF($GB8&lt;N_Ed-1E-9*MAX(1,N_Ed),FZ8,(FY8+FZ8)/2)</f>
        <v/>
      </c>
      <c r="GE8">
        <f>h_col*((GC8+GD8)/2)/(1-(GC8+GD8)/2)</f>
        <v/>
      </c>
      <c r="GF8">
        <f>(f_cd*b_col*((3*MIN(GE8,h_col)/7)+(4*MIN(GE8,h_col)/7)*(1-((4*MIN(GE8,h_col)/7)/(GE8-(3*MIN(GE8,h_col)/7)))^2/3))+$D8/2*((MAX(-f_yd,MIN(f_yd,200000*IF(GE8&lt;=h_col,0.0035*(GE8-d_2)/GE8,0.002*(GE8-d_2)/(GE8-3*h_col/7))))-f_cd*(1-(1-MAX(0,MIN(1,IF(GE8&lt;=h_col,0.0035*(GE8-d_2)/GE8,0.002*(GE8-d_2)/(GE8-3*h_col/7))/0.002)))^2))+(MAX(-f_yd,MIN(f_yd,200000*IF(GE8&lt;=h_col,0.0035*(GE8-(h_col-d_2))/GE8,0.002*(GE8-(h_col-d_2))/(GE8-3*h_col/7))))-f_cd*(1-(1-MAX(0,MIN(1,IF(GE8&lt;=h_col,0.0035*(GE8-(h_col-d_2))/GE8,0.002*(GE8-(h_col-d_2))/(GE8-3*h_col/7))/0.002)))^2))))/1000</f>
        <v/>
      </c>
      <c r="GG8">
        <f>IF($GF8&lt;N_Ed-1E-9*MAX(1,N_Ed),(GC8+GD8)/2,GC8)</f>
        <v/>
      </c>
      <c r="GH8">
        <f>IF($GF8&lt;N_Ed-1E-9*MAX(1,N_Ed),GD8,(GC8+GD8)/2)</f>
        <v/>
      </c>
      <c r="GI8">
        <f>h_col*((GG8+GH8)/2)/(1-(GG8+GH8)/2)</f>
        <v/>
      </c>
      <c r="GJ8">
        <f>(f_cd*b_col*((3*MIN(GI8,h_col)/7)+(4*MIN(GI8,h_col)/7)*(1-((4*MIN(GI8,h_col)/7)/(GI8-(3*MIN(GI8,h_col)/7)))^2/3))+$D8/2*((MAX(-f_yd,MIN(f_yd,200000*IF(GI8&lt;=h_col,0.0035*(GI8-d_2)/GI8,0.002*(GI8-d_2)/(GI8-3*h_col/7))))-f_cd*(1-(1-MAX(0,MIN(1,IF(GI8&lt;=h_col,0.0035*(GI8-d_2)/GI8,0.002*(GI8-d_2)/(GI8-3*h_col/7))/0.002)))^2))+(MAX(-f_yd,MIN(f_yd,200000*IF(GI8&lt;=h_col,0.0035*(GI8-(h_col-d_2))/GI8,0.002*(GI8-(h_col-d_2))/(GI8-3*h_col/7))))-f_cd*(1-(1-MAX(0,MIN(1,IF(GI8&lt;=h_col,0.0035*(GI8-(h_col-d_2))/GI8,0.002*(GI8-(h_col-d_2))/(GI8-3*h_col/7))/0.002)))^2))))/1000</f>
        <v/>
      </c>
      <c r="GK8">
        <f>IF($GJ8&lt;N_Ed-1E-9*MAX(1,N_Ed),(GG8+GH8)/2,GG8)</f>
        <v/>
      </c>
      <c r="GL8">
        <f>IF($GJ8&lt;N_Ed-1E-9*MAX(1,N_Ed),GH8,(GG8+GH8)/2)</f>
        <v/>
      </c>
      <c r="GM8">
        <f>h_col*((GK8+GL8)/2)/(1-(GK8+GL8)/2)</f>
        <v/>
      </c>
      <c r="GN8">
        <f>(f_cd*b_col*((3*MIN(GM8,h_col)/7)+(4*MIN(GM8,h_col)/7)*(1-((4*MIN(GM8,h_col)/7)/(GM8-(3*MIN(GM8,h_col)/7)))^2/3))+$D8/2*((MAX(-f_yd,MIN(f_yd,200000*IF(GM8&lt;=h_col,0.0035*(GM8-d_2)/GM8,0.002*(GM8-d_2)/(GM8-3*h_col/7))))-f_cd*(1-(1-MAX(0,MIN(1,IF(GM8&lt;=h_col,0.0035*(GM8-d_2)/GM8,0.002*(GM8-d_2)/(GM8-3*h_col/7))/0.002)))^2))+(MAX(-f_yd,MIN(f_yd,200000*IF(GM8&lt;=h_col,0.0035*(GM8-(h_col-d_2))/GM8,0.002*(GM8-(h_col-d_2))/(GM8-3*h_col/7))))-f_cd*(1-(1-MAX(0,MIN(1,IF(GM8&lt;=h_col,0.0035*(GM8-(h_col-d_2))/GM8,0.002*(GM8-(h_col-d_2))/(GM8-3*h_col/7))/0.002)))^2))))/1000</f>
        <v/>
      </c>
      <c r="GO8">
        <f>IF($GN8&lt;N_Ed-1E-9*MAX(1,N_Ed),(GK8+GL8)/2,GK8)</f>
        <v/>
      </c>
      <c r="GP8">
        <f>IF($GN8&lt;N_Ed-1E-9*MAX(1,N_Ed),GL8,(GK8+GL8)/2)</f>
        <v/>
      </c>
      <c r="GQ8">
        <f>h_col*((GO8+GP8)/2)/(1-(GO8+GP8)/2)</f>
        <v/>
      </c>
      <c r="GR8">
        <f>(f_cd*b_col*((3*MIN(GQ8,h_col)/7)+(4*MIN(GQ8,h_col)/7)*(1-((4*MIN(GQ8,h_col)/7)/(GQ8-(3*MIN(GQ8,h_col)/7)))^2/3))+$D8/2*((MAX(-f_yd,MIN(f_yd,200000*IF(GQ8&lt;=h_col,0.0035*(GQ8-d_2)/GQ8,0.002*(GQ8-d_2)/(GQ8-3*h_col/7))))-f_cd*(1-(1-MAX(0,MIN(1,IF(GQ8&lt;=h_col,0.0035*(GQ8-d_2)/GQ8,0.002*(GQ8-d_2)/(GQ8-3*h_col/7))/0.002)))^2))+(MAX(-f_yd,MIN(f_yd,200000*IF(GQ8&lt;=h_col,0.0035*(GQ8-(h_col-d_2))/GQ8,0.002*(GQ8-(h_col-d_2))/(GQ8-3*h_col/7))))-f_cd*(1-(1-MAX(0,MIN(1,IF(GQ8&lt;=h_col,0.0035*(GQ8-(h_col-d_2))/GQ8,0.002*(GQ8-(h_col-d_2))/(GQ8-3*h_col/7))/0.002)))^2))))/1000</f>
        <v/>
      </c>
      <c r="GS8">
        <f>IF($GR8&lt;N_Ed-1E-9*MAX(1,N_Ed),(GO8+GP8)/2,GO8)</f>
        <v/>
      </c>
      <c r="GT8">
        <f>IF($GR8&lt;N_Ed-1E-9*MAX(1,N_Ed),GP8,(GO8+GP8)/2)</f>
        <v/>
      </c>
      <c r="GU8">
        <f>h_col*((GS8+GT8)/2)/(1-(GS8+GT8)/2)</f>
        <v/>
      </c>
      <c r="GV8">
        <f>(f_cd*b_col*((3*MIN(GU8,h_col)/7)+(4*MIN(GU8,h_col)/7)*(1-((4*MIN(GU8,h_col)/7)/(GU8-(3*MIN(GU8,h_col)/7)))^2/3))+$D8/2*((MAX(-f_yd,MIN(f_yd,200000*IF(GU8&lt;=h_col,0.0035*(GU8-d_2)/GU8,0.002*(GU8-d_2)/(GU8-3*h_col/7))))-f_cd*(1-(1-MAX(0,MIN(1,IF(GU8&lt;=h_col,0.0035*(GU8-d_2)/GU8,0.002*(GU8-d_2)/(GU8-3*h_col/7))/0.002)))^2))+(MAX(-f_yd,MIN(f_yd,200000*IF(GU8&lt;=h_col,0.0035*(GU8-(h_col-d_2))/GU8,0.002*(GU8-(h_col-d_2))/(GU8-3*h_col/7))))-f_cd*(1-(1-MAX(0,MIN(1,IF(GU8&lt;=h_col,0.0035*(GU8-(h_col-d_2))/GU8,0.002*(GU8-(h_col-d_2))/(GU8-3*h_col/7))/0.002)))^2))))/1000</f>
        <v/>
      </c>
      <c r="GW8">
        <f>GU8</f>
        <v/>
      </c>
      <c r="GX8">
        <f>(f_cd*b_col*((3*MIN(GW8,h_col)/7)+(4*MIN(GW8,h_col)/7)*(1-((4*MIN(GW8,h_col)/7)/(GW8-(3*MIN(GW8,h_col)/7)))^2/3))+$D8/2*((MAX(-f_yd,MIN(f_yd,200000*IF(GW8&lt;=h_col,0.0035*(GW8-d_2)/GW8,0.002*(GW8-d_2)/(GW8-3*h_col/7))))-f_cd*(1-(1-MAX(0,MIN(1,IF(GW8&lt;=h_col,0.0035*(GW8-d_2)/GW8,0.002*(GW8-d_2)/(GW8-3*h_col/7))/0.002)))^2))+(MAX(-f_yd,MIN(f_yd,200000*IF(GW8&lt;=h_col,0.0035*(GW8-(h_col-d_2))/GW8,0.002*(GW8-(h_col-d_2))/(GW8-3*h_col/7))))-f_cd*(1-(1-MAX(0,MIN(1,IF(GW8&lt;=h_col,0.0035*(GW8-(h_col-d_2))/GW8,0.002*(GW8-(h_col-d_2))/(GW8-3*h_col/7))/0.002)))^2))))/1000</f>
        <v/>
      </c>
      <c r="GY8">
        <f>(f_cd*b_col*((3*MIN(GW8,h_col)/7)*(h_col/2-(3*MIN(GW8,h_col)/7)/2)+(4*MIN(GW8,h_col)/7)*((h_col/2-(3*MIN(GW8,h_col)/7))*(1-((4*MIN(GW8,h_col)/7)/(GW8-(3*MIN(GW8,h_col)/7)))^2/3)-(4*MIN(GW8,h_col)/7)*(0.5-((4*MIN(GW8,h_col)/7)/(GW8-(3*MIN(GW8,h_col)/7)))^2/4)))+$D8/2*((MAX(-f_yd,MIN(f_yd,200000*IF(GW8&lt;=h_col,0.0035*(GW8-d_2)/GW8,0.002*(GW8-d_2)/(GW8-3*h_col/7))))-f_cd*(1-(1-MAX(0,MIN(1,IF(GW8&lt;=h_col,0.0035*(GW8-d_2)/GW8,0.002*(GW8-d_2)/(GW8-3*h_col/7))/0.002)))^2))-(MAX(-f_yd,MIN(f_yd,200000*IF(GW8&lt;=h_col,0.0035*(GW8-(h_col-d_2))/GW8,0.002*(GW8-(h_col-d_2))/(GW8-3*h_col/7))))-f_cd*(1-(1-MAX(0,MIN(1,IF(GW8&lt;=h_col,0.0035*(GW8-(h_col-d_2))/GW8,0.002*(GW8-(h_col-d_2))/(GW8-3*h_col/7))/0.002)))^2)))*(h_col/2-d_2))/1E6</f>
        <v/>
      </c>
      <c r="GZ8">
        <f>GX8&gt;=N_Ed-1E-6*MAX(1,N_Ed)</f>
        <v/>
      </c>
      <c r="HA8">
        <f>IF(GZ8,GY8,-1E9)</f>
        <v/>
      </c>
    </row>
    <row r="9">
      <c r="A9" t="n">
        <v>4</v>
      </c>
      <c r="B9">
        <f>IF($HA8&gt;=M_d,$B8,$D8)</f>
        <v/>
      </c>
      <c r="C9">
        <f>IF($HA8&gt;=M_d,$D8,$C8)</f>
        <v/>
      </c>
      <c r="D9">
        <f>($B9+$C9)/2</f>
        <v/>
      </c>
      <c r="E9" t="n">
        <v>0</v>
      </c>
      <c r="F9">
        <f>1-1E-12</f>
        <v/>
      </c>
      <c r="G9">
        <f>h_col*((E9+F9)/2)/(1-(E9+F9)/2)</f>
        <v/>
      </c>
      <c r="H9">
        <f>(f_cd*b_col*((3*MIN(G9,h_col)/7)+(4*MIN(G9,h_col)/7)*(1-((4*MIN(G9,h_col)/7)/(G9-(3*MIN(G9,h_col)/7)))^2/3))+$D9/2*((MAX(-f_yd,MIN(f_yd,200000*IF(G9&lt;=h_col,0.0035*(G9-d_2)/G9,0.002*(G9-d_2)/(G9-3*h_col/7))))-f_cd*(1-(1-MAX(0,MIN(1,IF(G9&lt;=h_col,0.0035*(G9-d_2)/G9,0.002*(G9-d_2)/(G9-3*h_col/7))/0.002)))^2))+(MAX(-f_yd,MIN(f_yd,200000*IF(G9&lt;=h_col,0.0035*(G9-(h_col-d_2))/G9,0.002*(G9-(h_col-d_2))/(G9-3*h_col/7))))-f_cd*(1-(1-MAX(0,MIN(1,IF(G9&lt;=h_col,0.0035*(G9-(h_col-d_2))/G9,0.002*(G9-(h_col-d_2))/(G9-3*h_col/7))/0.002)))^2))))/1000</f>
        <v/>
      </c>
      <c r="I9">
        <f>IF($H9&lt;N_Ed-1E-9*MAX(1,N_Ed),(E9+F9)/2,E9)</f>
        <v/>
      </c>
      <c r="J9">
        <f>IF($H9&lt;N_Ed-1E-9*MAX(1,N_Ed),F9,(E9+F9)/2)</f>
        <v/>
      </c>
      <c r="K9">
        <f>h_col*((I9+J9)/2)/(1-(I9+J9)/2)</f>
        <v/>
      </c>
      <c r="L9">
        <f>(f_cd*b_col*((3*MIN(K9,h_col)/7)+(4*MIN(K9,h_col)/7)*(1-((4*MIN(K9,h_col)/7)/(K9-(3*MIN(K9,h_col)/7)))^2/3))+$D9/2*((MAX(-f_yd,MIN(f_yd,200000*IF(K9&lt;=h_col,0.0035*(K9-d_2)/K9,0.002*(K9-d_2)/(K9-3*h_col/7))))-f_cd*(1-(1-MAX(0,MIN(1,IF(K9&lt;=h_col,0.0035*(K9-d_2)/K9,0.002*(K9-d_2)/(K9-3*h_col/7))/0.002)))^2))+(MAX(-f_yd,MIN(f_yd,200000*IF(K9&lt;=h_col,0.0035*(K9-(h_col-d_2))/K9,0.002*(K9-(h_col-d_2))/(K9-3*h_col/7))))-f_cd*(1-(1-MAX(0,MIN(1,IF(K9&lt;=h_col,0.0035*(K9-(h_col-d_2))/K9,0.002*(K9-(h_col-d_2))/(K9-3*h_col/7))/0.002)))^2))))/1000</f>
        <v/>
      </c>
      <c r="M9">
        <f>IF($L9&lt;N_Ed-1E-9*MAX(1,N_Ed),(I9+J9)/2,I9)</f>
        <v/>
      </c>
      <c r="N9">
        <f>IF($L9&lt;N_Ed-1E-9*MAX(1,N_Ed),J9,(I9+J9)/2)</f>
        <v/>
      </c>
      <c r="O9">
        <f>h_col*((M9+N9)/2)/(1-(M9+N9)/2)</f>
        <v/>
      </c>
      <c r="P9">
        <f>(f_cd*b_col*((3*MIN(O9,h_col)/7)+(4*MIN(O9,h_col)/7)*(1-((4*MIN(O9,h_col)/7)/(O9-(3*MIN(O9,h_col)/7)))^2/3))+$D9/2*((MAX(-f_yd,MIN(f_yd,200000*IF(O9&lt;=h_col,0.0035*(O9-d_2)/O9,0.002*(O9-d_2)/(O9-3*h_col/7))))-f_cd*(1-(1-MAX(0,MIN(1,IF(O9&lt;=h_col,0.0035*(O9-d_2)/O9,0.002*(O9-d_2)/(O9-3*h_col/7))/0.002)))^2))+(MAX(-f_yd,MIN(f_yd,200000*IF(O9&lt;=h_col,0.0035*(O9-(h_col-d_2))/O9,0.002*(O9-(h_col-d_2))/(O9-3*h_col/7))))-f_cd*(1-(1-MAX(0,MIN(1,IF(O9&lt;=h_col,0.0035*(O9-(h_col-d_2))/O9,0.002*(O9-(h_col-d_2))/(O9-3*h_col/7))/0.002)))^2))))/1000</f>
        <v/>
      </c>
      <c r="Q9">
        <f>IF($P9&lt;N_Ed-1E-9*MAX(1,N_Ed),(M9+N9)/2,M9)</f>
        <v/>
      </c>
      <c r="R9">
        <f>IF($P9&lt;N_Ed-1E-9*MAX(1,N_Ed),N9,(M9+N9)/2)</f>
        <v/>
      </c>
      <c r="S9">
        <f>h_col*((Q9+R9)/2)/(1-(Q9+R9)/2)</f>
        <v/>
      </c>
      <c r="T9">
        <f>(f_cd*b_col*((3*MIN(S9,h_col)/7)+(4*MIN(S9,h_col)/7)*(1-((4*MIN(S9,h_col)/7)/(S9-(3*MIN(S9,h_col)/7)))^2/3))+$D9/2*((MAX(-f_yd,MIN(f_yd,200000*IF(S9&lt;=h_col,0.0035*(S9-d_2)/S9,0.002*(S9-d_2)/(S9-3*h_col/7))))-f_cd*(1-(1-MAX(0,MIN(1,IF(S9&lt;=h_col,0.0035*(S9-d_2)/S9,0.002*(S9-d_2)/(S9-3*h_col/7))/0.002)))^2))+(MAX(-f_yd,MIN(f_yd,200000*IF(S9&lt;=h_col,0.0035*(S9-(h_col-d_2))/S9,0.002*(S9-(h_col-d_2))/(S9-3*h_col/7))))-f_cd*(1-(1-MAX(0,MIN(1,IF(S9&lt;=h_col,0.0035*(S9-(h_col-d_2))/S9,0.002*(S9-(h_col-d_2))/(S9-3*h_col/7))/0.002)))^2))))/1000</f>
        <v/>
      </c>
      <c r="U9">
        <f>IF($T9&lt;N_Ed-1E-9*MAX(1,N_Ed),(Q9+R9)/2,Q9)</f>
        <v/>
      </c>
      <c r="V9">
        <f>IF($T9&lt;N_Ed-1E-9*MAX(1,N_Ed),R9,(Q9+R9)/2)</f>
        <v/>
      </c>
      <c r="W9">
        <f>h_col*((U9+V9)/2)/(1-(U9+V9)/2)</f>
        <v/>
      </c>
      <c r="X9">
        <f>(f_cd*b_col*((3*MIN(W9,h_col)/7)+(4*MIN(W9,h_col)/7)*(1-((4*MIN(W9,h_col)/7)/(W9-(3*MIN(W9,h_col)/7)))^2/3))+$D9/2*((MAX(-f_yd,MIN(f_yd,200000*IF(W9&lt;=h_col,0.0035*(W9-d_2)/W9,0.002*(W9-d_2)/(W9-3*h_col/7))))-f_cd*(1-(1-MAX(0,MIN(1,IF(W9&lt;=h_col,0.0035*(W9-d_2)/W9,0.002*(W9-d_2)/(W9-3*h_col/7))/0.002)))^2))+(MAX(-f_yd,MIN(f_yd,200000*IF(W9&lt;=h_col,0.0035*(W9-(h_col-d_2))/W9,0.002*(W9-(h_col-d_2))/(W9-3*h_col/7))))-f_cd*(1-(1-MAX(0,MIN(1,IF(W9&lt;=h_col,0.0035*(W9-(h_col-d_2))/W9,0.002*(W9-(h_col-d_2))/(W9-3*h_col/7))/0.002)))^2))))/1000</f>
        <v/>
      </c>
      <c r="Y9">
        <f>IF($X9&lt;N_Ed-1E-9*MAX(1,N_Ed),(U9+V9)/2,U9)</f>
        <v/>
      </c>
      <c r="Z9">
        <f>IF($X9&lt;N_Ed-1E-9*MAX(1,N_Ed),V9,(U9+V9)/2)</f>
        <v/>
      </c>
      <c r="AA9">
        <f>h_col*((Y9+Z9)/2)/(1-(Y9+Z9)/2)</f>
        <v/>
      </c>
      <c r="AB9">
        <f>(f_cd*b_col*((3*MIN(AA9,h_col)/7)+(4*MIN(AA9,h_col)/7)*(1-((4*MIN(AA9,h_col)/7)/(AA9-(3*MIN(AA9,h_col)/7)))^2/3))+$D9/2*((MAX(-f_yd,MIN(f_yd,200000*IF(AA9&lt;=h_col,0.0035*(AA9-d_2)/AA9,0.002*(AA9-d_2)/(AA9-3*h_col/7))))-f_cd*(1-(1-MAX(0,MIN(1,IF(AA9&lt;=h_col,0.0035*(AA9-d_2)/AA9,0.002*(AA9-d_2)/(AA9-3*h_col/7))/0.002)))^2))+(MAX(-f_yd,MIN(f_yd,200000*IF(AA9&lt;=h_col,0.0035*(AA9-(h_col-d_2))/AA9,0.002*(AA9-(h_col-d_2))/(AA9-3*h_col/7))))-f_cd*(1-(1-MAX(0,MIN(1,IF(AA9&lt;=h_col,0.0035*(AA9-(h_col-d_2))/AA9,0.002*(AA9-(h_col-d_2))/(AA9-3*h_col/7))/0.002)))^2))))/1000</f>
        <v/>
      </c>
      <c r="AC9">
        <f>IF($AB9&lt;N_Ed-1E-9*MAX(1,N_Ed),(Y9+Z9)/2,Y9)</f>
        <v/>
      </c>
      <c r="AD9">
        <f>IF($AB9&lt;N_Ed-1E-9*MAX(1,N_Ed),Z9,(Y9+Z9)/2)</f>
        <v/>
      </c>
      <c r="AE9">
        <f>h_col*((AC9+AD9)/2)/(1-(AC9+AD9)/2)</f>
        <v/>
      </c>
      <c r="AF9">
        <f>(f_cd*b_col*((3*MIN(AE9,h_col)/7)+(4*MIN(AE9,h_col)/7)*(1-((4*MIN(AE9,h_col)/7)/(AE9-(3*MIN(AE9,h_col)/7)))^2/3))+$D9/2*((MAX(-f_yd,MIN(f_yd,200000*IF(AE9&lt;=h_col,0.0035*(AE9-d_2)/AE9,0.002*(AE9-d_2)/(AE9-3*h_col/7))))-f_cd*(1-(1-MAX(0,MIN(1,IF(AE9&lt;=h_col,0.0035*(AE9-d_2)/AE9,0.002*(AE9-d_2)/(AE9-3*h_col/7))/0.002)))^2))+(MAX(-f_yd,MIN(f_yd,200000*IF(AE9&lt;=h_col,0.0035*(AE9-(h_col-d_2))/AE9,0.002*(AE9-(h_col-d_2))/(AE9-3*h_col/7))))-f_cd*(1-(1-MAX(0,MIN(1,IF(AE9&lt;=h_col,0.0035*(AE9-(h_col-d_2))/AE9,0.002*(AE9-(h_col-d_2))/(AE9-3*h_col/7))/0.002)))^2))))/1000</f>
        <v/>
      </c>
      <c r="AG9">
        <f>IF($AF9&lt;N_Ed-1E-9*MAX(1,N_Ed),(AC9+AD9)/2,AC9)</f>
        <v/>
      </c>
      <c r="AH9">
        <f>IF($AF9&lt;N_Ed-1E-9*MAX(1,N_Ed),AD9,(AC9+AD9)/2)</f>
        <v/>
      </c>
      <c r="AI9">
        <f>h_col*((AG9+AH9)/2)/(1-(AG9+AH9)/2)</f>
        <v/>
      </c>
      <c r="AJ9">
        <f>(f_cd*b_col*((3*MIN(AI9,h_col)/7)+(4*MIN(AI9,h_col)/7)*(1-((4*MIN(AI9,h_col)/7)/(AI9-(3*MIN(AI9,h_col)/7)))^2/3))+$D9/2*((MAX(-f_yd,MIN(f_yd,200000*IF(AI9&lt;=h_col,0.0035*(AI9-d_2)/AI9,0.002*(AI9-d_2)/(AI9-3*h_col/7))))-f_cd*(1-(1-MAX(0,MIN(1,IF(AI9&lt;=h_col,0.0035*(AI9-d_2)/AI9,0.002*(AI9-d_2)/(AI9-3*h_col/7))/0.002)))^2))+(MAX(-f_yd,MIN(f_yd,200000*IF(AI9&lt;=h_col,0.0035*(AI9-(h_col-d_2))/AI9,0.002*(AI9-(h_col-d_2))/(AI9-3*h_col/7))))-f_cd*(1-(1-MAX(0,MIN(1,IF(AI9&lt;=h_col,0.0035*(AI9-(h_col-d_2))/AI9,0.002*(AI9-(h_col-d_2))/(AI9-3*h_col/7))/0.002)))^2))))/1000</f>
        <v/>
      </c>
      <c r="AK9">
        <f>IF($AJ9&lt;N_Ed-1E-9*MAX(1,N_Ed),(AG9+AH9)/2,AG9)</f>
        <v/>
      </c>
      <c r="AL9">
        <f>IF($AJ9&lt;N_Ed-1E-9*MAX(1,N_Ed),AH9,(AG9+AH9)/2)</f>
        <v/>
      </c>
      <c r="AM9">
        <f>h_col*((AK9+AL9)/2)/(1-(AK9+AL9)/2)</f>
        <v/>
      </c>
      <c r="AN9">
        <f>(f_cd*b_col*((3*MIN(AM9,h_col)/7)+(4*MIN(AM9,h_col)/7)*(1-((4*MIN(AM9,h_col)/7)/(AM9-(3*MIN(AM9,h_col)/7)))^2/3))+$D9/2*((MAX(-f_yd,MIN(f_yd,200000*IF(AM9&lt;=h_col,0.0035*(AM9-d_2)/AM9,0.002*(AM9-d_2)/(AM9-3*h_col/7))))-f_cd*(1-(1-MAX(0,MIN(1,IF(AM9&lt;=h_col,0.0035*(AM9-d_2)/AM9,0.002*(AM9-d_2)/(AM9-3*h_col/7))/0.002)))^2))+(MAX(-f_yd,MIN(f_yd,200000*IF(AM9&lt;=h_col,0.0035*(AM9-(h_col-d_2))/AM9,0.002*(AM9-(h_col-d_2))/(AM9-3*h_col/7))))-f_cd*(1-(1-MAX(0,MIN(1,IF(AM9&lt;=h_col,0.0035*(AM9-(h_col-d_2))/AM9,0.002*(AM9-(h_col-d_2))/(AM9-3*h_col/7))/0.002)))^2))))/1000</f>
        <v/>
      </c>
      <c r="AO9">
        <f>IF($AN9&lt;N_Ed-1E-9*MAX(1,N_Ed),(AK9+AL9)/2,AK9)</f>
        <v/>
      </c>
      <c r="AP9">
        <f>IF($AN9&lt;N_Ed-1E-9*MAX(1,N_Ed),AL9,(AK9+AL9)/2)</f>
        <v/>
      </c>
      <c r="AQ9">
        <f>h_col*((AO9+AP9)/2)/(1-(AO9+AP9)/2)</f>
        <v/>
      </c>
      <c r="AR9">
        <f>(f_cd*b_col*((3*MIN(AQ9,h_col)/7)+(4*MIN(AQ9,h_col)/7)*(1-((4*MIN(AQ9,h_col)/7)/(AQ9-(3*MIN(AQ9,h_col)/7)))^2/3))+$D9/2*((MAX(-f_yd,MIN(f_yd,200000*IF(AQ9&lt;=h_col,0.0035*(AQ9-d_2)/AQ9,0.002*(AQ9-d_2)/(AQ9-3*h_col/7))))-f_cd*(1-(1-MAX(0,MIN(1,IF(AQ9&lt;=h_col,0.0035*(AQ9-d_2)/AQ9,0.002*(AQ9-d_2)/(AQ9-3*h_col/7))/0.002)))^2))+(MAX(-f_yd,MIN(f_yd,200000*IF(AQ9&lt;=h_col,0.0035*(AQ9-(h_col-d_2))/AQ9,0.002*(AQ9-(h_col-d_2))/(AQ9-3*h_col/7))))-f_cd*(1-(1-MAX(0,MIN(1,IF(AQ9&lt;=h_col,0.0035*(AQ9-(h_col-d_2))/AQ9,0.002*(AQ9-(h_col-d_2))/(AQ9-3*h_col/7))/0.002)))^2))))/1000</f>
        <v/>
      </c>
      <c r="AS9">
        <f>IF($AR9&lt;N_Ed-1E-9*MAX(1,N_Ed),(AO9+AP9)/2,AO9)</f>
        <v/>
      </c>
      <c r="AT9">
        <f>IF($AR9&lt;N_Ed-1E-9*MAX(1,N_Ed),AP9,(AO9+AP9)/2)</f>
        <v/>
      </c>
      <c r="AU9">
        <f>h_col*((AS9+AT9)/2)/(1-(AS9+AT9)/2)</f>
        <v/>
      </c>
      <c r="AV9">
        <f>(f_cd*b_col*((3*MIN(AU9,h_col)/7)+(4*MIN(AU9,h_col)/7)*(1-((4*MIN(AU9,h_col)/7)/(AU9-(3*MIN(AU9,h_col)/7)))^2/3))+$D9/2*((MAX(-f_yd,MIN(f_yd,200000*IF(AU9&lt;=h_col,0.0035*(AU9-d_2)/AU9,0.002*(AU9-d_2)/(AU9-3*h_col/7))))-f_cd*(1-(1-MAX(0,MIN(1,IF(AU9&lt;=h_col,0.0035*(AU9-d_2)/AU9,0.002*(AU9-d_2)/(AU9-3*h_col/7))/0.002)))^2))+(MAX(-f_yd,MIN(f_yd,200000*IF(AU9&lt;=h_col,0.0035*(AU9-(h_col-d_2))/AU9,0.002*(AU9-(h_col-d_2))/(AU9-3*h_col/7))))-f_cd*(1-(1-MAX(0,MIN(1,IF(AU9&lt;=h_col,0.0035*(AU9-(h_col-d_2))/AU9,0.002*(AU9-(h_col-d_2))/(AU9-3*h_col/7))/0.002)))^2))))/1000</f>
        <v/>
      </c>
      <c r="AW9">
        <f>IF($AV9&lt;N_Ed-1E-9*MAX(1,N_Ed),(AS9+AT9)/2,AS9)</f>
        <v/>
      </c>
      <c r="AX9">
        <f>IF($AV9&lt;N_Ed-1E-9*MAX(1,N_Ed),AT9,(AS9+AT9)/2)</f>
        <v/>
      </c>
      <c r="AY9">
        <f>h_col*((AW9+AX9)/2)/(1-(AW9+AX9)/2)</f>
        <v/>
      </c>
      <c r="AZ9">
        <f>(f_cd*b_col*((3*MIN(AY9,h_col)/7)+(4*MIN(AY9,h_col)/7)*(1-((4*MIN(AY9,h_col)/7)/(AY9-(3*MIN(AY9,h_col)/7)))^2/3))+$D9/2*((MAX(-f_yd,MIN(f_yd,200000*IF(AY9&lt;=h_col,0.0035*(AY9-d_2)/AY9,0.002*(AY9-d_2)/(AY9-3*h_col/7))))-f_cd*(1-(1-MAX(0,MIN(1,IF(AY9&lt;=h_col,0.0035*(AY9-d_2)/AY9,0.002*(AY9-d_2)/(AY9-3*h_col/7))/0.002)))^2))+(MAX(-f_yd,MIN(f_yd,200000*IF(AY9&lt;=h_col,0.0035*(AY9-(h_col-d_2))/AY9,0.002*(AY9-(h_col-d_2))/(AY9-3*h_col/7))))-f_cd*(1-(1-MAX(0,MIN(1,IF(AY9&lt;=h_col,0.0035*(AY9-(h_col-d_2))/AY9,0.002*(AY9-(h_col-d_2))/(AY9-3*h_col/7))/0.002)))^2))))/1000</f>
        <v/>
      </c>
      <c r="BA9">
        <f>IF($AZ9&lt;N_Ed-1E-9*MAX(1,N_Ed),(AW9+AX9)/2,AW9)</f>
        <v/>
      </c>
      <c r="BB9">
        <f>IF($AZ9&lt;N_Ed-1E-9*MAX(1,N_Ed),AX9,(AW9+AX9)/2)</f>
        <v/>
      </c>
      <c r="BC9">
        <f>h_col*((BA9+BB9)/2)/(1-(BA9+BB9)/2)</f>
        <v/>
      </c>
      <c r="BD9">
        <f>(f_cd*b_col*((3*MIN(BC9,h_col)/7)+(4*MIN(BC9,h_col)/7)*(1-((4*MIN(BC9,h_col)/7)/(BC9-(3*MIN(BC9,h_col)/7)))^2/3))+$D9/2*((MAX(-f_yd,MIN(f_yd,200000*IF(BC9&lt;=h_col,0.0035*(BC9-d_2)/BC9,0.002*(BC9-d_2)/(BC9-3*h_col/7))))-f_cd*(1-(1-MAX(0,MIN(1,IF(BC9&lt;=h_col,0.0035*(BC9-d_2)/BC9,0.002*(BC9-d_2)/(BC9-3*h_col/7))/0.002)))^2))+(MAX(-f_yd,MIN(f_yd,200000*IF(BC9&lt;=h_col,0.0035*(BC9-(h_col-d_2))/BC9,0.002*(BC9-(h_col-d_2))/(BC9-3*h_col/7))))-f_cd*(1-(1-MAX(0,MIN(1,IF(BC9&lt;=h_col,0.0035*(BC9-(h_col-d_2))/BC9,0.002*(BC9-(h_col-d_2))/(BC9-3*h_col/7))/0.002)))^2))))/1000</f>
        <v/>
      </c>
      <c r="BE9">
        <f>IF($BD9&lt;N_Ed-1E-9*MAX(1,N_Ed),(BA9+BB9)/2,BA9)</f>
        <v/>
      </c>
      <c r="BF9">
        <f>IF($BD9&lt;N_Ed-1E-9*MAX(1,N_Ed),BB9,(BA9+BB9)/2)</f>
        <v/>
      </c>
      <c r="BG9">
        <f>h_col*((BE9+BF9)/2)/(1-(BE9+BF9)/2)</f>
        <v/>
      </c>
      <c r="BH9">
        <f>(f_cd*b_col*((3*MIN(BG9,h_col)/7)+(4*MIN(BG9,h_col)/7)*(1-((4*MIN(BG9,h_col)/7)/(BG9-(3*MIN(BG9,h_col)/7)))^2/3))+$D9/2*((MAX(-f_yd,MIN(f_yd,200000*IF(BG9&lt;=h_col,0.0035*(BG9-d_2)/BG9,0.002*(BG9-d_2)/(BG9-3*h_col/7))))-f_cd*(1-(1-MAX(0,MIN(1,IF(BG9&lt;=h_col,0.0035*(BG9-d_2)/BG9,0.002*(BG9-d_2)/(BG9-3*h_col/7))/0.002)))^2))+(MAX(-f_yd,MIN(f_yd,200000*IF(BG9&lt;=h_col,0.0035*(BG9-(h_col-d_2))/BG9,0.002*(BG9-(h_col-d_2))/(BG9-3*h_col/7))))-f_cd*(1-(1-MAX(0,MIN(1,IF(BG9&lt;=h_col,0.0035*(BG9-(h_col-d_2))/BG9,0.002*(BG9-(h_col-d_2))/(BG9-3*h_col/7))/0.002)))^2))))/1000</f>
        <v/>
      </c>
      <c r="BI9">
        <f>IF($BH9&lt;N_Ed-1E-9*MAX(1,N_Ed),(BE9+BF9)/2,BE9)</f>
        <v/>
      </c>
      <c r="BJ9">
        <f>IF($BH9&lt;N_Ed-1E-9*MAX(1,N_Ed),BF9,(BE9+BF9)/2)</f>
        <v/>
      </c>
      <c r="BK9">
        <f>h_col*((BI9+BJ9)/2)/(1-(BI9+BJ9)/2)</f>
        <v/>
      </c>
      <c r="BL9">
        <f>(f_cd*b_col*((3*MIN(BK9,h_col)/7)+(4*MIN(BK9,h_col)/7)*(1-((4*MIN(BK9,h_col)/7)/(BK9-(3*MIN(BK9,h_col)/7)))^2/3))+$D9/2*((MAX(-f_yd,MIN(f_yd,200000*IF(BK9&lt;=h_col,0.0035*(BK9-d_2)/BK9,0.002*(BK9-d_2)/(BK9-3*h_col/7))))-f_cd*(1-(1-MAX(0,MIN(1,IF(BK9&lt;=h_col,0.0035*(BK9-d_2)/BK9,0.002*(BK9-d_2)/(BK9-3*h_col/7))/0.002)))^2))+(MAX(-f_yd,MIN(f_yd,200000*IF(BK9&lt;=h_col,0.0035*(BK9-(h_col-d_2))/BK9,0.002*(BK9-(h_col-d_2))/(BK9-3*h_col/7))))-f_cd*(1-(1-MAX(0,MIN(1,IF(BK9&lt;=h_col,0.0035*(BK9-(h_col-d_2))/BK9,0.002*(BK9-(h_col-d_2))/(BK9-3*h_col/7))/0.002)))^2))))/1000</f>
        <v/>
      </c>
      <c r="BM9">
        <f>IF($BL9&lt;N_Ed-1E-9*MAX(1,N_Ed),(BI9+BJ9)/2,BI9)</f>
        <v/>
      </c>
      <c r="BN9">
        <f>IF($BL9&lt;N_Ed-1E-9*MAX(1,N_Ed),BJ9,(BI9+BJ9)/2)</f>
        <v/>
      </c>
      <c r="BO9">
        <f>h_col*((BM9+BN9)/2)/(1-(BM9+BN9)/2)</f>
        <v/>
      </c>
      <c r="BP9">
        <f>(f_cd*b_col*((3*MIN(BO9,h_col)/7)+(4*MIN(BO9,h_col)/7)*(1-((4*MIN(BO9,h_col)/7)/(BO9-(3*MIN(BO9,h_col)/7)))^2/3))+$D9/2*((MAX(-f_yd,MIN(f_yd,200000*IF(BO9&lt;=h_col,0.0035*(BO9-d_2)/BO9,0.002*(BO9-d_2)/(BO9-3*h_col/7))))-f_cd*(1-(1-MAX(0,MIN(1,IF(BO9&lt;=h_col,0.0035*(BO9-d_2)/BO9,0.002*(BO9-d_2)/(BO9-3*h_col/7))/0.002)))^2))+(MAX(-f_yd,MIN(f_yd,200000*IF(BO9&lt;=h_col,0.0035*(BO9-(h_col-d_2))/BO9,0.002*(BO9-(h_col-d_2))/(BO9-3*h_col/7))))-f_cd*(1-(1-MAX(0,MIN(1,IF(BO9&lt;=h_col,0.0035*(BO9-(h_col-d_2))/BO9,0.002*(BO9-(h_col-d_2))/(BO9-3*h_col/7))/0.002)))^2))))/1000</f>
        <v/>
      </c>
      <c r="BQ9">
        <f>IF($BP9&lt;N_Ed-1E-9*MAX(1,N_Ed),(BM9+BN9)/2,BM9)</f>
        <v/>
      </c>
      <c r="BR9">
        <f>IF($BP9&lt;N_Ed-1E-9*MAX(1,N_Ed),BN9,(BM9+BN9)/2)</f>
        <v/>
      </c>
      <c r="BS9">
        <f>h_col*((BQ9+BR9)/2)/(1-(BQ9+BR9)/2)</f>
        <v/>
      </c>
      <c r="BT9">
        <f>(f_cd*b_col*((3*MIN(BS9,h_col)/7)+(4*MIN(BS9,h_col)/7)*(1-((4*MIN(BS9,h_col)/7)/(BS9-(3*MIN(BS9,h_col)/7)))^2/3))+$D9/2*((MAX(-f_yd,MIN(f_yd,200000*IF(BS9&lt;=h_col,0.0035*(BS9-d_2)/BS9,0.002*(BS9-d_2)/(BS9-3*h_col/7))))-f_cd*(1-(1-MAX(0,MIN(1,IF(BS9&lt;=h_col,0.0035*(BS9-d_2)/BS9,0.002*(BS9-d_2)/(BS9-3*h_col/7))/0.002)))^2))+(MAX(-f_yd,MIN(f_yd,200000*IF(BS9&lt;=h_col,0.0035*(BS9-(h_col-d_2))/BS9,0.002*(BS9-(h_col-d_2))/(BS9-3*h_col/7))))-f_cd*(1-(1-MAX(0,MIN(1,IF(BS9&lt;=h_col,0.0035*(BS9-(h_col-d_2))/BS9,0.002*(BS9-(h_col-d_2))/(BS9-3*h_col/7))/0.002)))^2))))/1000</f>
        <v/>
      </c>
      <c r="BU9">
        <f>IF($BT9&lt;N_Ed-1E-9*MAX(1,N_Ed),(BQ9+BR9)/2,BQ9)</f>
        <v/>
      </c>
      <c r="BV9">
        <f>IF($BT9&lt;N_Ed-1E-9*MAX(1,N_Ed),BR9,(BQ9+BR9)/2)</f>
        <v/>
      </c>
      <c r="BW9">
        <f>h_col*((BU9+BV9)/2)/(1-(BU9+BV9)/2)</f>
        <v/>
      </c>
      <c r="BX9">
        <f>(f_cd*b_col*((3*MIN(BW9,h_col)/7)+(4*MIN(BW9,h_col)/7)*(1-((4*MIN(BW9,h_col)/7)/(BW9-(3*MIN(BW9,h_col)/7)))^2/3))+$D9/2*((MAX(-f_yd,MIN(f_yd,200000*IF(BW9&lt;=h_col,0.0035*(BW9-d_2)/BW9,0.002*(BW9-d_2)/(BW9-3*h_col/7))))-f_cd*(1-(1-MAX(0,MIN(1,IF(BW9&lt;=h_col,0.0035*(BW9-d_2)/BW9,0.002*(BW9-d_2)/(BW9-3*h_col/7))/0.002)))^2))+(MAX(-f_yd,MIN(f_yd,200000*IF(BW9&lt;=h_col,0.0035*(BW9-(h_col-d_2))/BW9,0.002*(BW9-(h_col-d_2))/(BW9-3*h_col/7))))-f_cd*(1-(1-MAX(0,MIN(1,IF(BW9&lt;=h_col,0.0035*(BW9-(h_col-d_2))/BW9,0.002*(BW9-(h_col-d_2))/(BW9-3*h_col/7))/0.002)))^2))))/1000</f>
        <v/>
      </c>
      <c r="BY9">
        <f>IF($BX9&lt;N_Ed-1E-9*MAX(1,N_Ed),(BU9+BV9)/2,BU9)</f>
        <v/>
      </c>
      <c r="BZ9">
        <f>IF($BX9&lt;N_Ed-1E-9*MAX(1,N_Ed),BV9,(BU9+BV9)/2)</f>
        <v/>
      </c>
      <c r="CA9">
        <f>h_col*((BY9+BZ9)/2)/(1-(BY9+BZ9)/2)</f>
        <v/>
      </c>
      <c r="CB9">
        <f>(f_cd*b_col*((3*MIN(CA9,h_col)/7)+(4*MIN(CA9,h_col)/7)*(1-((4*MIN(CA9,h_col)/7)/(CA9-(3*MIN(CA9,h_col)/7)))^2/3))+$D9/2*((MAX(-f_yd,MIN(f_yd,200000*IF(CA9&lt;=h_col,0.0035*(CA9-d_2)/CA9,0.002*(CA9-d_2)/(CA9-3*h_col/7))))-f_cd*(1-(1-MAX(0,MIN(1,IF(CA9&lt;=h_col,0.0035*(CA9-d_2)/CA9,0.002*(CA9-d_2)/(CA9-3*h_col/7))/0.002)))^2))+(MAX(-f_yd,MIN(f_yd,200000*IF(CA9&lt;=h_col,0.0035*(CA9-(h_col-d_2))/CA9,0.002*(CA9-(h_col-d_2))/(CA9-3*h_col/7))))-f_cd*(1-(1-MAX(0,MIN(1,IF(CA9&lt;=h_col,0.0035*(CA9-(h_col-d_2))/CA9,0.002*(CA9-(h_col-d_2))/(CA9-3*h_col/7))/0.002)))^2))))/1000</f>
        <v/>
      </c>
      <c r="CC9">
        <f>IF($CB9&lt;N_Ed-1E-9*MAX(1,N_Ed),(BY9+BZ9)/2,BY9)</f>
        <v/>
      </c>
      <c r="CD9">
        <f>IF($CB9&lt;N_Ed-1E-9*MAX(1,N_Ed),BZ9,(BY9+BZ9)/2)</f>
        <v/>
      </c>
      <c r="CE9">
        <f>h_col*((CC9+CD9)/2)/(1-(CC9+CD9)/2)</f>
        <v/>
      </c>
      <c r="CF9">
        <f>(f_cd*b_col*((3*MIN(CE9,h_col)/7)+(4*MIN(CE9,h_col)/7)*(1-((4*MIN(CE9,h_col)/7)/(CE9-(3*MIN(CE9,h_col)/7)))^2/3))+$D9/2*((MAX(-f_yd,MIN(f_yd,200000*IF(CE9&lt;=h_col,0.0035*(CE9-d_2)/CE9,0.002*(CE9-d_2)/(CE9-3*h_col/7))))-f_cd*(1-(1-MAX(0,MIN(1,IF(CE9&lt;=h_col,0.0035*(CE9-d_2)/CE9,0.002*(CE9-d_2)/(CE9-3*h_col/7))/0.002)))^2))+(MAX(-f_yd,MIN(f_yd,200000*IF(CE9&lt;=h_col,0.0035*(CE9-(h_col-d_2))/CE9,0.002*(CE9-(h_col-d_2))/(CE9-3*h_col/7))))-f_cd*(1-(1-MAX(0,MIN(1,IF(CE9&lt;=h_col,0.0035*(CE9-(h_col-d_2))/CE9,0.002*(CE9-(h_col-d_2))/(CE9-3*h_col/7))/0.002)))^2))))/1000</f>
        <v/>
      </c>
      <c r="CG9">
        <f>IF($CF9&lt;N_Ed-1E-9*MAX(1,N_Ed),(CC9+CD9)/2,CC9)</f>
        <v/>
      </c>
      <c r="CH9">
        <f>IF($CF9&lt;N_Ed-1E-9*MAX(1,N_Ed),CD9,(CC9+CD9)/2)</f>
        <v/>
      </c>
      <c r="CI9">
        <f>h_col*((CG9+CH9)/2)/(1-(CG9+CH9)/2)</f>
        <v/>
      </c>
      <c r="CJ9">
        <f>(f_cd*b_col*((3*MIN(CI9,h_col)/7)+(4*MIN(CI9,h_col)/7)*(1-((4*MIN(CI9,h_col)/7)/(CI9-(3*MIN(CI9,h_col)/7)))^2/3))+$D9/2*((MAX(-f_yd,MIN(f_yd,200000*IF(CI9&lt;=h_col,0.0035*(CI9-d_2)/CI9,0.002*(CI9-d_2)/(CI9-3*h_col/7))))-f_cd*(1-(1-MAX(0,MIN(1,IF(CI9&lt;=h_col,0.0035*(CI9-d_2)/CI9,0.002*(CI9-d_2)/(CI9-3*h_col/7))/0.002)))^2))+(MAX(-f_yd,MIN(f_yd,200000*IF(CI9&lt;=h_col,0.0035*(CI9-(h_col-d_2))/CI9,0.002*(CI9-(h_col-d_2))/(CI9-3*h_col/7))))-f_cd*(1-(1-MAX(0,MIN(1,IF(CI9&lt;=h_col,0.0035*(CI9-(h_col-d_2))/CI9,0.002*(CI9-(h_col-d_2))/(CI9-3*h_col/7))/0.002)))^2))))/1000</f>
        <v/>
      </c>
      <c r="CK9">
        <f>IF($CJ9&lt;N_Ed-1E-9*MAX(1,N_Ed),(CG9+CH9)/2,CG9)</f>
        <v/>
      </c>
      <c r="CL9">
        <f>IF($CJ9&lt;N_Ed-1E-9*MAX(1,N_Ed),CH9,(CG9+CH9)/2)</f>
        <v/>
      </c>
      <c r="CM9">
        <f>h_col*((CK9+CL9)/2)/(1-(CK9+CL9)/2)</f>
        <v/>
      </c>
      <c r="CN9">
        <f>(f_cd*b_col*((3*MIN(CM9,h_col)/7)+(4*MIN(CM9,h_col)/7)*(1-((4*MIN(CM9,h_col)/7)/(CM9-(3*MIN(CM9,h_col)/7)))^2/3))+$D9/2*((MAX(-f_yd,MIN(f_yd,200000*IF(CM9&lt;=h_col,0.0035*(CM9-d_2)/CM9,0.002*(CM9-d_2)/(CM9-3*h_col/7))))-f_cd*(1-(1-MAX(0,MIN(1,IF(CM9&lt;=h_col,0.0035*(CM9-d_2)/CM9,0.002*(CM9-d_2)/(CM9-3*h_col/7))/0.002)))^2))+(MAX(-f_yd,MIN(f_yd,200000*IF(CM9&lt;=h_col,0.0035*(CM9-(h_col-d_2))/CM9,0.002*(CM9-(h_col-d_2))/(CM9-3*h_col/7))))-f_cd*(1-(1-MAX(0,MIN(1,IF(CM9&lt;=h_col,0.0035*(CM9-(h_col-d_2))/CM9,0.002*(CM9-(h_col-d_2))/(CM9-3*h_col/7))/0.002)))^2))))/1000</f>
        <v/>
      </c>
      <c r="CO9">
        <f>IF($CN9&lt;N_Ed-1E-9*MAX(1,N_Ed),(CK9+CL9)/2,CK9)</f>
        <v/>
      </c>
      <c r="CP9">
        <f>IF($CN9&lt;N_Ed-1E-9*MAX(1,N_Ed),CL9,(CK9+CL9)/2)</f>
        <v/>
      </c>
      <c r="CQ9">
        <f>h_col*((CO9+CP9)/2)/(1-(CO9+CP9)/2)</f>
        <v/>
      </c>
      <c r="CR9">
        <f>(f_cd*b_col*((3*MIN(CQ9,h_col)/7)+(4*MIN(CQ9,h_col)/7)*(1-((4*MIN(CQ9,h_col)/7)/(CQ9-(3*MIN(CQ9,h_col)/7)))^2/3))+$D9/2*((MAX(-f_yd,MIN(f_yd,200000*IF(CQ9&lt;=h_col,0.0035*(CQ9-d_2)/CQ9,0.002*(CQ9-d_2)/(CQ9-3*h_col/7))))-f_cd*(1-(1-MAX(0,MIN(1,IF(CQ9&lt;=h_col,0.0035*(CQ9-d_2)/CQ9,0.002*(CQ9-d_2)/(CQ9-3*h_col/7))/0.002)))^2))+(MAX(-f_yd,MIN(f_yd,200000*IF(CQ9&lt;=h_col,0.0035*(CQ9-(h_col-d_2))/CQ9,0.002*(CQ9-(h_col-d_2))/(CQ9-3*h_col/7))))-f_cd*(1-(1-MAX(0,MIN(1,IF(CQ9&lt;=h_col,0.0035*(CQ9-(h_col-d_2))/CQ9,0.002*(CQ9-(h_col-d_2))/(CQ9-3*h_col/7))/0.002)))^2))))/1000</f>
        <v/>
      </c>
      <c r="CS9">
        <f>IF($CR9&lt;N_Ed-1E-9*MAX(1,N_Ed),(CO9+CP9)/2,CO9)</f>
        <v/>
      </c>
      <c r="CT9">
        <f>IF($CR9&lt;N_Ed-1E-9*MAX(1,N_Ed),CP9,(CO9+CP9)/2)</f>
        <v/>
      </c>
      <c r="CU9">
        <f>h_col*((CS9+CT9)/2)/(1-(CS9+CT9)/2)</f>
        <v/>
      </c>
      <c r="CV9">
        <f>(f_cd*b_col*((3*MIN(CU9,h_col)/7)+(4*MIN(CU9,h_col)/7)*(1-((4*MIN(CU9,h_col)/7)/(CU9-(3*MIN(CU9,h_col)/7)))^2/3))+$D9/2*((MAX(-f_yd,MIN(f_yd,200000*IF(CU9&lt;=h_col,0.0035*(CU9-d_2)/CU9,0.002*(CU9-d_2)/(CU9-3*h_col/7))))-f_cd*(1-(1-MAX(0,MIN(1,IF(CU9&lt;=h_col,0.0035*(CU9-d_2)/CU9,0.002*(CU9-d_2)/(CU9-3*h_col/7))/0.002)))^2))+(MAX(-f_yd,MIN(f_yd,200000*IF(CU9&lt;=h_col,0.0035*(CU9-(h_col-d_2))/CU9,0.002*(CU9-(h_col-d_2))/(CU9-3*h_col/7))))-f_cd*(1-(1-MAX(0,MIN(1,IF(CU9&lt;=h_col,0.0035*(CU9-(h_col-d_2))/CU9,0.002*(CU9-(h_col-d_2))/(CU9-3*h_col/7))/0.002)))^2))))/1000</f>
        <v/>
      </c>
      <c r="CW9">
        <f>IF($CV9&lt;N_Ed-1E-9*MAX(1,N_Ed),(CS9+CT9)/2,CS9)</f>
        <v/>
      </c>
      <c r="CX9">
        <f>IF($CV9&lt;N_Ed-1E-9*MAX(1,N_Ed),CT9,(CS9+CT9)/2)</f>
        <v/>
      </c>
      <c r="CY9">
        <f>h_col*((CW9+CX9)/2)/(1-(CW9+CX9)/2)</f>
        <v/>
      </c>
      <c r="CZ9">
        <f>(f_cd*b_col*((3*MIN(CY9,h_col)/7)+(4*MIN(CY9,h_col)/7)*(1-((4*MIN(CY9,h_col)/7)/(CY9-(3*MIN(CY9,h_col)/7)))^2/3))+$D9/2*((MAX(-f_yd,MIN(f_yd,200000*IF(CY9&lt;=h_col,0.0035*(CY9-d_2)/CY9,0.002*(CY9-d_2)/(CY9-3*h_col/7))))-f_cd*(1-(1-MAX(0,MIN(1,IF(CY9&lt;=h_col,0.0035*(CY9-d_2)/CY9,0.002*(CY9-d_2)/(CY9-3*h_col/7))/0.002)))^2))+(MAX(-f_yd,MIN(f_yd,200000*IF(CY9&lt;=h_col,0.0035*(CY9-(h_col-d_2))/CY9,0.002*(CY9-(h_col-d_2))/(CY9-3*h_col/7))))-f_cd*(1-(1-MAX(0,MIN(1,IF(CY9&lt;=h_col,0.0035*(CY9-(h_col-d_2))/CY9,0.002*(CY9-(h_col-d_2))/(CY9-3*h_col/7))/0.002)))^2))))/1000</f>
        <v/>
      </c>
      <c r="DA9">
        <f>IF($CZ9&lt;N_Ed-1E-9*MAX(1,N_Ed),(CW9+CX9)/2,CW9)</f>
        <v/>
      </c>
      <c r="DB9">
        <f>IF($CZ9&lt;N_Ed-1E-9*MAX(1,N_Ed),CX9,(CW9+CX9)/2)</f>
        <v/>
      </c>
      <c r="DC9">
        <f>h_col*((DA9+DB9)/2)/(1-(DA9+DB9)/2)</f>
        <v/>
      </c>
      <c r="DD9">
        <f>(f_cd*b_col*((3*MIN(DC9,h_col)/7)+(4*MIN(DC9,h_col)/7)*(1-((4*MIN(DC9,h_col)/7)/(DC9-(3*MIN(DC9,h_col)/7)))^2/3))+$D9/2*((MAX(-f_yd,MIN(f_yd,200000*IF(DC9&lt;=h_col,0.0035*(DC9-d_2)/DC9,0.002*(DC9-d_2)/(DC9-3*h_col/7))))-f_cd*(1-(1-MAX(0,MIN(1,IF(DC9&lt;=h_col,0.0035*(DC9-d_2)/DC9,0.002*(DC9-d_2)/(DC9-3*h_col/7))/0.002)))^2))+(MAX(-f_yd,MIN(f_yd,200000*IF(DC9&lt;=h_col,0.0035*(DC9-(h_col-d_2))/DC9,0.002*(DC9-(h_col-d_2))/(DC9-3*h_col/7))))-f_cd*(1-(1-MAX(0,MIN(1,IF(DC9&lt;=h_col,0.0035*(DC9-(h_col-d_2))/DC9,0.002*(DC9-(h_col-d_2))/(DC9-3*h_col/7))/0.002)))^2))))/1000</f>
        <v/>
      </c>
      <c r="DE9">
        <f>IF($DD9&lt;N_Ed-1E-9*MAX(1,N_Ed),(DA9+DB9)/2,DA9)</f>
        <v/>
      </c>
      <c r="DF9">
        <f>IF($DD9&lt;N_Ed-1E-9*MAX(1,N_Ed),DB9,(DA9+DB9)/2)</f>
        <v/>
      </c>
      <c r="DG9">
        <f>h_col*((DE9+DF9)/2)/(1-(DE9+DF9)/2)</f>
        <v/>
      </c>
      <c r="DH9">
        <f>(f_cd*b_col*((3*MIN(DG9,h_col)/7)+(4*MIN(DG9,h_col)/7)*(1-((4*MIN(DG9,h_col)/7)/(DG9-(3*MIN(DG9,h_col)/7)))^2/3))+$D9/2*((MAX(-f_yd,MIN(f_yd,200000*IF(DG9&lt;=h_col,0.0035*(DG9-d_2)/DG9,0.002*(DG9-d_2)/(DG9-3*h_col/7))))-f_cd*(1-(1-MAX(0,MIN(1,IF(DG9&lt;=h_col,0.0035*(DG9-d_2)/DG9,0.002*(DG9-d_2)/(DG9-3*h_col/7))/0.002)))^2))+(MAX(-f_yd,MIN(f_yd,200000*IF(DG9&lt;=h_col,0.0035*(DG9-(h_col-d_2))/DG9,0.002*(DG9-(h_col-d_2))/(DG9-3*h_col/7))))-f_cd*(1-(1-MAX(0,MIN(1,IF(DG9&lt;=h_col,0.0035*(DG9-(h_col-d_2))/DG9,0.002*(DG9-(h_col-d_2))/(DG9-3*h_col/7))/0.002)))^2))))/1000</f>
        <v/>
      </c>
      <c r="DI9">
        <f>IF($DH9&lt;N_Ed-1E-9*MAX(1,N_Ed),(DE9+DF9)/2,DE9)</f>
        <v/>
      </c>
      <c r="DJ9">
        <f>IF($DH9&lt;N_Ed-1E-9*MAX(1,N_Ed),DF9,(DE9+DF9)/2)</f>
        <v/>
      </c>
      <c r="DK9">
        <f>h_col*((DI9+DJ9)/2)/(1-(DI9+DJ9)/2)</f>
        <v/>
      </c>
      <c r="DL9">
        <f>(f_cd*b_col*((3*MIN(DK9,h_col)/7)+(4*MIN(DK9,h_col)/7)*(1-((4*MIN(DK9,h_col)/7)/(DK9-(3*MIN(DK9,h_col)/7)))^2/3))+$D9/2*((MAX(-f_yd,MIN(f_yd,200000*IF(DK9&lt;=h_col,0.0035*(DK9-d_2)/DK9,0.002*(DK9-d_2)/(DK9-3*h_col/7))))-f_cd*(1-(1-MAX(0,MIN(1,IF(DK9&lt;=h_col,0.0035*(DK9-d_2)/DK9,0.002*(DK9-d_2)/(DK9-3*h_col/7))/0.002)))^2))+(MAX(-f_yd,MIN(f_yd,200000*IF(DK9&lt;=h_col,0.0035*(DK9-(h_col-d_2))/DK9,0.002*(DK9-(h_col-d_2))/(DK9-3*h_col/7))))-f_cd*(1-(1-MAX(0,MIN(1,IF(DK9&lt;=h_col,0.0035*(DK9-(h_col-d_2))/DK9,0.002*(DK9-(h_col-d_2))/(DK9-3*h_col/7))/0.002)))^2))))/1000</f>
        <v/>
      </c>
      <c r="DM9">
        <f>IF($DL9&lt;N_Ed-1E-9*MAX(1,N_Ed),(DI9+DJ9)/2,DI9)</f>
        <v/>
      </c>
      <c r="DN9">
        <f>IF($DL9&lt;N_Ed-1E-9*MAX(1,N_Ed),DJ9,(DI9+DJ9)/2)</f>
        <v/>
      </c>
      <c r="DO9">
        <f>h_col*((DM9+DN9)/2)/(1-(DM9+DN9)/2)</f>
        <v/>
      </c>
      <c r="DP9">
        <f>(f_cd*b_col*((3*MIN(DO9,h_col)/7)+(4*MIN(DO9,h_col)/7)*(1-((4*MIN(DO9,h_col)/7)/(DO9-(3*MIN(DO9,h_col)/7)))^2/3))+$D9/2*((MAX(-f_yd,MIN(f_yd,200000*IF(DO9&lt;=h_col,0.0035*(DO9-d_2)/DO9,0.002*(DO9-d_2)/(DO9-3*h_col/7))))-f_cd*(1-(1-MAX(0,MIN(1,IF(DO9&lt;=h_col,0.0035*(DO9-d_2)/DO9,0.002*(DO9-d_2)/(DO9-3*h_col/7))/0.002)))^2))+(MAX(-f_yd,MIN(f_yd,200000*IF(DO9&lt;=h_col,0.0035*(DO9-(h_col-d_2))/DO9,0.002*(DO9-(h_col-d_2))/(DO9-3*h_col/7))))-f_cd*(1-(1-MAX(0,MIN(1,IF(DO9&lt;=h_col,0.0035*(DO9-(h_col-d_2))/DO9,0.002*(DO9-(h_col-d_2))/(DO9-3*h_col/7))/0.002)))^2))))/1000</f>
        <v/>
      </c>
      <c r="DQ9">
        <f>IF($DP9&lt;N_Ed-1E-9*MAX(1,N_Ed),(DM9+DN9)/2,DM9)</f>
        <v/>
      </c>
      <c r="DR9">
        <f>IF($DP9&lt;N_Ed-1E-9*MAX(1,N_Ed),DN9,(DM9+DN9)/2)</f>
        <v/>
      </c>
      <c r="DS9">
        <f>h_col*((DQ9+DR9)/2)/(1-(DQ9+DR9)/2)</f>
        <v/>
      </c>
      <c r="DT9">
        <f>(f_cd*b_col*((3*MIN(DS9,h_col)/7)+(4*MIN(DS9,h_col)/7)*(1-((4*MIN(DS9,h_col)/7)/(DS9-(3*MIN(DS9,h_col)/7)))^2/3))+$D9/2*((MAX(-f_yd,MIN(f_yd,200000*IF(DS9&lt;=h_col,0.0035*(DS9-d_2)/DS9,0.002*(DS9-d_2)/(DS9-3*h_col/7))))-f_cd*(1-(1-MAX(0,MIN(1,IF(DS9&lt;=h_col,0.0035*(DS9-d_2)/DS9,0.002*(DS9-d_2)/(DS9-3*h_col/7))/0.002)))^2))+(MAX(-f_yd,MIN(f_yd,200000*IF(DS9&lt;=h_col,0.0035*(DS9-(h_col-d_2))/DS9,0.002*(DS9-(h_col-d_2))/(DS9-3*h_col/7))))-f_cd*(1-(1-MAX(0,MIN(1,IF(DS9&lt;=h_col,0.0035*(DS9-(h_col-d_2))/DS9,0.002*(DS9-(h_col-d_2))/(DS9-3*h_col/7))/0.002)))^2))))/1000</f>
        <v/>
      </c>
      <c r="DU9">
        <f>IF($DT9&lt;N_Ed-1E-9*MAX(1,N_Ed),(DQ9+DR9)/2,DQ9)</f>
        <v/>
      </c>
      <c r="DV9">
        <f>IF($DT9&lt;N_Ed-1E-9*MAX(1,N_Ed),DR9,(DQ9+DR9)/2)</f>
        <v/>
      </c>
      <c r="DW9">
        <f>h_col*((DU9+DV9)/2)/(1-(DU9+DV9)/2)</f>
        <v/>
      </c>
      <c r="DX9">
        <f>(f_cd*b_col*((3*MIN(DW9,h_col)/7)+(4*MIN(DW9,h_col)/7)*(1-((4*MIN(DW9,h_col)/7)/(DW9-(3*MIN(DW9,h_col)/7)))^2/3))+$D9/2*((MAX(-f_yd,MIN(f_yd,200000*IF(DW9&lt;=h_col,0.0035*(DW9-d_2)/DW9,0.002*(DW9-d_2)/(DW9-3*h_col/7))))-f_cd*(1-(1-MAX(0,MIN(1,IF(DW9&lt;=h_col,0.0035*(DW9-d_2)/DW9,0.002*(DW9-d_2)/(DW9-3*h_col/7))/0.002)))^2))+(MAX(-f_yd,MIN(f_yd,200000*IF(DW9&lt;=h_col,0.0035*(DW9-(h_col-d_2))/DW9,0.002*(DW9-(h_col-d_2))/(DW9-3*h_col/7))))-f_cd*(1-(1-MAX(0,MIN(1,IF(DW9&lt;=h_col,0.0035*(DW9-(h_col-d_2))/DW9,0.002*(DW9-(h_col-d_2))/(DW9-3*h_col/7))/0.002)))^2))))/1000</f>
        <v/>
      </c>
      <c r="DY9">
        <f>IF($DX9&lt;N_Ed-1E-9*MAX(1,N_Ed),(DU9+DV9)/2,DU9)</f>
        <v/>
      </c>
      <c r="DZ9">
        <f>IF($DX9&lt;N_Ed-1E-9*MAX(1,N_Ed),DV9,(DU9+DV9)/2)</f>
        <v/>
      </c>
      <c r="EA9">
        <f>h_col*((DY9+DZ9)/2)/(1-(DY9+DZ9)/2)</f>
        <v/>
      </c>
      <c r="EB9">
        <f>(f_cd*b_col*((3*MIN(EA9,h_col)/7)+(4*MIN(EA9,h_col)/7)*(1-((4*MIN(EA9,h_col)/7)/(EA9-(3*MIN(EA9,h_col)/7)))^2/3))+$D9/2*((MAX(-f_yd,MIN(f_yd,200000*IF(EA9&lt;=h_col,0.0035*(EA9-d_2)/EA9,0.002*(EA9-d_2)/(EA9-3*h_col/7))))-f_cd*(1-(1-MAX(0,MIN(1,IF(EA9&lt;=h_col,0.0035*(EA9-d_2)/EA9,0.002*(EA9-d_2)/(EA9-3*h_col/7))/0.002)))^2))+(MAX(-f_yd,MIN(f_yd,200000*IF(EA9&lt;=h_col,0.0035*(EA9-(h_col-d_2))/EA9,0.002*(EA9-(h_col-d_2))/(EA9-3*h_col/7))))-f_cd*(1-(1-MAX(0,MIN(1,IF(EA9&lt;=h_col,0.0035*(EA9-(h_col-d_2))/EA9,0.002*(EA9-(h_col-d_2))/(EA9-3*h_col/7))/0.002)))^2))))/1000</f>
        <v/>
      </c>
      <c r="EC9">
        <f>IF($EB9&lt;N_Ed-1E-9*MAX(1,N_Ed),(DY9+DZ9)/2,DY9)</f>
        <v/>
      </c>
      <c r="ED9">
        <f>IF($EB9&lt;N_Ed-1E-9*MAX(1,N_Ed),DZ9,(DY9+DZ9)/2)</f>
        <v/>
      </c>
      <c r="EE9">
        <f>h_col*((EC9+ED9)/2)/(1-(EC9+ED9)/2)</f>
        <v/>
      </c>
      <c r="EF9">
        <f>(f_cd*b_col*((3*MIN(EE9,h_col)/7)+(4*MIN(EE9,h_col)/7)*(1-((4*MIN(EE9,h_col)/7)/(EE9-(3*MIN(EE9,h_col)/7)))^2/3))+$D9/2*((MAX(-f_yd,MIN(f_yd,200000*IF(EE9&lt;=h_col,0.0035*(EE9-d_2)/EE9,0.002*(EE9-d_2)/(EE9-3*h_col/7))))-f_cd*(1-(1-MAX(0,MIN(1,IF(EE9&lt;=h_col,0.0035*(EE9-d_2)/EE9,0.002*(EE9-d_2)/(EE9-3*h_col/7))/0.002)))^2))+(MAX(-f_yd,MIN(f_yd,200000*IF(EE9&lt;=h_col,0.0035*(EE9-(h_col-d_2))/EE9,0.002*(EE9-(h_col-d_2))/(EE9-3*h_col/7))))-f_cd*(1-(1-MAX(0,MIN(1,IF(EE9&lt;=h_col,0.0035*(EE9-(h_col-d_2))/EE9,0.002*(EE9-(h_col-d_2))/(EE9-3*h_col/7))/0.002)))^2))))/1000</f>
        <v/>
      </c>
      <c r="EG9">
        <f>IF($EF9&lt;N_Ed-1E-9*MAX(1,N_Ed),(EC9+ED9)/2,EC9)</f>
        <v/>
      </c>
      <c r="EH9">
        <f>IF($EF9&lt;N_Ed-1E-9*MAX(1,N_Ed),ED9,(EC9+ED9)/2)</f>
        <v/>
      </c>
      <c r="EI9">
        <f>h_col*((EG9+EH9)/2)/(1-(EG9+EH9)/2)</f>
        <v/>
      </c>
      <c r="EJ9">
        <f>(f_cd*b_col*((3*MIN(EI9,h_col)/7)+(4*MIN(EI9,h_col)/7)*(1-((4*MIN(EI9,h_col)/7)/(EI9-(3*MIN(EI9,h_col)/7)))^2/3))+$D9/2*((MAX(-f_yd,MIN(f_yd,200000*IF(EI9&lt;=h_col,0.0035*(EI9-d_2)/EI9,0.002*(EI9-d_2)/(EI9-3*h_col/7))))-f_cd*(1-(1-MAX(0,MIN(1,IF(EI9&lt;=h_col,0.0035*(EI9-d_2)/EI9,0.002*(EI9-d_2)/(EI9-3*h_col/7))/0.002)))^2))+(MAX(-f_yd,MIN(f_yd,200000*IF(EI9&lt;=h_col,0.0035*(EI9-(h_col-d_2))/EI9,0.002*(EI9-(h_col-d_2))/(EI9-3*h_col/7))))-f_cd*(1-(1-MAX(0,MIN(1,IF(EI9&lt;=h_col,0.0035*(EI9-(h_col-d_2))/EI9,0.002*(EI9-(h_col-d_2))/(EI9-3*h_col/7))/0.002)))^2))))/1000</f>
        <v/>
      </c>
      <c r="EK9">
        <f>IF($EJ9&lt;N_Ed-1E-9*MAX(1,N_Ed),(EG9+EH9)/2,EG9)</f>
        <v/>
      </c>
      <c r="EL9">
        <f>IF($EJ9&lt;N_Ed-1E-9*MAX(1,N_Ed),EH9,(EG9+EH9)/2)</f>
        <v/>
      </c>
      <c r="EM9">
        <f>h_col*((EK9+EL9)/2)/(1-(EK9+EL9)/2)</f>
        <v/>
      </c>
      <c r="EN9">
        <f>(f_cd*b_col*((3*MIN(EM9,h_col)/7)+(4*MIN(EM9,h_col)/7)*(1-((4*MIN(EM9,h_col)/7)/(EM9-(3*MIN(EM9,h_col)/7)))^2/3))+$D9/2*((MAX(-f_yd,MIN(f_yd,200000*IF(EM9&lt;=h_col,0.0035*(EM9-d_2)/EM9,0.002*(EM9-d_2)/(EM9-3*h_col/7))))-f_cd*(1-(1-MAX(0,MIN(1,IF(EM9&lt;=h_col,0.0035*(EM9-d_2)/EM9,0.002*(EM9-d_2)/(EM9-3*h_col/7))/0.002)))^2))+(MAX(-f_yd,MIN(f_yd,200000*IF(EM9&lt;=h_col,0.0035*(EM9-(h_col-d_2))/EM9,0.002*(EM9-(h_col-d_2))/(EM9-3*h_col/7))))-f_cd*(1-(1-MAX(0,MIN(1,IF(EM9&lt;=h_col,0.0035*(EM9-(h_col-d_2))/EM9,0.002*(EM9-(h_col-d_2))/(EM9-3*h_col/7))/0.002)))^2))))/1000</f>
        <v/>
      </c>
      <c r="EO9">
        <f>IF($EN9&lt;N_Ed-1E-9*MAX(1,N_Ed),(EK9+EL9)/2,EK9)</f>
        <v/>
      </c>
      <c r="EP9">
        <f>IF($EN9&lt;N_Ed-1E-9*MAX(1,N_Ed),EL9,(EK9+EL9)/2)</f>
        <v/>
      </c>
      <c r="EQ9">
        <f>h_col*((EO9+EP9)/2)/(1-(EO9+EP9)/2)</f>
        <v/>
      </c>
      <c r="ER9">
        <f>(f_cd*b_col*((3*MIN(EQ9,h_col)/7)+(4*MIN(EQ9,h_col)/7)*(1-((4*MIN(EQ9,h_col)/7)/(EQ9-(3*MIN(EQ9,h_col)/7)))^2/3))+$D9/2*((MAX(-f_yd,MIN(f_yd,200000*IF(EQ9&lt;=h_col,0.0035*(EQ9-d_2)/EQ9,0.002*(EQ9-d_2)/(EQ9-3*h_col/7))))-f_cd*(1-(1-MAX(0,MIN(1,IF(EQ9&lt;=h_col,0.0035*(EQ9-d_2)/EQ9,0.002*(EQ9-d_2)/(EQ9-3*h_col/7))/0.002)))^2))+(MAX(-f_yd,MIN(f_yd,200000*IF(EQ9&lt;=h_col,0.0035*(EQ9-(h_col-d_2))/EQ9,0.002*(EQ9-(h_col-d_2))/(EQ9-3*h_col/7))))-f_cd*(1-(1-MAX(0,MIN(1,IF(EQ9&lt;=h_col,0.0035*(EQ9-(h_col-d_2))/EQ9,0.002*(EQ9-(h_col-d_2))/(EQ9-3*h_col/7))/0.002)))^2))))/1000</f>
        <v/>
      </c>
      <c r="ES9">
        <f>IF($ER9&lt;N_Ed-1E-9*MAX(1,N_Ed),(EO9+EP9)/2,EO9)</f>
        <v/>
      </c>
      <c r="ET9">
        <f>IF($ER9&lt;N_Ed-1E-9*MAX(1,N_Ed),EP9,(EO9+EP9)/2)</f>
        <v/>
      </c>
      <c r="EU9">
        <f>h_col*((ES9+ET9)/2)/(1-(ES9+ET9)/2)</f>
        <v/>
      </c>
      <c r="EV9">
        <f>(f_cd*b_col*((3*MIN(EU9,h_col)/7)+(4*MIN(EU9,h_col)/7)*(1-((4*MIN(EU9,h_col)/7)/(EU9-(3*MIN(EU9,h_col)/7)))^2/3))+$D9/2*((MAX(-f_yd,MIN(f_yd,200000*IF(EU9&lt;=h_col,0.0035*(EU9-d_2)/EU9,0.002*(EU9-d_2)/(EU9-3*h_col/7))))-f_cd*(1-(1-MAX(0,MIN(1,IF(EU9&lt;=h_col,0.0035*(EU9-d_2)/EU9,0.002*(EU9-d_2)/(EU9-3*h_col/7))/0.002)))^2))+(MAX(-f_yd,MIN(f_yd,200000*IF(EU9&lt;=h_col,0.0035*(EU9-(h_col-d_2))/EU9,0.002*(EU9-(h_col-d_2))/(EU9-3*h_col/7))))-f_cd*(1-(1-MAX(0,MIN(1,IF(EU9&lt;=h_col,0.0035*(EU9-(h_col-d_2))/EU9,0.002*(EU9-(h_col-d_2))/(EU9-3*h_col/7))/0.002)))^2))))/1000</f>
        <v/>
      </c>
      <c r="EW9">
        <f>IF($EV9&lt;N_Ed-1E-9*MAX(1,N_Ed),(ES9+ET9)/2,ES9)</f>
        <v/>
      </c>
      <c r="EX9">
        <f>IF($EV9&lt;N_Ed-1E-9*MAX(1,N_Ed),ET9,(ES9+ET9)/2)</f>
        <v/>
      </c>
      <c r="EY9">
        <f>h_col*((EW9+EX9)/2)/(1-(EW9+EX9)/2)</f>
        <v/>
      </c>
      <c r="EZ9">
        <f>(f_cd*b_col*((3*MIN(EY9,h_col)/7)+(4*MIN(EY9,h_col)/7)*(1-((4*MIN(EY9,h_col)/7)/(EY9-(3*MIN(EY9,h_col)/7)))^2/3))+$D9/2*((MAX(-f_yd,MIN(f_yd,200000*IF(EY9&lt;=h_col,0.0035*(EY9-d_2)/EY9,0.002*(EY9-d_2)/(EY9-3*h_col/7))))-f_cd*(1-(1-MAX(0,MIN(1,IF(EY9&lt;=h_col,0.0035*(EY9-d_2)/EY9,0.002*(EY9-d_2)/(EY9-3*h_col/7))/0.002)))^2))+(MAX(-f_yd,MIN(f_yd,200000*IF(EY9&lt;=h_col,0.0035*(EY9-(h_col-d_2))/EY9,0.002*(EY9-(h_col-d_2))/(EY9-3*h_col/7))))-f_cd*(1-(1-MAX(0,MIN(1,IF(EY9&lt;=h_col,0.0035*(EY9-(h_col-d_2))/EY9,0.002*(EY9-(h_col-d_2))/(EY9-3*h_col/7))/0.002)))^2))))/1000</f>
        <v/>
      </c>
      <c r="FA9">
        <f>IF($EZ9&lt;N_Ed-1E-9*MAX(1,N_Ed),(EW9+EX9)/2,EW9)</f>
        <v/>
      </c>
      <c r="FB9">
        <f>IF($EZ9&lt;N_Ed-1E-9*MAX(1,N_Ed),EX9,(EW9+EX9)/2)</f>
        <v/>
      </c>
      <c r="FC9">
        <f>h_col*((FA9+FB9)/2)/(1-(FA9+FB9)/2)</f>
        <v/>
      </c>
      <c r="FD9">
        <f>(f_cd*b_col*((3*MIN(FC9,h_col)/7)+(4*MIN(FC9,h_col)/7)*(1-((4*MIN(FC9,h_col)/7)/(FC9-(3*MIN(FC9,h_col)/7)))^2/3))+$D9/2*((MAX(-f_yd,MIN(f_yd,200000*IF(FC9&lt;=h_col,0.0035*(FC9-d_2)/FC9,0.002*(FC9-d_2)/(FC9-3*h_col/7))))-f_cd*(1-(1-MAX(0,MIN(1,IF(FC9&lt;=h_col,0.0035*(FC9-d_2)/FC9,0.002*(FC9-d_2)/(FC9-3*h_col/7))/0.002)))^2))+(MAX(-f_yd,MIN(f_yd,200000*IF(FC9&lt;=h_col,0.0035*(FC9-(h_col-d_2))/FC9,0.002*(FC9-(h_col-d_2))/(FC9-3*h_col/7))))-f_cd*(1-(1-MAX(0,MIN(1,IF(FC9&lt;=h_col,0.0035*(FC9-(h_col-d_2))/FC9,0.002*(FC9-(h_col-d_2))/(FC9-3*h_col/7))/0.002)))^2))))/1000</f>
        <v/>
      </c>
      <c r="FE9">
        <f>IF($FD9&lt;N_Ed-1E-9*MAX(1,N_Ed),(FA9+FB9)/2,FA9)</f>
        <v/>
      </c>
      <c r="FF9">
        <f>IF($FD9&lt;N_Ed-1E-9*MAX(1,N_Ed),FB9,(FA9+FB9)/2)</f>
        <v/>
      </c>
      <c r="FG9">
        <f>h_col*((FE9+FF9)/2)/(1-(FE9+FF9)/2)</f>
        <v/>
      </c>
      <c r="FH9">
        <f>(f_cd*b_col*((3*MIN(FG9,h_col)/7)+(4*MIN(FG9,h_col)/7)*(1-((4*MIN(FG9,h_col)/7)/(FG9-(3*MIN(FG9,h_col)/7)))^2/3))+$D9/2*((MAX(-f_yd,MIN(f_yd,200000*IF(FG9&lt;=h_col,0.0035*(FG9-d_2)/FG9,0.002*(FG9-d_2)/(FG9-3*h_col/7))))-f_cd*(1-(1-MAX(0,MIN(1,IF(FG9&lt;=h_col,0.0035*(FG9-d_2)/FG9,0.002*(FG9-d_2)/(FG9-3*h_col/7))/0.002)))^2))+(MAX(-f_yd,MIN(f_yd,200000*IF(FG9&lt;=h_col,0.0035*(FG9-(h_col-d_2))/FG9,0.002*(FG9-(h_col-d_2))/(FG9-3*h_col/7))))-f_cd*(1-(1-MAX(0,MIN(1,IF(FG9&lt;=h_col,0.0035*(FG9-(h_col-d_2))/FG9,0.002*(FG9-(h_col-d_2))/(FG9-3*h_col/7))/0.002)))^2))))/1000</f>
        <v/>
      </c>
      <c r="FI9">
        <f>IF($FH9&lt;N_Ed-1E-9*MAX(1,N_Ed),(FE9+FF9)/2,FE9)</f>
        <v/>
      </c>
      <c r="FJ9">
        <f>IF($FH9&lt;N_Ed-1E-9*MAX(1,N_Ed),FF9,(FE9+FF9)/2)</f>
        <v/>
      </c>
      <c r="FK9">
        <f>h_col*((FI9+FJ9)/2)/(1-(FI9+FJ9)/2)</f>
        <v/>
      </c>
      <c r="FL9">
        <f>(f_cd*b_col*((3*MIN(FK9,h_col)/7)+(4*MIN(FK9,h_col)/7)*(1-((4*MIN(FK9,h_col)/7)/(FK9-(3*MIN(FK9,h_col)/7)))^2/3))+$D9/2*((MAX(-f_yd,MIN(f_yd,200000*IF(FK9&lt;=h_col,0.0035*(FK9-d_2)/FK9,0.002*(FK9-d_2)/(FK9-3*h_col/7))))-f_cd*(1-(1-MAX(0,MIN(1,IF(FK9&lt;=h_col,0.0035*(FK9-d_2)/FK9,0.002*(FK9-d_2)/(FK9-3*h_col/7))/0.002)))^2))+(MAX(-f_yd,MIN(f_yd,200000*IF(FK9&lt;=h_col,0.0035*(FK9-(h_col-d_2))/FK9,0.002*(FK9-(h_col-d_2))/(FK9-3*h_col/7))))-f_cd*(1-(1-MAX(0,MIN(1,IF(FK9&lt;=h_col,0.0035*(FK9-(h_col-d_2))/FK9,0.002*(FK9-(h_col-d_2))/(FK9-3*h_col/7))/0.002)))^2))))/1000</f>
        <v/>
      </c>
      <c r="FM9">
        <f>IF($FL9&lt;N_Ed-1E-9*MAX(1,N_Ed),(FI9+FJ9)/2,FI9)</f>
        <v/>
      </c>
      <c r="FN9">
        <f>IF($FL9&lt;N_Ed-1E-9*MAX(1,N_Ed),FJ9,(FI9+FJ9)/2)</f>
        <v/>
      </c>
      <c r="FO9">
        <f>h_col*((FM9+FN9)/2)/(1-(FM9+FN9)/2)</f>
        <v/>
      </c>
      <c r="FP9">
        <f>(f_cd*b_col*((3*MIN(FO9,h_col)/7)+(4*MIN(FO9,h_col)/7)*(1-((4*MIN(FO9,h_col)/7)/(FO9-(3*MIN(FO9,h_col)/7)))^2/3))+$D9/2*((MAX(-f_yd,MIN(f_yd,200000*IF(FO9&lt;=h_col,0.0035*(FO9-d_2)/FO9,0.002*(FO9-d_2)/(FO9-3*h_col/7))))-f_cd*(1-(1-MAX(0,MIN(1,IF(FO9&lt;=h_col,0.0035*(FO9-d_2)/FO9,0.002*(FO9-d_2)/(FO9-3*h_col/7))/0.002)))^2))+(MAX(-f_yd,MIN(f_yd,200000*IF(FO9&lt;=h_col,0.0035*(FO9-(h_col-d_2))/FO9,0.002*(FO9-(h_col-d_2))/(FO9-3*h_col/7))))-f_cd*(1-(1-MAX(0,MIN(1,IF(FO9&lt;=h_col,0.0035*(FO9-(h_col-d_2))/FO9,0.002*(FO9-(h_col-d_2))/(FO9-3*h_col/7))/0.002)))^2))))/1000</f>
        <v/>
      </c>
      <c r="FQ9">
        <f>IF($FP9&lt;N_Ed-1E-9*MAX(1,N_Ed),(FM9+FN9)/2,FM9)</f>
        <v/>
      </c>
      <c r="FR9">
        <f>IF($FP9&lt;N_Ed-1E-9*MAX(1,N_Ed),FN9,(FM9+FN9)/2)</f>
        <v/>
      </c>
      <c r="FS9">
        <f>h_col*((FQ9+FR9)/2)/(1-(FQ9+FR9)/2)</f>
        <v/>
      </c>
      <c r="FT9">
        <f>(f_cd*b_col*((3*MIN(FS9,h_col)/7)+(4*MIN(FS9,h_col)/7)*(1-((4*MIN(FS9,h_col)/7)/(FS9-(3*MIN(FS9,h_col)/7)))^2/3))+$D9/2*((MAX(-f_yd,MIN(f_yd,200000*IF(FS9&lt;=h_col,0.0035*(FS9-d_2)/FS9,0.002*(FS9-d_2)/(FS9-3*h_col/7))))-f_cd*(1-(1-MAX(0,MIN(1,IF(FS9&lt;=h_col,0.0035*(FS9-d_2)/FS9,0.002*(FS9-d_2)/(FS9-3*h_col/7))/0.002)))^2))+(MAX(-f_yd,MIN(f_yd,200000*IF(FS9&lt;=h_col,0.0035*(FS9-(h_col-d_2))/FS9,0.002*(FS9-(h_col-d_2))/(FS9-3*h_col/7))))-f_cd*(1-(1-MAX(0,MIN(1,IF(FS9&lt;=h_col,0.0035*(FS9-(h_col-d_2))/FS9,0.002*(FS9-(h_col-d_2))/(FS9-3*h_col/7))/0.002)))^2))))/1000</f>
        <v/>
      </c>
      <c r="FU9">
        <f>IF($FT9&lt;N_Ed-1E-9*MAX(1,N_Ed),(FQ9+FR9)/2,FQ9)</f>
        <v/>
      </c>
      <c r="FV9">
        <f>IF($FT9&lt;N_Ed-1E-9*MAX(1,N_Ed),FR9,(FQ9+FR9)/2)</f>
        <v/>
      </c>
      <c r="FW9">
        <f>h_col*((FU9+FV9)/2)/(1-(FU9+FV9)/2)</f>
        <v/>
      </c>
      <c r="FX9">
        <f>(f_cd*b_col*((3*MIN(FW9,h_col)/7)+(4*MIN(FW9,h_col)/7)*(1-((4*MIN(FW9,h_col)/7)/(FW9-(3*MIN(FW9,h_col)/7)))^2/3))+$D9/2*((MAX(-f_yd,MIN(f_yd,200000*IF(FW9&lt;=h_col,0.0035*(FW9-d_2)/FW9,0.002*(FW9-d_2)/(FW9-3*h_col/7))))-f_cd*(1-(1-MAX(0,MIN(1,IF(FW9&lt;=h_col,0.0035*(FW9-d_2)/FW9,0.002*(FW9-d_2)/(FW9-3*h_col/7))/0.002)))^2))+(MAX(-f_yd,MIN(f_yd,200000*IF(FW9&lt;=h_col,0.0035*(FW9-(h_col-d_2))/FW9,0.002*(FW9-(h_col-d_2))/(FW9-3*h_col/7))))-f_cd*(1-(1-MAX(0,MIN(1,IF(FW9&lt;=h_col,0.0035*(FW9-(h_col-d_2))/FW9,0.002*(FW9-(h_col-d_2))/(FW9-3*h_col/7))/0.002)))^2))))/1000</f>
        <v/>
      </c>
      <c r="FY9">
        <f>IF($FX9&lt;N_Ed-1E-9*MAX(1,N_Ed),(FU9+FV9)/2,FU9)</f>
        <v/>
      </c>
      <c r="FZ9">
        <f>IF($FX9&lt;N_Ed-1E-9*MAX(1,N_Ed),FV9,(FU9+FV9)/2)</f>
        <v/>
      </c>
      <c r="GA9">
        <f>h_col*((FY9+FZ9)/2)/(1-(FY9+FZ9)/2)</f>
        <v/>
      </c>
      <c r="GB9">
        <f>(f_cd*b_col*((3*MIN(GA9,h_col)/7)+(4*MIN(GA9,h_col)/7)*(1-((4*MIN(GA9,h_col)/7)/(GA9-(3*MIN(GA9,h_col)/7)))^2/3))+$D9/2*((MAX(-f_yd,MIN(f_yd,200000*IF(GA9&lt;=h_col,0.0035*(GA9-d_2)/GA9,0.002*(GA9-d_2)/(GA9-3*h_col/7))))-f_cd*(1-(1-MAX(0,MIN(1,IF(GA9&lt;=h_col,0.0035*(GA9-d_2)/GA9,0.002*(GA9-d_2)/(GA9-3*h_col/7))/0.002)))^2))+(MAX(-f_yd,MIN(f_yd,200000*IF(GA9&lt;=h_col,0.0035*(GA9-(h_col-d_2))/GA9,0.002*(GA9-(h_col-d_2))/(GA9-3*h_col/7))))-f_cd*(1-(1-MAX(0,MIN(1,IF(GA9&lt;=h_col,0.0035*(GA9-(h_col-d_2))/GA9,0.002*(GA9-(h_col-d_2))/(GA9-3*h_col/7))/0.002)))^2))))/1000</f>
        <v/>
      </c>
      <c r="GC9">
        <f>IF($GB9&lt;N_Ed-1E-9*MAX(1,N_Ed),(FY9+FZ9)/2,FY9)</f>
        <v/>
      </c>
      <c r="GD9">
        <f>IF($GB9&lt;N_Ed-1E-9*MAX(1,N_Ed),FZ9,(FY9+FZ9)/2)</f>
        <v/>
      </c>
      <c r="GE9">
        <f>h_col*((GC9+GD9)/2)/(1-(GC9+GD9)/2)</f>
        <v/>
      </c>
      <c r="GF9">
        <f>(f_cd*b_col*((3*MIN(GE9,h_col)/7)+(4*MIN(GE9,h_col)/7)*(1-((4*MIN(GE9,h_col)/7)/(GE9-(3*MIN(GE9,h_col)/7)))^2/3))+$D9/2*((MAX(-f_yd,MIN(f_yd,200000*IF(GE9&lt;=h_col,0.0035*(GE9-d_2)/GE9,0.002*(GE9-d_2)/(GE9-3*h_col/7))))-f_cd*(1-(1-MAX(0,MIN(1,IF(GE9&lt;=h_col,0.0035*(GE9-d_2)/GE9,0.002*(GE9-d_2)/(GE9-3*h_col/7))/0.002)))^2))+(MAX(-f_yd,MIN(f_yd,200000*IF(GE9&lt;=h_col,0.0035*(GE9-(h_col-d_2))/GE9,0.002*(GE9-(h_col-d_2))/(GE9-3*h_col/7))))-f_cd*(1-(1-MAX(0,MIN(1,IF(GE9&lt;=h_col,0.0035*(GE9-(h_col-d_2))/GE9,0.002*(GE9-(h_col-d_2))/(GE9-3*h_col/7))/0.002)))^2))))/1000</f>
        <v/>
      </c>
      <c r="GG9">
        <f>IF($GF9&lt;N_Ed-1E-9*MAX(1,N_Ed),(GC9+GD9)/2,GC9)</f>
        <v/>
      </c>
      <c r="GH9">
        <f>IF($GF9&lt;N_Ed-1E-9*MAX(1,N_Ed),GD9,(GC9+GD9)/2)</f>
        <v/>
      </c>
      <c r="GI9">
        <f>h_col*((GG9+GH9)/2)/(1-(GG9+GH9)/2)</f>
        <v/>
      </c>
      <c r="GJ9">
        <f>(f_cd*b_col*((3*MIN(GI9,h_col)/7)+(4*MIN(GI9,h_col)/7)*(1-((4*MIN(GI9,h_col)/7)/(GI9-(3*MIN(GI9,h_col)/7)))^2/3))+$D9/2*((MAX(-f_yd,MIN(f_yd,200000*IF(GI9&lt;=h_col,0.0035*(GI9-d_2)/GI9,0.002*(GI9-d_2)/(GI9-3*h_col/7))))-f_cd*(1-(1-MAX(0,MIN(1,IF(GI9&lt;=h_col,0.0035*(GI9-d_2)/GI9,0.002*(GI9-d_2)/(GI9-3*h_col/7))/0.002)))^2))+(MAX(-f_yd,MIN(f_yd,200000*IF(GI9&lt;=h_col,0.0035*(GI9-(h_col-d_2))/GI9,0.002*(GI9-(h_col-d_2))/(GI9-3*h_col/7))))-f_cd*(1-(1-MAX(0,MIN(1,IF(GI9&lt;=h_col,0.0035*(GI9-(h_col-d_2))/GI9,0.002*(GI9-(h_col-d_2))/(GI9-3*h_col/7))/0.002)))^2))))/1000</f>
        <v/>
      </c>
      <c r="GK9">
        <f>IF($GJ9&lt;N_Ed-1E-9*MAX(1,N_Ed),(GG9+GH9)/2,GG9)</f>
        <v/>
      </c>
      <c r="GL9">
        <f>IF($GJ9&lt;N_Ed-1E-9*MAX(1,N_Ed),GH9,(GG9+GH9)/2)</f>
        <v/>
      </c>
      <c r="GM9">
        <f>h_col*((GK9+GL9)/2)/(1-(GK9+GL9)/2)</f>
        <v/>
      </c>
      <c r="GN9">
        <f>(f_cd*b_col*((3*MIN(GM9,h_col)/7)+(4*MIN(GM9,h_col)/7)*(1-((4*MIN(GM9,h_col)/7)/(GM9-(3*MIN(GM9,h_col)/7)))^2/3))+$D9/2*((MAX(-f_yd,MIN(f_yd,200000*IF(GM9&lt;=h_col,0.0035*(GM9-d_2)/GM9,0.002*(GM9-d_2)/(GM9-3*h_col/7))))-f_cd*(1-(1-MAX(0,MIN(1,IF(GM9&lt;=h_col,0.0035*(GM9-d_2)/GM9,0.002*(GM9-d_2)/(GM9-3*h_col/7))/0.002)))^2))+(MAX(-f_yd,MIN(f_yd,200000*IF(GM9&lt;=h_col,0.0035*(GM9-(h_col-d_2))/GM9,0.002*(GM9-(h_col-d_2))/(GM9-3*h_col/7))))-f_cd*(1-(1-MAX(0,MIN(1,IF(GM9&lt;=h_col,0.0035*(GM9-(h_col-d_2))/GM9,0.002*(GM9-(h_col-d_2))/(GM9-3*h_col/7))/0.002)))^2))))/1000</f>
        <v/>
      </c>
      <c r="GO9">
        <f>IF($GN9&lt;N_Ed-1E-9*MAX(1,N_Ed),(GK9+GL9)/2,GK9)</f>
        <v/>
      </c>
      <c r="GP9">
        <f>IF($GN9&lt;N_Ed-1E-9*MAX(1,N_Ed),GL9,(GK9+GL9)/2)</f>
        <v/>
      </c>
      <c r="GQ9">
        <f>h_col*((GO9+GP9)/2)/(1-(GO9+GP9)/2)</f>
        <v/>
      </c>
      <c r="GR9">
        <f>(f_cd*b_col*((3*MIN(GQ9,h_col)/7)+(4*MIN(GQ9,h_col)/7)*(1-((4*MIN(GQ9,h_col)/7)/(GQ9-(3*MIN(GQ9,h_col)/7)))^2/3))+$D9/2*((MAX(-f_yd,MIN(f_yd,200000*IF(GQ9&lt;=h_col,0.0035*(GQ9-d_2)/GQ9,0.002*(GQ9-d_2)/(GQ9-3*h_col/7))))-f_cd*(1-(1-MAX(0,MIN(1,IF(GQ9&lt;=h_col,0.0035*(GQ9-d_2)/GQ9,0.002*(GQ9-d_2)/(GQ9-3*h_col/7))/0.002)))^2))+(MAX(-f_yd,MIN(f_yd,200000*IF(GQ9&lt;=h_col,0.0035*(GQ9-(h_col-d_2))/GQ9,0.002*(GQ9-(h_col-d_2))/(GQ9-3*h_col/7))))-f_cd*(1-(1-MAX(0,MIN(1,IF(GQ9&lt;=h_col,0.0035*(GQ9-(h_col-d_2))/GQ9,0.002*(GQ9-(h_col-d_2))/(GQ9-3*h_col/7))/0.002)))^2))))/1000</f>
        <v/>
      </c>
      <c r="GS9">
        <f>IF($GR9&lt;N_Ed-1E-9*MAX(1,N_Ed),(GO9+GP9)/2,GO9)</f>
        <v/>
      </c>
      <c r="GT9">
        <f>IF($GR9&lt;N_Ed-1E-9*MAX(1,N_Ed),GP9,(GO9+GP9)/2)</f>
        <v/>
      </c>
      <c r="GU9">
        <f>h_col*((GS9+GT9)/2)/(1-(GS9+GT9)/2)</f>
        <v/>
      </c>
      <c r="GV9">
        <f>(f_cd*b_col*((3*MIN(GU9,h_col)/7)+(4*MIN(GU9,h_col)/7)*(1-((4*MIN(GU9,h_col)/7)/(GU9-(3*MIN(GU9,h_col)/7)))^2/3))+$D9/2*((MAX(-f_yd,MIN(f_yd,200000*IF(GU9&lt;=h_col,0.0035*(GU9-d_2)/GU9,0.002*(GU9-d_2)/(GU9-3*h_col/7))))-f_cd*(1-(1-MAX(0,MIN(1,IF(GU9&lt;=h_col,0.0035*(GU9-d_2)/GU9,0.002*(GU9-d_2)/(GU9-3*h_col/7))/0.002)))^2))+(MAX(-f_yd,MIN(f_yd,200000*IF(GU9&lt;=h_col,0.0035*(GU9-(h_col-d_2))/GU9,0.002*(GU9-(h_col-d_2))/(GU9-3*h_col/7))))-f_cd*(1-(1-MAX(0,MIN(1,IF(GU9&lt;=h_col,0.0035*(GU9-(h_col-d_2))/GU9,0.002*(GU9-(h_col-d_2))/(GU9-3*h_col/7))/0.002)))^2))))/1000</f>
        <v/>
      </c>
      <c r="GW9">
        <f>GU9</f>
        <v/>
      </c>
      <c r="GX9">
        <f>(f_cd*b_col*((3*MIN(GW9,h_col)/7)+(4*MIN(GW9,h_col)/7)*(1-((4*MIN(GW9,h_col)/7)/(GW9-(3*MIN(GW9,h_col)/7)))^2/3))+$D9/2*((MAX(-f_yd,MIN(f_yd,200000*IF(GW9&lt;=h_col,0.0035*(GW9-d_2)/GW9,0.002*(GW9-d_2)/(GW9-3*h_col/7))))-f_cd*(1-(1-MAX(0,MIN(1,IF(GW9&lt;=h_col,0.0035*(GW9-d_2)/GW9,0.002*(GW9-d_2)/(GW9-3*h_col/7))/0.002)))^2))+(MAX(-f_yd,MIN(f_yd,200000*IF(GW9&lt;=h_col,0.0035*(GW9-(h_col-d_2))/GW9,0.002*(GW9-(h_col-d_2))/(GW9-3*h_col/7))))-f_cd*(1-(1-MAX(0,MIN(1,IF(GW9&lt;=h_col,0.0035*(GW9-(h_col-d_2))/GW9,0.002*(GW9-(h_col-d_2))/(GW9-3*h_col/7))/0.002)))^2))))/1000</f>
        <v/>
      </c>
      <c r="GY9">
        <f>(f_cd*b_col*((3*MIN(GW9,h_col)/7)*(h_col/2-(3*MIN(GW9,h_col)/7)/2)+(4*MIN(GW9,h_col)/7)*((h_col/2-(3*MIN(GW9,h_col)/7))*(1-((4*MIN(GW9,h_col)/7)/(GW9-(3*MIN(GW9,h_col)/7)))^2/3)-(4*MIN(GW9,h_col)/7)*(0.5-((4*MIN(GW9,h_col)/7)/(GW9-(3*MIN(GW9,h_col)/7)))^2/4)))+$D9/2*((MAX(-f_yd,MIN(f_yd,200000*IF(GW9&lt;=h_col,0.0035*(GW9-d_2)/GW9,0.002*(GW9-d_2)/(GW9-3*h_col/7))))-f_cd*(1-(1-MAX(0,MIN(1,IF(GW9&lt;=h_col,0.0035*(GW9-d_2)/GW9,0.002*(GW9-d_2)/(GW9-3*h_col/7))/0.002)))^2))-(MAX(-f_yd,MIN(f_yd,200000*IF(GW9&lt;=h_col,0.0035*(GW9-(h_col-d_2))/GW9,0.002*(GW9-(h_col-d_2))/(GW9-3*h_col/7))))-f_cd*(1-(1-MAX(0,MIN(1,IF(GW9&lt;=h_col,0.0035*(GW9-(h_col-d_2))/GW9,0.002*(GW9-(h_col-d_2))/(GW9-3*h_col/7))/0.002)))^2)))*(h_col/2-d_2))/1E6</f>
        <v/>
      </c>
      <c r="GZ9">
        <f>GX9&gt;=N_Ed-1E-6*MAX(1,N_Ed)</f>
        <v/>
      </c>
      <c r="HA9">
        <f>IF(GZ9,GY9,-1E9)</f>
        <v/>
      </c>
    </row>
    <row r="10">
      <c r="A10" t="n">
        <v>5</v>
      </c>
      <c r="B10">
        <f>IF($HA9&gt;=M_d,$B9,$D9)</f>
        <v/>
      </c>
      <c r="C10">
        <f>IF($HA9&gt;=M_d,$D9,$C9)</f>
        <v/>
      </c>
      <c r="D10">
        <f>($B10+$C10)/2</f>
        <v/>
      </c>
      <c r="E10" t="n">
        <v>0</v>
      </c>
      <c r="F10">
        <f>1-1E-12</f>
        <v/>
      </c>
      <c r="G10">
        <f>h_col*((E10+F10)/2)/(1-(E10+F10)/2)</f>
        <v/>
      </c>
      <c r="H10">
        <f>(f_cd*b_col*((3*MIN(G10,h_col)/7)+(4*MIN(G10,h_col)/7)*(1-((4*MIN(G10,h_col)/7)/(G10-(3*MIN(G10,h_col)/7)))^2/3))+$D10/2*((MAX(-f_yd,MIN(f_yd,200000*IF(G10&lt;=h_col,0.0035*(G10-d_2)/G10,0.002*(G10-d_2)/(G10-3*h_col/7))))-f_cd*(1-(1-MAX(0,MIN(1,IF(G10&lt;=h_col,0.0035*(G10-d_2)/G10,0.002*(G10-d_2)/(G10-3*h_col/7))/0.002)))^2))+(MAX(-f_yd,MIN(f_yd,200000*IF(G10&lt;=h_col,0.0035*(G10-(h_col-d_2))/G10,0.002*(G10-(h_col-d_2))/(G10-3*h_col/7))))-f_cd*(1-(1-MAX(0,MIN(1,IF(G10&lt;=h_col,0.0035*(G10-(h_col-d_2))/G10,0.002*(G10-(h_col-d_2))/(G10-3*h_col/7))/0.002)))^2))))/1000</f>
        <v/>
      </c>
      <c r="I10">
        <f>IF($H10&lt;N_Ed-1E-9*MAX(1,N_Ed),(E10+F10)/2,E10)</f>
        <v/>
      </c>
      <c r="J10">
        <f>IF($H10&lt;N_Ed-1E-9*MAX(1,N_Ed),F10,(E10+F10)/2)</f>
        <v/>
      </c>
      <c r="K10">
        <f>h_col*((I10+J10)/2)/(1-(I10+J10)/2)</f>
        <v/>
      </c>
      <c r="L10">
        <f>(f_cd*b_col*((3*MIN(K10,h_col)/7)+(4*MIN(K10,h_col)/7)*(1-((4*MIN(K10,h_col)/7)/(K10-(3*MIN(K10,h_col)/7)))^2/3))+$D10/2*((MAX(-f_yd,MIN(f_yd,200000*IF(K10&lt;=h_col,0.0035*(K10-d_2)/K10,0.002*(K10-d_2)/(K10-3*h_col/7))))-f_cd*(1-(1-MAX(0,MIN(1,IF(K10&lt;=h_col,0.0035*(K10-d_2)/K10,0.002*(K10-d_2)/(K10-3*h_col/7))/0.002)))^2))+(MAX(-f_yd,MIN(f_yd,200000*IF(K10&lt;=h_col,0.0035*(K10-(h_col-d_2))/K10,0.002*(K10-(h_col-d_2))/(K10-3*h_col/7))))-f_cd*(1-(1-MAX(0,MIN(1,IF(K10&lt;=h_col,0.0035*(K10-(h_col-d_2))/K10,0.002*(K10-(h_col-d_2))/(K10-3*h_col/7))/0.002)))^2))))/1000</f>
        <v/>
      </c>
      <c r="M10">
        <f>IF($L10&lt;N_Ed-1E-9*MAX(1,N_Ed),(I10+J10)/2,I10)</f>
        <v/>
      </c>
      <c r="N10">
        <f>IF($L10&lt;N_Ed-1E-9*MAX(1,N_Ed),J10,(I10+J10)/2)</f>
        <v/>
      </c>
      <c r="O10">
        <f>h_col*((M10+N10)/2)/(1-(M10+N10)/2)</f>
        <v/>
      </c>
      <c r="P10">
        <f>(f_cd*b_col*((3*MIN(O10,h_col)/7)+(4*MIN(O10,h_col)/7)*(1-((4*MIN(O10,h_col)/7)/(O10-(3*MIN(O10,h_col)/7)))^2/3))+$D10/2*((MAX(-f_yd,MIN(f_yd,200000*IF(O10&lt;=h_col,0.0035*(O10-d_2)/O10,0.002*(O10-d_2)/(O10-3*h_col/7))))-f_cd*(1-(1-MAX(0,MIN(1,IF(O10&lt;=h_col,0.0035*(O10-d_2)/O10,0.002*(O10-d_2)/(O10-3*h_col/7))/0.002)))^2))+(MAX(-f_yd,MIN(f_yd,200000*IF(O10&lt;=h_col,0.0035*(O10-(h_col-d_2))/O10,0.002*(O10-(h_col-d_2))/(O10-3*h_col/7))))-f_cd*(1-(1-MAX(0,MIN(1,IF(O10&lt;=h_col,0.0035*(O10-(h_col-d_2))/O10,0.002*(O10-(h_col-d_2))/(O10-3*h_col/7))/0.002)))^2))))/1000</f>
        <v/>
      </c>
      <c r="Q10">
        <f>IF($P10&lt;N_Ed-1E-9*MAX(1,N_Ed),(M10+N10)/2,M10)</f>
        <v/>
      </c>
      <c r="R10">
        <f>IF($P10&lt;N_Ed-1E-9*MAX(1,N_Ed),N10,(M10+N10)/2)</f>
        <v/>
      </c>
      <c r="S10">
        <f>h_col*((Q10+R10)/2)/(1-(Q10+R10)/2)</f>
        <v/>
      </c>
      <c r="T10">
        <f>(f_cd*b_col*((3*MIN(S10,h_col)/7)+(4*MIN(S10,h_col)/7)*(1-((4*MIN(S10,h_col)/7)/(S10-(3*MIN(S10,h_col)/7)))^2/3))+$D10/2*((MAX(-f_yd,MIN(f_yd,200000*IF(S10&lt;=h_col,0.0035*(S10-d_2)/S10,0.002*(S10-d_2)/(S10-3*h_col/7))))-f_cd*(1-(1-MAX(0,MIN(1,IF(S10&lt;=h_col,0.0035*(S10-d_2)/S10,0.002*(S10-d_2)/(S10-3*h_col/7))/0.002)))^2))+(MAX(-f_yd,MIN(f_yd,200000*IF(S10&lt;=h_col,0.0035*(S10-(h_col-d_2))/S10,0.002*(S10-(h_col-d_2))/(S10-3*h_col/7))))-f_cd*(1-(1-MAX(0,MIN(1,IF(S10&lt;=h_col,0.0035*(S10-(h_col-d_2))/S10,0.002*(S10-(h_col-d_2))/(S10-3*h_col/7))/0.002)))^2))))/1000</f>
        <v/>
      </c>
      <c r="U10">
        <f>IF($T10&lt;N_Ed-1E-9*MAX(1,N_Ed),(Q10+R10)/2,Q10)</f>
        <v/>
      </c>
      <c r="V10">
        <f>IF($T10&lt;N_Ed-1E-9*MAX(1,N_Ed),R10,(Q10+R10)/2)</f>
        <v/>
      </c>
      <c r="W10">
        <f>h_col*((U10+V10)/2)/(1-(U10+V10)/2)</f>
        <v/>
      </c>
      <c r="X10">
        <f>(f_cd*b_col*((3*MIN(W10,h_col)/7)+(4*MIN(W10,h_col)/7)*(1-((4*MIN(W10,h_col)/7)/(W10-(3*MIN(W10,h_col)/7)))^2/3))+$D10/2*((MAX(-f_yd,MIN(f_yd,200000*IF(W10&lt;=h_col,0.0035*(W10-d_2)/W10,0.002*(W10-d_2)/(W10-3*h_col/7))))-f_cd*(1-(1-MAX(0,MIN(1,IF(W10&lt;=h_col,0.0035*(W10-d_2)/W10,0.002*(W10-d_2)/(W10-3*h_col/7))/0.002)))^2))+(MAX(-f_yd,MIN(f_yd,200000*IF(W10&lt;=h_col,0.0035*(W10-(h_col-d_2))/W10,0.002*(W10-(h_col-d_2))/(W10-3*h_col/7))))-f_cd*(1-(1-MAX(0,MIN(1,IF(W10&lt;=h_col,0.0035*(W10-(h_col-d_2))/W10,0.002*(W10-(h_col-d_2))/(W10-3*h_col/7))/0.002)))^2))))/1000</f>
        <v/>
      </c>
      <c r="Y10">
        <f>IF($X10&lt;N_Ed-1E-9*MAX(1,N_Ed),(U10+V10)/2,U10)</f>
        <v/>
      </c>
      <c r="Z10">
        <f>IF($X10&lt;N_Ed-1E-9*MAX(1,N_Ed),V10,(U10+V10)/2)</f>
        <v/>
      </c>
      <c r="AA10">
        <f>h_col*((Y10+Z10)/2)/(1-(Y10+Z10)/2)</f>
        <v/>
      </c>
      <c r="AB10">
        <f>(f_cd*b_col*((3*MIN(AA10,h_col)/7)+(4*MIN(AA10,h_col)/7)*(1-((4*MIN(AA10,h_col)/7)/(AA10-(3*MIN(AA10,h_col)/7)))^2/3))+$D10/2*((MAX(-f_yd,MIN(f_yd,200000*IF(AA10&lt;=h_col,0.0035*(AA10-d_2)/AA10,0.002*(AA10-d_2)/(AA10-3*h_col/7))))-f_cd*(1-(1-MAX(0,MIN(1,IF(AA10&lt;=h_col,0.0035*(AA10-d_2)/AA10,0.002*(AA10-d_2)/(AA10-3*h_col/7))/0.002)))^2))+(MAX(-f_yd,MIN(f_yd,200000*IF(AA10&lt;=h_col,0.0035*(AA10-(h_col-d_2))/AA10,0.002*(AA10-(h_col-d_2))/(AA10-3*h_col/7))))-f_cd*(1-(1-MAX(0,MIN(1,IF(AA10&lt;=h_col,0.0035*(AA10-(h_col-d_2))/AA10,0.002*(AA10-(h_col-d_2))/(AA10-3*h_col/7))/0.002)))^2))))/1000</f>
        <v/>
      </c>
      <c r="AC10">
        <f>IF($AB10&lt;N_Ed-1E-9*MAX(1,N_Ed),(Y10+Z10)/2,Y10)</f>
        <v/>
      </c>
      <c r="AD10">
        <f>IF($AB10&lt;N_Ed-1E-9*MAX(1,N_Ed),Z10,(Y10+Z10)/2)</f>
        <v/>
      </c>
      <c r="AE10">
        <f>h_col*((AC10+AD10)/2)/(1-(AC10+AD10)/2)</f>
        <v/>
      </c>
      <c r="AF10">
        <f>(f_cd*b_col*((3*MIN(AE10,h_col)/7)+(4*MIN(AE10,h_col)/7)*(1-((4*MIN(AE10,h_col)/7)/(AE10-(3*MIN(AE10,h_col)/7)))^2/3))+$D10/2*((MAX(-f_yd,MIN(f_yd,200000*IF(AE10&lt;=h_col,0.0035*(AE10-d_2)/AE10,0.002*(AE10-d_2)/(AE10-3*h_col/7))))-f_cd*(1-(1-MAX(0,MIN(1,IF(AE10&lt;=h_col,0.0035*(AE10-d_2)/AE10,0.002*(AE10-d_2)/(AE10-3*h_col/7))/0.002)))^2))+(MAX(-f_yd,MIN(f_yd,200000*IF(AE10&lt;=h_col,0.0035*(AE10-(h_col-d_2))/AE10,0.002*(AE10-(h_col-d_2))/(AE10-3*h_col/7))))-f_cd*(1-(1-MAX(0,MIN(1,IF(AE10&lt;=h_col,0.0035*(AE10-(h_col-d_2))/AE10,0.002*(AE10-(h_col-d_2))/(AE10-3*h_col/7))/0.002)))^2))))/1000</f>
        <v/>
      </c>
      <c r="AG10">
        <f>IF($AF10&lt;N_Ed-1E-9*MAX(1,N_Ed),(AC10+AD10)/2,AC10)</f>
        <v/>
      </c>
      <c r="AH10">
        <f>IF($AF10&lt;N_Ed-1E-9*MAX(1,N_Ed),AD10,(AC10+AD10)/2)</f>
        <v/>
      </c>
      <c r="AI10">
        <f>h_col*((AG10+AH10)/2)/(1-(AG10+AH10)/2)</f>
        <v/>
      </c>
      <c r="AJ10">
        <f>(f_cd*b_col*((3*MIN(AI10,h_col)/7)+(4*MIN(AI10,h_col)/7)*(1-((4*MIN(AI10,h_col)/7)/(AI10-(3*MIN(AI10,h_col)/7)))^2/3))+$D10/2*((MAX(-f_yd,MIN(f_yd,200000*IF(AI10&lt;=h_col,0.0035*(AI10-d_2)/AI10,0.002*(AI10-d_2)/(AI10-3*h_col/7))))-f_cd*(1-(1-MAX(0,MIN(1,IF(AI10&lt;=h_col,0.0035*(AI10-d_2)/AI10,0.002*(AI10-d_2)/(AI10-3*h_col/7))/0.002)))^2))+(MAX(-f_yd,MIN(f_yd,200000*IF(AI10&lt;=h_col,0.0035*(AI10-(h_col-d_2))/AI10,0.002*(AI10-(h_col-d_2))/(AI10-3*h_col/7))))-f_cd*(1-(1-MAX(0,MIN(1,IF(AI10&lt;=h_col,0.0035*(AI10-(h_col-d_2))/AI10,0.002*(AI10-(h_col-d_2))/(AI10-3*h_col/7))/0.002)))^2))))/1000</f>
        <v/>
      </c>
      <c r="AK10">
        <f>IF($AJ10&lt;N_Ed-1E-9*MAX(1,N_Ed),(AG10+AH10)/2,AG10)</f>
        <v/>
      </c>
      <c r="AL10">
        <f>IF($AJ10&lt;N_Ed-1E-9*MAX(1,N_Ed),AH10,(AG10+AH10)/2)</f>
        <v/>
      </c>
      <c r="AM10">
        <f>h_col*((AK10+AL10)/2)/(1-(AK10+AL10)/2)</f>
        <v/>
      </c>
      <c r="AN10">
        <f>(f_cd*b_col*((3*MIN(AM10,h_col)/7)+(4*MIN(AM10,h_col)/7)*(1-((4*MIN(AM10,h_col)/7)/(AM10-(3*MIN(AM10,h_col)/7)))^2/3))+$D10/2*((MAX(-f_yd,MIN(f_yd,200000*IF(AM10&lt;=h_col,0.0035*(AM10-d_2)/AM10,0.002*(AM10-d_2)/(AM10-3*h_col/7))))-f_cd*(1-(1-MAX(0,MIN(1,IF(AM10&lt;=h_col,0.0035*(AM10-d_2)/AM10,0.002*(AM10-d_2)/(AM10-3*h_col/7))/0.002)))^2))+(MAX(-f_yd,MIN(f_yd,200000*IF(AM10&lt;=h_col,0.0035*(AM10-(h_col-d_2))/AM10,0.002*(AM10-(h_col-d_2))/(AM10-3*h_col/7))))-f_cd*(1-(1-MAX(0,MIN(1,IF(AM10&lt;=h_col,0.0035*(AM10-(h_col-d_2))/AM10,0.002*(AM10-(h_col-d_2))/(AM10-3*h_col/7))/0.002)))^2))))/1000</f>
        <v/>
      </c>
      <c r="AO10">
        <f>IF($AN10&lt;N_Ed-1E-9*MAX(1,N_Ed),(AK10+AL10)/2,AK10)</f>
        <v/>
      </c>
      <c r="AP10">
        <f>IF($AN10&lt;N_Ed-1E-9*MAX(1,N_Ed),AL10,(AK10+AL10)/2)</f>
        <v/>
      </c>
      <c r="AQ10">
        <f>h_col*((AO10+AP10)/2)/(1-(AO10+AP10)/2)</f>
        <v/>
      </c>
      <c r="AR10">
        <f>(f_cd*b_col*((3*MIN(AQ10,h_col)/7)+(4*MIN(AQ10,h_col)/7)*(1-((4*MIN(AQ10,h_col)/7)/(AQ10-(3*MIN(AQ10,h_col)/7)))^2/3))+$D10/2*((MAX(-f_yd,MIN(f_yd,200000*IF(AQ10&lt;=h_col,0.0035*(AQ10-d_2)/AQ10,0.002*(AQ10-d_2)/(AQ10-3*h_col/7))))-f_cd*(1-(1-MAX(0,MIN(1,IF(AQ10&lt;=h_col,0.0035*(AQ10-d_2)/AQ10,0.002*(AQ10-d_2)/(AQ10-3*h_col/7))/0.002)))^2))+(MAX(-f_yd,MIN(f_yd,200000*IF(AQ10&lt;=h_col,0.0035*(AQ10-(h_col-d_2))/AQ10,0.002*(AQ10-(h_col-d_2))/(AQ10-3*h_col/7))))-f_cd*(1-(1-MAX(0,MIN(1,IF(AQ10&lt;=h_col,0.0035*(AQ10-(h_col-d_2))/AQ10,0.002*(AQ10-(h_col-d_2))/(AQ10-3*h_col/7))/0.002)))^2))))/1000</f>
        <v/>
      </c>
      <c r="AS10">
        <f>IF($AR10&lt;N_Ed-1E-9*MAX(1,N_Ed),(AO10+AP10)/2,AO10)</f>
        <v/>
      </c>
      <c r="AT10">
        <f>IF($AR10&lt;N_Ed-1E-9*MAX(1,N_Ed),AP10,(AO10+AP10)/2)</f>
        <v/>
      </c>
      <c r="AU10">
        <f>h_col*((AS10+AT10)/2)/(1-(AS10+AT10)/2)</f>
        <v/>
      </c>
      <c r="AV10">
        <f>(f_cd*b_col*((3*MIN(AU10,h_col)/7)+(4*MIN(AU10,h_col)/7)*(1-((4*MIN(AU10,h_col)/7)/(AU10-(3*MIN(AU10,h_col)/7)))^2/3))+$D10/2*((MAX(-f_yd,MIN(f_yd,200000*IF(AU10&lt;=h_col,0.0035*(AU10-d_2)/AU10,0.002*(AU10-d_2)/(AU10-3*h_col/7))))-f_cd*(1-(1-MAX(0,MIN(1,IF(AU10&lt;=h_col,0.0035*(AU10-d_2)/AU10,0.002*(AU10-d_2)/(AU10-3*h_col/7))/0.002)))^2))+(MAX(-f_yd,MIN(f_yd,200000*IF(AU10&lt;=h_col,0.0035*(AU10-(h_col-d_2))/AU10,0.002*(AU10-(h_col-d_2))/(AU10-3*h_col/7))))-f_cd*(1-(1-MAX(0,MIN(1,IF(AU10&lt;=h_col,0.0035*(AU10-(h_col-d_2))/AU10,0.002*(AU10-(h_col-d_2))/(AU10-3*h_col/7))/0.002)))^2))))/1000</f>
        <v/>
      </c>
      <c r="AW10">
        <f>IF($AV10&lt;N_Ed-1E-9*MAX(1,N_Ed),(AS10+AT10)/2,AS10)</f>
        <v/>
      </c>
      <c r="AX10">
        <f>IF($AV10&lt;N_Ed-1E-9*MAX(1,N_Ed),AT10,(AS10+AT10)/2)</f>
        <v/>
      </c>
      <c r="AY10">
        <f>h_col*((AW10+AX10)/2)/(1-(AW10+AX10)/2)</f>
        <v/>
      </c>
      <c r="AZ10">
        <f>(f_cd*b_col*((3*MIN(AY10,h_col)/7)+(4*MIN(AY10,h_col)/7)*(1-((4*MIN(AY10,h_col)/7)/(AY10-(3*MIN(AY10,h_col)/7)))^2/3))+$D10/2*((MAX(-f_yd,MIN(f_yd,200000*IF(AY10&lt;=h_col,0.0035*(AY10-d_2)/AY10,0.002*(AY10-d_2)/(AY10-3*h_col/7))))-f_cd*(1-(1-MAX(0,MIN(1,IF(AY10&lt;=h_col,0.0035*(AY10-d_2)/AY10,0.002*(AY10-d_2)/(AY10-3*h_col/7))/0.002)))^2))+(MAX(-f_yd,MIN(f_yd,200000*IF(AY10&lt;=h_col,0.0035*(AY10-(h_col-d_2))/AY10,0.002*(AY10-(h_col-d_2))/(AY10-3*h_col/7))))-f_cd*(1-(1-MAX(0,MIN(1,IF(AY10&lt;=h_col,0.0035*(AY10-(h_col-d_2))/AY10,0.002*(AY10-(h_col-d_2))/(AY10-3*h_col/7))/0.002)))^2))))/1000</f>
        <v/>
      </c>
      <c r="BA10">
        <f>IF($AZ10&lt;N_Ed-1E-9*MAX(1,N_Ed),(AW10+AX10)/2,AW10)</f>
        <v/>
      </c>
      <c r="BB10">
        <f>IF($AZ10&lt;N_Ed-1E-9*MAX(1,N_Ed),AX10,(AW10+AX10)/2)</f>
        <v/>
      </c>
      <c r="BC10">
        <f>h_col*((BA10+BB10)/2)/(1-(BA10+BB10)/2)</f>
        <v/>
      </c>
      <c r="BD10">
        <f>(f_cd*b_col*((3*MIN(BC10,h_col)/7)+(4*MIN(BC10,h_col)/7)*(1-((4*MIN(BC10,h_col)/7)/(BC10-(3*MIN(BC10,h_col)/7)))^2/3))+$D10/2*((MAX(-f_yd,MIN(f_yd,200000*IF(BC10&lt;=h_col,0.0035*(BC10-d_2)/BC10,0.002*(BC10-d_2)/(BC10-3*h_col/7))))-f_cd*(1-(1-MAX(0,MIN(1,IF(BC10&lt;=h_col,0.0035*(BC10-d_2)/BC10,0.002*(BC10-d_2)/(BC10-3*h_col/7))/0.002)))^2))+(MAX(-f_yd,MIN(f_yd,200000*IF(BC10&lt;=h_col,0.0035*(BC10-(h_col-d_2))/BC10,0.002*(BC10-(h_col-d_2))/(BC10-3*h_col/7))))-f_cd*(1-(1-MAX(0,MIN(1,IF(BC10&lt;=h_col,0.0035*(BC10-(h_col-d_2))/BC10,0.002*(BC10-(h_col-d_2))/(BC10-3*h_col/7))/0.002)))^2))))/1000</f>
        <v/>
      </c>
      <c r="BE10">
        <f>IF($BD10&lt;N_Ed-1E-9*MAX(1,N_Ed),(BA10+BB10)/2,BA10)</f>
        <v/>
      </c>
      <c r="BF10">
        <f>IF($BD10&lt;N_Ed-1E-9*MAX(1,N_Ed),BB10,(BA10+BB10)/2)</f>
        <v/>
      </c>
      <c r="BG10">
        <f>h_col*((BE10+BF10)/2)/(1-(BE10+BF10)/2)</f>
        <v/>
      </c>
      <c r="BH10">
        <f>(f_cd*b_col*((3*MIN(BG10,h_col)/7)+(4*MIN(BG10,h_col)/7)*(1-((4*MIN(BG10,h_col)/7)/(BG10-(3*MIN(BG10,h_col)/7)))^2/3))+$D10/2*((MAX(-f_yd,MIN(f_yd,200000*IF(BG10&lt;=h_col,0.0035*(BG10-d_2)/BG10,0.002*(BG10-d_2)/(BG10-3*h_col/7))))-f_cd*(1-(1-MAX(0,MIN(1,IF(BG10&lt;=h_col,0.0035*(BG10-d_2)/BG10,0.002*(BG10-d_2)/(BG10-3*h_col/7))/0.002)))^2))+(MAX(-f_yd,MIN(f_yd,200000*IF(BG10&lt;=h_col,0.0035*(BG10-(h_col-d_2))/BG10,0.002*(BG10-(h_col-d_2))/(BG10-3*h_col/7))))-f_cd*(1-(1-MAX(0,MIN(1,IF(BG10&lt;=h_col,0.0035*(BG10-(h_col-d_2))/BG10,0.002*(BG10-(h_col-d_2))/(BG10-3*h_col/7))/0.002)))^2))))/1000</f>
        <v/>
      </c>
      <c r="BI10">
        <f>IF($BH10&lt;N_Ed-1E-9*MAX(1,N_Ed),(BE10+BF10)/2,BE10)</f>
        <v/>
      </c>
      <c r="BJ10">
        <f>IF($BH10&lt;N_Ed-1E-9*MAX(1,N_Ed),BF10,(BE10+BF10)/2)</f>
        <v/>
      </c>
      <c r="BK10">
        <f>h_col*((BI10+BJ10)/2)/(1-(BI10+BJ10)/2)</f>
        <v/>
      </c>
      <c r="BL10">
        <f>(f_cd*b_col*((3*MIN(BK10,h_col)/7)+(4*MIN(BK10,h_col)/7)*(1-((4*MIN(BK10,h_col)/7)/(BK10-(3*MIN(BK10,h_col)/7)))^2/3))+$D10/2*((MAX(-f_yd,MIN(f_yd,200000*IF(BK10&lt;=h_col,0.0035*(BK10-d_2)/BK10,0.002*(BK10-d_2)/(BK10-3*h_col/7))))-f_cd*(1-(1-MAX(0,MIN(1,IF(BK10&lt;=h_col,0.0035*(BK10-d_2)/BK10,0.002*(BK10-d_2)/(BK10-3*h_col/7))/0.002)))^2))+(MAX(-f_yd,MIN(f_yd,200000*IF(BK10&lt;=h_col,0.0035*(BK10-(h_col-d_2))/BK10,0.002*(BK10-(h_col-d_2))/(BK10-3*h_col/7))))-f_cd*(1-(1-MAX(0,MIN(1,IF(BK10&lt;=h_col,0.0035*(BK10-(h_col-d_2))/BK10,0.002*(BK10-(h_col-d_2))/(BK10-3*h_col/7))/0.002)))^2))))/1000</f>
        <v/>
      </c>
      <c r="BM10">
        <f>IF($BL10&lt;N_Ed-1E-9*MAX(1,N_Ed),(BI10+BJ10)/2,BI10)</f>
        <v/>
      </c>
      <c r="BN10">
        <f>IF($BL10&lt;N_Ed-1E-9*MAX(1,N_Ed),BJ10,(BI10+BJ10)/2)</f>
        <v/>
      </c>
      <c r="BO10">
        <f>h_col*((BM10+BN10)/2)/(1-(BM10+BN10)/2)</f>
        <v/>
      </c>
      <c r="BP10">
        <f>(f_cd*b_col*((3*MIN(BO10,h_col)/7)+(4*MIN(BO10,h_col)/7)*(1-((4*MIN(BO10,h_col)/7)/(BO10-(3*MIN(BO10,h_col)/7)))^2/3))+$D10/2*((MAX(-f_yd,MIN(f_yd,200000*IF(BO10&lt;=h_col,0.0035*(BO10-d_2)/BO10,0.002*(BO10-d_2)/(BO10-3*h_col/7))))-f_cd*(1-(1-MAX(0,MIN(1,IF(BO10&lt;=h_col,0.0035*(BO10-d_2)/BO10,0.002*(BO10-d_2)/(BO10-3*h_col/7))/0.002)))^2))+(MAX(-f_yd,MIN(f_yd,200000*IF(BO10&lt;=h_col,0.0035*(BO10-(h_col-d_2))/BO10,0.002*(BO10-(h_col-d_2))/(BO10-3*h_col/7))))-f_cd*(1-(1-MAX(0,MIN(1,IF(BO10&lt;=h_col,0.0035*(BO10-(h_col-d_2))/BO10,0.002*(BO10-(h_col-d_2))/(BO10-3*h_col/7))/0.002)))^2))))/1000</f>
        <v/>
      </c>
      <c r="BQ10">
        <f>IF($BP10&lt;N_Ed-1E-9*MAX(1,N_Ed),(BM10+BN10)/2,BM10)</f>
        <v/>
      </c>
      <c r="BR10">
        <f>IF($BP10&lt;N_Ed-1E-9*MAX(1,N_Ed),BN10,(BM10+BN10)/2)</f>
        <v/>
      </c>
      <c r="BS10">
        <f>h_col*((BQ10+BR10)/2)/(1-(BQ10+BR10)/2)</f>
        <v/>
      </c>
      <c r="BT10">
        <f>(f_cd*b_col*((3*MIN(BS10,h_col)/7)+(4*MIN(BS10,h_col)/7)*(1-((4*MIN(BS10,h_col)/7)/(BS10-(3*MIN(BS10,h_col)/7)))^2/3))+$D10/2*((MAX(-f_yd,MIN(f_yd,200000*IF(BS10&lt;=h_col,0.0035*(BS10-d_2)/BS10,0.002*(BS10-d_2)/(BS10-3*h_col/7))))-f_cd*(1-(1-MAX(0,MIN(1,IF(BS10&lt;=h_col,0.0035*(BS10-d_2)/BS10,0.002*(BS10-d_2)/(BS10-3*h_col/7))/0.002)))^2))+(MAX(-f_yd,MIN(f_yd,200000*IF(BS10&lt;=h_col,0.0035*(BS10-(h_col-d_2))/BS10,0.002*(BS10-(h_col-d_2))/(BS10-3*h_col/7))))-f_cd*(1-(1-MAX(0,MIN(1,IF(BS10&lt;=h_col,0.0035*(BS10-(h_col-d_2))/BS10,0.002*(BS10-(h_col-d_2))/(BS10-3*h_col/7))/0.002)))^2))))/1000</f>
        <v/>
      </c>
      <c r="BU10">
        <f>IF($BT10&lt;N_Ed-1E-9*MAX(1,N_Ed),(BQ10+BR10)/2,BQ10)</f>
        <v/>
      </c>
      <c r="BV10">
        <f>IF($BT10&lt;N_Ed-1E-9*MAX(1,N_Ed),BR10,(BQ10+BR10)/2)</f>
        <v/>
      </c>
      <c r="BW10">
        <f>h_col*((BU10+BV10)/2)/(1-(BU10+BV10)/2)</f>
        <v/>
      </c>
      <c r="BX10">
        <f>(f_cd*b_col*((3*MIN(BW10,h_col)/7)+(4*MIN(BW10,h_col)/7)*(1-((4*MIN(BW10,h_col)/7)/(BW10-(3*MIN(BW10,h_col)/7)))^2/3))+$D10/2*((MAX(-f_yd,MIN(f_yd,200000*IF(BW10&lt;=h_col,0.0035*(BW10-d_2)/BW10,0.002*(BW10-d_2)/(BW10-3*h_col/7))))-f_cd*(1-(1-MAX(0,MIN(1,IF(BW10&lt;=h_col,0.0035*(BW10-d_2)/BW10,0.002*(BW10-d_2)/(BW10-3*h_col/7))/0.002)))^2))+(MAX(-f_yd,MIN(f_yd,200000*IF(BW10&lt;=h_col,0.0035*(BW10-(h_col-d_2))/BW10,0.002*(BW10-(h_col-d_2))/(BW10-3*h_col/7))))-f_cd*(1-(1-MAX(0,MIN(1,IF(BW10&lt;=h_col,0.0035*(BW10-(h_col-d_2))/BW10,0.002*(BW10-(h_col-d_2))/(BW10-3*h_col/7))/0.002)))^2))))/1000</f>
        <v/>
      </c>
      <c r="BY10">
        <f>IF($BX10&lt;N_Ed-1E-9*MAX(1,N_Ed),(BU10+BV10)/2,BU10)</f>
        <v/>
      </c>
      <c r="BZ10">
        <f>IF($BX10&lt;N_Ed-1E-9*MAX(1,N_Ed),BV10,(BU10+BV10)/2)</f>
        <v/>
      </c>
      <c r="CA10">
        <f>h_col*((BY10+BZ10)/2)/(1-(BY10+BZ10)/2)</f>
        <v/>
      </c>
      <c r="CB10">
        <f>(f_cd*b_col*((3*MIN(CA10,h_col)/7)+(4*MIN(CA10,h_col)/7)*(1-((4*MIN(CA10,h_col)/7)/(CA10-(3*MIN(CA10,h_col)/7)))^2/3))+$D10/2*((MAX(-f_yd,MIN(f_yd,200000*IF(CA10&lt;=h_col,0.0035*(CA10-d_2)/CA10,0.002*(CA10-d_2)/(CA10-3*h_col/7))))-f_cd*(1-(1-MAX(0,MIN(1,IF(CA10&lt;=h_col,0.0035*(CA10-d_2)/CA10,0.002*(CA10-d_2)/(CA10-3*h_col/7))/0.002)))^2))+(MAX(-f_yd,MIN(f_yd,200000*IF(CA10&lt;=h_col,0.0035*(CA10-(h_col-d_2))/CA10,0.002*(CA10-(h_col-d_2))/(CA10-3*h_col/7))))-f_cd*(1-(1-MAX(0,MIN(1,IF(CA10&lt;=h_col,0.0035*(CA10-(h_col-d_2))/CA10,0.002*(CA10-(h_col-d_2))/(CA10-3*h_col/7))/0.002)))^2))))/1000</f>
        <v/>
      </c>
      <c r="CC10">
        <f>IF($CB10&lt;N_Ed-1E-9*MAX(1,N_Ed),(BY10+BZ10)/2,BY10)</f>
        <v/>
      </c>
      <c r="CD10">
        <f>IF($CB10&lt;N_Ed-1E-9*MAX(1,N_Ed),BZ10,(BY10+BZ10)/2)</f>
        <v/>
      </c>
      <c r="CE10">
        <f>h_col*((CC10+CD10)/2)/(1-(CC10+CD10)/2)</f>
        <v/>
      </c>
      <c r="CF10">
        <f>(f_cd*b_col*((3*MIN(CE10,h_col)/7)+(4*MIN(CE10,h_col)/7)*(1-((4*MIN(CE10,h_col)/7)/(CE10-(3*MIN(CE10,h_col)/7)))^2/3))+$D10/2*((MAX(-f_yd,MIN(f_yd,200000*IF(CE10&lt;=h_col,0.0035*(CE10-d_2)/CE10,0.002*(CE10-d_2)/(CE10-3*h_col/7))))-f_cd*(1-(1-MAX(0,MIN(1,IF(CE10&lt;=h_col,0.0035*(CE10-d_2)/CE10,0.002*(CE10-d_2)/(CE10-3*h_col/7))/0.002)))^2))+(MAX(-f_yd,MIN(f_yd,200000*IF(CE10&lt;=h_col,0.0035*(CE10-(h_col-d_2))/CE10,0.002*(CE10-(h_col-d_2))/(CE10-3*h_col/7))))-f_cd*(1-(1-MAX(0,MIN(1,IF(CE10&lt;=h_col,0.0035*(CE10-(h_col-d_2))/CE10,0.002*(CE10-(h_col-d_2))/(CE10-3*h_col/7))/0.002)))^2))))/1000</f>
        <v/>
      </c>
      <c r="CG10">
        <f>IF($CF10&lt;N_Ed-1E-9*MAX(1,N_Ed),(CC10+CD10)/2,CC10)</f>
        <v/>
      </c>
      <c r="CH10">
        <f>IF($CF10&lt;N_Ed-1E-9*MAX(1,N_Ed),CD10,(CC10+CD10)/2)</f>
        <v/>
      </c>
      <c r="CI10">
        <f>h_col*((CG10+CH10)/2)/(1-(CG10+CH10)/2)</f>
        <v/>
      </c>
      <c r="CJ10">
        <f>(f_cd*b_col*((3*MIN(CI10,h_col)/7)+(4*MIN(CI10,h_col)/7)*(1-((4*MIN(CI10,h_col)/7)/(CI10-(3*MIN(CI10,h_col)/7)))^2/3))+$D10/2*((MAX(-f_yd,MIN(f_yd,200000*IF(CI10&lt;=h_col,0.0035*(CI10-d_2)/CI10,0.002*(CI10-d_2)/(CI10-3*h_col/7))))-f_cd*(1-(1-MAX(0,MIN(1,IF(CI10&lt;=h_col,0.0035*(CI10-d_2)/CI10,0.002*(CI10-d_2)/(CI10-3*h_col/7))/0.002)))^2))+(MAX(-f_yd,MIN(f_yd,200000*IF(CI10&lt;=h_col,0.0035*(CI10-(h_col-d_2))/CI10,0.002*(CI10-(h_col-d_2))/(CI10-3*h_col/7))))-f_cd*(1-(1-MAX(0,MIN(1,IF(CI10&lt;=h_col,0.0035*(CI10-(h_col-d_2))/CI10,0.002*(CI10-(h_col-d_2))/(CI10-3*h_col/7))/0.002)))^2))))/1000</f>
        <v/>
      </c>
      <c r="CK10">
        <f>IF($CJ10&lt;N_Ed-1E-9*MAX(1,N_Ed),(CG10+CH10)/2,CG10)</f>
        <v/>
      </c>
      <c r="CL10">
        <f>IF($CJ10&lt;N_Ed-1E-9*MAX(1,N_Ed),CH10,(CG10+CH10)/2)</f>
        <v/>
      </c>
      <c r="CM10">
        <f>h_col*((CK10+CL10)/2)/(1-(CK10+CL10)/2)</f>
        <v/>
      </c>
      <c r="CN10">
        <f>(f_cd*b_col*((3*MIN(CM10,h_col)/7)+(4*MIN(CM10,h_col)/7)*(1-((4*MIN(CM10,h_col)/7)/(CM10-(3*MIN(CM10,h_col)/7)))^2/3))+$D10/2*((MAX(-f_yd,MIN(f_yd,200000*IF(CM10&lt;=h_col,0.0035*(CM10-d_2)/CM10,0.002*(CM10-d_2)/(CM10-3*h_col/7))))-f_cd*(1-(1-MAX(0,MIN(1,IF(CM10&lt;=h_col,0.0035*(CM10-d_2)/CM10,0.002*(CM10-d_2)/(CM10-3*h_col/7))/0.002)))^2))+(MAX(-f_yd,MIN(f_yd,200000*IF(CM10&lt;=h_col,0.0035*(CM10-(h_col-d_2))/CM10,0.002*(CM10-(h_col-d_2))/(CM10-3*h_col/7))))-f_cd*(1-(1-MAX(0,MIN(1,IF(CM10&lt;=h_col,0.0035*(CM10-(h_col-d_2))/CM10,0.002*(CM10-(h_col-d_2))/(CM10-3*h_col/7))/0.002)))^2))))/1000</f>
        <v/>
      </c>
      <c r="CO10">
        <f>IF($CN10&lt;N_Ed-1E-9*MAX(1,N_Ed),(CK10+CL10)/2,CK10)</f>
        <v/>
      </c>
      <c r="CP10">
        <f>IF($CN10&lt;N_Ed-1E-9*MAX(1,N_Ed),CL10,(CK10+CL10)/2)</f>
        <v/>
      </c>
      <c r="CQ10">
        <f>h_col*((CO10+CP10)/2)/(1-(CO10+CP10)/2)</f>
        <v/>
      </c>
      <c r="CR10">
        <f>(f_cd*b_col*((3*MIN(CQ10,h_col)/7)+(4*MIN(CQ10,h_col)/7)*(1-((4*MIN(CQ10,h_col)/7)/(CQ10-(3*MIN(CQ10,h_col)/7)))^2/3))+$D10/2*((MAX(-f_yd,MIN(f_yd,200000*IF(CQ10&lt;=h_col,0.0035*(CQ10-d_2)/CQ10,0.002*(CQ10-d_2)/(CQ10-3*h_col/7))))-f_cd*(1-(1-MAX(0,MIN(1,IF(CQ10&lt;=h_col,0.0035*(CQ10-d_2)/CQ10,0.002*(CQ10-d_2)/(CQ10-3*h_col/7))/0.002)))^2))+(MAX(-f_yd,MIN(f_yd,200000*IF(CQ10&lt;=h_col,0.0035*(CQ10-(h_col-d_2))/CQ10,0.002*(CQ10-(h_col-d_2))/(CQ10-3*h_col/7))))-f_cd*(1-(1-MAX(0,MIN(1,IF(CQ10&lt;=h_col,0.0035*(CQ10-(h_col-d_2))/CQ10,0.002*(CQ10-(h_col-d_2))/(CQ10-3*h_col/7))/0.002)))^2))))/1000</f>
        <v/>
      </c>
      <c r="CS10">
        <f>IF($CR10&lt;N_Ed-1E-9*MAX(1,N_Ed),(CO10+CP10)/2,CO10)</f>
        <v/>
      </c>
      <c r="CT10">
        <f>IF($CR10&lt;N_Ed-1E-9*MAX(1,N_Ed),CP10,(CO10+CP10)/2)</f>
        <v/>
      </c>
      <c r="CU10">
        <f>h_col*((CS10+CT10)/2)/(1-(CS10+CT10)/2)</f>
        <v/>
      </c>
      <c r="CV10">
        <f>(f_cd*b_col*((3*MIN(CU10,h_col)/7)+(4*MIN(CU10,h_col)/7)*(1-((4*MIN(CU10,h_col)/7)/(CU10-(3*MIN(CU10,h_col)/7)))^2/3))+$D10/2*((MAX(-f_yd,MIN(f_yd,200000*IF(CU10&lt;=h_col,0.0035*(CU10-d_2)/CU10,0.002*(CU10-d_2)/(CU10-3*h_col/7))))-f_cd*(1-(1-MAX(0,MIN(1,IF(CU10&lt;=h_col,0.0035*(CU10-d_2)/CU10,0.002*(CU10-d_2)/(CU10-3*h_col/7))/0.002)))^2))+(MAX(-f_yd,MIN(f_yd,200000*IF(CU10&lt;=h_col,0.0035*(CU10-(h_col-d_2))/CU10,0.002*(CU10-(h_col-d_2))/(CU10-3*h_col/7))))-f_cd*(1-(1-MAX(0,MIN(1,IF(CU10&lt;=h_col,0.0035*(CU10-(h_col-d_2))/CU10,0.002*(CU10-(h_col-d_2))/(CU10-3*h_col/7))/0.002)))^2))))/1000</f>
        <v/>
      </c>
      <c r="CW10">
        <f>IF($CV10&lt;N_Ed-1E-9*MAX(1,N_Ed),(CS10+CT10)/2,CS10)</f>
        <v/>
      </c>
      <c r="CX10">
        <f>IF($CV10&lt;N_Ed-1E-9*MAX(1,N_Ed),CT10,(CS10+CT10)/2)</f>
        <v/>
      </c>
      <c r="CY10">
        <f>h_col*((CW10+CX10)/2)/(1-(CW10+CX10)/2)</f>
        <v/>
      </c>
      <c r="CZ10">
        <f>(f_cd*b_col*((3*MIN(CY10,h_col)/7)+(4*MIN(CY10,h_col)/7)*(1-((4*MIN(CY10,h_col)/7)/(CY10-(3*MIN(CY10,h_col)/7)))^2/3))+$D10/2*((MAX(-f_yd,MIN(f_yd,200000*IF(CY10&lt;=h_col,0.0035*(CY10-d_2)/CY10,0.002*(CY10-d_2)/(CY10-3*h_col/7))))-f_cd*(1-(1-MAX(0,MIN(1,IF(CY10&lt;=h_col,0.0035*(CY10-d_2)/CY10,0.002*(CY10-d_2)/(CY10-3*h_col/7))/0.002)))^2))+(MAX(-f_yd,MIN(f_yd,200000*IF(CY10&lt;=h_col,0.0035*(CY10-(h_col-d_2))/CY10,0.002*(CY10-(h_col-d_2))/(CY10-3*h_col/7))))-f_cd*(1-(1-MAX(0,MIN(1,IF(CY10&lt;=h_col,0.0035*(CY10-(h_col-d_2))/CY10,0.002*(CY10-(h_col-d_2))/(CY10-3*h_col/7))/0.002)))^2))))/1000</f>
        <v/>
      </c>
      <c r="DA10">
        <f>IF($CZ10&lt;N_Ed-1E-9*MAX(1,N_Ed),(CW10+CX10)/2,CW10)</f>
        <v/>
      </c>
      <c r="DB10">
        <f>IF($CZ10&lt;N_Ed-1E-9*MAX(1,N_Ed),CX10,(CW10+CX10)/2)</f>
        <v/>
      </c>
      <c r="DC10">
        <f>h_col*((DA10+DB10)/2)/(1-(DA10+DB10)/2)</f>
        <v/>
      </c>
      <c r="DD10">
        <f>(f_cd*b_col*((3*MIN(DC10,h_col)/7)+(4*MIN(DC10,h_col)/7)*(1-((4*MIN(DC10,h_col)/7)/(DC10-(3*MIN(DC10,h_col)/7)))^2/3))+$D10/2*((MAX(-f_yd,MIN(f_yd,200000*IF(DC10&lt;=h_col,0.0035*(DC10-d_2)/DC10,0.002*(DC10-d_2)/(DC10-3*h_col/7))))-f_cd*(1-(1-MAX(0,MIN(1,IF(DC10&lt;=h_col,0.0035*(DC10-d_2)/DC10,0.002*(DC10-d_2)/(DC10-3*h_col/7))/0.002)))^2))+(MAX(-f_yd,MIN(f_yd,200000*IF(DC10&lt;=h_col,0.0035*(DC10-(h_col-d_2))/DC10,0.002*(DC10-(h_col-d_2))/(DC10-3*h_col/7))))-f_cd*(1-(1-MAX(0,MIN(1,IF(DC10&lt;=h_col,0.0035*(DC10-(h_col-d_2))/DC10,0.002*(DC10-(h_col-d_2))/(DC10-3*h_col/7))/0.002)))^2))))/1000</f>
        <v/>
      </c>
      <c r="DE10">
        <f>IF($DD10&lt;N_Ed-1E-9*MAX(1,N_Ed),(DA10+DB10)/2,DA10)</f>
        <v/>
      </c>
      <c r="DF10">
        <f>IF($DD10&lt;N_Ed-1E-9*MAX(1,N_Ed),DB10,(DA10+DB10)/2)</f>
        <v/>
      </c>
      <c r="DG10">
        <f>h_col*((DE10+DF10)/2)/(1-(DE10+DF10)/2)</f>
        <v/>
      </c>
      <c r="DH10">
        <f>(f_cd*b_col*((3*MIN(DG10,h_col)/7)+(4*MIN(DG10,h_col)/7)*(1-((4*MIN(DG10,h_col)/7)/(DG10-(3*MIN(DG10,h_col)/7)))^2/3))+$D10/2*((MAX(-f_yd,MIN(f_yd,200000*IF(DG10&lt;=h_col,0.0035*(DG10-d_2)/DG10,0.002*(DG10-d_2)/(DG10-3*h_col/7))))-f_cd*(1-(1-MAX(0,MIN(1,IF(DG10&lt;=h_col,0.0035*(DG10-d_2)/DG10,0.002*(DG10-d_2)/(DG10-3*h_col/7))/0.002)))^2))+(MAX(-f_yd,MIN(f_yd,200000*IF(DG10&lt;=h_col,0.0035*(DG10-(h_col-d_2))/DG10,0.002*(DG10-(h_col-d_2))/(DG10-3*h_col/7))))-f_cd*(1-(1-MAX(0,MIN(1,IF(DG10&lt;=h_col,0.0035*(DG10-(h_col-d_2))/DG10,0.002*(DG10-(h_col-d_2))/(DG10-3*h_col/7))/0.002)))^2))))/1000</f>
        <v/>
      </c>
      <c r="DI10">
        <f>IF($DH10&lt;N_Ed-1E-9*MAX(1,N_Ed),(DE10+DF10)/2,DE10)</f>
        <v/>
      </c>
      <c r="DJ10">
        <f>IF($DH10&lt;N_Ed-1E-9*MAX(1,N_Ed),DF10,(DE10+DF10)/2)</f>
        <v/>
      </c>
      <c r="DK10">
        <f>h_col*((DI10+DJ10)/2)/(1-(DI10+DJ10)/2)</f>
        <v/>
      </c>
      <c r="DL10">
        <f>(f_cd*b_col*((3*MIN(DK10,h_col)/7)+(4*MIN(DK10,h_col)/7)*(1-((4*MIN(DK10,h_col)/7)/(DK10-(3*MIN(DK10,h_col)/7)))^2/3))+$D10/2*((MAX(-f_yd,MIN(f_yd,200000*IF(DK10&lt;=h_col,0.0035*(DK10-d_2)/DK10,0.002*(DK10-d_2)/(DK10-3*h_col/7))))-f_cd*(1-(1-MAX(0,MIN(1,IF(DK10&lt;=h_col,0.0035*(DK10-d_2)/DK10,0.002*(DK10-d_2)/(DK10-3*h_col/7))/0.002)))^2))+(MAX(-f_yd,MIN(f_yd,200000*IF(DK10&lt;=h_col,0.0035*(DK10-(h_col-d_2))/DK10,0.002*(DK10-(h_col-d_2))/(DK10-3*h_col/7))))-f_cd*(1-(1-MAX(0,MIN(1,IF(DK10&lt;=h_col,0.0035*(DK10-(h_col-d_2))/DK10,0.002*(DK10-(h_col-d_2))/(DK10-3*h_col/7))/0.002)))^2))))/1000</f>
        <v/>
      </c>
      <c r="DM10">
        <f>IF($DL10&lt;N_Ed-1E-9*MAX(1,N_Ed),(DI10+DJ10)/2,DI10)</f>
        <v/>
      </c>
      <c r="DN10">
        <f>IF($DL10&lt;N_Ed-1E-9*MAX(1,N_Ed),DJ10,(DI10+DJ10)/2)</f>
        <v/>
      </c>
      <c r="DO10">
        <f>h_col*((DM10+DN10)/2)/(1-(DM10+DN10)/2)</f>
        <v/>
      </c>
      <c r="DP10">
        <f>(f_cd*b_col*((3*MIN(DO10,h_col)/7)+(4*MIN(DO10,h_col)/7)*(1-((4*MIN(DO10,h_col)/7)/(DO10-(3*MIN(DO10,h_col)/7)))^2/3))+$D10/2*((MAX(-f_yd,MIN(f_yd,200000*IF(DO10&lt;=h_col,0.0035*(DO10-d_2)/DO10,0.002*(DO10-d_2)/(DO10-3*h_col/7))))-f_cd*(1-(1-MAX(0,MIN(1,IF(DO10&lt;=h_col,0.0035*(DO10-d_2)/DO10,0.002*(DO10-d_2)/(DO10-3*h_col/7))/0.002)))^2))+(MAX(-f_yd,MIN(f_yd,200000*IF(DO10&lt;=h_col,0.0035*(DO10-(h_col-d_2))/DO10,0.002*(DO10-(h_col-d_2))/(DO10-3*h_col/7))))-f_cd*(1-(1-MAX(0,MIN(1,IF(DO10&lt;=h_col,0.0035*(DO10-(h_col-d_2))/DO10,0.002*(DO10-(h_col-d_2))/(DO10-3*h_col/7))/0.002)))^2))))/1000</f>
        <v/>
      </c>
      <c r="DQ10">
        <f>IF($DP10&lt;N_Ed-1E-9*MAX(1,N_Ed),(DM10+DN10)/2,DM10)</f>
        <v/>
      </c>
      <c r="DR10">
        <f>IF($DP10&lt;N_Ed-1E-9*MAX(1,N_Ed),DN10,(DM10+DN10)/2)</f>
        <v/>
      </c>
      <c r="DS10">
        <f>h_col*((DQ10+DR10)/2)/(1-(DQ10+DR10)/2)</f>
        <v/>
      </c>
      <c r="DT10">
        <f>(f_cd*b_col*((3*MIN(DS10,h_col)/7)+(4*MIN(DS10,h_col)/7)*(1-((4*MIN(DS10,h_col)/7)/(DS10-(3*MIN(DS10,h_col)/7)))^2/3))+$D10/2*((MAX(-f_yd,MIN(f_yd,200000*IF(DS10&lt;=h_col,0.0035*(DS10-d_2)/DS10,0.002*(DS10-d_2)/(DS10-3*h_col/7))))-f_cd*(1-(1-MAX(0,MIN(1,IF(DS10&lt;=h_col,0.0035*(DS10-d_2)/DS10,0.002*(DS10-d_2)/(DS10-3*h_col/7))/0.002)))^2))+(MAX(-f_yd,MIN(f_yd,200000*IF(DS10&lt;=h_col,0.0035*(DS10-(h_col-d_2))/DS10,0.002*(DS10-(h_col-d_2))/(DS10-3*h_col/7))))-f_cd*(1-(1-MAX(0,MIN(1,IF(DS10&lt;=h_col,0.0035*(DS10-(h_col-d_2))/DS10,0.002*(DS10-(h_col-d_2))/(DS10-3*h_col/7))/0.002)))^2))))/1000</f>
        <v/>
      </c>
      <c r="DU10">
        <f>IF($DT10&lt;N_Ed-1E-9*MAX(1,N_Ed),(DQ10+DR10)/2,DQ10)</f>
        <v/>
      </c>
      <c r="DV10">
        <f>IF($DT10&lt;N_Ed-1E-9*MAX(1,N_Ed),DR10,(DQ10+DR10)/2)</f>
        <v/>
      </c>
      <c r="DW10">
        <f>h_col*((DU10+DV10)/2)/(1-(DU10+DV10)/2)</f>
        <v/>
      </c>
      <c r="DX10">
        <f>(f_cd*b_col*((3*MIN(DW10,h_col)/7)+(4*MIN(DW10,h_col)/7)*(1-((4*MIN(DW10,h_col)/7)/(DW10-(3*MIN(DW10,h_col)/7)))^2/3))+$D10/2*((MAX(-f_yd,MIN(f_yd,200000*IF(DW10&lt;=h_col,0.0035*(DW10-d_2)/DW10,0.002*(DW10-d_2)/(DW10-3*h_col/7))))-f_cd*(1-(1-MAX(0,MIN(1,IF(DW10&lt;=h_col,0.0035*(DW10-d_2)/DW10,0.002*(DW10-d_2)/(DW10-3*h_col/7))/0.002)))^2))+(MAX(-f_yd,MIN(f_yd,200000*IF(DW10&lt;=h_col,0.0035*(DW10-(h_col-d_2))/DW10,0.002*(DW10-(h_col-d_2))/(DW10-3*h_col/7))))-f_cd*(1-(1-MAX(0,MIN(1,IF(DW10&lt;=h_col,0.0035*(DW10-(h_col-d_2))/DW10,0.002*(DW10-(h_col-d_2))/(DW10-3*h_col/7))/0.002)))^2))))/1000</f>
        <v/>
      </c>
      <c r="DY10">
        <f>IF($DX10&lt;N_Ed-1E-9*MAX(1,N_Ed),(DU10+DV10)/2,DU10)</f>
        <v/>
      </c>
      <c r="DZ10">
        <f>IF($DX10&lt;N_Ed-1E-9*MAX(1,N_Ed),DV10,(DU10+DV10)/2)</f>
        <v/>
      </c>
      <c r="EA10">
        <f>h_col*((DY10+DZ10)/2)/(1-(DY10+DZ10)/2)</f>
        <v/>
      </c>
      <c r="EB10">
        <f>(f_cd*b_col*((3*MIN(EA10,h_col)/7)+(4*MIN(EA10,h_col)/7)*(1-((4*MIN(EA10,h_col)/7)/(EA10-(3*MIN(EA10,h_col)/7)))^2/3))+$D10/2*((MAX(-f_yd,MIN(f_yd,200000*IF(EA10&lt;=h_col,0.0035*(EA10-d_2)/EA10,0.002*(EA10-d_2)/(EA10-3*h_col/7))))-f_cd*(1-(1-MAX(0,MIN(1,IF(EA10&lt;=h_col,0.0035*(EA10-d_2)/EA10,0.002*(EA10-d_2)/(EA10-3*h_col/7))/0.002)))^2))+(MAX(-f_yd,MIN(f_yd,200000*IF(EA10&lt;=h_col,0.0035*(EA10-(h_col-d_2))/EA10,0.002*(EA10-(h_col-d_2))/(EA10-3*h_col/7))))-f_cd*(1-(1-MAX(0,MIN(1,IF(EA10&lt;=h_col,0.0035*(EA10-(h_col-d_2))/EA10,0.002*(EA10-(h_col-d_2))/(EA10-3*h_col/7))/0.002)))^2))))/1000</f>
        <v/>
      </c>
      <c r="EC10">
        <f>IF($EB10&lt;N_Ed-1E-9*MAX(1,N_Ed),(DY10+DZ10)/2,DY10)</f>
        <v/>
      </c>
      <c r="ED10">
        <f>IF($EB10&lt;N_Ed-1E-9*MAX(1,N_Ed),DZ10,(DY10+DZ10)/2)</f>
        <v/>
      </c>
      <c r="EE10">
        <f>h_col*((EC10+ED10)/2)/(1-(EC10+ED10)/2)</f>
        <v/>
      </c>
      <c r="EF10">
        <f>(f_cd*b_col*((3*MIN(EE10,h_col)/7)+(4*MIN(EE10,h_col)/7)*(1-((4*MIN(EE10,h_col)/7)/(EE10-(3*MIN(EE10,h_col)/7)))^2/3))+$D10/2*((MAX(-f_yd,MIN(f_yd,200000*IF(EE10&lt;=h_col,0.0035*(EE10-d_2)/EE10,0.002*(EE10-d_2)/(EE10-3*h_col/7))))-f_cd*(1-(1-MAX(0,MIN(1,IF(EE10&lt;=h_col,0.0035*(EE10-d_2)/EE10,0.002*(EE10-d_2)/(EE10-3*h_col/7))/0.002)))^2))+(MAX(-f_yd,MIN(f_yd,200000*IF(EE10&lt;=h_col,0.0035*(EE10-(h_col-d_2))/EE10,0.002*(EE10-(h_col-d_2))/(EE10-3*h_col/7))))-f_cd*(1-(1-MAX(0,MIN(1,IF(EE10&lt;=h_col,0.0035*(EE10-(h_col-d_2))/EE10,0.002*(EE10-(h_col-d_2))/(EE10-3*h_col/7))/0.002)))^2))))/1000</f>
        <v/>
      </c>
      <c r="EG10">
        <f>IF($EF10&lt;N_Ed-1E-9*MAX(1,N_Ed),(EC10+ED10)/2,EC10)</f>
        <v/>
      </c>
      <c r="EH10">
        <f>IF($EF10&lt;N_Ed-1E-9*MAX(1,N_Ed),ED10,(EC10+ED10)/2)</f>
        <v/>
      </c>
      <c r="EI10">
        <f>h_col*((EG10+EH10)/2)/(1-(EG10+EH10)/2)</f>
        <v/>
      </c>
      <c r="EJ10">
        <f>(f_cd*b_col*((3*MIN(EI10,h_col)/7)+(4*MIN(EI10,h_col)/7)*(1-((4*MIN(EI10,h_col)/7)/(EI10-(3*MIN(EI10,h_col)/7)))^2/3))+$D10/2*((MAX(-f_yd,MIN(f_yd,200000*IF(EI10&lt;=h_col,0.0035*(EI10-d_2)/EI10,0.002*(EI10-d_2)/(EI10-3*h_col/7))))-f_cd*(1-(1-MAX(0,MIN(1,IF(EI10&lt;=h_col,0.0035*(EI10-d_2)/EI10,0.002*(EI10-d_2)/(EI10-3*h_col/7))/0.002)))^2))+(MAX(-f_yd,MIN(f_yd,200000*IF(EI10&lt;=h_col,0.0035*(EI10-(h_col-d_2))/EI10,0.002*(EI10-(h_col-d_2))/(EI10-3*h_col/7))))-f_cd*(1-(1-MAX(0,MIN(1,IF(EI10&lt;=h_col,0.0035*(EI10-(h_col-d_2))/EI10,0.002*(EI10-(h_col-d_2))/(EI10-3*h_col/7))/0.002)))^2))))/1000</f>
        <v/>
      </c>
      <c r="EK10">
        <f>IF($EJ10&lt;N_Ed-1E-9*MAX(1,N_Ed),(EG10+EH10)/2,EG10)</f>
        <v/>
      </c>
      <c r="EL10">
        <f>IF($EJ10&lt;N_Ed-1E-9*MAX(1,N_Ed),EH10,(EG10+EH10)/2)</f>
        <v/>
      </c>
      <c r="EM10">
        <f>h_col*((EK10+EL10)/2)/(1-(EK10+EL10)/2)</f>
        <v/>
      </c>
      <c r="EN10">
        <f>(f_cd*b_col*((3*MIN(EM10,h_col)/7)+(4*MIN(EM10,h_col)/7)*(1-((4*MIN(EM10,h_col)/7)/(EM10-(3*MIN(EM10,h_col)/7)))^2/3))+$D10/2*((MAX(-f_yd,MIN(f_yd,200000*IF(EM10&lt;=h_col,0.0035*(EM10-d_2)/EM10,0.002*(EM10-d_2)/(EM10-3*h_col/7))))-f_cd*(1-(1-MAX(0,MIN(1,IF(EM10&lt;=h_col,0.0035*(EM10-d_2)/EM10,0.002*(EM10-d_2)/(EM10-3*h_col/7))/0.002)))^2))+(MAX(-f_yd,MIN(f_yd,200000*IF(EM10&lt;=h_col,0.0035*(EM10-(h_col-d_2))/EM10,0.002*(EM10-(h_col-d_2))/(EM10-3*h_col/7))))-f_cd*(1-(1-MAX(0,MIN(1,IF(EM10&lt;=h_col,0.0035*(EM10-(h_col-d_2))/EM10,0.002*(EM10-(h_col-d_2))/(EM10-3*h_col/7))/0.002)))^2))))/1000</f>
        <v/>
      </c>
      <c r="EO10">
        <f>IF($EN10&lt;N_Ed-1E-9*MAX(1,N_Ed),(EK10+EL10)/2,EK10)</f>
        <v/>
      </c>
      <c r="EP10">
        <f>IF($EN10&lt;N_Ed-1E-9*MAX(1,N_Ed),EL10,(EK10+EL10)/2)</f>
        <v/>
      </c>
      <c r="EQ10">
        <f>h_col*((EO10+EP10)/2)/(1-(EO10+EP10)/2)</f>
        <v/>
      </c>
      <c r="ER10">
        <f>(f_cd*b_col*((3*MIN(EQ10,h_col)/7)+(4*MIN(EQ10,h_col)/7)*(1-((4*MIN(EQ10,h_col)/7)/(EQ10-(3*MIN(EQ10,h_col)/7)))^2/3))+$D10/2*((MAX(-f_yd,MIN(f_yd,200000*IF(EQ10&lt;=h_col,0.0035*(EQ10-d_2)/EQ10,0.002*(EQ10-d_2)/(EQ10-3*h_col/7))))-f_cd*(1-(1-MAX(0,MIN(1,IF(EQ10&lt;=h_col,0.0035*(EQ10-d_2)/EQ10,0.002*(EQ10-d_2)/(EQ10-3*h_col/7))/0.002)))^2))+(MAX(-f_yd,MIN(f_yd,200000*IF(EQ10&lt;=h_col,0.0035*(EQ10-(h_col-d_2))/EQ10,0.002*(EQ10-(h_col-d_2))/(EQ10-3*h_col/7))))-f_cd*(1-(1-MAX(0,MIN(1,IF(EQ10&lt;=h_col,0.0035*(EQ10-(h_col-d_2))/EQ10,0.002*(EQ10-(h_col-d_2))/(EQ10-3*h_col/7))/0.002)))^2))))/1000</f>
        <v/>
      </c>
      <c r="ES10">
        <f>IF($ER10&lt;N_Ed-1E-9*MAX(1,N_Ed),(EO10+EP10)/2,EO10)</f>
        <v/>
      </c>
      <c r="ET10">
        <f>IF($ER10&lt;N_Ed-1E-9*MAX(1,N_Ed),EP10,(EO10+EP10)/2)</f>
        <v/>
      </c>
      <c r="EU10">
        <f>h_col*((ES10+ET10)/2)/(1-(ES10+ET10)/2)</f>
        <v/>
      </c>
      <c r="EV10">
        <f>(f_cd*b_col*((3*MIN(EU10,h_col)/7)+(4*MIN(EU10,h_col)/7)*(1-((4*MIN(EU10,h_col)/7)/(EU10-(3*MIN(EU10,h_col)/7)))^2/3))+$D10/2*((MAX(-f_yd,MIN(f_yd,200000*IF(EU10&lt;=h_col,0.0035*(EU10-d_2)/EU10,0.002*(EU10-d_2)/(EU10-3*h_col/7))))-f_cd*(1-(1-MAX(0,MIN(1,IF(EU10&lt;=h_col,0.0035*(EU10-d_2)/EU10,0.002*(EU10-d_2)/(EU10-3*h_col/7))/0.002)))^2))+(MAX(-f_yd,MIN(f_yd,200000*IF(EU10&lt;=h_col,0.0035*(EU10-(h_col-d_2))/EU10,0.002*(EU10-(h_col-d_2))/(EU10-3*h_col/7))))-f_cd*(1-(1-MAX(0,MIN(1,IF(EU10&lt;=h_col,0.0035*(EU10-(h_col-d_2))/EU10,0.002*(EU10-(h_col-d_2))/(EU10-3*h_col/7))/0.002)))^2))))/1000</f>
        <v/>
      </c>
      <c r="EW10">
        <f>IF($EV10&lt;N_Ed-1E-9*MAX(1,N_Ed),(ES10+ET10)/2,ES10)</f>
        <v/>
      </c>
      <c r="EX10">
        <f>IF($EV10&lt;N_Ed-1E-9*MAX(1,N_Ed),ET10,(ES10+ET10)/2)</f>
        <v/>
      </c>
      <c r="EY10">
        <f>h_col*((EW10+EX10)/2)/(1-(EW10+EX10)/2)</f>
        <v/>
      </c>
      <c r="EZ10">
        <f>(f_cd*b_col*((3*MIN(EY10,h_col)/7)+(4*MIN(EY10,h_col)/7)*(1-((4*MIN(EY10,h_col)/7)/(EY10-(3*MIN(EY10,h_col)/7)))^2/3))+$D10/2*((MAX(-f_yd,MIN(f_yd,200000*IF(EY10&lt;=h_col,0.0035*(EY10-d_2)/EY10,0.002*(EY10-d_2)/(EY10-3*h_col/7))))-f_cd*(1-(1-MAX(0,MIN(1,IF(EY10&lt;=h_col,0.0035*(EY10-d_2)/EY10,0.002*(EY10-d_2)/(EY10-3*h_col/7))/0.002)))^2))+(MAX(-f_yd,MIN(f_yd,200000*IF(EY10&lt;=h_col,0.0035*(EY10-(h_col-d_2))/EY10,0.002*(EY10-(h_col-d_2))/(EY10-3*h_col/7))))-f_cd*(1-(1-MAX(0,MIN(1,IF(EY10&lt;=h_col,0.0035*(EY10-(h_col-d_2))/EY10,0.002*(EY10-(h_col-d_2))/(EY10-3*h_col/7))/0.002)))^2))))/1000</f>
        <v/>
      </c>
      <c r="FA10">
        <f>IF($EZ10&lt;N_Ed-1E-9*MAX(1,N_Ed),(EW10+EX10)/2,EW10)</f>
        <v/>
      </c>
      <c r="FB10">
        <f>IF($EZ10&lt;N_Ed-1E-9*MAX(1,N_Ed),EX10,(EW10+EX10)/2)</f>
        <v/>
      </c>
      <c r="FC10">
        <f>h_col*((FA10+FB10)/2)/(1-(FA10+FB10)/2)</f>
        <v/>
      </c>
      <c r="FD10">
        <f>(f_cd*b_col*((3*MIN(FC10,h_col)/7)+(4*MIN(FC10,h_col)/7)*(1-((4*MIN(FC10,h_col)/7)/(FC10-(3*MIN(FC10,h_col)/7)))^2/3))+$D10/2*((MAX(-f_yd,MIN(f_yd,200000*IF(FC10&lt;=h_col,0.0035*(FC10-d_2)/FC10,0.002*(FC10-d_2)/(FC10-3*h_col/7))))-f_cd*(1-(1-MAX(0,MIN(1,IF(FC10&lt;=h_col,0.0035*(FC10-d_2)/FC10,0.002*(FC10-d_2)/(FC10-3*h_col/7))/0.002)))^2))+(MAX(-f_yd,MIN(f_yd,200000*IF(FC10&lt;=h_col,0.0035*(FC10-(h_col-d_2))/FC10,0.002*(FC10-(h_col-d_2))/(FC10-3*h_col/7))))-f_cd*(1-(1-MAX(0,MIN(1,IF(FC10&lt;=h_col,0.0035*(FC10-(h_col-d_2))/FC10,0.002*(FC10-(h_col-d_2))/(FC10-3*h_col/7))/0.002)))^2))))/1000</f>
        <v/>
      </c>
      <c r="FE10">
        <f>IF($FD10&lt;N_Ed-1E-9*MAX(1,N_Ed),(FA10+FB10)/2,FA10)</f>
        <v/>
      </c>
      <c r="FF10">
        <f>IF($FD10&lt;N_Ed-1E-9*MAX(1,N_Ed),FB10,(FA10+FB10)/2)</f>
        <v/>
      </c>
      <c r="FG10">
        <f>h_col*((FE10+FF10)/2)/(1-(FE10+FF10)/2)</f>
        <v/>
      </c>
      <c r="FH10">
        <f>(f_cd*b_col*((3*MIN(FG10,h_col)/7)+(4*MIN(FG10,h_col)/7)*(1-((4*MIN(FG10,h_col)/7)/(FG10-(3*MIN(FG10,h_col)/7)))^2/3))+$D10/2*((MAX(-f_yd,MIN(f_yd,200000*IF(FG10&lt;=h_col,0.0035*(FG10-d_2)/FG10,0.002*(FG10-d_2)/(FG10-3*h_col/7))))-f_cd*(1-(1-MAX(0,MIN(1,IF(FG10&lt;=h_col,0.0035*(FG10-d_2)/FG10,0.002*(FG10-d_2)/(FG10-3*h_col/7))/0.002)))^2))+(MAX(-f_yd,MIN(f_yd,200000*IF(FG10&lt;=h_col,0.0035*(FG10-(h_col-d_2))/FG10,0.002*(FG10-(h_col-d_2))/(FG10-3*h_col/7))))-f_cd*(1-(1-MAX(0,MIN(1,IF(FG10&lt;=h_col,0.0035*(FG10-(h_col-d_2))/FG10,0.002*(FG10-(h_col-d_2))/(FG10-3*h_col/7))/0.002)))^2))))/1000</f>
        <v/>
      </c>
      <c r="FI10">
        <f>IF($FH10&lt;N_Ed-1E-9*MAX(1,N_Ed),(FE10+FF10)/2,FE10)</f>
        <v/>
      </c>
      <c r="FJ10">
        <f>IF($FH10&lt;N_Ed-1E-9*MAX(1,N_Ed),FF10,(FE10+FF10)/2)</f>
        <v/>
      </c>
      <c r="FK10">
        <f>h_col*((FI10+FJ10)/2)/(1-(FI10+FJ10)/2)</f>
        <v/>
      </c>
      <c r="FL10">
        <f>(f_cd*b_col*((3*MIN(FK10,h_col)/7)+(4*MIN(FK10,h_col)/7)*(1-((4*MIN(FK10,h_col)/7)/(FK10-(3*MIN(FK10,h_col)/7)))^2/3))+$D10/2*((MAX(-f_yd,MIN(f_yd,200000*IF(FK10&lt;=h_col,0.0035*(FK10-d_2)/FK10,0.002*(FK10-d_2)/(FK10-3*h_col/7))))-f_cd*(1-(1-MAX(0,MIN(1,IF(FK10&lt;=h_col,0.0035*(FK10-d_2)/FK10,0.002*(FK10-d_2)/(FK10-3*h_col/7))/0.002)))^2))+(MAX(-f_yd,MIN(f_yd,200000*IF(FK10&lt;=h_col,0.0035*(FK10-(h_col-d_2))/FK10,0.002*(FK10-(h_col-d_2))/(FK10-3*h_col/7))))-f_cd*(1-(1-MAX(0,MIN(1,IF(FK10&lt;=h_col,0.0035*(FK10-(h_col-d_2))/FK10,0.002*(FK10-(h_col-d_2))/(FK10-3*h_col/7))/0.002)))^2))))/1000</f>
        <v/>
      </c>
      <c r="FM10">
        <f>IF($FL10&lt;N_Ed-1E-9*MAX(1,N_Ed),(FI10+FJ10)/2,FI10)</f>
        <v/>
      </c>
      <c r="FN10">
        <f>IF($FL10&lt;N_Ed-1E-9*MAX(1,N_Ed),FJ10,(FI10+FJ10)/2)</f>
        <v/>
      </c>
      <c r="FO10">
        <f>h_col*((FM10+FN10)/2)/(1-(FM10+FN10)/2)</f>
        <v/>
      </c>
      <c r="FP10">
        <f>(f_cd*b_col*((3*MIN(FO10,h_col)/7)+(4*MIN(FO10,h_col)/7)*(1-((4*MIN(FO10,h_col)/7)/(FO10-(3*MIN(FO10,h_col)/7)))^2/3))+$D10/2*((MAX(-f_yd,MIN(f_yd,200000*IF(FO10&lt;=h_col,0.0035*(FO10-d_2)/FO10,0.002*(FO10-d_2)/(FO10-3*h_col/7))))-f_cd*(1-(1-MAX(0,MIN(1,IF(FO10&lt;=h_col,0.0035*(FO10-d_2)/FO10,0.002*(FO10-d_2)/(FO10-3*h_col/7))/0.002)))^2))+(MAX(-f_yd,MIN(f_yd,200000*IF(FO10&lt;=h_col,0.0035*(FO10-(h_col-d_2))/FO10,0.002*(FO10-(h_col-d_2))/(FO10-3*h_col/7))))-f_cd*(1-(1-MAX(0,MIN(1,IF(FO10&lt;=h_col,0.0035*(FO10-(h_col-d_2))/FO10,0.002*(FO10-(h_col-d_2))/(FO10-3*h_col/7))/0.002)))^2))))/1000</f>
        <v/>
      </c>
      <c r="FQ10">
        <f>IF($FP10&lt;N_Ed-1E-9*MAX(1,N_Ed),(FM10+FN10)/2,FM10)</f>
        <v/>
      </c>
      <c r="FR10">
        <f>IF($FP10&lt;N_Ed-1E-9*MAX(1,N_Ed),FN10,(FM10+FN10)/2)</f>
        <v/>
      </c>
      <c r="FS10">
        <f>h_col*((FQ10+FR10)/2)/(1-(FQ10+FR10)/2)</f>
        <v/>
      </c>
      <c r="FT10">
        <f>(f_cd*b_col*((3*MIN(FS10,h_col)/7)+(4*MIN(FS10,h_col)/7)*(1-((4*MIN(FS10,h_col)/7)/(FS10-(3*MIN(FS10,h_col)/7)))^2/3))+$D10/2*((MAX(-f_yd,MIN(f_yd,200000*IF(FS10&lt;=h_col,0.0035*(FS10-d_2)/FS10,0.002*(FS10-d_2)/(FS10-3*h_col/7))))-f_cd*(1-(1-MAX(0,MIN(1,IF(FS10&lt;=h_col,0.0035*(FS10-d_2)/FS10,0.002*(FS10-d_2)/(FS10-3*h_col/7))/0.002)))^2))+(MAX(-f_yd,MIN(f_yd,200000*IF(FS10&lt;=h_col,0.0035*(FS10-(h_col-d_2))/FS10,0.002*(FS10-(h_col-d_2))/(FS10-3*h_col/7))))-f_cd*(1-(1-MAX(0,MIN(1,IF(FS10&lt;=h_col,0.0035*(FS10-(h_col-d_2))/FS10,0.002*(FS10-(h_col-d_2))/(FS10-3*h_col/7))/0.002)))^2))))/1000</f>
        <v/>
      </c>
      <c r="FU10">
        <f>IF($FT10&lt;N_Ed-1E-9*MAX(1,N_Ed),(FQ10+FR10)/2,FQ10)</f>
        <v/>
      </c>
      <c r="FV10">
        <f>IF($FT10&lt;N_Ed-1E-9*MAX(1,N_Ed),FR10,(FQ10+FR10)/2)</f>
        <v/>
      </c>
      <c r="FW10">
        <f>h_col*((FU10+FV10)/2)/(1-(FU10+FV10)/2)</f>
        <v/>
      </c>
      <c r="FX10">
        <f>(f_cd*b_col*((3*MIN(FW10,h_col)/7)+(4*MIN(FW10,h_col)/7)*(1-((4*MIN(FW10,h_col)/7)/(FW10-(3*MIN(FW10,h_col)/7)))^2/3))+$D10/2*((MAX(-f_yd,MIN(f_yd,200000*IF(FW10&lt;=h_col,0.0035*(FW10-d_2)/FW10,0.002*(FW10-d_2)/(FW10-3*h_col/7))))-f_cd*(1-(1-MAX(0,MIN(1,IF(FW10&lt;=h_col,0.0035*(FW10-d_2)/FW10,0.002*(FW10-d_2)/(FW10-3*h_col/7))/0.002)))^2))+(MAX(-f_yd,MIN(f_yd,200000*IF(FW10&lt;=h_col,0.0035*(FW10-(h_col-d_2))/FW10,0.002*(FW10-(h_col-d_2))/(FW10-3*h_col/7))))-f_cd*(1-(1-MAX(0,MIN(1,IF(FW10&lt;=h_col,0.0035*(FW10-(h_col-d_2))/FW10,0.002*(FW10-(h_col-d_2))/(FW10-3*h_col/7))/0.002)))^2))))/1000</f>
        <v/>
      </c>
      <c r="FY10">
        <f>IF($FX10&lt;N_Ed-1E-9*MAX(1,N_Ed),(FU10+FV10)/2,FU10)</f>
        <v/>
      </c>
      <c r="FZ10">
        <f>IF($FX10&lt;N_Ed-1E-9*MAX(1,N_Ed),FV10,(FU10+FV10)/2)</f>
        <v/>
      </c>
      <c r="GA10">
        <f>h_col*((FY10+FZ10)/2)/(1-(FY10+FZ10)/2)</f>
        <v/>
      </c>
      <c r="GB10">
        <f>(f_cd*b_col*((3*MIN(GA10,h_col)/7)+(4*MIN(GA10,h_col)/7)*(1-((4*MIN(GA10,h_col)/7)/(GA10-(3*MIN(GA10,h_col)/7)))^2/3))+$D10/2*((MAX(-f_yd,MIN(f_yd,200000*IF(GA10&lt;=h_col,0.0035*(GA10-d_2)/GA10,0.002*(GA10-d_2)/(GA10-3*h_col/7))))-f_cd*(1-(1-MAX(0,MIN(1,IF(GA10&lt;=h_col,0.0035*(GA10-d_2)/GA10,0.002*(GA10-d_2)/(GA10-3*h_col/7))/0.002)))^2))+(MAX(-f_yd,MIN(f_yd,200000*IF(GA10&lt;=h_col,0.0035*(GA10-(h_col-d_2))/GA10,0.002*(GA10-(h_col-d_2))/(GA10-3*h_col/7))))-f_cd*(1-(1-MAX(0,MIN(1,IF(GA10&lt;=h_col,0.0035*(GA10-(h_col-d_2))/GA10,0.002*(GA10-(h_col-d_2))/(GA10-3*h_col/7))/0.002)))^2))))/1000</f>
        <v/>
      </c>
      <c r="GC10">
        <f>IF($GB10&lt;N_Ed-1E-9*MAX(1,N_Ed),(FY10+FZ10)/2,FY10)</f>
        <v/>
      </c>
      <c r="GD10">
        <f>IF($GB10&lt;N_Ed-1E-9*MAX(1,N_Ed),FZ10,(FY10+FZ10)/2)</f>
        <v/>
      </c>
      <c r="GE10">
        <f>h_col*((GC10+GD10)/2)/(1-(GC10+GD10)/2)</f>
        <v/>
      </c>
      <c r="GF10">
        <f>(f_cd*b_col*((3*MIN(GE10,h_col)/7)+(4*MIN(GE10,h_col)/7)*(1-((4*MIN(GE10,h_col)/7)/(GE10-(3*MIN(GE10,h_col)/7)))^2/3))+$D10/2*((MAX(-f_yd,MIN(f_yd,200000*IF(GE10&lt;=h_col,0.0035*(GE10-d_2)/GE10,0.002*(GE10-d_2)/(GE10-3*h_col/7))))-f_cd*(1-(1-MAX(0,MIN(1,IF(GE10&lt;=h_col,0.0035*(GE10-d_2)/GE10,0.002*(GE10-d_2)/(GE10-3*h_col/7))/0.002)))^2))+(MAX(-f_yd,MIN(f_yd,200000*IF(GE10&lt;=h_col,0.0035*(GE10-(h_col-d_2))/GE10,0.002*(GE10-(h_col-d_2))/(GE10-3*h_col/7))))-f_cd*(1-(1-MAX(0,MIN(1,IF(GE10&lt;=h_col,0.0035*(GE10-(h_col-d_2))/GE10,0.002*(GE10-(h_col-d_2))/(GE10-3*h_col/7))/0.002)))^2))))/1000</f>
        <v/>
      </c>
      <c r="GG10">
        <f>IF($GF10&lt;N_Ed-1E-9*MAX(1,N_Ed),(GC10+GD10)/2,GC10)</f>
        <v/>
      </c>
      <c r="GH10">
        <f>IF($GF10&lt;N_Ed-1E-9*MAX(1,N_Ed),GD10,(GC10+GD10)/2)</f>
        <v/>
      </c>
      <c r="GI10">
        <f>h_col*((GG10+GH10)/2)/(1-(GG10+GH10)/2)</f>
        <v/>
      </c>
      <c r="GJ10">
        <f>(f_cd*b_col*((3*MIN(GI10,h_col)/7)+(4*MIN(GI10,h_col)/7)*(1-((4*MIN(GI10,h_col)/7)/(GI10-(3*MIN(GI10,h_col)/7)))^2/3))+$D10/2*((MAX(-f_yd,MIN(f_yd,200000*IF(GI10&lt;=h_col,0.0035*(GI10-d_2)/GI10,0.002*(GI10-d_2)/(GI10-3*h_col/7))))-f_cd*(1-(1-MAX(0,MIN(1,IF(GI10&lt;=h_col,0.0035*(GI10-d_2)/GI10,0.002*(GI10-d_2)/(GI10-3*h_col/7))/0.002)))^2))+(MAX(-f_yd,MIN(f_yd,200000*IF(GI10&lt;=h_col,0.0035*(GI10-(h_col-d_2))/GI10,0.002*(GI10-(h_col-d_2))/(GI10-3*h_col/7))))-f_cd*(1-(1-MAX(0,MIN(1,IF(GI10&lt;=h_col,0.0035*(GI10-(h_col-d_2))/GI10,0.002*(GI10-(h_col-d_2))/(GI10-3*h_col/7))/0.002)))^2))))/1000</f>
        <v/>
      </c>
      <c r="GK10">
        <f>IF($GJ10&lt;N_Ed-1E-9*MAX(1,N_Ed),(GG10+GH10)/2,GG10)</f>
        <v/>
      </c>
      <c r="GL10">
        <f>IF($GJ10&lt;N_Ed-1E-9*MAX(1,N_Ed),GH10,(GG10+GH10)/2)</f>
        <v/>
      </c>
      <c r="GM10">
        <f>h_col*((GK10+GL10)/2)/(1-(GK10+GL10)/2)</f>
        <v/>
      </c>
      <c r="GN10">
        <f>(f_cd*b_col*((3*MIN(GM10,h_col)/7)+(4*MIN(GM10,h_col)/7)*(1-((4*MIN(GM10,h_col)/7)/(GM10-(3*MIN(GM10,h_col)/7)))^2/3))+$D10/2*((MAX(-f_yd,MIN(f_yd,200000*IF(GM10&lt;=h_col,0.0035*(GM10-d_2)/GM10,0.002*(GM10-d_2)/(GM10-3*h_col/7))))-f_cd*(1-(1-MAX(0,MIN(1,IF(GM10&lt;=h_col,0.0035*(GM10-d_2)/GM10,0.002*(GM10-d_2)/(GM10-3*h_col/7))/0.002)))^2))+(MAX(-f_yd,MIN(f_yd,200000*IF(GM10&lt;=h_col,0.0035*(GM10-(h_col-d_2))/GM10,0.002*(GM10-(h_col-d_2))/(GM10-3*h_col/7))))-f_cd*(1-(1-MAX(0,MIN(1,IF(GM10&lt;=h_col,0.0035*(GM10-(h_col-d_2))/GM10,0.002*(GM10-(h_col-d_2))/(GM10-3*h_col/7))/0.002)))^2))))/1000</f>
        <v/>
      </c>
      <c r="GO10">
        <f>IF($GN10&lt;N_Ed-1E-9*MAX(1,N_Ed),(GK10+GL10)/2,GK10)</f>
        <v/>
      </c>
      <c r="GP10">
        <f>IF($GN10&lt;N_Ed-1E-9*MAX(1,N_Ed),GL10,(GK10+GL10)/2)</f>
        <v/>
      </c>
      <c r="GQ10">
        <f>h_col*((GO10+GP10)/2)/(1-(GO10+GP10)/2)</f>
        <v/>
      </c>
      <c r="GR10">
        <f>(f_cd*b_col*((3*MIN(GQ10,h_col)/7)+(4*MIN(GQ10,h_col)/7)*(1-((4*MIN(GQ10,h_col)/7)/(GQ10-(3*MIN(GQ10,h_col)/7)))^2/3))+$D10/2*((MAX(-f_yd,MIN(f_yd,200000*IF(GQ10&lt;=h_col,0.0035*(GQ10-d_2)/GQ10,0.002*(GQ10-d_2)/(GQ10-3*h_col/7))))-f_cd*(1-(1-MAX(0,MIN(1,IF(GQ10&lt;=h_col,0.0035*(GQ10-d_2)/GQ10,0.002*(GQ10-d_2)/(GQ10-3*h_col/7))/0.002)))^2))+(MAX(-f_yd,MIN(f_yd,200000*IF(GQ10&lt;=h_col,0.0035*(GQ10-(h_col-d_2))/GQ10,0.002*(GQ10-(h_col-d_2))/(GQ10-3*h_col/7))))-f_cd*(1-(1-MAX(0,MIN(1,IF(GQ10&lt;=h_col,0.0035*(GQ10-(h_col-d_2))/GQ10,0.002*(GQ10-(h_col-d_2))/(GQ10-3*h_col/7))/0.002)))^2))))/1000</f>
        <v/>
      </c>
      <c r="GS10">
        <f>IF($GR10&lt;N_Ed-1E-9*MAX(1,N_Ed),(GO10+GP10)/2,GO10)</f>
        <v/>
      </c>
      <c r="GT10">
        <f>IF($GR10&lt;N_Ed-1E-9*MAX(1,N_Ed),GP10,(GO10+GP10)/2)</f>
        <v/>
      </c>
      <c r="GU10">
        <f>h_col*((GS10+GT10)/2)/(1-(GS10+GT10)/2)</f>
        <v/>
      </c>
      <c r="GV10">
        <f>(f_cd*b_col*((3*MIN(GU10,h_col)/7)+(4*MIN(GU10,h_col)/7)*(1-((4*MIN(GU10,h_col)/7)/(GU10-(3*MIN(GU10,h_col)/7)))^2/3))+$D10/2*((MAX(-f_yd,MIN(f_yd,200000*IF(GU10&lt;=h_col,0.0035*(GU10-d_2)/GU10,0.002*(GU10-d_2)/(GU10-3*h_col/7))))-f_cd*(1-(1-MAX(0,MIN(1,IF(GU10&lt;=h_col,0.0035*(GU10-d_2)/GU10,0.002*(GU10-d_2)/(GU10-3*h_col/7))/0.002)))^2))+(MAX(-f_yd,MIN(f_yd,200000*IF(GU10&lt;=h_col,0.0035*(GU10-(h_col-d_2))/GU10,0.002*(GU10-(h_col-d_2))/(GU10-3*h_col/7))))-f_cd*(1-(1-MAX(0,MIN(1,IF(GU10&lt;=h_col,0.0035*(GU10-(h_col-d_2))/GU10,0.002*(GU10-(h_col-d_2))/(GU10-3*h_col/7))/0.002)))^2))))/1000</f>
        <v/>
      </c>
      <c r="GW10">
        <f>GU10</f>
        <v/>
      </c>
      <c r="GX10">
        <f>(f_cd*b_col*((3*MIN(GW10,h_col)/7)+(4*MIN(GW10,h_col)/7)*(1-((4*MIN(GW10,h_col)/7)/(GW10-(3*MIN(GW10,h_col)/7)))^2/3))+$D10/2*((MAX(-f_yd,MIN(f_yd,200000*IF(GW10&lt;=h_col,0.0035*(GW10-d_2)/GW10,0.002*(GW10-d_2)/(GW10-3*h_col/7))))-f_cd*(1-(1-MAX(0,MIN(1,IF(GW10&lt;=h_col,0.0035*(GW10-d_2)/GW10,0.002*(GW10-d_2)/(GW10-3*h_col/7))/0.002)))^2))+(MAX(-f_yd,MIN(f_yd,200000*IF(GW10&lt;=h_col,0.0035*(GW10-(h_col-d_2))/GW10,0.002*(GW10-(h_col-d_2))/(GW10-3*h_col/7))))-f_cd*(1-(1-MAX(0,MIN(1,IF(GW10&lt;=h_col,0.0035*(GW10-(h_col-d_2))/GW10,0.002*(GW10-(h_col-d_2))/(GW10-3*h_col/7))/0.002)))^2))))/1000</f>
        <v/>
      </c>
      <c r="GY10">
        <f>(f_cd*b_col*((3*MIN(GW10,h_col)/7)*(h_col/2-(3*MIN(GW10,h_col)/7)/2)+(4*MIN(GW10,h_col)/7)*((h_col/2-(3*MIN(GW10,h_col)/7))*(1-((4*MIN(GW10,h_col)/7)/(GW10-(3*MIN(GW10,h_col)/7)))^2/3)-(4*MIN(GW10,h_col)/7)*(0.5-((4*MIN(GW10,h_col)/7)/(GW10-(3*MIN(GW10,h_col)/7)))^2/4)))+$D10/2*((MAX(-f_yd,MIN(f_yd,200000*IF(GW10&lt;=h_col,0.0035*(GW10-d_2)/GW10,0.002*(GW10-d_2)/(GW10-3*h_col/7))))-f_cd*(1-(1-MAX(0,MIN(1,IF(GW10&lt;=h_col,0.0035*(GW10-d_2)/GW10,0.002*(GW10-d_2)/(GW10-3*h_col/7))/0.002)))^2))-(MAX(-f_yd,MIN(f_yd,200000*IF(GW10&lt;=h_col,0.0035*(GW10-(h_col-d_2))/GW10,0.002*(GW10-(h_col-d_2))/(GW10-3*h_col/7))))-f_cd*(1-(1-MAX(0,MIN(1,IF(GW10&lt;=h_col,0.0035*(GW10-(h_col-d_2))/GW10,0.002*(GW10-(h_col-d_2))/(GW10-3*h_col/7))/0.002)))^2)))*(h_col/2-d_2))/1E6</f>
        <v/>
      </c>
      <c r="GZ10">
        <f>GX10&gt;=N_Ed-1E-6*MAX(1,N_Ed)</f>
        <v/>
      </c>
      <c r="HA10">
        <f>IF(GZ10,GY10,-1E9)</f>
        <v/>
      </c>
    </row>
    <row r="11">
      <c r="A11" t="n">
        <v>6</v>
      </c>
      <c r="B11">
        <f>IF($HA10&gt;=M_d,$B10,$D10)</f>
        <v/>
      </c>
      <c r="C11">
        <f>IF($HA10&gt;=M_d,$D10,$C10)</f>
        <v/>
      </c>
      <c r="D11">
        <f>($B11+$C11)/2</f>
        <v/>
      </c>
      <c r="E11" t="n">
        <v>0</v>
      </c>
      <c r="F11">
        <f>1-1E-12</f>
        <v/>
      </c>
      <c r="G11">
        <f>h_col*((E11+F11)/2)/(1-(E11+F11)/2)</f>
        <v/>
      </c>
      <c r="H11">
        <f>(f_cd*b_col*((3*MIN(G11,h_col)/7)+(4*MIN(G11,h_col)/7)*(1-((4*MIN(G11,h_col)/7)/(G11-(3*MIN(G11,h_col)/7)))^2/3))+$D11/2*((MAX(-f_yd,MIN(f_yd,200000*IF(G11&lt;=h_col,0.0035*(G11-d_2)/G11,0.002*(G11-d_2)/(G11-3*h_col/7))))-f_cd*(1-(1-MAX(0,MIN(1,IF(G11&lt;=h_col,0.0035*(G11-d_2)/G11,0.002*(G11-d_2)/(G11-3*h_col/7))/0.002)))^2))+(MAX(-f_yd,MIN(f_yd,200000*IF(G11&lt;=h_col,0.0035*(G11-(h_col-d_2))/G11,0.002*(G11-(h_col-d_2))/(G11-3*h_col/7))))-f_cd*(1-(1-MAX(0,MIN(1,IF(G11&lt;=h_col,0.0035*(G11-(h_col-d_2))/G11,0.002*(G11-(h_col-d_2))/(G11-3*h_col/7))/0.002)))^2))))/1000</f>
        <v/>
      </c>
      <c r="I11">
        <f>IF($H11&lt;N_Ed-1E-9*MAX(1,N_Ed),(E11+F11)/2,E11)</f>
        <v/>
      </c>
      <c r="J11">
        <f>IF($H11&lt;N_Ed-1E-9*MAX(1,N_Ed),F11,(E11+F11)/2)</f>
        <v/>
      </c>
      <c r="K11">
        <f>h_col*((I11+J11)/2)/(1-(I11+J11)/2)</f>
        <v/>
      </c>
      <c r="L11">
        <f>(f_cd*b_col*((3*MIN(K11,h_col)/7)+(4*MIN(K11,h_col)/7)*(1-((4*MIN(K11,h_col)/7)/(K11-(3*MIN(K11,h_col)/7)))^2/3))+$D11/2*((MAX(-f_yd,MIN(f_yd,200000*IF(K11&lt;=h_col,0.0035*(K11-d_2)/K11,0.002*(K11-d_2)/(K11-3*h_col/7))))-f_cd*(1-(1-MAX(0,MIN(1,IF(K11&lt;=h_col,0.0035*(K11-d_2)/K11,0.002*(K11-d_2)/(K11-3*h_col/7))/0.002)))^2))+(MAX(-f_yd,MIN(f_yd,200000*IF(K11&lt;=h_col,0.0035*(K11-(h_col-d_2))/K11,0.002*(K11-(h_col-d_2))/(K11-3*h_col/7))))-f_cd*(1-(1-MAX(0,MIN(1,IF(K11&lt;=h_col,0.0035*(K11-(h_col-d_2))/K11,0.002*(K11-(h_col-d_2))/(K11-3*h_col/7))/0.002)))^2))))/1000</f>
        <v/>
      </c>
      <c r="M11">
        <f>IF($L11&lt;N_Ed-1E-9*MAX(1,N_Ed),(I11+J11)/2,I11)</f>
        <v/>
      </c>
      <c r="N11">
        <f>IF($L11&lt;N_Ed-1E-9*MAX(1,N_Ed),J11,(I11+J11)/2)</f>
        <v/>
      </c>
      <c r="O11">
        <f>h_col*((M11+N11)/2)/(1-(M11+N11)/2)</f>
        <v/>
      </c>
      <c r="P11">
        <f>(f_cd*b_col*((3*MIN(O11,h_col)/7)+(4*MIN(O11,h_col)/7)*(1-((4*MIN(O11,h_col)/7)/(O11-(3*MIN(O11,h_col)/7)))^2/3))+$D11/2*((MAX(-f_yd,MIN(f_yd,200000*IF(O11&lt;=h_col,0.0035*(O11-d_2)/O11,0.002*(O11-d_2)/(O11-3*h_col/7))))-f_cd*(1-(1-MAX(0,MIN(1,IF(O11&lt;=h_col,0.0035*(O11-d_2)/O11,0.002*(O11-d_2)/(O11-3*h_col/7))/0.002)))^2))+(MAX(-f_yd,MIN(f_yd,200000*IF(O11&lt;=h_col,0.0035*(O11-(h_col-d_2))/O11,0.002*(O11-(h_col-d_2))/(O11-3*h_col/7))))-f_cd*(1-(1-MAX(0,MIN(1,IF(O11&lt;=h_col,0.0035*(O11-(h_col-d_2))/O11,0.002*(O11-(h_col-d_2))/(O11-3*h_col/7))/0.002)))^2))))/1000</f>
        <v/>
      </c>
      <c r="Q11">
        <f>IF($P11&lt;N_Ed-1E-9*MAX(1,N_Ed),(M11+N11)/2,M11)</f>
        <v/>
      </c>
      <c r="R11">
        <f>IF($P11&lt;N_Ed-1E-9*MAX(1,N_Ed),N11,(M11+N11)/2)</f>
        <v/>
      </c>
      <c r="S11">
        <f>h_col*((Q11+R11)/2)/(1-(Q11+R11)/2)</f>
        <v/>
      </c>
      <c r="T11">
        <f>(f_cd*b_col*((3*MIN(S11,h_col)/7)+(4*MIN(S11,h_col)/7)*(1-((4*MIN(S11,h_col)/7)/(S11-(3*MIN(S11,h_col)/7)))^2/3))+$D11/2*((MAX(-f_yd,MIN(f_yd,200000*IF(S11&lt;=h_col,0.0035*(S11-d_2)/S11,0.002*(S11-d_2)/(S11-3*h_col/7))))-f_cd*(1-(1-MAX(0,MIN(1,IF(S11&lt;=h_col,0.0035*(S11-d_2)/S11,0.002*(S11-d_2)/(S11-3*h_col/7))/0.002)))^2))+(MAX(-f_yd,MIN(f_yd,200000*IF(S11&lt;=h_col,0.0035*(S11-(h_col-d_2))/S11,0.002*(S11-(h_col-d_2))/(S11-3*h_col/7))))-f_cd*(1-(1-MAX(0,MIN(1,IF(S11&lt;=h_col,0.0035*(S11-(h_col-d_2))/S11,0.002*(S11-(h_col-d_2))/(S11-3*h_col/7))/0.002)))^2))))/1000</f>
        <v/>
      </c>
      <c r="U11">
        <f>IF($T11&lt;N_Ed-1E-9*MAX(1,N_Ed),(Q11+R11)/2,Q11)</f>
        <v/>
      </c>
      <c r="V11">
        <f>IF($T11&lt;N_Ed-1E-9*MAX(1,N_Ed),R11,(Q11+R11)/2)</f>
        <v/>
      </c>
      <c r="W11">
        <f>h_col*((U11+V11)/2)/(1-(U11+V11)/2)</f>
        <v/>
      </c>
      <c r="X11">
        <f>(f_cd*b_col*((3*MIN(W11,h_col)/7)+(4*MIN(W11,h_col)/7)*(1-((4*MIN(W11,h_col)/7)/(W11-(3*MIN(W11,h_col)/7)))^2/3))+$D11/2*((MAX(-f_yd,MIN(f_yd,200000*IF(W11&lt;=h_col,0.0035*(W11-d_2)/W11,0.002*(W11-d_2)/(W11-3*h_col/7))))-f_cd*(1-(1-MAX(0,MIN(1,IF(W11&lt;=h_col,0.0035*(W11-d_2)/W11,0.002*(W11-d_2)/(W11-3*h_col/7))/0.002)))^2))+(MAX(-f_yd,MIN(f_yd,200000*IF(W11&lt;=h_col,0.0035*(W11-(h_col-d_2))/W11,0.002*(W11-(h_col-d_2))/(W11-3*h_col/7))))-f_cd*(1-(1-MAX(0,MIN(1,IF(W11&lt;=h_col,0.0035*(W11-(h_col-d_2))/W11,0.002*(W11-(h_col-d_2))/(W11-3*h_col/7))/0.002)))^2))))/1000</f>
        <v/>
      </c>
      <c r="Y11">
        <f>IF($X11&lt;N_Ed-1E-9*MAX(1,N_Ed),(U11+V11)/2,U11)</f>
        <v/>
      </c>
      <c r="Z11">
        <f>IF($X11&lt;N_Ed-1E-9*MAX(1,N_Ed),V11,(U11+V11)/2)</f>
        <v/>
      </c>
      <c r="AA11">
        <f>h_col*((Y11+Z11)/2)/(1-(Y11+Z11)/2)</f>
        <v/>
      </c>
      <c r="AB11">
        <f>(f_cd*b_col*((3*MIN(AA11,h_col)/7)+(4*MIN(AA11,h_col)/7)*(1-((4*MIN(AA11,h_col)/7)/(AA11-(3*MIN(AA11,h_col)/7)))^2/3))+$D11/2*((MAX(-f_yd,MIN(f_yd,200000*IF(AA11&lt;=h_col,0.0035*(AA11-d_2)/AA11,0.002*(AA11-d_2)/(AA11-3*h_col/7))))-f_cd*(1-(1-MAX(0,MIN(1,IF(AA11&lt;=h_col,0.0035*(AA11-d_2)/AA11,0.002*(AA11-d_2)/(AA11-3*h_col/7))/0.002)))^2))+(MAX(-f_yd,MIN(f_yd,200000*IF(AA11&lt;=h_col,0.0035*(AA11-(h_col-d_2))/AA11,0.002*(AA11-(h_col-d_2))/(AA11-3*h_col/7))))-f_cd*(1-(1-MAX(0,MIN(1,IF(AA11&lt;=h_col,0.0035*(AA11-(h_col-d_2))/AA11,0.002*(AA11-(h_col-d_2))/(AA11-3*h_col/7))/0.002)))^2))))/1000</f>
        <v/>
      </c>
      <c r="AC11">
        <f>IF($AB11&lt;N_Ed-1E-9*MAX(1,N_Ed),(Y11+Z11)/2,Y11)</f>
        <v/>
      </c>
      <c r="AD11">
        <f>IF($AB11&lt;N_Ed-1E-9*MAX(1,N_Ed),Z11,(Y11+Z11)/2)</f>
        <v/>
      </c>
      <c r="AE11">
        <f>h_col*((AC11+AD11)/2)/(1-(AC11+AD11)/2)</f>
        <v/>
      </c>
      <c r="AF11">
        <f>(f_cd*b_col*((3*MIN(AE11,h_col)/7)+(4*MIN(AE11,h_col)/7)*(1-((4*MIN(AE11,h_col)/7)/(AE11-(3*MIN(AE11,h_col)/7)))^2/3))+$D11/2*((MAX(-f_yd,MIN(f_yd,200000*IF(AE11&lt;=h_col,0.0035*(AE11-d_2)/AE11,0.002*(AE11-d_2)/(AE11-3*h_col/7))))-f_cd*(1-(1-MAX(0,MIN(1,IF(AE11&lt;=h_col,0.0035*(AE11-d_2)/AE11,0.002*(AE11-d_2)/(AE11-3*h_col/7))/0.002)))^2))+(MAX(-f_yd,MIN(f_yd,200000*IF(AE11&lt;=h_col,0.0035*(AE11-(h_col-d_2))/AE11,0.002*(AE11-(h_col-d_2))/(AE11-3*h_col/7))))-f_cd*(1-(1-MAX(0,MIN(1,IF(AE11&lt;=h_col,0.0035*(AE11-(h_col-d_2))/AE11,0.002*(AE11-(h_col-d_2))/(AE11-3*h_col/7))/0.002)))^2))))/1000</f>
        <v/>
      </c>
      <c r="AG11">
        <f>IF($AF11&lt;N_Ed-1E-9*MAX(1,N_Ed),(AC11+AD11)/2,AC11)</f>
        <v/>
      </c>
      <c r="AH11">
        <f>IF($AF11&lt;N_Ed-1E-9*MAX(1,N_Ed),AD11,(AC11+AD11)/2)</f>
        <v/>
      </c>
      <c r="AI11">
        <f>h_col*((AG11+AH11)/2)/(1-(AG11+AH11)/2)</f>
        <v/>
      </c>
      <c r="AJ11">
        <f>(f_cd*b_col*((3*MIN(AI11,h_col)/7)+(4*MIN(AI11,h_col)/7)*(1-((4*MIN(AI11,h_col)/7)/(AI11-(3*MIN(AI11,h_col)/7)))^2/3))+$D11/2*((MAX(-f_yd,MIN(f_yd,200000*IF(AI11&lt;=h_col,0.0035*(AI11-d_2)/AI11,0.002*(AI11-d_2)/(AI11-3*h_col/7))))-f_cd*(1-(1-MAX(0,MIN(1,IF(AI11&lt;=h_col,0.0035*(AI11-d_2)/AI11,0.002*(AI11-d_2)/(AI11-3*h_col/7))/0.002)))^2))+(MAX(-f_yd,MIN(f_yd,200000*IF(AI11&lt;=h_col,0.0035*(AI11-(h_col-d_2))/AI11,0.002*(AI11-(h_col-d_2))/(AI11-3*h_col/7))))-f_cd*(1-(1-MAX(0,MIN(1,IF(AI11&lt;=h_col,0.0035*(AI11-(h_col-d_2))/AI11,0.002*(AI11-(h_col-d_2))/(AI11-3*h_col/7))/0.002)))^2))))/1000</f>
        <v/>
      </c>
      <c r="AK11">
        <f>IF($AJ11&lt;N_Ed-1E-9*MAX(1,N_Ed),(AG11+AH11)/2,AG11)</f>
        <v/>
      </c>
      <c r="AL11">
        <f>IF($AJ11&lt;N_Ed-1E-9*MAX(1,N_Ed),AH11,(AG11+AH11)/2)</f>
        <v/>
      </c>
      <c r="AM11">
        <f>h_col*((AK11+AL11)/2)/(1-(AK11+AL11)/2)</f>
        <v/>
      </c>
      <c r="AN11">
        <f>(f_cd*b_col*((3*MIN(AM11,h_col)/7)+(4*MIN(AM11,h_col)/7)*(1-((4*MIN(AM11,h_col)/7)/(AM11-(3*MIN(AM11,h_col)/7)))^2/3))+$D11/2*((MAX(-f_yd,MIN(f_yd,200000*IF(AM11&lt;=h_col,0.0035*(AM11-d_2)/AM11,0.002*(AM11-d_2)/(AM11-3*h_col/7))))-f_cd*(1-(1-MAX(0,MIN(1,IF(AM11&lt;=h_col,0.0035*(AM11-d_2)/AM11,0.002*(AM11-d_2)/(AM11-3*h_col/7))/0.002)))^2))+(MAX(-f_yd,MIN(f_yd,200000*IF(AM11&lt;=h_col,0.0035*(AM11-(h_col-d_2))/AM11,0.002*(AM11-(h_col-d_2))/(AM11-3*h_col/7))))-f_cd*(1-(1-MAX(0,MIN(1,IF(AM11&lt;=h_col,0.0035*(AM11-(h_col-d_2))/AM11,0.002*(AM11-(h_col-d_2))/(AM11-3*h_col/7))/0.002)))^2))))/1000</f>
        <v/>
      </c>
      <c r="AO11">
        <f>IF($AN11&lt;N_Ed-1E-9*MAX(1,N_Ed),(AK11+AL11)/2,AK11)</f>
        <v/>
      </c>
      <c r="AP11">
        <f>IF($AN11&lt;N_Ed-1E-9*MAX(1,N_Ed),AL11,(AK11+AL11)/2)</f>
        <v/>
      </c>
      <c r="AQ11">
        <f>h_col*((AO11+AP11)/2)/(1-(AO11+AP11)/2)</f>
        <v/>
      </c>
      <c r="AR11">
        <f>(f_cd*b_col*((3*MIN(AQ11,h_col)/7)+(4*MIN(AQ11,h_col)/7)*(1-((4*MIN(AQ11,h_col)/7)/(AQ11-(3*MIN(AQ11,h_col)/7)))^2/3))+$D11/2*((MAX(-f_yd,MIN(f_yd,200000*IF(AQ11&lt;=h_col,0.0035*(AQ11-d_2)/AQ11,0.002*(AQ11-d_2)/(AQ11-3*h_col/7))))-f_cd*(1-(1-MAX(0,MIN(1,IF(AQ11&lt;=h_col,0.0035*(AQ11-d_2)/AQ11,0.002*(AQ11-d_2)/(AQ11-3*h_col/7))/0.002)))^2))+(MAX(-f_yd,MIN(f_yd,200000*IF(AQ11&lt;=h_col,0.0035*(AQ11-(h_col-d_2))/AQ11,0.002*(AQ11-(h_col-d_2))/(AQ11-3*h_col/7))))-f_cd*(1-(1-MAX(0,MIN(1,IF(AQ11&lt;=h_col,0.0035*(AQ11-(h_col-d_2))/AQ11,0.002*(AQ11-(h_col-d_2))/(AQ11-3*h_col/7))/0.002)))^2))))/1000</f>
        <v/>
      </c>
      <c r="AS11">
        <f>IF($AR11&lt;N_Ed-1E-9*MAX(1,N_Ed),(AO11+AP11)/2,AO11)</f>
        <v/>
      </c>
      <c r="AT11">
        <f>IF($AR11&lt;N_Ed-1E-9*MAX(1,N_Ed),AP11,(AO11+AP11)/2)</f>
        <v/>
      </c>
      <c r="AU11">
        <f>h_col*((AS11+AT11)/2)/(1-(AS11+AT11)/2)</f>
        <v/>
      </c>
      <c r="AV11">
        <f>(f_cd*b_col*((3*MIN(AU11,h_col)/7)+(4*MIN(AU11,h_col)/7)*(1-((4*MIN(AU11,h_col)/7)/(AU11-(3*MIN(AU11,h_col)/7)))^2/3))+$D11/2*((MAX(-f_yd,MIN(f_yd,200000*IF(AU11&lt;=h_col,0.0035*(AU11-d_2)/AU11,0.002*(AU11-d_2)/(AU11-3*h_col/7))))-f_cd*(1-(1-MAX(0,MIN(1,IF(AU11&lt;=h_col,0.0035*(AU11-d_2)/AU11,0.002*(AU11-d_2)/(AU11-3*h_col/7))/0.002)))^2))+(MAX(-f_yd,MIN(f_yd,200000*IF(AU11&lt;=h_col,0.0035*(AU11-(h_col-d_2))/AU11,0.002*(AU11-(h_col-d_2))/(AU11-3*h_col/7))))-f_cd*(1-(1-MAX(0,MIN(1,IF(AU11&lt;=h_col,0.0035*(AU11-(h_col-d_2))/AU11,0.002*(AU11-(h_col-d_2))/(AU11-3*h_col/7))/0.002)))^2))))/1000</f>
        <v/>
      </c>
      <c r="AW11">
        <f>IF($AV11&lt;N_Ed-1E-9*MAX(1,N_Ed),(AS11+AT11)/2,AS11)</f>
        <v/>
      </c>
      <c r="AX11">
        <f>IF($AV11&lt;N_Ed-1E-9*MAX(1,N_Ed),AT11,(AS11+AT11)/2)</f>
        <v/>
      </c>
      <c r="AY11">
        <f>h_col*((AW11+AX11)/2)/(1-(AW11+AX11)/2)</f>
        <v/>
      </c>
      <c r="AZ11">
        <f>(f_cd*b_col*((3*MIN(AY11,h_col)/7)+(4*MIN(AY11,h_col)/7)*(1-((4*MIN(AY11,h_col)/7)/(AY11-(3*MIN(AY11,h_col)/7)))^2/3))+$D11/2*((MAX(-f_yd,MIN(f_yd,200000*IF(AY11&lt;=h_col,0.0035*(AY11-d_2)/AY11,0.002*(AY11-d_2)/(AY11-3*h_col/7))))-f_cd*(1-(1-MAX(0,MIN(1,IF(AY11&lt;=h_col,0.0035*(AY11-d_2)/AY11,0.002*(AY11-d_2)/(AY11-3*h_col/7))/0.002)))^2))+(MAX(-f_yd,MIN(f_yd,200000*IF(AY11&lt;=h_col,0.0035*(AY11-(h_col-d_2))/AY11,0.002*(AY11-(h_col-d_2))/(AY11-3*h_col/7))))-f_cd*(1-(1-MAX(0,MIN(1,IF(AY11&lt;=h_col,0.0035*(AY11-(h_col-d_2))/AY11,0.002*(AY11-(h_col-d_2))/(AY11-3*h_col/7))/0.002)))^2))))/1000</f>
        <v/>
      </c>
      <c r="BA11">
        <f>IF($AZ11&lt;N_Ed-1E-9*MAX(1,N_Ed),(AW11+AX11)/2,AW11)</f>
        <v/>
      </c>
      <c r="BB11">
        <f>IF($AZ11&lt;N_Ed-1E-9*MAX(1,N_Ed),AX11,(AW11+AX11)/2)</f>
        <v/>
      </c>
      <c r="BC11">
        <f>h_col*((BA11+BB11)/2)/(1-(BA11+BB11)/2)</f>
        <v/>
      </c>
      <c r="BD11">
        <f>(f_cd*b_col*((3*MIN(BC11,h_col)/7)+(4*MIN(BC11,h_col)/7)*(1-((4*MIN(BC11,h_col)/7)/(BC11-(3*MIN(BC11,h_col)/7)))^2/3))+$D11/2*((MAX(-f_yd,MIN(f_yd,200000*IF(BC11&lt;=h_col,0.0035*(BC11-d_2)/BC11,0.002*(BC11-d_2)/(BC11-3*h_col/7))))-f_cd*(1-(1-MAX(0,MIN(1,IF(BC11&lt;=h_col,0.0035*(BC11-d_2)/BC11,0.002*(BC11-d_2)/(BC11-3*h_col/7))/0.002)))^2))+(MAX(-f_yd,MIN(f_yd,200000*IF(BC11&lt;=h_col,0.0035*(BC11-(h_col-d_2))/BC11,0.002*(BC11-(h_col-d_2))/(BC11-3*h_col/7))))-f_cd*(1-(1-MAX(0,MIN(1,IF(BC11&lt;=h_col,0.0035*(BC11-(h_col-d_2))/BC11,0.002*(BC11-(h_col-d_2))/(BC11-3*h_col/7))/0.002)))^2))))/1000</f>
        <v/>
      </c>
      <c r="BE11">
        <f>IF($BD11&lt;N_Ed-1E-9*MAX(1,N_Ed),(BA11+BB11)/2,BA11)</f>
        <v/>
      </c>
      <c r="BF11">
        <f>IF($BD11&lt;N_Ed-1E-9*MAX(1,N_Ed),BB11,(BA11+BB11)/2)</f>
        <v/>
      </c>
      <c r="BG11">
        <f>h_col*((BE11+BF11)/2)/(1-(BE11+BF11)/2)</f>
        <v/>
      </c>
      <c r="BH11">
        <f>(f_cd*b_col*((3*MIN(BG11,h_col)/7)+(4*MIN(BG11,h_col)/7)*(1-((4*MIN(BG11,h_col)/7)/(BG11-(3*MIN(BG11,h_col)/7)))^2/3))+$D11/2*((MAX(-f_yd,MIN(f_yd,200000*IF(BG11&lt;=h_col,0.0035*(BG11-d_2)/BG11,0.002*(BG11-d_2)/(BG11-3*h_col/7))))-f_cd*(1-(1-MAX(0,MIN(1,IF(BG11&lt;=h_col,0.0035*(BG11-d_2)/BG11,0.002*(BG11-d_2)/(BG11-3*h_col/7))/0.002)))^2))+(MAX(-f_yd,MIN(f_yd,200000*IF(BG11&lt;=h_col,0.0035*(BG11-(h_col-d_2))/BG11,0.002*(BG11-(h_col-d_2))/(BG11-3*h_col/7))))-f_cd*(1-(1-MAX(0,MIN(1,IF(BG11&lt;=h_col,0.0035*(BG11-(h_col-d_2))/BG11,0.002*(BG11-(h_col-d_2))/(BG11-3*h_col/7))/0.002)))^2))))/1000</f>
        <v/>
      </c>
      <c r="BI11">
        <f>IF($BH11&lt;N_Ed-1E-9*MAX(1,N_Ed),(BE11+BF11)/2,BE11)</f>
        <v/>
      </c>
      <c r="BJ11">
        <f>IF($BH11&lt;N_Ed-1E-9*MAX(1,N_Ed),BF11,(BE11+BF11)/2)</f>
        <v/>
      </c>
      <c r="BK11">
        <f>h_col*((BI11+BJ11)/2)/(1-(BI11+BJ11)/2)</f>
        <v/>
      </c>
      <c r="BL11">
        <f>(f_cd*b_col*((3*MIN(BK11,h_col)/7)+(4*MIN(BK11,h_col)/7)*(1-((4*MIN(BK11,h_col)/7)/(BK11-(3*MIN(BK11,h_col)/7)))^2/3))+$D11/2*((MAX(-f_yd,MIN(f_yd,200000*IF(BK11&lt;=h_col,0.0035*(BK11-d_2)/BK11,0.002*(BK11-d_2)/(BK11-3*h_col/7))))-f_cd*(1-(1-MAX(0,MIN(1,IF(BK11&lt;=h_col,0.0035*(BK11-d_2)/BK11,0.002*(BK11-d_2)/(BK11-3*h_col/7))/0.002)))^2))+(MAX(-f_yd,MIN(f_yd,200000*IF(BK11&lt;=h_col,0.0035*(BK11-(h_col-d_2))/BK11,0.002*(BK11-(h_col-d_2))/(BK11-3*h_col/7))))-f_cd*(1-(1-MAX(0,MIN(1,IF(BK11&lt;=h_col,0.0035*(BK11-(h_col-d_2))/BK11,0.002*(BK11-(h_col-d_2))/(BK11-3*h_col/7))/0.002)))^2))))/1000</f>
        <v/>
      </c>
      <c r="BM11">
        <f>IF($BL11&lt;N_Ed-1E-9*MAX(1,N_Ed),(BI11+BJ11)/2,BI11)</f>
        <v/>
      </c>
      <c r="BN11">
        <f>IF($BL11&lt;N_Ed-1E-9*MAX(1,N_Ed),BJ11,(BI11+BJ11)/2)</f>
        <v/>
      </c>
      <c r="BO11">
        <f>h_col*((BM11+BN11)/2)/(1-(BM11+BN11)/2)</f>
        <v/>
      </c>
      <c r="BP11">
        <f>(f_cd*b_col*((3*MIN(BO11,h_col)/7)+(4*MIN(BO11,h_col)/7)*(1-((4*MIN(BO11,h_col)/7)/(BO11-(3*MIN(BO11,h_col)/7)))^2/3))+$D11/2*((MAX(-f_yd,MIN(f_yd,200000*IF(BO11&lt;=h_col,0.0035*(BO11-d_2)/BO11,0.002*(BO11-d_2)/(BO11-3*h_col/7))))-f_cd*(1-(1-MAX(0,MIN(1,IF(BO11&lt;=h_col,0.0035*(BO11-d_2)/BO11,0.002*(BO11-d_2)/(BO11-3*h_col/7))/0.002)))^2))+(MAX(-f_yd,MIN(f_yd,200000*IF(BO11&lt;=h_col,0.0035*(BO11-(h_col-d_2))/BO11,0.002*(BO11-(h_col-d_2))/(BO11-3*h_col/7))))-f_cd*(1-(1-MAX(0,MIN(1,IF(BO11&lt;=h_col,0.0035*(BO11-(h_col-d_2))/BO11,0.002*(BO11-(h_col-d_2))/(BO11-3*h_col/7))/0.002)))^2))))/1000</f>
        <v/>
      </c>
      <c r="BQ11">
        <f>IF($BP11&lt;N_Ed-1E-9*MAX(1,N_Ed),(BM11+BN11)/2,BM11)</f>
        <v/>
      </c>
      <c r="BR11">
        <f>IF($BP11&lt;N_Ed-1E-9*MAX(1,N_Ed),BN11,(BM11+BN11)/2)</f>
        <v/>
      </c>
      <c r="BS11">
        <f>h_col*((BQ11+BR11)/2)/(1-(BQ11+BR11)/2)</f>
        <v/>
      </c>
      <c r="BT11">
        <f>(f_cd*b_col*((3*MIN(BS11,h_col)/7)+(4*MIN(BS11,h_col)/7)*(1-((4*MIN(BS11,h_col)/7)/(BS11-(3*MIN(BS11,h_col)/7)))^2/3))+$D11/2*((MAX(-f_yd,MIN(f_yd,200000*IF(BS11&lt;=h_col,0.0035*(BS11-d_2)/BS11,0.002*(BS11-d_2)/(BS11-3*h_col/7))))-f_cd*(1-(1-MAX(0,MIN(1,IF(BS11&lt;=h_col,0.0035*(BS11-d_2)/BS11,0.002*(BS11-d_2)/(BS11-3*h_col/7))/0.002)))^2))+(MAX(-f_yd,MIN(f_yd,200000*IF(BS11&lt;=h_col,0.0035*(BS11-(h_col-d_2))/BS11,0.002*(BS11-(h_col-d_2))/(BS11-3*h_col/7))))-f_cd*(1-(1-MAX(0,MIN(1,IF(BS11&lt;=h_col,0.0035*(BS11-(h_col-d_2))/BS11,0.002*(BS11-(h_col-d_2))/(BS11-3*h_col/7))/0.002)))^2))))/1000</f>
        <v/>
      </c>
      <c r="BU11">
        <f>IF($BT11&lt;N_Ed-1E-9*MAX(1,N_Ed),(BQ11+BR11)/2,BQ11)</f>
        <v/>
      </c>
      <c r="BV11">
        <f>IF($BT11&lt;N_Ed-1E-9*MAX(1,N_Ed),BR11,(BQ11+BR11)/2)</f>
        <v/>
      </c>
      <c r="BW11">
        <f>h_col*((BU11+BV11)/2)/(1-(BU11+BV11)/2)</f>
        <v/>
      </c>
      <c r="BX11">
        <f>(f_cd*b_col*((3*MIN(BW11,h_col)/7)+(4*MIN(BW11,h_col)/7)*(1-((4*MIN(BW11,h_col)/7)/(BW11-(3*MIN(BW11,h_col)/7)))^2/3))+$D11/2*((MAX(-f_yd,MIN(f_yd,200000*IF(BW11&lt;=h_col,0.0035*(BW11-d_2)/BW11,0.002*(BW11-d_2)/(BW11-3*h_col/7))))-f_cd*(1-(1-MAX(0,MIN(1,IF(BW11&lt;=h_col,0.0035*(BW11-d_2)/BW11,0.002*(BW11-d_2)/(BW11-3*h_col/7))/0.002)))^2))+(MAX(-f_yd,MIN(f_yd,200000*IF(BW11&lt;=h_col,0.0035*(BW11-(h_col-d_2))/BW11,0.002*(BW11-(h_col-d_2))/(BW11-3*h_col/7))))-f_cd*(1-(1-MAX(0,MIN(1,IF(BW11&lt;=h_col,0.0035*(BW11-(h_col-d_2))/BW11,0.002*(BW11-(h_col-d_2))/(BW11-3*h_col/7))/0.002)))^2))))/1000</f>
        <v/>
      </c>
      <c r="BY11">
        <f>IF($BX11&lt;N_Ed-1E-9*MAX(1,N_Ed),(BU11+BV11)/2,BU11)</f>
        <v/>
      </c>
      <c r="BZ11">
        <f>IF($BX11&lt;N_Ed-1E-9*MAX(1,N_Ed),BV11,(BU11+BV11)/2)</f>
        <v/>
      </c>
      <c r="CA11">
        <f>h_col*((BY11+BZ11)/2)/(1-(BY11+BZ11)/2)</f>
        <v/>
      </c>
      <c r="CB11">
        <f>(f_cd*b_col*((3*MIN(CA11,h_col)/7)+(4*MIN(CA11,h_col)/7)*(1-((4*MIN(CA11,h_col)/7)/(CA11-(3*MIN(CA11,h_col)/7)))^2/3))+$D11/2*((MAX(-f_yd,MIN(f_yd,200000*IF(CA11&lt;=h_col,0.0035*(CA11-d_2)/CA11,0.002*(CA11-d_2)/(CA11-3*h_col/7))))-f_cd*(1-(1-MAX(0,MIN(1,IF(CA11&lt;=h_col,0.0035*(CA11-d_2)/CA11,0.002*(CA11-d_2)/(CA11-3*h_col/7))/0.002)))^2))+(MAX(-f_yd,MIN(f_yd,200000*IF(CA11&lt;=h_col,0.0035*(CA11-(h_col-d_2))/CA11,0.002*(CA11-(h_col-d_2))/(CA11-3*h_col/7))))-f_cd*(1-(1-MAX(0,MIN(1,IF(CA11&lt;=h_col,0.0035*(CA11-(h_col-d_2))/CA11,0.002*(CA11-(h_col-d_2))/(CA11-3*h_col/7))/0.002)))^2))))/1000</f>
        <v/>
      </c>
      <c r="CC11">
        <f>IF($CB11&lt;N_Ed-1E-9*MAX(1,N_Ed),(BY11+BZ11)/2,BY11)</f>
        <v/>
      </c>
      <c r="CD11">
        <f>IF($CB11&lt;N_Ed-1E-9*MAX(1,N_Ed),BZ11,(BY11+BZ11)/2)</f>
        <v/>
      </c>
      <c r="CE11">
        <f>h_col*((CC11+CD11)/2)/(1-(CC11+CD11)/2)</f>
        <v/>
      </c>
      <c r="CF11">
        <f>(f_cd*b_col*((3*MIN(CE11,h_col)/7)+(4*MIN(CE11,h_col)/7)*(1-((4*MIN(CE11,h_col)/7)/(CE11-(3*MIN(CE11,h_col)/7)))^2/3))+$D11/2*((MAX(-f_yd,MIN(f_yd,200000*IF(CE11&lt;=h_col,0.0035*(CE11-d_2)/CE11,0.002*(CE11-d_2)/(CE11-3*h_col/7))))-f_cd*(1-(1-MAX(0,MIN(1,IF(CE11&lt;=h_col,0.0035*(CE11-d_2)/CE11,0.002*(CE11-d_2)/(CE11-3*h_col/7))/0.002)))^2))+(MAX(-f_yd,MIN(f_yd,200000*IF(CE11&lt;=h_col,0.0035*(CE11-(h_col-d_2))/CE11,0.002*(CE11-(h_col-d_2))/(CE11-3*h_col/7))))-f_cd*(1-(1-MAX(0,MIN(1,IF(CE11&lt;=h_col,0.0035*(CE11-(h_col-d_2))/CE11,0.002*(CE11-(h_col-d_2))/(CE11-3*h_col/7))/0.002)))^2))))/1000</f>
        <v/>
      </c>
      <c r="CG11">
        <f>IF($CF11&lt;N_Ed-1E-9*MAX(1,N_Ed),(CC11+CD11)/2,CC11)</f>
        <v/>
      </c>
      <c r="CH11">
        <f>IF($CF11&lt;N_Ed-1E-9*MAX(1,N_Ed),CD11,(CC11+CD11)/2)</f>
        <v/>
      </c>
      <c r="CI11">
        <f>h_col*((CG11+CH11)/2)/(1-(CG11+CH11)/2)</f>
        <v/>
      </c>
      <c r="CJ11">
        <f>(f_cd*b_col*((3*MIN(CI11,h_col)/7)+(4*MIN(CI11,h_col)/7)*(1-((4*MIN(CI11,h_col)/7)/(CI11-(3*MIN(CI11,h_col)/7)))^2/3))+$D11/2*((MAX(-f_yd,MIN(f_yd,200000*IF(CI11&lt;=h_col,0.0035*(CI11-d_2)/CI11,0.002*(CI11-d_2)/(CI11-3*h_col/7))))-f_cd*(1-(1-MAX(0,MIN(1,IF(CI11&lt;=h_col,0.0035*(CI11-d_2)/CI11,0.002*(CI11-d_2)/(CI11-3*h_col/7))/0.002)))^2))+(MAX(-f_yd,MIN(f_yd,200000*IF(CI11&lt;=h_col,0.0035*(CI11-(h_col-d_2))/CI11,0.002*(CI11-(h_col-d_2))/(CI11-3*h_col/7))))-f_cd*(1-(1-MAX(0,MIN(1,IF(CI11&lt;=h_col,0.0035*(CI11-(h_col-d_2))/CI11,0.002*(CI11-(h_col-d_2))/(CI11-3*h_col/7))/0.002)))^2))))/1000</f>
        <v/>
      </c>
      <c r="CK11">
        <f>IF($CJ11&lt;N_Ed-1E-9*MAX(1,N_Ed),(CG11+CH11)/2,CG11)</f>
        <v/>
      </c>
      <c r="CL11">
        <f>IF($CJ11&lt;N_Ed-1E-9*MAX(1,N_Ed),CH11,(CG11+CH11)/2)</f>
        <v/>
      </c>
      <c r="CM11">
        <f>h_col*((CK11+CL11)/2)/(1-(CK11+CL11)/2)</f>
        <v/>
      </c>
      <c r="CN11">
        <f>(f_cd*b_col*((3*MIN(CM11,h_col)/7)+(4*MIN(CM11,h_col)/7)*(1-((4*MIN(CM11,h_col)/7)/(CM11-(3*MIN(CM11,h_col)/7)))^2/3))+$D11/2*((MAX(-f_yd,MIN(f_yd,200000*IF(CM11&lt;=h_col,0.0035*(CM11-d_2)/CM11,0.002*(CM11-d_2)/(CM11-3*h_col/7))))-f_cd*(1-(1-MAX(0,MIN(1,IF(CM11&lt;=h_col,0.0035*(CM11-d_2)/CM11,0.002*(CM11-d_2)/(CM11-3*h_col/7))/0.002)))^2))+(MAX(-f_yd,MIN(f_yd,200000*IF(CM11&lt;=h_col,0.0035*(CM11-(h_col-d_2))/CM11,0.002*(CM11-(h_col-d_2))/(CM11-3*h_col/7))))-f_cd*(1-(1-MAX(0,MIN(1,IF(CM11&lt;=h_col,0.0035*(CM11-(h_col-d_2))/CM11,0.002*(CM11-(h_col-d_2))/(CM11-3*h_col/7))/0.002)))^2))))/1000</f>
        <v/>
      </c>
      <c r="CO11">
        <f>IF($CN11&lt;N_Ed-1E-9*MAX(1,N_Ed),(CK11+CL11)/2,CK11)</f>
        <v/>
      </c>
      <c r="CP11">
        <f>IF($CN11&lt;N_Ed-1E-9*MAX(1,N_Ed),CL11,(CK11+CL11)/2)</f>
        <v/>
      </c>
      <c r="CQ11">
        <f>h_col*((CO11+CP11)/2)/(1-(CO11+CP11)/2)</f>
        <v/>
      </c>
      <c r="CR11">
        <f>(f_cd*b_col*((3*MIN(CQ11,h_col)/7)+(4*MIN(CQ11,h_col)/7)*(1-((4*MIN(CQ11,h_col)/7)/(CQ11-(3*MIN(CQ11,h_col)/7)))^2/3))+$D11/2*((MAX(-f_yd,MIN(f_yd,200000*IF(CQ11&lt;=h_col,0.0035*(CQ11-d_2)/CQ11,0.002*(CQ11-d_2)/(CQ11-3*h_col/7))))-f_cd*(1-(1-MAX(0,MIN(1,IF(CQ11&lt;=h_col,0.0035*(CQ11-d_2)/CQ11,0.002*(CQ11-d_2)/(CQ11-3*h_col/7))/0.002)))^2))+(MAX(-f_yd,MIN(f_yd,200000*IF(CQ11&lt;=h_col,0.0035*(CQ11-(h_col-d_2))/CQ11,0.002*(CQ11-(h_col-d_2))/(CQ11-3*h_col/7))))-f_cd*(1-(1-MAX(0,MIN(1,IF(CQ11&lt;=h_col,0.0035*(CQ11-(h_col-d_2))/CQ11,0.002*(CQ11-(h_col-d_2))/(CQ11-3*h_col/7))/0.002)))^2))))/1000</f>
        <v/>
      </c>
      <c r="CS11">
        <f>IF($CR11&lt;N_Ed-1E-9*MAX(1,N_Ed),(CO11+CP11)/2,CO11)</f>
        <v/>
      </c>
      <c r="CT11">
        <f>IF($CR11&lt;N_Ed-1E-9*MAX(1,N_Ed),CP11,(CO11+CP11)/2)</f>
        <v/>
      </c>
      <c r="CU11">
        <f>h_col*((CS11+CT11)/2)/(1-(CS11+CT11)/2)</f>
        <v/>
      </c>
      <c r="CV11">
        <f>(f_cd*b_col*((3*MIN(CU11,h_col)/7)+(4*MIN(CU11,h_col)/7)*(1-((4*MIN(CU11,h_col)/7)/(CU11-(3*MIN(CU11,h_col)/7)))^2/3))+$D11/2*((MAX(-f_yd,MIN(f_yd,200000*IF(CU11&lt;=h_col,0.0035*(CU11-d_2)/CU11,0.002*(CU11-d_2)/(CU11-3*h_col/7))))-f_cd*(1-(1-MAX(0,MIN(1,IF(CU11&lt;=h_col,0.0035*(CU11-d_2)/CU11,0.002*(CU11-d_2)/(CU11-3*h_col/7))/0.002)))^2))+(MAX(-f_yd,MIN(f_yd,200000*IF(CU11&lt;=h_col,0.0035*(CU11-(h_col-d_2))/CU11,0.002*(CU11-(h_col-d_2))/(CU11-3*h_col/7))))-f_cd*(1-(1-MAX(0,MIN(1,IF(CU11&lt;=h_col,0.0035*(CU11-(h_col-d_2))/CU11,0.002*(CU11-(h_col-d_2))/(CU11-3*h_col/7))/0.002)))^2))))/1000</f>
        <v/>
      </c>
      <c r="CW11">
        <f>IF($CV11&lt;N_Ed-1E-9*MAX(1,N_Ed),(CS11+CT11)/2,CS11)</f>
        <v/>
      </c>
      <c r="CX11">
        <f>IF($CV11&lt;N_Ed-1E-9*MAX(1,N_Ed),CT11,(CS11+CT11)/2)</f>
        <v/>
      </c>
      <c r="CY11">
        <f>h_col*((CW11+CX11)/2)/(1-(CW11+CX11)/2)</f>
        <v/>
      </c>
      <c r="CZ11">
        <f>(f_cd*b_col*((3*MIN(CY11,h_col)/7)+(4*MIN(CY11,h_col)/7)*(1-((4*MIN(CY11,h_col)/7)/(CY11-(3*MIN(CY11,h_col)/7)))^2/3))+$D11/2*((MAX(-f_yd,MIN(f_yd,200000*IF(CY11&lt;=h_col,0.0035*(CY11-d_2)/CY11,0.002*(CY11-d_2)/(CY11-3*h_col/7))))-f_cd*(1-(1-MAX(0,MIN(1,IF(CY11&lt;=h_col,0.0035*(CY11-d_2)/CY11,0.002*(CY11-d_2)/(CY11-3*h_col/7))/0.002)))^2))+(MAX(-f_yd,MIN(f_yd,200000*IF(CY11&lt;=h_col,0.0035*(CY11-(h_col-d_2))/CY11,0.002*(CY11-(h_col-d_2))/(CY11-3*h_col/7))))-f_cd*(1-(1-MAX(0,MIN(1,IF(CY11&lt;=h_col,0.0035*(CY11-(h_col-d_2))/CY11,0.002*(CY11-(h_col-d_2))/(CY11-3*h_col/7))/0.002)))^2))))/1000</f>
        <v/>
      </c>
      <c r="DA11">
        <f>IF($CZ11&lt;N_Ed-1E-9*MAX(1,N_Ed),(CW11+CX11)/2,CW11)</f>
        <v/>
      </c>
      <c r="DB11">
        <f>IF($CZ11&lt;N_Ed-1E-9*MAX(1,N_Ed),CX11,(CW11+CX11)/2)</f>
        <v/>
      </c>
      <c r="DC11">
        <f>h_col*((DA11+DB11)/2)/(1-(DA11+DB11)/2)</f>
        <v/>
      </c>
      <c r="DD11">
        <f>(f_cd*b_col*((3*MIN(DC11,h_col)/7)+(4*MIN(DC11,h_col)/7)*(1-((4*MIN(DC11,h_col)/7)/(DC11-(3*MIN(DC11,h_col)/7)))^2/3))+$D11/2*((MAX(-f_yd,MIN(f_yd,200000*IF(DC11&lt;=h_col,0.0035*(DC11-d_2)/DC11,0.002*(DC11-d_2)/(DC11-3*h_col/7))))-f_cd*(1-(1-MAX(0,MIN(1,IF(DC11&lt;=h_col,0.0035*(DC11-d_2)/DC11,0.002*(DC11-d_2)/(DC11-3*h_col/7))/0.002)))^2))+(MAX(-f_yd,MIN(f_yd,200000*IF(DC11&lt;=h_col,0.0035*(DC11-(h_col-d_2))/DC11,0.002*(DC11-(h_col-d_2))/(DC11-3*h_col/7))))-f_cd*(1-(1-MAX(0,MIN(1,IF(DC11&lt;=h_col,0.0035*(DC11-(h_col-d_2))/DC11,0.002*(DC11-(h_col-d_2))/(DC11-3*h_col/7))/0.002)))^2))))/1000</f>
        <v/>
      </c>
      <c r="DE11">
        <f>IF($DD11&lt;N_Ed-1E-9*MAX(1,N_Ed),(DA11+DB11)/2,DA11)</f>
        <v/>
      </c>
      <c r="DF11">
        <f>IF($DD11&lt;N_Ed-1E-9*MAX(1,N_Ed),DB11,(DA11+DB11)/2)</f>
        <v/>
      </c>
      <c r="DG11">
        <f>h_col*((DE11+DF11)/2)/(1-(DE11+DF11)/2)</f>
        <v/>
      </c>
      <c r="DH11">
        <f>(f_cd*b_col*((3*MIN(DG11,h_col)/7)+(4*MIN(DG11,h_col)/7)*(1-((4*MIN(DG11,h_col)/7)/(DG11-(3*MIN(DG11,h_col)/7)))^2/3))+$D11/2*((MAX(-f_yd,MIN(f_yd,200000*IF(DG11&lt;=h_col,0.0035*(DG11-d_2)/DG11,0.002*(DG11-d_2)/(DG11-3*h_col/7))))-f_cd*(1-(1-MAX(0,MIN(1,IF(DG11&lt;=h_col,0.0035*(DG11-d_2)/DG11,0.002*(DG11-d_2)/(DG11-3*h_col/7))/0.002)))^2))+(MAX(-f_yd,MIN(f_yd,200000*IF(DG11&lt;=h_col,0.0035*(DG11-(h_col-d_2))/DG11,0.002*(DG11-(h_col-d_2))/(DG11-3*h_col/7))))-f_cd*(1-(1-MAX(0,MIN(1,IF(DG11&lt;=h_col,0.0035*(DG11-(h_col-d_2))/DG11,0.002*(DG11-(h_col-d_2))/(DG11-3*h_col/7))/0.002)))^2))))/1000</f>
        <v/>
      </c>
      <c r="DI11">
        <f>IF($DH11&lt;N_Ed-1E-9*MAX(1,N_Ed),(DE11+DF11)/2,DE11)</f>
        <v/>
      </c>
      <c r="DJ11">
        <f>IF($DH11&lt;N_Ed-1E-9*MAX(1,N_Ed),DF11,(DE11+DF11)/2)</f>
        <v/>
      </c>
      <c r="DK11">
        <f>h_col*((DI11+DJ11)/2)/(1-(DI11+DJ11)/2)</f>
        <v/>
      </c>
      <c r="DL11">
        <f>(f_cd*b_col*((3*MIN(DK11,h_col)/7)+(4*MIN(DK11,h_col)/7)*(1-((4*MIN(DK11,h_col)/7)/(DK11-(3*MIN(DK11,h_col)/7)))^2/3))+$D11/2*((MAX(-f_yd,MIN(f_yd,200000*IF(DK11&lt;=h_col,0.0035*(DK11-d_2)/DK11,0.002*(DK11-d_2)/(DK11-3*h_col/7))))-f_cd*(1-(1-MAX(0,MIN(1,IF(DK11&lt;=h_col,0.0035*(DK11-d_2)/DK11,0.002*(DK11-d_2)/(DK11-3*h_col/7))/0.002)))^2))+(MAX(-f_yd,MIN(f_yd,200000*IF(DK11&lt;=h_col,0.0035*(DK11-(h_col-d_2))/DK11,0.002*(DK11-(h_col-d_2))/(DK11-3*h_col/7))))-f_cd*(1-(1-MAX(0,MIN(1,IF(DK11&lt;=h_col,0.0035*(DK11-(h_col-d_2))/DK11,0.002*(DK11-(h_col-d_2))/(DK11-3*h_col/7))/0.002)))^2))))/1000</f>
        <v/>
      </c>
      <c r="DM11">
        <f>IF($DL11&lt;N_Ed-1E-9*MAX(1,N_Ed),(DI11+DJ11)/2,DI11)</f>
        <v/>
      </c>
      <c r="DN11">
        <f>IF($DL11&lt;N_Ed-1E-9*MAX(1,N_Ed),DJ11,(DI11+DJ11)/2)</f>
        <v/>
      </c>
      <c r="DO11">
        <f>h_col*((DM11+DN11)/2)/(1-(DM11+DN11)/2)</f>
        <v/>
      </c>
      <c r="DP11">
        <f>(f_cd*b_col*((3*MIN(DO11,h_col)/7)+(4*MIN(DO11,h_col)/7)*(1-((4*MIN(DO11,h_col)/7)/(DO11-(3*MIN(DO11,h_col)/7)))^2/3))+$D11/2*((MAX(-f_yd,MIN(f_yd,200000*IF(DO11&lt;=h_col,0.0035*(DO11-d_2)/DO11,0.002*(DO11-d_2)/(DO11-3*h_col/7))))-f_cd*(1-(1-MAX(0,MIN(1,IF(DO11&lt;=h_col,0.0035*(DO11-d_2)/DO11,0.002*(DO11-d_2)/(DO11-3*h_col/7))/0.002)))^2))+(MAX(-f_yd,MIN(f_yd,200000*IF(DO11&lt;=h_col,0.0035*(DO11-(h_col-d_2))/DO11,0.002*(DO11-(h_col-d_2))/(DO11-3*h_col/7))))-f_cd*(1-(1-MAX(0,MIN(1,IF(DO11&lt;=h_col,0.0035*(DO11-(h_col-d_2))/DO11,0.002*(DO11-(h_col-d_2))/(DO11-3*h_col/7))/0.002)))^2))))/1000</f>
        <v/>
      </c>
      <c r="DQ11">
        <f>IF($DP11&lt;N_Ed-1E-9*MAX(1,N_Ed),(DM11+DN11)/2,DM11)</f>
        <v/>
      </c>
      <c r="DR11">
        <f>IF($DP11&lt;N_Ed-1E-9*MAX(1,N_Ed),DN11,(DM11+DN11)/2)</f>
        <v/>
      </c>
      <c r="DS11">
        <f>h_col*((DQ11+DR11)/2)/(1-(DQ11+DR11)/2)</f>
        <v/>
      </c>
      <c r="DT11">
        <f>(f_cd*b_col*((3*MIN(DS11,h_col)/7)+(4*MIN(DS11,h_col)/7)*(1-((4*MIN(DS11,h_col)/7)/(DS11-(3*MIN(DS11,h_col)/7)))^2/3))+$D11/2*((MAX(-f_yd,MIN(f_yd,200000*IF(DS11&lt;=h_col,0.0035*(DS11-d_2)/DS11,0.002*(DS11-d_2)/(DS11-3*h_col/7))))-f_cd*(1-(1-MAX(0,MIN(1,IF(DS11&lt;=h_col,0.0035*(DS11-d_2)/DS11,0.002*(DS11-d_2)/(DS11-3*h_col/7))/0.002)))^2))+(MAX(-f_yd,MIN(f_yd,200000*IF(DS11&lt;=h_col,0.0035*(DS11-(h_col-d_2))/DS11,0.002*(DS11-(h_col-d_2))/(DS11-3*h_col/7))))-f_cd*(1-(1-MAX(0,MIN(1,IF(DS11&lt;=h_col,0.0035*(DS11-(h_col-d_2))/DS11,0.002*(DS11-(h_col-d_2))/(DS11-3*h_col/7))/0.002)))^2))))/1000</f>
        <v/>
      </c>
      <c r="DU11">
        <f>IF($DT11&lt;N_Ed-1E-9*MAX(1,N_Ed),(DQ11+DR11)/2,DQ11)</f>
        <v/>
      </c>
      <c r="DV11">
        <f>IF($DT11&lt;N_Ed-1E-9*MAX(1,N_Ed),DR11,(DQ11+DR11)/2)</f>
        <v/>
      </c>
      <c r="DW11">
        <f>h_col*((DU11+DV11)/2)/(1-(DU11+DV11)/2)</f>
        <v/>
      </c>
      <c r="DX11">
        <f>(f_cd*b_col*((3*MIN(DW11,h_col)/7)+(4*MIN(DW11,h_col)/7)*(1-((4*MIN(DW11,h_col)/7)/(DW11-(3*MIN(DW11,h_col)/7)))^2/3))+$D11/2*((MAX(-f_yd,MIN(f_yd,200000*IF(DW11&lt;=h_col,0.0035*(DW11-d_2)/DW11,0.002*(DW11-d_2)/(DW11-3*h_col/7))))-f_cd*(1-(1-MAX(0,MIN(1,IF(DW11&lt;=h_col,0.0035*(DW11-d_2)/DW11,0.002*(DW11-d_2)/(DW11-3*h_col/7))/0.002)))^2))+(MAX(-f_yd,MIN(f_yd,200000*IF(DW11&lt;=h_col,0.0035*(DW11-(h_col-d_2))/DW11,0.002*(DW11-(h_col-d_2))/(DW11-3*h_col/7))))-f_cd*(1-(1-MAX(0,MIN(1,IF(DW11&lt;=h_col,0.0035*(DW11-(h_col-d_2))/DW11,0.002*(DW11-(h_col-d_2))/(DW11-3*h_col/7))/0.002)))^2))))/1000</f>
        <v/>
      </c>
      <c r="DY11">
        <f>IF($DX11&lt;N_Ed-1E-9*MAX(1,N_Ed),(DU11+DV11)/2,DU11)</f>
        <v/>
      </c>
      <c r="DZ11">
        <f>IF($DX11&lt;N_Ed-1E-9*MAX(1,N_Ed),DV11,(DU11+DV11)/2)</f>
        <v/>
      </c>
      <c r="EA11">
        <f>h_col*((DY11+DZ11)/2)/(1-(DY11+DZ11)/2)</f>
        <v/>
      </c>
      <c r="EB11">
        <f>(f_cd*b_col*((3*MIN(EA11,h_col)/7)+(4*MIN(EA11,h_col)/7)*(1-((4*MIN(EA11,h_col)/7)/(EA11-(3*MIN(EA11,h_col)/7)))^2/3))+$D11/2*((MAX(-f_yd,MIN(f_yd,200000*IF(EA11&lt;=h_col,0.0035*(EA11-d_2)/EA11,0.002*(EA11-d_2)/(EA11-3*h_col/7))))-f_cd*(1-(1-MAX(0,MIN(1,IF(EA11&lt;=h_col,0.0035*(EA11-d_2)/EA11,0.002*(EA11-d_2)/(EA11-3*h_col/7))/0.002)))^2))+(MAX(-f_yd,MIN(f_yd,200000*IF(EA11&lt;=h_col,0.0035*(EA11-(h_col-d_2))/EA11,0.002*(EA11-(h_col-d_2))/(EA11-3*h_col/7))))-f_cd*(1-(1-MAX(0,MIN(1,IF(EA11&lt;=h_col,0.0035*(EA11-(h_col-d_2))/EA11,0.002*(EA11-(h_col-d_2))/(EA11-3*h_col/7))/0.002)))^2))))/1000</f>
        <v/>
      </c>
      <c r="EC11">
        <f>IF($EB11&lt;N_Ed-1E-9*MAX(1,N_Ed),(DY11+DZ11)/2,DY11)</f>
        <v/>
      </c>
      <c r="ED11">
        <f>IF($EB11&lt;N_Ed-1E-9*MAX(1,N_Ed),DZ11,(DY11+DZ11)/2)</f>
        <v/>
      </c>
      <c r="EE11">
        <f>h_col*((EC11+ED11)/2)/(1-(EC11+ED11)/2)</f>
        <v/>
      </c>
      <c r="EF11">
        <f>(f_cd*b_col*((3*MIN(EE11,h_col)/7)+(4*MIN(EE11,h_col)/7)*(1-((4*MIN(EE11,h_col)/7)/(EE11-(3*MIN(EE11,h_col)/7)))^2/3))+$D11/2*((MAX(-f_yd,MIN(f_yd,200000*IF(EE11&lt;=h_col,0.0035*(EE11-d_2)/EE11,0.002*(EE11-d_2)/(EE11-3*h_col/7))))-f_cd*(1-(1-MAX(0,MIN(1,IF(EE11&lt;=h_col,0.0035*(EE11-d_2)/EE11,0.002*(EE11-d_2)/(EE11-3*h_col/7))/0.002)))^2))+(MAX(-f_yd,MIN(f_yd,200000*IF(EE11&lt;=h_col,0.0035*(EE11-(h_col-d_2))/EE11,0.002*(EE11-(h_col-d_2))/(EE11-3*h_col/7))))-f_cd*(1-(1-MAX(0,MIN(1,IF(EE11&lt;=h_col,0.0035*(EE11-(h_col-d_2))/EE11,0.002*(EE11-(h_col-d_2))/(EE11-3*h_col/7))/0.002)))^2))))/1000</f>
        <v/>
      </c>
      <c r="EG11">
        <f>IF($EF11&lt;N_Ed-1E-9*MAX(1,N_Ed),(EC11+ED11)/2,EC11)</f>
        <v/>
      </c>
      <c r="EH11">
        <f>IF($EF11&lt;N_Ed-1E-9*MAX(1,N_Ed),ED11,(EC11+ED11)/2)</f>
        <v/>
      </c>
      <c r="EI11">
        <f>h_col*((EG11+EH11)/2)/(1-(EG11+EH11)/2)</f>
        <v/>
      </c>
      <c r="EJ11">
        <f>(f_cd*b_col*((3*MIN(EI11,h_col)/7)+(4*MIN(EI11,h_col)/7)*(1-((4*MIN(EI11,h_col)/7)/(EI11-(3*MIN(EI11,h_col)/7)))^2/3))+$D11/2*((MAX(-f_yd,MIN(f_yd,200000*IF(EI11&lt;=h_col,0.0035*(EI11-d_2)/EI11,0.002*(EI11-d_2)/(EI11-3*h_col/7))))-f_cd*(1-(1-MAX(0,MIN(1,IF(EI11&lt;=h_col,0.0035*(EI11-d_2)/EI11,0.002*(EI11-d_2)/(EI11-3*h_col/7))/0.002)))^2))+(MAX(-f_yd,MIN(f_yd,200000*IF(EI11&lt;=h_col,0.0035*(EI11-(h_col-d_2))/EI11,0.002*(EI11-(h_col-d_2))/(EI11-3*h_col/7))))-f_cd*(1-(1-MAX(0,MIN(1,IF(EI11&lt;=h_col,0.0035*(EI11-(h_col-d_2))/EI11,0.002*(EI11-(h_col-d_2))/(EI11-3*h_col/7))/0.002)))^2))))/1000</f>
        <v/>
      </c>
      <c r="EK11">
        <f>IF($EJ11&lt;N_Ed-1E-9*MAX(1,N_Ed),(EG11+EH11)/2,EG11)</f>
        <v/>
      </c>
      <c r="EL11">
        <f>IF($EJ11&lt;N_Ed-1E-9*MAX(1,N_Ed),EH11,(EG11+EH11)/2)</f>
        <v/>
      </c>
      <c r="EM11">
        <f>h_col*((EK11+EL11)/2)/(1-(EK11+EL11)/2)</f>
        <v/>
      </c>
      <c r="EN11">
        <f>(f_cd*b_col*((3*MIN(EM11,h_col)/7)+(4*MIN(EM11,h_col)/7)*(1-((4*MIN(EM11,h_col)/7)/(EM11-(3*MIN(EM11,h_col)/7)))^2/3))+$D11/2*((MAX(-f_yd,MIN(f_yd,200000*IF(EM11&lt;=h_col,0.0035*(EM11-d_2)/EM11,0.002*(EM11-d_2)/(EM11-3*h_col/7))))-f_cd*(1-(1-MAX(0,MIN(1,IF(EM11&lt;=h_col,0.0035*(EM11-d_2)/EM11,0.002*(EM11-d_2)/(EM11-3*h_col/7))/0.002)))^2))+(MAX(-f_yd,MIN(f_yd,200000*IF(EM11&lt;=h_col,0.0035*(EM11-(h_col-d_2))/EM11,0.002*(EM11-(h_col-d_2))/(EM11-3*h_col/7))))-f_cd*(1-(1-MAX(0,MIN(1,IF(EM11&lt;=h_col,0.0035*(EM11-(h_col-d_2))/EM11,0.002*(EM11-(h_col-d_2))/(EM11-3*h_col/7))/0.002)))^2))))/1000</f>
        <v/>
      </c>
      <c r="EO11">
        <f>IF($EN11&lt;N_Ed-1E-9*MAX(1,N_Ed),(EK11+EL11)/2,EK11)</f>
        <v/>
      </c>
      <c r="EP11">
        <f>IF($EN11&lt;N_Ed-1E-9*MAX(1,N_Ed),EL11,(EK11+EL11)/2)</f>
        <v/>
      </c>
      <c r="EQ11">
        <f>h_col*((EO11+EP11)/2)/(1-(EO11+EP11)/2)</f>
        <v/>
      </c>
      <c r="ER11">
        <f>(f_cd*b_col*((3*MIN(EQ11,h_col)/7)+(4*MIN(EQ11,h_col)/7)*(1-((4*MIN(EQ11,h_col)/7)/(EQ11-(3*MIN(EQ11,h_col)/7)))^2/3))+$D11/2*((MAX(-f_yd,MIN(f_yd,200000*IF(EQ11&lt;=h_col,0.0035*(EQ11-d_2)/EQ11,0.002*(EQ11-d_2)/(EQ11-3*h_col/7))))-f_cd*(1-(1-MAX(0,MIN(1,IF(EQ11&lt;=h_col,0.0035*(EQ11-d_2)/EQ11,0.002*(EQ11-d_2)/(EQ11-3*h_col/7))/0.002)))^2))+(MAX(-f_yd,MIN(f_yd,200000*IF(EQ11&lt;=h_col,0.0035*(EQ11-(h_col-d_2))/EQ11,0.002*(EQ11-(h_col-d_2))/(EQ11-3*h_col/7))))-f_cd*(1-(1-MAX(0,MIN(1,IF(EQ11&lt;=h_col,0.0035*(EQ11-(h_col-d_2))/EQ11,0.002*(EQ11-(h_col-d_2))/(EQ11-3*h_col/7))/0.002)))^2))))/1000</f>
        <v/>
      </c>
      <c r="ES11">
        <f>IF($ER11&lt;N_Ed-1E-9*MAX(1,N_Ed),(EO11+EP11)/2,EO11)</f>
        <v/>
      </c>
      <c r="ET11">
        <f>IF($ER11&lt;N_Ed-1E-9*MAX(1,N_Ed),EP11,(EO11+EP11)/2)</f>
        <v/>
      </c>
      <c r="EU11">
        <f>h_col*((ES11+ET11)/2)/(1-(ES11+ET11)/2)</f>
        <v/>
      </c>
      <c r="EV11">
        <f>(f_cd*b_col*((3*MIN(EU11,h_col)/7)+(4*MIN(EU11,h_col)/7)*(1-((4*MIN(EU11,h_col)/7)/(EU11-(3*MIN(EU11,h_col)/7)))^2/3))+$D11/2*((MAX(-f_yd,MIN(f_yd,200000*IF(EU11&lt;=h_col,0.0035*(EU11-d_2)/EU11,0.002*(EU11-d_2)/(EU11-3*h_col/7))))-f_cd*(1-(1-MAX(0,MIN(1,IF(EU11&lt;=h_col,0.0035*(EU11-d_2)/EU11,0.002*(EU11-d_2)/(EU11-3*h_col/7))/0.002)))^2))+(MAX(-f_yd,MIN(f_yd,200000*IF(EU11&lt;=h_col,0.0035*(EU11-(h_col-d_2))/EU11,0.002*(EU11-(h_col-d_2))/(EU11-3*h_col/7))))-f_cd*(1-(1-MAX(0,MIN(1,IF(EU11&lt;=h_col,0.0035*(EU11-(h_col-d_2))/EU11,0.002*(EU11-(h_col-d_2))/(EU11-3*h_col/7))/0.002)))^2))))/1000</f>
        <v/>
      </c>
      <c r="EW11">
        <f>IF($EV11&lt;N_Ed-1E-9*MAX(1,N_Ed),(ES11+ET11)/2,ES11)</f>
        <v/>
      </c>
      <c r="EX11">
        <f>IF($EV11&lt;N_Ed-1E-9*MAX(1,N_Ed),ET11,(ES11+ET11)/2)</f>
        <v/>
      </c>
      <c r="EY11">
        <f>h_col*((EW11+EX11)/2)/(1-(EW11+EX11)/2)</f>
        <v/>
      </c>
      <c r="EZ11">
        <f>(f_cd*b_col*((3*MIN(EY11,h_col)/7)+(4*MIN(EY11,h_col)/7)*(1-((4*MIN(EY11,h_col)/7)/(EY11-(3*MIN(EY11,h_col)/7)))^2/3))+$D11/2*((MAX(-f_yd,MIN(f_yd,200000*IF(EY11&lt;=h_col,0.0035*(EY11-d_2)/EY11,0.002*(EY11-d_2)/(EY11-3*h_col/7))))-f_cd*(1-(1-MAX(0,MIN(1,IF(EY11&lt;=h_col,0.0035*(EY11-d_2)/EY11,0.002*(EY11-d_2)/(EY11-3*h_col/7))/0.002)))^2))+(MAX(-f_yd,MIN(f_yd,200000*IF(EY11&lt;=h_col,0.0035*(EY11-(h_col-d_2))/EY11,0.002*(EY11-(h_col-d_2))/(EY11-3*h_col/7))))-f_cd*(1-(1-MAX(0,MIN(1,IF(EY11&lt;=h_col,0.0035*(EY11-(h_col-d_2))/EY11,0.002*(EY11-(h_col-d_2))/(EY11-3*h_col/7))/0.002)))^2))))/1000</f>
        <v/>
      </c>
      <c r="FA11">
        <f>IF($EZ11&lt;N_Ed-1E-9*MAX(1,N_Ed),(EW11+EX11)/2,EW11)</f>
        <v/>
      </c>
      <c r="FB11">
        <f>IF($EZ11&lt;N_Ed-1E-9*MAX(1,N_Ed),EX11,(EW11+EX11)/2)</f>
        <v/>
      </c>
      <c r="FC11">
        <f>h_col*((FA11+FB11)/2)/(1-(FA11+FB11)/2)</f>
        <v/>
      </c>
      <c r="FD11">
        <f>(f_cd*b_col*((3*MIN(FC11,h_col)/7)+(4*MIN(FC11,h_col)/7)*(1-((4*MIN(FC11,h_col)/7)/(FC11-(3*MIN(FC11,h_col)/7)))^2/3))+$D11/2*((MAX(-f_yd,MIN(f_yd,200000*IF(FC11&lt;=h_col,0.0035*(FC11-d_2)/FC11,0.002*(FC11-d_2)/(FC11-3*h_col/7))))-f_cd*(1-(1-MAX(0,MIN(1,IF(FC11&lt;=h_col,0.0035*(FC11-d_2)/FC11,0.002*(FC11-d_2)/(FC11-3*h_col/7))/0.002)))^2))+(MAX(-f_yd,MIN(f_yd,200000*IF(FC11&lt;=h_col,0.0035*(FC11-(h_col-d_2))/FC11,0.002*(FC11-(h_col-d_2))/(FC11-3*h_col/7))))-f_cd*(1-(1-MAX(0,MIN(1,IF(FC11&lt;=h_col,0.0035*(FC11-(h_col-d_2))/FC11,0.002*(FC11-(h_col-d_2))/(FC11-3*h_col/7))/0.002)))^2))))/1000</f>
        <v/>
      </c>
      <c r="FE11">
        <f>IF($FD11&lt;N_Ed-1E-9*MAX(1,N_Ed),(FA11+FB11)/2,FA11)</f>
        <v/>
      </c>
      <c r="FF11">
        <f>IF($FD11&lt;N_Ed-1E-9*MAX(1,N_Ed),FB11,(FA11+FB11)/2)</f>
        <v/>
      </c>
      <c r="FG11">
        <f>h_col*((FE11+FF11)/2)/(1-(FE11+FF11)/2)</f>
        <v/>
      </c>
      <c r="FH11">
        <f>(f_cd*b_col*((3*MIN(FG11,h_col)/7)+(4*MIN(FG11,h_col)/7)*(1-((4*MIN(FG11,h_col)/7)/(FG11-(3*MIN(FG11,h_col)/7)))^2/3))+$D11/2*((MAX(-f_yd,MIN(f_yd,200000*IF(FG11&lt;=h_col,0.0035*(FG11-d_2)/FG11,0.002*(FG11-d_2)/(FG11-3*h_col/7))))-f_cd*(1-(1-MAX(0,MIN(1,IF(FG11&lt;=h_col,0.0035*(FG11-d_2)/FG11,0.002*(FG11-d_2)/(FG11-3*h_col/7))/0.002)))^2))+(MAX(-f_yd,MIN(f_yd,200000*IF(FG11&lt;=h_col,0.0035*(FG11-(h_col-d_2))/FG11,0.002*(FG11-(h_col-d_2))/(FG11-3*h_col/7))))-f_cd*(1-(1-MAX(0,MIN(1,IF(FG11&lt;=h_col,0.0035*(FG11-(h_col-d_2))/FG11,0.002*(FG11-(h_col-d_2))/(FG11-3*h_col/7))/0.002)))^2))))/1000</f>
        <v/>
      </c>
      <c r="FI11">
        <f>IF($FH11&lt;N_Ed-1E-9*MAX(1,N_Ed),(FE11+FF11)/2,FE11)</f>
        <v/>
      </c>
      <c r="FJ11">
        <f>IF($FH11&lt;N_Ed-1E-9*MAX(1,N_Ed),FF11,(FE11+FF11)/2)</f>
        <v/>
      </c>
      <c r="FK11">
        <f>h_col*((FI11+FJ11)/2)/(1-(FI11+FJ11)/2)</f>
        <v/>
      </c>
      <c r="FL11">
        <f>(f_cd*b_col*((3*MIN(FK11,h_col)/7)+(4*MIN(FK11,h_col)/7)*(1-((4*MIN(FK11,h_col)/7)/(FK11-(3*MIN(FK11,h_col)/7)))^2/3))+$D11/2*((MAX(-f_yd,MIN(f_yd,200000*IF(FK11&lt;=h_col,0.0035*(FK11-d_2)/FK11,0.002*(FK11-d_2)/(FK11-3*h_col/7))))-f_cd*(1-(1-MAX(0,MIN(1,IF(FK11&lt;=h_col,0.0035*(FK11-d_2)/FK11,0.002*(FK11-d_2)/(FK11-3*h_col/7))/0.002)))^2))+(MAX(-f_yd,MIN(f_yd,200000*IF(FK11&lt;=h_col,0.0035*(FK11-(h_col-d_2))/FK11,0.002*(FK11-(h_col-d_2))/(FK11-3*h_col/7))))-f_cd*(1-(1-MAX(0,MIN(1,IF(FK11&lt;=h_col,0.0035*(FK11-(h_col-d_2))/FK11,0.002*(FK11-(h_col-d_2))/(FK11-3*h_col/7))/0.002)))^2))))/1000</f>
        <v/>
      </c>
      <c r="FM11">
        <f>IF($FL11&lt;N_Ed-1E-9*MAX(1,N_Ed),(FI11+FJ11)/2,FI11)</f>
        <v/>
      </c>
      <c r="FN11">
        <f>IF($FL11&lt;N_Ed-1E-9*MAX(1,N_Ed),FJ11,(FI11+FJ11)/2)</f>
        <v/>
      </c>
      <c r="FO11">
        <f>h_col*((FM11+FN11)/2)/(1-(FM11+FN11)/2)</f>
        <v/>
      </c>
      <c r="FP11">
        <f>(f_cd*b_col*((3*MIN(FO11,h_col)/7)+(4*MIN(FO11,h_col)/7)*(1-((4*MIN(FO11,h_col)/7)/(FO11-(3*MIN(FO11,h_col)/7)))^2/3))+$D11/2*((MAX(-f_yd,MIN(f_yd,200000*IF(FO11&lt;=h_col,0.0035*(FO11-d_2)/FO11,0.002*(FO11-d_2)/(FO11-3*h_col/7))))-f_cd*(1-(1-MAX(0,MIN(1,IF(FO11&lt;=h_col,0.0035*(FO11-d_2)/FO11,0.002*(FO11-d_2)/(FO11-3*h_col/7))/0.002)))^2))+(MAX(-f_yd,MIN(f_yd,200000*IF(FO11&lt;=h_col,0.0035*(FO11-(h_col-d_2))/FO11,0.002*(FO11-(h_col-d_2))/(FO11-3*h_col/7))))-f_cd*(1-(1-MAX(0,MIN(1,IF(FO11&lt;=h_col,0.0035*(FO11-(h_col-d_2))/FO11,0.002*(FO11-(h_col-d_2))/(FO11-3*h_col/7))/0.002)))^2))))/1000</f>
        <v/>
      </c>
      <c r="FQ11">
        <f>IF($FP11&lt;N_Ed-1E-9*MAX(1,N_Ed),(FM11+FN11)/2,FM11)</f>
        <v/>
      </c>
      <c r="FR11">
        <f>IF($FP11&lt;N_Ed-1E-9*MAX(1,N_Ed),FN11,(FM11+FN11)/2)</f>
        <v/>
      </c>
      <c r="FS11">
        <f>h_col*((FQ11+FR11)/2)/(1-(FQ11+FR11)/2)</f>
        <v/>
      </c>
      <c r="FT11">
        <f>(f_cd*b_col*((3*MIN(FS11,h_col)/7)+(4*MIN(FS11,h_col)/7)*(1-((4*MIN(FS11,h_col)/7)/(FS11-(3*MIN(FS11,h_col)/7)))^2/3))+$D11/2*((MAX(-f_yd,MIN(f_yd,200000*IF(FS11&lt;=h_col,0.0035*(FS11-d_2)/FS11,0.002*(FS11-d_2)/(FS11-3*h_col/7))))-f_cd*(1-(1-MAX(0,MIN(1,IF(FS11&lt;=h_col,0.0035*(FS11-d_2)/FS11,0.002*(FS11-d_2)/(FS11-3*h_col/7))/0.002)))^2))+(MAX(-f_yd,MIN(f_yd,200000*IF(FS11&lt;=h_col,0.0035*(FS11-(h_col-d_2))/FS11,0.002*(FS11-(h_col-d_2))/(FS11-3*h_col/7))))-f_cd*(1-(1-MAX(0,MIN(1,IF(FS11&lt;=h_col,0.0035*(FS11-(h_col-d_2))/FS11,0.002*(FS11-(h_col-d_2))/(FS11-3*h_col/7))/0.002)))^2))))/1000</f>
        <v/>
      </c>
      <c r="FU11">
        <f>IF($FT11&lt;N_Ed-1E-9*MAX(1,N_Ed),(FQ11+FR11)/2,FQ11)</f>
        <v/>
      </c>
      <c r="FV11">
        <f>IF($FT11&lt;N_Ed-1E-9*MAX(1,N_Ed),FR11,(FQ11+FR11)/2)</f>
        <v/>
      </c>
      <c r="FW11">
        <f>h_col*((FU11+FV11)/2)/(1-(FU11+FV11)/2)</f>
        <v/>
      </c>
      <c r="FX11">
        <f>(f_cd*b_col*((3*MIN(FW11,h_col)/7)+(4*MIN(FW11,h_col)/7)*(1-((4*MIN(FW11,h_col)/7)/(FW11-(3*MIN(FW11,h_col)/7)))^2/3))+$D11/2*((MAX(-f_yd,MIN(f_yd,200000*IF(FW11&lt;=h_col,0.0035*(FW11-d_2)/FW11,0.002*(FW11-d_2)/(FW11-3*h_col/7))))-f_cd*(1-(1-MAX(0,MIN(1,IF(FW11&lt;=h_col,0.0035*(FW11-d_2)/FW11,0.002*(FW11-d_2)/(FW11-3*h_col/7))/0.002)))^2))+(MAX(-f_yd,MIN(f_yd,200000*IF(FW11&lt;=h_col,0.0035*(FW11-(h_col-d_2))/FW11,0.002*(FW11-(h_col-d_2))/(FW11-3*h_col/7))))-f_cd*(1-(1-MAX(0,MIN(1,IF(FW11&lt;=h_col,0.0035*(FW11-(h_col-d_2))/FW11,0.002*(FW11-(h_col-d_2))/(FW11-3*h_col/7))/0.002)))^2))))/1000</f>
        <v/>
      </c>
      <c r="FY11">
        <f>IF($FX11&lt;N_Ed-1E-9*MAX(1,N_Ed),(FU11+FV11)/2,FU11)</f>
        <v/>
      </c>
      <c r="FZ11">
        <f>IF($FX11&lt;N_Ed-1E-9*MAX(1,N_Ed),FV11,(FU11+FV11)/2)</f>
        <v/>
      </c>
      <c r="GA11">
        <f>h_col*((FY11+FZ11)/2)/(1-(FY11+FZ11)/2)</f>
        <v/>
      </c>
      <c r="GB11">
        <f>(f_cd*b_col*((3*MIN(GA11,h_col)/7)+(4*MIN(GA11,h_col)/7)*(1-((4*MIN(GA11,h_col)/7)/(GA11-(3*MIN(GA11,h_col)/7)))^2/3))+$D11/2*((MAX(-f_yd,MIN(f_yd,200000*IF(GA11&lt;=h_col,0.0035*(GA11-d_2)/GA11,0.002*(GA11-d_2)/(GA11-3*h_col/7))))-f_cd*(1-(1-MAX(0,MIN(1,IF(GA11&lt;=h_col,0.0035*(GA11-d_2)/GA11,0.002*(GA11-d_2)/(GA11-3*h_col/7))/0.002)))^2))+(MAX(-f_yd,MIN(f_yd,200000*IF(GA11&lt;=h_col,0.0035*(GA11-(h_col-d_2))/GA11,0.002*(GA11-(h_col-d_2))/(GA11-3*h_col/7))))-f_cd*(1-(1-MAX(0,MIN(1,IF(GA11&lt;=h_col,0.0035*(GA11-(h_col-d_2))/GA11,0.002*(GA11-(h_col-d_2))/(GA11-3*h_col/7))/0.002)))^2))))/1000</f>
        <v/>
      </c>
      <c r="GC11">
        <f>IF($GB11&lt;N_Ed-1E-9*MAX(1,N_Ed),(FY11+FZ11)/2,FY11)</f>
        <v/>
      </c>
      <c r="GD11">
        <f>IF($GB11&lt;N_Ed-1E-9*MAX(1,N_Ed),FZ11,(FY11+FZ11)/2)</f>
        <v/>
      </c>
      <c r="GE11">
        <f>h_col*((GC11+GD11)/2)/(1-(GC11+GD11)/2)</f>
        <v/>
      </c>
      <c r="GF11">
        <f>(f_cd*b_col*((3*MIN(GE11,h_col)/7)+(4*MIN(GE11,h_col)/7)*(1-((4*MIN(GE11,h_col)/7)/(GE11-(3*MIN(GE11,h_col)/7)))^2/3))+$D11/2*((MAX(-f_yd,MIN(f_yd,200000*IF(GE11&lt;=h_col,0.0035*(GE11-d_2)/GE11,0.002*(GE11-d_2)/(GE11-3*h_col/7))))-f_cd*(1-(1-MAX(0,MIN(1,IF(GE11&lt;=h_col,0.0035*(GE11-d_2)/GE11,0.002*(GE11-d_2)/(GE11-3*h_col/7))/0.002)))^2))+(MAX(-f_yd,MIN(f_yd,200000*IF(GE11&lt;=h_col,0.0035*(GE11-(h_col-d_2))/GE11,0.002*(GE11-(h_col-d_2))/(GE11-3*h_col/7))))-f_cd*(1-(1-MAX(0,MIN(1,IF(GE11&lt;=h_col,0.0035*(GE11-(h_col-d_2))/GE11,0.002*(GE11-(h_col-d_2))/(GE11-3*h_col/7))/0.002)))^2))))/1000</f>
        <v/>
      </c>
      <c r="GG11">
        <f>IF($GF11&lt;N_Ed-1E-9*MAX(1,N_Ed),(GC11+GD11)/2,GC11)</f>
        <v/>
      </c>
      <c r="GH11">
        <f>IF($GF11&lt;N_Ed-1E-9*MAX(1,N_Ed),GD11,(GC11+GD11)/2)</f>
        <v/>
      </c>
      <c r="GI11">
        <f>h_col*((GG11+GH11)/2)/(1-(GG11+GH11)/2)</f>
        <v/>
      </c>
      <c r="GJ11">
        <f>(f_cd*b_col*((3*MIN(GI11,h_col)/7)+(4*MIN(GI11,h_col)/7)*(1-((4*MIN(GI11,h_col)/7)/(GI11-(3*MIN(GI11,h_col)/7)))^2/3))+$D11/2*((MAX(-f_yd,MIN(f_yd,200000*IF(GI11&lt;=h_col,0.0035*(GI11-d_2)/GI11,0.002*(GI11-d_2)/(GI11-3*h_col/7))))-f_cd*(1-(1-MAX(0,MIN(1,IF(GI11&lt;=h_col,0.0035*(GI11-d_2)/GI11,0.002*(GI11-d_2)/(GI11-3*h_col/7))/0.002)))^2))+(MAX(-f_yd,MIN(f_yd,200000*IF(GI11&lt;=h_col,0.0035*(GI11-(h_col-d_2))/GI11,0.002*(GI11-(h_col-d_2))/(GI11-3*h_col/7))))-f_cd*(1-(1-MAX(0,MIN(1,IF(GI11&lt;=h_col,0.0035*(GI11-(h_col-d_2))/GI11,0.002*(GI11-(h_col-d_2))/(GI11-3*h_col/7))/0.002)))^2))))/1000</f>
        <v/>
      </c>
      <c r="GK11">
        <f>IF($GJ11&lt;N_Ed-1E-9*MAX(1,N_Ed),(GG11+GH11)/2,GG11)</f>
        <v/>
      </c>
      <c r="GL11">
        <f>IF($GJ11&lt;N_Ed-1E-9*MAX(1,N_Ed),GH11,(GG11+GH11)/2)</f>
        <v/>
      </c>
      <c r="GM11">
        <f>h_col*((GK11+GL11)/2)/(1-(GK11+GL11)/2)</f>
        <v/>
      </c>
      <c r="GN11">
        <f>(f_cd*b_col*((3*MIN(GM11,h_col)/7)+(4*MIN(GM11,h_col)/7)*(1-((4*MIN(GM11,h_col)/7)/(GM11-(3*MIN(GM11,h_col)/7)))^2/3))+$D11/2*((MAX(-f_yd,MIN(f_yd,200000*IF(GM11&lt;=h_col,0.0035*(GM11-d_2)/GM11,0.002*(GM11-d_2)/(GM11-3*h_col/7))))-f_cd*(1-(1-MAX(0,MIN(1,IF(GM11&lt;=h_col,0.0035*(GM11-d_2)/GM11,0.002*(GM11-d_2)/(GM11-3*h_col/7))/0.002)))^2))+(MAX(-f_yd,MIN(f_yd,200000*IF(GM11&lt;=h_col,0.0035*(GM11-(h_col-d_2))/GM11,0.002*(GM11-(h_col-d_2))/(GM11-3*h_col/7))))-f_cd*(1-(1-MAX(0,MIN(1,IF(GM11&lt;=h_col,0.0035*(GM11-(h_col-d_2))/GM11,0.002*(GM11-(h_col-d_2))/(GM11-3*h_col/7))/0.002)))^2))))/1000</f>
        <v/>
      </c>
      <c r="GO11">
        <f>IF($GN11&lt;N_Ed-1E-9*MAX(1,N_Ed),(GK11+GL11)/2,GK11)</f>
        <v/>
      </c>
      <c r="GP11">
        <f>IF($GN11&lt;N_Ed-1E-9*MAX(1,N_Ed),GL11,(GK11+GL11)/2)</f>
        <v/>
      </c>
      <c r="GQ11">
        <f>h_col*((GO11+GP11)/2)/(1-(GO11+GP11)/2)</f>
        <v/>
      </c>
      <c r="GR11">
        <f>(f_cd*b_col*((3*MIN(GQ11,h_col)/7)+(4*MIN(GQ11,h_col)/7)*(1-((4*MIN(GQ11,h_col)/7)/(GQ11-(3*MIN(GQ11,h_col)/7)))^2/3))+$D11/2*((MAX(-f_yd,MIN(f_yd,200000*IF(GQ11&lt;=h_col,0.0035*(GQ11-d_2)/GQ11,0.002*(GQ11-d_2)/(GQ11-3*h_col/7))))-f_cd*(1-(1-MAX(0,MIN(1,IF(GQ11&lt;=h_col,0.0035*(GQ11-d_2)/GQ11,0.002*(GQ11-d_2)/(GQ11-3*h_col/7))/0.002)))^2))+(MAX(-f_yd,MIN(f_yd,200000*IF(GQ11&lt;=h_col,0.0035*(GQ11-(h_col-d_2))/GQ11,0.002*(GQ11-(h_col-d_2))/(GQ11-3*h_col/7))))-f_cd*(1-(1-MAX(0,MIN(1,IF(GQ11&lt;=h_col,0.0035*(GQ11-(h_col-d_2))/GQ11,0.002*(GQ11-(h_col-d_2))/(GQ11-3*h_col/7))/0.002)))^2))))/1000</f>
        <v/>
      </c>
      <c r="GS11">
        <f>IF($GR11&lt;N_Ed-1E-9*MAX(1,N_Ed),(GO11+GP11)/2,GO11)</f>
        <v/>
      </c>
      <c r="GT11">
        <f>IF($GR11&lt;N_Ed-1E-9*MAX(1,N_Ed),GP11,(GO11+GP11)/2)</f>
        <v/>
      </c>
      <c r="GU11">
        <f>h_col*((GS11+GT11)/2)/(1-(GS11+GT11)/2)</f>
        <v/>
      </c>
      <c r="GV11">
        <f>(f_cd*b_col*((3*MIN(GU11,h_col)/7)+(4*MIN(GU11,h_col)/7)*(1-((4*MIN(GU11,h_col)/7)/(GU11-(3*MIN(GU11,h_col)/7)))^2/3))+$D11/2*((MAX(-f_yd,MIN(f_yd,200000*IF(GU11&lt;=h_col,0.0035*(GU11-d_2)/GU11,0.002*(GU11-d_2)/(GU11-3*h_col/7))))-f_cd*(1-(1-MAX(0,MIN(1,IF(GU11&lt;=h_col,0.0035*(GU11-d_2)/GU11,0.002*(GU11-d_2)/(GU11-3*h_col/7))/0.002)))^2))+(MAX(-f_yd,MIN(f_yd,200000*IF(GU11&lt;=h_col,0.0035*(GU11-(h_col-d_2))/GU11,0.002*(GU11-(h_col-d_2))/(GU11-3*h_col/7))))-f_cd*(1-(1-MAX(0,MIN(1,IF(GU11&lt;=h_col,0.0035*(GU11-(h_col-d_2))/GU11,0.002*(GU11-(h_col-d_2))/(GU11-3*h_col/7))/0.002)))^2))))/1000</f>
        <v/>
      </c>
      <c r="GW11">
        <f>GU11</f>
        <v/>
      </c>
      <c r="GX11">
        <f>(f_cd*b_col*((3*MIN(GW11,h_col)/7)+(4*MIN(GW11,h_col)/7)*(1-((4*MIN(GW11,h_col)/7)/(GW11-(3*MIN(GW11,h_col)/7)))^2/3))+$D11/2*((MAX(-f_yd,MIN(f_yd,200000*IF(GW11&lt;=h_col,0.0035*(GW11-d_2)/GW11,0.002*(GW11-d_2)/(GW11-3*h_col/7))))-f_cd*(1-(1-MAX(0,MIN(1,IF(GW11&lt;=h_col,0.0035*(GW11-d_2)/GW11,0.002*(GW11-d_2)/(GW11-3*h_col/7))/0.002)))^2))+(MAX(-f_yd,MIN(f_yd,200000*IF(GW11&lt;=h_col,0.0035*(GW11-(h_col-d_2))/GW11,0.002*(GW11-(h_col-d_2))/(GW11-3*h_col/7))))-f_cd*(1-(1-MAX(0,MIN(1,IF(GW11&lt;=h_col,0.0035*(GW11-(h_col-d_2))/GW11,0.002*(GW11-(h_col-d_2))/(GW11-3*h_col/7))/0.002)))^2))))/1000</f>
        <v/>
      </c>
      <c r="GY11">
        <f>(f_cd*b_col*((3*MIN(GW11,h_col)/7)*(h_col/2-(3*MIN(GW11,h_col)/7)/2)+(4*MIN(GW11,h_col)/7)*((h_col/2-(3*MIN(GW11,h_col)/7))*(1-((4*MIN(GW11,h_col)/7)/(GW11-(3*MIN(GW11,h_col)/7)))^2/3)-(4*MIN(GW11,h_col)/7)*(0.5-((4*MIN(GW11,h_col)/7)/(GW11-(3*MIN(GW11,h_col)/7)))^2/4)))+$D11/2*((MAX(-f_yd,MIN(f_yd,200000*IF(GW11&lt;=h_col,0.0035*(GW11-d_2)/GW11,0.002*(GW11-d_2)/(GW11-3*h_col/7))))-f_cd*(1-(1-MAX(0,MIN(1,IF(GW11&lt;=h_col,0.0035*(GW11-d_2)/GW11,0.002*(GW11-d_2)/(GW11-3*h_col/7))/0.002)))^2))-(MAX(-f_yd,MIN(f_yd,200000*IF(GW11&lt;=h_col,0.0035*(GW11-(h_col-d_2))/GW11,0.002*(GW11-(h_col-d_2))/(GW11-3*h_col/7))))-f_cd*(1-(1-MAX(0,MIN(1,IF(GW11&lt;=h_col,0.0035*(GW11-(h_col-d_2))/GW11,0.002*(GW11-(h_col-d_2))/(GW11-3*h_col/7))/0.002)))^2)))*(h_col/2-d_2))/1E6</f>
        <v/>
      </c>
      <c r="GZ11">
        <f>GX11&gt;=N_Ed-1E-6*MAX(1,N_Ed)</f>
        <v/>
      </c>
      <c r="HA11">
        <f>IF(GZ11,GY11,-1E9)</f>
        <v/>
      </c>
    </row>
    <row r="12">
      <c r="A12" t="n">
        <v>7</v>
      </c>
      <c r="B12">
        <f>IF($HA11&gt;=M_d,$B11,$D11)</f>
        <v/>
      </c>
      <c r="C12">
        <f>IF($HA11&gt;=M_d,$D11,$C11)</f>
        <v/>
      </c>
      <c r="D12">
        <f>($B12+$C12)/2</f>
        <v/>
      </c>
      <c r="E12" t="n">
        <v>0</v>
      </c>
      <c r="F12">
        <f>1-1E-12</f>
        <v/>
      </c>
      <c r="G12">
        <f>h_col*((E12+F12)/2)/(1-(E12+F12)/2)</f>
        <v/>
      </c>
      <c r="H12">
        <f>(f_cd*b_col*((3*MIN(G12,h_col)/7)+(4*MIN(G12,h_col)/7)*(1-((4*MIN(G12,h_col)/7)/(G12-(3*MIN(G12,h_col)/7)))^2/3))+$D12/2*((MAX(-f_yd,MIN(f_yd,200000*IF(G12&lt;=h_col,0.0035*(G12-d_2)/G12,0.002*(G12-d_2)/(G12-3*h_col/7))))-f_cd*(1-(1-MAX(0,MIN(1,IF(G12&lt;=h_col,0.0035*(G12-d_2)/G12,0.002*(G12-d_2)/(G12-3*h_col/7))/0.002)))^2))+(MAX(-f_yd,MIN(f_yd,200000*IF(G12&lt;=h_col,0.0035*(G12-(h_col-d_2))/G12,0.002*(G12-(h_col-d_2))/(G12-3*h_col/7))))-f_cd*(1-(1-MAX(0,MIN(1,IF(G12&lt;=h_col,0.0035*(G12-(h_col-d_2))/G12,0.002*(G12-(h_col-d_2))/(G12-3*h_col/7))/0.002)))^2))))/1000</f>
        <v/>
      </c>
      <c r="I12">
        <f>IF($H12&lt;N_Ed-1E-9*MAX(1,N_Ed),(E12+F12)/2,E12)</f>
        <v/>
      </c>
      <c r="J12">
        <f>IF($H12&lt;N_Ed-1E-9*MAX(1,N_Ed),F12,(E12+F12)/2)</f>
        <v/>
      </c>
      <c r="K12">
        <f>h_col*((I12+J12)/2)/(1-(I12+J12)/2)</f>
        <v/>
      </c>
      <c r="L12">
        <f>(f_cd*b_col*((3*MIN(K12,h_col)/7)+(4*MIN(K12,h_col)/7)*(1-((4*MIN(K12,h_col)/7)/(K12-(3*MIN(K12,h_col)/7)))^2/3))+$D12/2*((MAX(-f_yd,MIN(f_yd,200000*IF(K12&lt;=h_col,0.0035*(K12-d_2)/K12,0.002*(K12-d_2)/(K12-3*h_col/7))))-f_cd*(1-(1-MAX(0,MIN(1,IF(K12&lt;=h_col,0.0035*(K12-d_2)/K12,0.002*(K12-d_2)/(K12-3*h_col/7))/0.002)))^2))+(MAX(-f_yd,MIN(f_yd,200000*IF(K12&lt;=h_col,0.0035*(K12-(h_col-d_2))/K12,0.002*(K12-(h_col-d_2))/(K12-3*h_col/7))))-f_cd*(1-(1-MAX(0,MIN(1,IF(K12&lt;=h_col,0.0035*(K12-(h_col-d_2))/K12,0.002*(K12-(h_col-d_2))/(K12-3*h_col/7))/0.002)))^2))))/1000</f>
        <v/>
      </c>
      <c r="M12">
        <f>IF($L12&lt;N_Ed-1E-9*MAX(1,N_Ed),(I12+J12)/2,I12)</f>
        <v/>
      </c>
      <c r="N12">
        <f>IF($L12&lt;N_Ed-1E-9*MAX(1,N_Ed),J12,(I12+J12)/2)</f>
        <v/>
      </c>
      <c r="O12">
        <f>h_col*((M12+N12)/2)/(1-(M12+N12)/2)</f>
        <v/>
      </c>
      <c r="P12">
        <f>(f_cd*b_col*((3*MIN(O12,h_col)/7)+(4*MIN(O12,h_col)/7)*(1-((4*MIN(O12,h_col)/7)/(O12-(3*MIN(O12,h_col)/7)))^2/3))+$D12/2*((MAX(-f_yd,MIN(f_yd,200000*IF(O12&lt;=h_col,0.0035*(O12-d_2)/O12,0.002*(O12-d_2)/(O12-3*h_col/7))))-f_cd*(1-(1-MAX(0,MIN(1,IF(O12&lt;=h_col,0.0035*(O12-d_2)/O12,0.002*(O12-d_2)/(O12-3*h_col/7))/0.002)))^2))+(MAX(-f_yd,MIN(f_yd,200000*IF(O12&lt;=h_col,0.0035*(O12-(h_col-d_2))/O12,0.002*(O12-(h_col-d_2))/(O12-3*h_col/7))))-f_cd*(1-(1-MAX(0,MIN(1,IF(O12&lt;=h_col,0.0035*(O12-(h_col-d_2))/O12,0.002*(O12-(h_col-d_2))/(O12-3*h_col/7))/0.002)))^2))))/1000</f>
        <v/>
      </c>
      <c r="Q12">
        <f>IF($P12&lt;N_Ed-1E-9*MAX(1,N_Ed),(M12+N12)/2,M12)</f>
        <v/>
      </c>
      <c r="R12">
        <f>IF($P12&lt;N_Ed-1E-9*MAX(1,N_Ed),N12,(M12+N12)/2)</f>
        <v/>
      </c>
      <c r="S12">
        <f>h_col*((Q12+R12)/2)/(1-(Q12+R12)/2)</f>
        <v/>
      </c>
      <c r="T12">
        <f>(f_cd*b_col*((3*MIN(S12,h_col)/7)+(4*MIN(S12,h_col)/7)*(1-((4*MIN(S12,h_col)/7)/(S12-(3*MIN(S12,h_col)/7)))^2/3))+$D12/2*((MAX(-f_yd,MIN(f_yd,200000*IF(S12&lt;=h_col,0.0035*(S12-d_2)/S12,0.002*(S12-d_2)/(S12-3*h_col/7))))-f_cd*(1-(1-MAX(0,MIN(1,IF(S12&lt;=h_col,0.0035*(S12-d_2)/S12,0.002*(S12-d_2)/(S12-3*h_col/7))/0.002)))^2))+(MAX(-f_yd,MIN(f_yd,200000*IF(S12&lt;=h_col,0.0035*(S12-(h_col-d_2))/S12,0.002*(S12-(h_col-d_2))/(S12-3*h_col/7))))-f_cd*(1-(1-MAX(0,MIN(1,IF(S12&lt;=h_col,0.0035*(S12-(h_col-d_2))/S12,0.002*(S12-(h_col-d_2))/(S12-3*h_col/7))/0.002)))^2))))/1000</f>
        <v/>
      </c>
      <c r="U12">
        <f>IF($T12&lt;N_Ed-1E-9*MAX(1,N_Ed),(Q12+R12)/2,Q12)</f>
        <v/>
      </c>
      <c r="V12">
        <f>IF($T12&lt;N_Ed-1E-9*MAX(1,N_Ed),R12,(Q12+R12)/2)</f>
        <v/>
      </c>
      <c r="W12">
        <f>h_col*((U12+V12)/2)/(1-(U12+V12)/2)</f>
        <v/>
      </c>
      <c r="X12">
        <f>(f_cd*b_col*((3*MIN(W12,h_col)/7)+(4*MIN(W12,h_col)/7)*(1-((4*MIN(W12,h_col)/7)/(W12-(3*MIN(W12,h_col)/7)))^2/3))+$D12/2*((MAX(-f_yd,MIN(f_yd,200000*IF(W12&lt;=h_col,0.0035*(W12-d_2)/W12,0.002*(W12-d_2)/(W12-3*h_col/7))))-f_cd*(1-(1-MAX(0,MIN(1,IF(W12&lt;=h_col,0.0035*(W12-d_2)/W12,0.002*(W12-d_2)/(W12-3*h_col/7))/0.002)))^2))+(MAX(-f_yd,MIN(f_yd,200000*IF(W12&lt;=h_col,0.0035*(W12-(h_col-d_2))/W12,0.002*(W12-(h_col-d_2))/(W12-3*h_col/7))))-f_cd*(1-(1-MAX(0,MIN(1,IF(W12&lt;=h_col,0.0035*(W12-(h_col-d_2))/W12,0.002*(W12-(h_col-d_2))/(W12-3*h_col/7))/0.002)))^2))))/1000</f>
        <v/>
      </c>
      <c r="Y12">
        <f>IF($X12&lt;N_Ed-1E-9*MAX(1,N_Ed),(U12+V12)/2,U12)</f>
        <v/>
      </c>
      <c r="Z12">
        <f>IF($X12&lt;N_Ed-1E-9*MAX(1,N_Ed),V12,(U12+V12)/2)</f>
        <v/>
      </c>
      <c r="AA12">
        <f>h_col*((Y12+Z12)/2)/(1-(Y12+Z12)/2)</f>
        <v/>
      </c>
      <c r="AB12">
        <f>(f_cd*b_col*((3*MIN(AA12,h_col)/7)+(4*MIN(AA12,h_col)/7)*(1-((4*MIN(AA12,h_col)/7)/(AA12-(3*MIN(AA12,h_col)/7)))^2/3))+$D12/2*((MAX(-f_yd,MIN(f_yd,200000*IF(AA12&lt;=h_col,0.0035*(AA12-d_2)/AA12,0.002*(AA12-d_2)/(AA12-3*h_col/7))))-f_cd*(1-(1-MAX(0,MIN(1,IF(AA12&lt;=h_col,0.0035*(AA12-d_2)/AA12,0.002*(AA12-d_2)/(AA12-3*h_col/7))/0.002)))^2))+(MAX(-f_yd,MIN(f_yd,200000*IF(AA12&lt;=h_col,0.0035*(AA12-(h_col-d_2))/AA12,0.002*(AA12-(h_col-d_2))/(AA12-3*h_col/7))))-f_cd*(1-(1-MAX(0,MIN(1,IF(AA12&lt;=h_col,0.0035*(AA12-(h_col-d_2))/AA12,0.002*(AA12-(h_col-d_2))/(AA12-3*h_col/7))/0.002)))^2))))/1000</f>
        <v/>
      </c>
      <c r="AC12">
        <f>IF($AB12&lt;N_Ed-1E-9*MAX(1,N_Ed),(Y12+Z12)/2,Y12)</f>
        <v/>
      </c>
      <c r="AD12">
        <f>IF($AB12&lt;N_Ed-1E-9*MAX(1,N_Ed),Z12,(Y12+Z12)/2)</f>
        <v/>
      </c>
      <c r="AE12">
        <f>h_col*((AC12+AD12)/2)/(1-(AC12+AD12)/2)</f>
        <v/>
      </c>
      <c r="AF12">
        <f>(f_cd*b_col*((3*MIN(AE12,h_col)/7)+(4*MIN(AE12,h_col)/7)*(1-((4*MIN(AE12,h_col)/7)/(AE12-(3*MIN(AE12,h_col)/7)))^2/3))+$D12/2*((MAX(-f_yd,MIN(f_yd,200000*IF(AE12&lt;=h_col,0.0035*(AE12-d_2)/AE12,0.002*(AE12-d_2)/(AE12-3*h_col/7))))-f_cd*(1-(1-MAX(0,MIN(1,IF(AE12&lt;=h_col,0.0035*(AE12-d_2)/AE12,0.002*(AE12-d_2)/(AE12-3*h_col/7))/0.002)))^2))+(MAX(-f_yd,MIN(f_yd,200000*IF(AE12&lt;=h_col,0.0035*(AE12-(h_col-d_2))/AE12,0.002*(AE12-(h_col-d_2))/(AE12-3*h_col/7))))-f_cd*(1-(1-MAX(0,MIN(1,IF(AE12&lt;=h_col,0.0035*(AE12-(h_col-d_2))/AE12,0.002*(AE12-(h_col-d_2))/(AE12-3*h_col/7))/0.002)))^2))))/1000</f>
        <v/>
      </c>
      <c r="AG12">
        <f>IF($AF12&lt;N_Ed-1E-9*MAX(1,N_Ed),(AC12+AD12)/2,AC12)</f>
        <v/>
      </c>
      <c r="AH12">
        <f>IF($AF12&lt;N_Ed-1E-9*MAX(1,N_Ed),AD12,(AC12+AD12)/2)</f>
        <v/>
      </c>
      <c r="AI12">
        <f>h_col*((AG12+AH12)/2)/(1-(AG12+AH12)/2)</f>
        <v/>
      </c>
      <c r="AJ12">
        <f>(f_cd*b_col*((3*MIN(AI12,h_col)/7)+(4*MIN(AI12,h_col)/7)*(1-((4*MIN(AI12,h_col)/7)/(AI12-(3*MIN(AI12,h_col)/7)))^2/3))+$D12/2*((MAX(-f_yd,MIN(f_yd,200000*IF(AI12&lt;=h_col,0.0035*(AI12-d_2)/AI12,0.002*(AI12-d_2)/(AI12-3*h_col/7))))-f_cd*(1-(1-MAX(0,MIN(1,IF(AI12&lt;=h_col,0.0035*(AI12-d_2)/AI12,0.002*(AI12-d_2)/(AI12-3*h_col/7))/0.002)))^2))+(MAX(-f_yd,MIN(f_yd,200000*IF(AI12&lt;=h_col,0.0035*(AI12-(h_col-d_2))/AI12,0.002*(AI12-(h_col-d_2))/(AI12-3*h_col/7))))-f_cd*(1-(1-MAX(0,MIN(1,IF(AI12&lt;=h_col,0.0035*(AI12-(h_col-d_2))/AI12,0.002*(AI12-(h_col-d_2))/(AI12-3*h_col/7))/0.002)))^2))))/1000</f>
        <v/>
      </c>
      <c r="AK12">
        <f>IF($AJ12&lt;N_Ed-1E-9*MAX(1,N_Ed),(AG12+AH12)/2,AG12)</f>
        <v/>
      </c>
      <c r="AL12">
        <f>IF($AJ12&lt;N_Ed-1E-9*MAX(1,N_Ed),AH12,(AG12+AH12)/2)</f>
        <v/>
      </c>
      <c r="AM12">
        <f>h_col*((AK12+AL12)/2)/(1-(AK12+AL12)/2)</f>
        <v/>
      </c>
      <c r="AN12">
        <f>(f_cd*b_col*((3*MIN(AM12,h_col)/7)+(4*MIN(AM12,h_col)/7)*(1-((4*MIN(AM12,h_col)/7)/(AM12-(3*MIN(AM12,h_col)/7)))^2/3))+$D12/2*((MAX(-f_yd,MIN(f_yd,200000*IF(AM12&lt;=h_col,0.0035*(AM12-d_2)/AM12,0.002*(AM12-d_2)/(AM12-3*h_col/7))))-f_cd*(1-(1-MAX(0,MIN(1,IF(AM12&lt;=h_col,0.0035*(AM12-d_2)/AM12,0.002*(AM12-d_2)/(AM12-3*h_col/7))/0.002)))^2))+(MAX(-f_yd,MIN(f_yd,200000*IF(AM12&lt;=h_col,0.0035*(AM12-(h_col-d_2))/AM12,0.002*(AM12-(h_col-d_2))/(AM12-3*h_col/7))))-f_cd*(1-(1-MAX(0,MIN(1,IF(AM12&lt;=h_col,0.0035*(AM12-(h_col-d_2))/AM12,0.002*(AM12-(h_col-d_2))/(AM12-3*h_col/7))/0.002)))^2))))/1000</f>
        <v/>
      </c>
      <c r="AO12">
        <f>IF($AN12&lt;N_Ed-1E-9*MAX(1,N_Ed),(AK12+AL12)/2,AK12)</f>
        <v/>
      </c>
      <c r="AP12">
        <f>IF($AN12&lt;N_Ed-1E-9*MAX(1,N_Ed),AL12,(AK12+AL12)/2)</f>
        <v/>
      </c>
      <c r="AQ12">
        <f>h_col*((AO12+AP12)/2)/(1-(AO12+AP12)/2)</f>
        <v/>
      </c>
      <c r="AR12">
        <f>(f_cd*b_col*((3*MIN(AQ12,h_col)/7)+(4*MIN(AQ12,h_col)/7)*(1-((4*MIN(AQ12,h_col)/7)/(AQ12-(3*MIN(AQ12,h_col)/7)))^2/3))+$D12/2*((MAX(-f_yd,MIN(f_yd,200000*IF(AQ12&lt;=h_col,0.0035*(AQ12-d_2)/AQ12,0.002*(AQ12-d_2)/(AQ12-3*h_col/7))))-f_cd*(1-(1-MAX(0,MIN(1,IF(AQ12&lt;=h_col,0.0035*(AQ12-d_2)/AQ12,0.002*(AQ12-d_2)/(AQ12-3*h_col/7))/0.002)))^2))+(MAX(-f_yd,MIN(f_yd,200000*IF(AQ12&lt;=h_col,0.0035*(AQ12-(h_col-d_2))/AQ12,0.002*(AQ12-(h_col-d_2))/(AQ12-3*h_col/7))))-f_cd*(1-(1-MAX(0,MIN(1,IF(AQ12&lt;=h_col,0.0035*(AQ12-(h_col-d_2))/AQ12,0.002*(AQ12-(h_col-d_2))/(AQ12-3*h_col/7))/0.002)))^2))))/1000</f>
        <v/>
      </c>
      <c r="AS12">
        <f>IF($AR12&lt;N_Ed-1E-9*MAX(1,N_Ed),(AO12+AP12)/2,AO12)</f>
        <v/>
      </c>
      <c r="AT12">
        <f>IF($AR12&lt;N_Ed-1E-9*MAX(1,N_Ed),AP12,(AO12+AP12)/2)</f>
        <v/>
      </c>
      <c r="AU12">
        <f>h_col*((AS12+AT12)/2)/(1-(AS12+AT12)/2)</f>
        <v/>
      </c>
      <c r="AV12">
        <f>(f_cd*b_col*((3*MIN(AU12,h_col)/7)+(4*MIN(AU12,h_col)/7)*(1-((4*MIN(AU12,h_col)/7)/(AU12-(3*MIN(AU12,h_col)/7)))^2/3))+$D12/2*((MAX(-f_yd,MIN(f_yd,200000*IF(AU12&lt;=h_col,0.0035*(AU12-d_2)/AU12,0.002*(AU12-d_2)/(AU12-3*h_col/7))))-f_cd*(1-(1-MAX(0,MIN(1,IF(AU12&lt;=h_col,0.0035*(AU12-d_2)/AU12,0.002*(AU12-d_2)/(AU12-3*h_col/7))/0.002)))^2))+(MAX(-f_yd,MIN(f_yd,200000*IF(AU12&lt;=h_col,0.0035*(AU12-(h_col-d_2))/AU12,0.002*(AU12-(h_col-d_2))/(AU12-3*h_col/7))))-f_cd*(1-(1-MAX(0,MIN(1,IF(AU12&lt;=h_col,0.0035*(AU12-(h_col-d_2))/AU12,0.002*(AU12-(h_col-d_2))/(AU12-3*h_col/7))/0.002)))^2))))/1000</f>
        <v/>
      </c>
      <c r="AW12">
        <f>IF($AV12&lt;N_Ed-1E-9*MAX(1,N_Ed),(AS12+AT12)/2,AS12)</f>
        <v/>
      </c>
      <c r="AX12">
        <f>IF($AV12&lt;N_Ed-1E-9*MAX(1,N_Ed),AT12,(AS12+AT12)/2)</f>
        <v/>
      </c>
      <c r="AY12">
        <f>h_col*((AW12+AX12)/2)/(1-(AW12+AX12)/2)</f>
        <v/>
      </c>
      <c r="AZ12">
        <f>(f_cd*b_col*((3*MIN(AY12,h_col)/7)+(4*MIN(AY12,h_col)/7)*(1-((4*MIN(AY12,h_col)/7)/(AY12-(3*MIN(AY12,h_col)/7)))^2/3))+$D12/2*((MAX(-f_yd,MIN(f_yd,200000*IF(AY12&lt;=h_col,0.0035*(AY12-d_2)/AY12,0.002*(AY12-d_2)/(AY12-3*h_col/7))))-f_cd*(1-(1-MAX(0,MIN(1,IF(AY12&lt;=h_col,0.0035*(AY12-d_2)/AY12,0.002*(AY12-d_2)/(AY12-3*h_col/7))/0.002)))^2))+(MAX(-f_yd,MIN(f_yd,200000*IF(AY12&lt;=h_col,0.0035*(AY12-(h_col-d_2))/AY12,0.002*(AY12-(h_col-d_2))/(AY12-3*h_col/7))))-f_cd*(1-(1-MAX(0,MIN(1,IF(AY12&lt;=h_col,0.0035*(AY12-(h_col-d_2))/AY12,0.002*(AY12-(h_col-d_2))/(AY12-3*h_col/7))/0.002)))^2))))/1000</f>
        <v/>
      </c>
      <c r="BA12">
        <f>IF($AZ12&lt;N_Ed-1E-9*MAX(1,N_Ed),(AW12+AX12)/2,AW12)</f>
        <v/>
      </c>
      <c r="BB12">
        <f>IF($AZ12&lt;N_Ed-1E-9*MAX(1,N_Ed),AX12,(AW12+AX12)/2)</f>
        <v/>
      </c>
      <c r="BC12">
        <f>h_col*((BA12+BB12)/2)/(1-(BA12+BB12)/2)</f>
        <v/>
      </c>
      <c r="BD12">
        <f>(f_cd*b_col*((3*MIN(BC12,h_col)/7)+(4*MIN(BC12,h_col)/7)*(1-((4*MIN(BC12,h_col)/7)/(BC12-(3*MIN(BC12,h_col)/7)))^2/3))+$D12/2*((MAX(-f_yd,MIN(f_yd,200000*IF(BC12&lt;=h_col,0.0035*(BC12-d_2)/BC12,0.002*(BC12-d_2)/(BC12-3*h_col/7))))-f_cd*(1-(1-MAX(0,MIN(1,IF(BC12&lt;=h_col,0.0035*(BC12-d_2)/BC12,0.002*(BC12-d_2)/(BC12-3*h_col/7))/0.002)))^2))+(MAX(-f_yd,MIN(f_yd,200000*IF(BC12&lt;=h_col,0.0035*(BC12-(h_col-d_2))/BC12,0.002*(BC12-(h_col-d_2))/(BC12-3*h_col/7))))-f_cd*(1-(1-MAX(0,MIN(1,IF(BC12&lt;=h_col,0.0035*(BC12-(h_col-d_2))/BC12,0.002*(BC12-(h_col-d_2))/(BC12-3*h_col/7))/0.002)))^2))))/1000</f>
        <v/>
      </c>
      <c r="BE12">
        <f>IF($BD12&lt;N_Ed-1E-9*MAX(1,N_Ed),(BA12+BB12)/2,BA12)</f>
        <v/>
      </c>
      <c r="BF12">
        <f>IF($BD12&lt;N_Ed-1E-9*MAX(1,N_Ed),BB12,(BA12+BB12)/2)</f>
        <v/>
      </c>
      <c r="BG12">
        <f>h_col*((BE12+BF12)/2)/(1-(BE12+BF12)/2)</f>
        <v/>
      </c>
      <c r="BH12">
        <f>(f_cd*b_col*((3*MIN(BG12,h_col)/7)+(4*MIN(BG12,h_col)/7)*(1-((4*MIN(BG12,h_col)/7)/(BG12-(3*MIN(BG12,h_col)/7)))^2/3))+$D12/2*((MAX(-f_yd,MIN(f_yd,200000*IF(BG12&lt;=h_col,0.0035*(BG12-d_2)/BG12,0.002*(BG12-d_2)/(BG12-3*h_col/7))))-f_cd*(1-(1-MAX(0,MIN(1,IF(BG12&lt;=h_col,0.0035*(BG12-d_2)/BG12,0.002*(BG12-d_2)/(BG12-3*h_col/7))/0.002)))^2))+(MAX(-f_yd,MIN(f_yd,200000*IF(BG12&lt;=h_col,0.0035*(BG12-(h_col-d_2))/BG12,0.002*(BG12-(h_col-d_2))/(BG12-3*h_col/7))))-f_cd*(1-(1-MAX(0,MIN(1,IF(BG12&lt;=h_col,0.0035*(BG12-(h_col-d_2))/BG12,0.002*(BG12-(h_col-d_2))/(BG12-3*h_col/7))/0.002)))^2))))/1000</f>
        <v/>
      </c>
      <c r="BI12">
        <f>IF($BH12&lt;N_Ed-1E-9*MAX(1,N_Ed),(BE12+BF12)/2,BE12)</f>
        <v/>
      </c>
      <c r="BJ12">
        <f>IF($BH12&lt;N_Ed-1E-9*MAX(1,N_Ed),BF12,(BE12+BF12)/2)</f>
        <v/>
      </c>
      <c r="BK12">
        <f>h_col*((BI12+BJ12)/2)/(1-(BI12+BJ12)/2)</f>
        <v/>
      </c>
      <c r="BL12">
        <f>(f_cd*b_col*((3*MIN(BK12,h_col)/7)+(4*MIN(BK12,h_col)/7)*(1-((4*MIN(BK12,h_col)/7)/(BK12-(3*MIN(BK12,h_col)/7)))^2/3))+$D12/2*((MAX(-f_yd,MIN(f_yd,200000*IF(BK12&lt;=h_col,0.0035*(BK12-d_2)/BK12,0.002*(BK12-d_2)/(BK12-3*h_col/7))))-f_cd*(1-(1-MAX(0,MIN(1,IF(BK12&lt;=h_col,0.0035*(BK12-d_2)/BK12,0.002*(BK12-d_2)/(BK12-3*h_col/7))/0.002)))^2))+(MAX(-f_yd,MIN(f_yd,200000*IF(BK12&lt;=h_col,0.0035*(BK12-(h_col-d_2))/BK12,0.002*(BK12-(h_col-d_2))/(BK12-3*h_col/7))))-f_cd*(1-(1-MAX(0,MIN(1,IF(BK12&lt;=h_col,0.0035*(BK12-(h_col-d_2))/BK12,0.002*(BK12-(h_col-d_2))/(BK12-3*h_col/7))/0.002)))^2))))/1000</f>
        <v/>
      </c>
      <c r="BM12">
        <f>IF($BL12&lt;N_Ed-1E-9*MAX(1,N_Ed),(BI12+BJ12)/2,BI12)</f>
        <v/>
      </c>
      <c r="BN12">
        <f>IF($BL12&lt;N_Ed-1E-9*MAX(1,N_Ed),BJ12,(BI12+BJ12)/2)</f>
        <v/>
      </c>
      <c r="BO12">
        <f>h_col*((BM12+BN12)/2)/(1-(BM12+BN12)/2)</f>
        <v/>
      </c>
      <c r="BP12">
        <f>(f_cd*b_col*((3*MIN(BO12,h_col)/7)+(4*MIN(BO12,h_col)/7)*(1-((4*MIN(BO12,h_col)/7)/(BO12-(3*MIN(BO12,h_col)/7)))^2/3))+$D12/2*((MAX(-f_yd,MIN(f_yd,200000*IF(BO12&lt;=h_col,0.0035*(BO12-d_2)/BO12,0.002*(BO12-d_2)/(BO12-3*h_col/7))))-f_cd*(1-(1-MAX(0,MIN(1,IF(BO12&lt;=h_col,0.0035*(BO12-d_2)/BO12,0.002*(BO12-d_2)/(BO12-3*h_col/7))/0.002)))^2))+(MAX(-f_yd,MIN(f_yd,200000*IF(BO12&lt;=h_col,0.0035*(BO12-(h_col-d_2))/BO12,0.002*(BO12-(h_col-d_2))/(BO12-3*h_col/7))))-f_cd*(1-(1-MAX(0,MIN(1,IF(BO12&lt;=h_col,0.0035*(BO12-(h_col-d_2))/BO12,0.002*(BO12-(h_col-d_2))/(BO12-3*h_col/7))/0.002)))^2))))/1000</f>
        <v/>
      </c>
      <c r="BQ12">
        <f>IF($BP12&lt;N_Ed-1E-9*MAX(1,N_Ed),(BM12+BN12)/2,BM12)</f>
        <v/>
      </c>
      <c r="BR12">
        <f>IF($BP12&lt;N_Ed-1E-9*MAX(1,N_Ed),BN12,(BM12+BN12)/2)</f>
        <v/>
      </c>
      <c r="BS12">
        <f>h_col*((BQ12+BR12)/2)/(1-(BQ12+BR12)/2)</f>
        <v/>
      </c>
      <c r="BT12">
        <f>(f_cd*b_col*((3*MIN(BS12,h_col)/7)+(4*MIN(BS12,h_col)/7)*(1-((4*MIN(BS12,h_col)/7)/(BS12-(3*MIN(BS12,h_col)/7)))^2/3))+$D12/2*((MAX(-f_yd,MIN(f_yd,200000*IF(BS12&lt;=h_col,0.0035*(BS12-d_2)/BS12,0.002*(BS12-d_2)/(BS12-3*h_col/7))))-f_cd*(1-(1-MAX(0,MIN(1,IF(BS12&lt;=h_col,0.0035*(BS12-d_2)/BS12,0.002*(BS12-d_2)/(BS12-3*h_col/7))/0.002)))^2))+(MAX(-f_yd,MIN(f_yd,200000*IF(BS12&lt;=h_col,0.0035*(BS12-(h_col-d_2))/BS12,0.002*(BS12-(h_col-d_2))/(BS12-3*h_col/7))))-f_cd*(1-(1-MAX(0,MIN(1,IF(BS12&lt;=h_col,0.0035*(BS12-(h_col-d_2))/BS12,0.002*(BS12-(h_col-d_2))/(BS12-3*h_col/7))/0.002)))^2))))/1000</f>
        <v/>
      </c>
      <c r="BU12">
        <f>IF($BT12&lt;N_Ed-1E-9*MAX(1,N_Ed),(BQ12+BR12)/2,BQ12)</f>
        <v/>
      </c>
      <c r="BV12">
        <f>IF($BT12&lt;N_Ed-1E-9*MAX(1,N_Ed),BR12,(BQ12+BR12)/2)</f>
        <v/>
      </c>
      <c r="BW12">
        <f>h_col*((BU12+BV12)/2)/(1-(BU12+BV12)/2)</f>
        <v/>
      </c>
      <c r="BX12">
        <f>(f_cd*b_col*((3*MIN(BW12,h_col)/7)+(4*MIN(BW12,h_col)/7)*(1-((4*MIN(BW12,h_col)/7)/(BW12-(3*MIN(BW12,h_col)/7)))^2/3))+$D12/2*((MAX(-f_yd,MIN(f_yd,200000*IF(BW12&lt;=h_col,0.0035*(BW12-d_2)/BW12,0.002*(BW12-d_2)/(BW12-3*h_col/7))))-f_cd*(1-(1-MAX(0,MIN(1,IF(BW12&lt;=h_col,0.0035*(BW12-d_2)/BW12,0.002*(BW12-d_2)/(BW12-3*h_col/7))/0.002)))^2))+(MAX(-f_yd,MIN(f_yd,200000*IF(BW12&lt;=h_col,0.0035*(BW12-(h_col-d_2))/BW12,0.002*(BW12-(h_col-d_2))/(BW12-3*h_col/7))))-f_cd*(1-(1-MAX(0,MIN(1,IF(BW12&lt;=h_col,0.0035*(BW12-(h_col-d_2))/BW12,0.002*(BW12-(h_col-d_2))/(BW12-3*h_col/7))/0.002)))^2))))/1000</f>
        <v/>
      </c>
      <c r="BY12">
        <f>IF($BX12&lt;N_Ed-1E-9*MAX(1,N_Ed),(BU12+BV12)/2,BU12)</f>
        <v/>
      </c>
      <c r="BZ12">
        <f>IF($BX12&lt;N_Ed-1E-9*MAX(1,N_Ed),BV12,(BU12+BV12)/2)</f>
        <v/>
      </c>
      <c r="CA12">
        <f>h_col*((BY12+BZ12)/2)/(1-(BY12+BZ12)/2)</f>
        <v/>
      </c>
      <c r="CB12">
        <f>(f_cd*b_col*((3*MIN(CA12,h_col)/7)+(4*MIN(CA12,h_col)/7)*(1-((4*MIN(CA12,h_col)/7)/(CA12-(3*MIN(CA12,h_col)/7)))^2/3))+$D12/2*((MAX(-f_yd,MIN(f_yd,200000*IF(CA12&lt;=h_col,0.0035*(CA12-d_2)/CA12,0.002*(CA12-d_2)/(CA12-3*h_col/7))))-f_cd*(1-(1-MAX(0,MIN(1,IF(CA12&lt;=h_col,0.0035*(CA12-d_2)/CA12,0.002*(CA12-d_2)/(CA12-3*h_col/7))/0.002)))^2))+(MAX(-f_yd,MIN(f_yd,200000*IF(CA12&lt;=h_col,0.0035*(CA12-(h_col-d_2))/CA12,0.002*(CA12-(h_col-d_2))/(CA12-3*h_col/7))))-f_cd*(1-(1-MAX(0,MIN(1,IF(CA12&lt;=h_col,0.0035*(CA12-(h_col-d_2))/CA12,0.002*(CA12-(h_col-d_2))/(CA12-3*h_col/7))/0.002)))^2))))/1000</f>
        <v/>
      </c>
      <c r="CC12">
        <f>IF($CB12&lt;N_Ed-1E-9*MAX(1,N_Ed),(BY12+BZ12)/2,BY12)</f>
        <v/>
      </c>
      <c r="CD12">
        <f>IF($CB12&lt;N_Ed-1E-9*MAX(1,N_Ed),BZ12,(BY12+BZ12)/2)</f>
        <v/>
      </c>
      <c r="CE12">
        <f>h_col*((CC12+CD12)/2)/(1-(CC12+CD12)/2)</f>
        <v/>
      </c>
      <c r="CF12">
        <f>(f_cd*b_col*((3*MIN(CE12,h_col)/7)+(4*MIN(CE12,h_col)/7)*(1-((4*MIN(CE12,h_col)/7)/(CE12-(3*MIN(CE12,h_col)/7)))^2/3))+$D12/2*((MAX(-f_yd,MIN(f_yd,200000*IF(CE12&lt;=h_col,0.0035*(CE12-d_2)/CE12,0.002*(CE12-d_2)/(CE12-3*h_col/7))))-f_cd*(1-(1-MAX(0,MIN(1,IF(CE12&lt;=h_col,0.0035*(CE12-d_2)/CE12,0.002*(CE12-d_2)/(CE12-3*h_col/7))/0.002)))^2))+(MAX(-f_yd,MIN(f_yd,200000*IF(CE12&lt;=h_col,0.0035*(CE12-(h_col-d_2))/CE12,0.002*(CE12-(h_col-d_2))/(CE12-3*h_col/7))))-f_cd*(1-(1-MAX(0,MIN(1,IF(CE12&lt;=h_col,0.0035*(CE12-(h_col-d_2))/CE12,0.002*(CE12-(h_col-d_2))/(CE12-3*h_col/7))/0.002)))^2))))/1000</f>
        <v/>
      </c>
      <c r="CG12">
        <f>IF($CF12&lt;N_Ed-1E-9*MAX(1,N_Ed),(CC12+CD12)/2,CC12)</f>
        <v/>
      </c>
      <c r="CH12">
        <f>IF($CF12&lt;N_Ed-1E-9*MAX(1,N_Ed),CD12,(CC12+CD12)/2)</f>
        <v/>
      </c>
      <c r="CI12">
        <f>h_col*((CG12+CH12)/2)/(1-(CG12+CH12)/2)</f>
        <v/>
      </c>
      <c r="CJ12">
        <f>(f_cd*b_col*((3*MIN(CI12,h_col)/7)+(4*MIN(CI12,h_col)/7)*(1-((4*MIN(CI12,h_col)/7)/(CI12-(3*MIN(CI12,h_col)/7)))^2/3))+$D12/2*((MAX(-f_yd,MIN(f_yd,200000*IF(CI12&lt;=h_col,0.0035*(CI12-d_2)/CI12,0.002*(CI12-d_2)/(CI12-3*h_col/7))))-f_cd*(1-(1-MAX(0,MIN(1,IF(CI12&lt;=h_col,0.0035*(CI12-d_2)/CI12,0.002*(CI12-d_2)/(CI12-3*h_col/7))/0.002)))^2))+(MAX(-f_yd,MIN(f_yd,200000*IF(CI12&lt;=h_col,0.0035*(CI12-(h_col-d_2))/CI12,0.002*(CI12-(h_col-d_2))/(CI12-3*h_col/7))))-f_cd*(1-(1-MAX(0,MIN(1,IF(CI12&lt;=h_col,0.0035*(CI12-(h_col-d_2))/CI12,0.002*(CI12-(h_col-d_2))/(CI12-3*h_col/7))/0.002)))^2))))/1000</f>
        <v/>
      </c>
      <c r="CK12">
        <f>IF($CJ12&lt;N_Ed-1E-9*MAX(1,N_Ed),(CG12+CH12)/2,CG12)</f>
        <v/>
      </c>
      <c r="CL12">
        <f>IF($CJ12&lt;N_Ed-1E-9*MAX(1,N_Ed),CH12,(CG12+CH12)/2)</f>
        <v/>
      </c>
      <c r="CM12">
        <f>h_col*((CK12+CL12)/2)/(1-(CK12+CL12)/2)</f>
        <v/>
      </c>
      <c r="CN12">
        <f>(f_cd*b_col*((3*MIN(CM12,h_col)/7)+(4*MIN(CM12,h_col)/7)*(1-((4*MIN(CM12,h_col)/7)/(CM12-(3*MIN(CM12,h_col)/7)))^2/3))+$D12/2*((MAX(-f_yd,MIN(f_yd,200000*IF(CM12&lt;=h_col,0.0035*(CM12-d_2)/CM12,0.002*(CM12-d_2)/(CM12-3*h_col/7))))-f_cd*(1-(1-MAX(0,MIN(1,IF(CM12&lt;=h_col,0.0035*(CM12-d_2)/CM12,0.002*(CM12-d_2)/(CM12-3*h_col/7))/0.002)))^2))+(MAX(-f_yd,MIN(f_yd,200000*IF(CM12&lt;=h_col,0.0035*(CM12-(h_col-d_2))/CM12,0.002*(CM12-(h_col-d_2))/(CM12-3*h_col/7))))-f_cd*(1-(1-MAX(0,MIN(1,IF(CM12&lt;=h_col,0.0035*(CM12-(h_col-d_2))/CM12,0.002*(CM12-(h_col-d_2))/(CM12-3*h_col/7))/0.002)))^2))))/1000</f>
        <v/>
      </c>
      <c r="CO12">
        <f>IF($CN12&lt;N_Ed-1E-9*MAX(1,N_Ed),(CK12+CL12)/2,CK12)</f>
        <v/>
      </c>
      <c r="CP12">
        <f>IF($CN12&lt;N_Ed-1E-9*MAX(1,N_Ed),CL12,(CK12+CL12)/2)</f>
        <v/>
      </c>
      <c r="CQ12">
        <f>h_col*((CO12+CP12)/2)/(1-(CO12+CP12)/2)</f>
        <v/>
      </c>
      <c r="CR12">
        <f>(f_cd*b_col*((3*MIN(CQ12,h_col)/7)+(4*MIN(CQ12,h_col)/7)*(1-((4*MIN(CQ12,h_col)/7)/(CQ12-(3*MIN(CQ12,h_col)/7)))^2/3))+$D12/2*((MAX(-f_yd,MIN(f_yd,200000*IF(CQ12&lt;=h_col,0.0035*(CQ12-d_2)/CQ12,0.002*(CQ12-d_2)/(CQ12-3*h_col/7))))-f_cd*(1-(1-MAX(0,MIN(1,IF(CQ12&lt;=h_col,0.0035*(CQ12-d_2)/CQ12,0.002*(CQ12-d_2)/(CQ12-3*h_col/7))/0.002)))^2))+(MAX(-f_yd,MIN(f_yd,200000*IF(CQ12&lt;=h_col,0.0035*(CQ12-(h_col-d_2))/CQ12,0.002*(CQ12-(h_col-d_2))/(CQ12-3*h_col/7))))-f_cd*(1-(1-MAX(0,MIN(1,IF(CQ12&lt;=h_col,0.0035*(CQ12-(h_col-d_2))/CQ12,0.002*(CQ12-(h_col-d_2))/(CQ12-3*h_col/7))/0.002)))^2))))/1000</f>
        <v/>
      </c>
      <c r="CS12">
        <f>IF($CR12&lt;N_Ed-1E-9*MAX(1,N_Ed),(CO12+CP12)/2,CO12)</f>
        <v/>
      </c>
      <c r="CT12">
        <f>IF($CR12&lt;N_Ed-1E-9*MAX(1,N_Ed),CP12,(CO12+CP12)/2)</f>
        <v/>
      </c>
      <c r="CU12">
        <f>h_col*((CS12+CT12)/2)/(1-(CS12+CT12)/2)</f>
        <v/>
      </c>
      <c r="CV12">
        <f>(f_cd*b_col*((3*MIN(CU12,h_col)/7)+(4*MIN(CU12,h_col)/7)*(1-((4*MIN(CU12,h_col)/7)/(CU12-(3*MIN(CU12,h_col)/7)))^2/3))+$D12/2*((MAX(-f_yd,MIN(f_yd,200000*IF(CU12&lt;=h_col,0.0035*(CU12-d_2)/CU12,0.002*(CU12-d_2)/(CU12-3*h_col/7))))-f_cd*(1-(1-MAX(0,MIN(1,IF(CU12&lt;=h_col,0.0035*(CU12-d_2)/CU12,0.002*(CU12-d_2)/(CU12-3*h_col/7))/0.002)))^2))+(MAX(-f_yd,MIN(f_yd,200000*IF(CU12&lt;=h_col,0.0035*(CU12-(h_col-d_2))/CU12,0.002*(CU12-(h_col-d_2))/(CU12-3*h_col/7))))-f_cd*(1-(1-MAX(0,MIN(1,IF(CU12&lt;=h_col,0.0035*(CU12-(h_col-d_2))/CU12,0.002*(CU12-(h_col-d_2))/(CU12-3*h_col/7))/0.002)))^2))))/1000</f>
        <v/>
      </c>
      <c r="CW12">
        <f>IF($CV12&lt;N_Ed-1E-9*MAX(1,N_Ed),(CS12+CT12)/2,CS12)</f>
        <v/>
      </c>
      <c r="CX12">
        <f>IF($CV12&lt;N_Ed-1E-9*MAX(1,N_Ed),CT12,(CS12+CT12)/2)</f>
        <v/>
      </c>
      <c r="CY12">
        <f>h_col*((CW12+CX12)/2)/(1-(CW12+CX12)/2)</f>
        <v/>
      </c>
      <c r="CZ12">
        <f>(f_cd*b_col*((3*MIN(CY12,h_col)/7)+(4*MIN(CY12,h_col)/7)*(1-((4*MIN(CY12,h_col)/7)/(CY12-(3*MIN(CY12,h_col)/7)))^2/3))+$D12/2*((MAX(-f_yd,MIN(f_yd,200000*IF(CY12&lt;=h_col,0.0035*(CY12-d_2)/CY12,0.002*(CY12-d_2)/(CY12-3*h_col/7))))-f_cd*(1-(1-MAX(0,MIN(1,IF(CY12&lt;=h_col,0.0035*(CY12-d_2)/CY12,0.002*(CY12-d_2)/(CY12-3*h_col/7))/0.002)))^2))+(MAX(-f_yd,MIN(f_yd,200000*IF(CY12&lt;=h_col,0.0035*(CY12-(h_col-d_2))/CY12,0.002*(CY12-(h_col-d_2))/(CY12-3*h_col/7))))-f_cd*(1-(1-MAX(0,MIN(1,IF(CY12&lt;=h_col,0.0035*(CY12-(h_col-d_2))/CY12,0.002*(CY12-(h_col-d_2))/(CY12-3*h_col/7))/0.002)))^2))))/1000</f>
        <v/>
      </c>
      <c r="DA12">
        <f>IF($CZ12&lt;N_Ed-1E-9*MAX(1,N_Ed),(CW12+CX12)/2,CW12)</f>
        <v/>
      </c>
      <c r="DB12">
        <f>IF($CZ12&lt;N_Ed-1E-9*MAX(1,N_Ed),CX12,(CW12+CX12)/2)</f>
        <v/>
      </c>
      <c r="DC12">
        <f>h_col*((DA12+DB12)/2)/(1-(DA12+DB12)/2)</f>
        <v/>
      </c>
      <c r="DD12">
        <f>(f_cd*b_col*((3*MIN(DC12,h_col)/7)+(4*MIN(DC12,h_col)/7)*(1-((4*MIN(DC12,h_col)/7)/(DC12-(3*MIN(DC12,h_col)/7)))^2/3))+$D12/2*((MAX(-f_yd,MIN(f_yd,200000*IF(DC12&lt;=h_col,0.0035*(DC12-d_2)/DC12,0.002*(DC12-d_2)/(DC12-3*h_col/7))))-f_cd*(1-(1-MAX(0,MIN(1,IF(DC12&lt;=h_col,0.0035*(DC12-d_2)/DC12,0.002*(DC12-d_2)/(DC12-3*h_col/7))/0.002)))^2))+(MAX(-f_yd,MIN(f_yd,200000*IF(DC12&lt;=h_col,0.0035*(DC12-(h_col-d_2))/DC12,0.002*(DC12-(h_col-d_2))/(DC12-3*h_col/7))))-f_cd*(1-(1-MAX(0,MIN(1,IF(DC12&lt;=h_col,0.0035*(DC12-(h_col-d_2))/DC12,0.002*(DC12-(h_col-d_2))/(DC12-3*h_col/7))/0.002)))^2))))/1000</f>
        <v/>
      </c>
      <c r="DE12">
        <f>IF($DD12&lt;N_Ed-1E-9*MAX(1,N_Ed),(DA12+DB12)/2,DA12)</f>
        <v/>
      </c>
      <c r="DF12">
        <f>IF($DD12&lt;N_Ed-1E-9*MAX(1,N_Ed),DB12,(DA12+DB12)/2)</f>
        <v/>
      </c>
      <c r="DG12">
        <f>h_col*((DE12+DF12)/2)/(1-(DE12+DF12)/2)</f>
        <v/>
      </c>
      <c r="DH12">
        <f>(f_cd*b_col*((3*MIN(DG12,h_col)/7)+(4*MIN(DG12,h_col)/7)*(1-((4*MIN(DG12,h_col)/7)/(DG12-(3*MIN(DG12,h_col)/7)))^2/3))+$D12/2*((MAX(-f_yd,MIN(f_yd,200000*IF(DG12&lt;=h_col,0.0035*(DG12-d_2)/DG12,0.002*(DG12-d_2)/(DG12-3*h_col/7))))-f_cd*(1-(1-MAX(0,MIN(1,IF(DG12&lt;=h_col,0.0035*(DG12-d_2)/DG12,0.002*(DG12-d_2)/(DG12-3*h_col/7))/0.002)))^2))+(MAX(-f_yd,MIN(f_yd,200000*IF(DG12&lt;=h_col,0.0035*(DG12-(h_col-d_2))/DG12,0.002*(DG12-(h_col-d_2))/(DG12-3*h_col/7))))-f_cd*(1-(1-MAX(0,MIN(1,IF(DG12&lt;=h_col,0.0035*(DG12-(h_col-d_2))/DG12,0.002*(DG12-(h_col-d_2))/(DG12-3*h_col/7))/0.002)))^2))))/1000</f>
        <v/>
      </c>
      <c r="DI12">
        <f>IF($DH12&lt;N_Ed-1E-9*MAX(1,N_Ed),(DE12+DF12)/2,DE12)</f>
        <v/>
      </c>
      <c r="DJ12">
        <f>IF($DH12&lt;N_Ed-1E-9*MAX(1,N_Ed),DF12,(DE12+DF12)/2)</f>
        <v/>
      </c>
      <c r="DK12">
        <f>h_col*((DI12+DJ12)/2)/(1-(DI12+DJ12)/2)</f>
        <v/>
      </c>
      <c r="DL12">
        <f>(f_cd*b_col*((3*MIN(DK12,h_col)/7)+(4*MIN(DK12,h_col)/7)*(1-((4*MIN(DK12,h_col)/7)/(DK12-(3*MIN(DK12,h_col)/7)))^2/3))+$D12/2*((MAX(-f_yd,MIN(f_yd,200000*IF(DK12&lt;=h_col,0.0035*(DK12-d_2)/DK12,0.002*(DK12-d_2)/(DK12-3*h_col/7))))-f_cd*(1-(1-MAX(0,MIN(1,IF(DK12&lt;=h_col,0.0035*(DK12-d_2)/DK12,0.002*(DK12-d_2)/(DK12-3*h_col/7))/0.002)))^2))+(MAX(-f_yd,MIN(f_yd,200000*IF(DK12&lt;=h_col,0.0035*(DK12-(h_col-d_2))/DK12,0.002*(DK12-(h_col-d_2))/(DK12-3*h_col/7))))-f_cd*(1-(1-MAX(0,MIN(1,IF(DK12&lt;=h_col,0.0035*(DK12-(h_col-d_2))/DK12,0.002*(DK12-(h_col-d_2))/(DK12-3*h_col/7))/0.002)))^2))))/1000</f>
        <v/>
      </c>
      <c r="DM12">
        <f>IF($DL12&lt;N_Ed-1E-9*MAX(1,N_Ed),(DI12+DJ12)/2,DI12)</f>
        <v/>
      </c>
      <c r="DN12">
        <f>IF($DL12&lt;N_Ed-1E-9*MAX(1,N_Ed),DJ12,(DI12+DJ12)/2)</f>
        <v/>
      </c>
      <c r="DO12">
        <f>h_col*((DM12+DN12)/2)/(1-(DM12+DN12)/2)</f>
        <v/>
      </c>
      <c r="DP12">
        <f>(f_cd*b_col*((3*MIN(DO12,h_col)/7)+(4*MIN(DO12,h_col)/7)*(1-((4*MIN(DO12,h_col)/7)/(DO12-(3*MIN(DO12,h_col)/7)))^2/3))+$D12/2*((MAX(-f_yd,MIN(f_yd,200000*IF(DO12&lt;=h_col,0.0035*(DO12-d_2)/DO12,0.002*(DO12-d_2)/(DO12-3*h_col/7))))-f_cd*(1-(1-MAX(0,MIN(1,IF(DO12&lt;=h_col,0.0035*(DO12-d_2)/DO12,0.002*(DO12-d_2)/(DO12-3*h_col/7))/0.002)))^2))+(MAX(-f_yd,MIN(f_yd,200000*IF(DO12&lt;=h_col,0.0035*(DO12-(h_col-d_2))/DO12,0.002*(DO12-(h_col-d_2))/(DO12-3*h_col/7))))-f_cd*(1-(1-MAX(0,MIN(1,IF(DO12&lt;=h_col,0.0035*(DO12-(h_col-d_2))/DO12,0.002*(DO12-(h_col-d_2))/(DO12-3*h_col/7))/0.002)))^2))))/1000</f>
        <v/>
      </c>
      <c r="DQ12">
        <f>IF($DP12&lt;N_Ed-1E-9*MAX(1,N_Ed),(DM12+DN12)/2,DM12)</f>
        <v/>
      </c>
      <c r="DR12">
        <f>IF($DP12&lt;N_Ed-1E-9*MAX(1,N_Ed),DN12,(DM12+DN12)/2)</f>
        <v/>
      </c>
      <c r="DS12">
        <f>h_col*((DQ12+DR12)/2)/(1-(DQ12+DR12)/2)</f>
        <v/>
      </c>
      <c r="DT12">
        <f>(f_cd*b_col*((3*MIN(DS12,h_col)/7)+(4*MIN(DS12,h_col)/7)*(1-((4*MIN(DS12,h_col)/7)/(DS12-(3*MIN(DS12,h_col)/7)))^2/3))+$D12/2*((MAX(-f_yd,MIN(f_yd,200000*IF(DS12&lt;=h_col,0.0035*(DS12-d_2)/DS12,0.002*(DS12-d_2)/(DS12-3*h_col/7))))-f_cd*(1-(1-MAX(0,MIN(1,IF(DS12&lt;=h_col,0.0035*(DS12-d_2)/DS12,0.002*(DS12-d_2)/(DS12-3*h_col/7))/0.002)))^2))+(MAX(-f_yd,MIN(f_yd,200000*IF(DS12&lt;=h_col,0.0035*(DS12-(h_col-d_2))/DS12,0.002*(DS12-(h_col-d_2))/(DS12-3*h_col/7))))-f_cd*(1-(1-MAX(0,MIN(1,IF(DS12&lt;=h_col,0.0035*(DS12-(h_col-d_2))/DS12,0.002*(DS12-(h_col-d_2))/(DS12-3*h_col/7))/0.002)))^2))))/1000</f>
        <v/>
      </c>
      <c r="DU12">
        <f>IF($DT12&lt;N_Ed-1E-9*MAX(1,N_Ed),(DQ12+DR12)/2,DQ12)</f>
        <v/>
      </c>
      <c r="DV12">
        <f>IF($DT12&lt;N_Ed-1E-9*MAX(1,N_Ed),DR12,(DQ12+DR12)/2)</f>
        <v/>
      </c>
      <c r="DW12">
        <f>h_col*((DU12+DV12)/2)/(1-(DU12+DV12)/2)</f>
        <v/>
      </c>
      <c r="DX12">
        <f>(f_cd*b_col*((3*MIN(DW12,h_col)/7)+(4*MIN(DW12,h_col)/7)*(1-((4*MIN(DW12,h_col)/7)/(DW12-(3*MIN(DW12,h_col)/7)))^2/3))+$D12/2*((MAX(-f_yd,MIN(f_yd,200000*IF(DW12&lt;=h_col,0.0035*(DW12-d_2)/DW12,0.002*(DW12-d_2)/(DW12-3*h_col/7))))-f_cd*(1-(1-MAX(0,MIN(1,IF(DW12&lt;=h_col,0.0035*(DW12-d_2)/DW12,0.002*(DW12-d_2)/(DW12-3*h_col/7))/0.002)))^2))+(MAX(-f_yd,MIN(f_yd,200000*IF(DW12&lt;=h_col,0.0035*(DW12-(h_col-d_2))/DW12,0.002*(DW12-(h_col-d_2))/(DW12-3*h_col/7))))-f_cd*(1-(1-MAX(0,MIN(1,IF(DW12&lt;=h_col,0.0035*(DW12-(h_col-d_2))/DW12,0.002*(DW12-(h_col-d_2))/(DW12-3*h_col/7))/0.002)))^2))))/1000</f>
        <v/>
      </c>
      <c r="DY12">
        <f>IF($DX12&lt;N_Ed-1E-9*MAX(1,N_Ed),(DU12+DV12)/2,DU12)</f>
        <v/>
      </c>
      <c r="DZ12">
        <f>IF($DX12&lt;N_Ed-1E-9*MAX(1,N_Ed),DV12,(DU12+DV12)/2)</f>
        <v/>
      </c>
      <c r="EA12">
        <f>h_col*((DY12+DZ12)/2)/(1-(DY12+DZ12)/2)</f>
        <v/>
      </c>
      <c r="EB12">
        <f>(f_cd*b_col*((3*MIN(EA12,h_col)/7)+(4*MIN(EA12,h_col)/7)*(1-((4*MIN(EA12,h_col)/7)/(EA12-(3*MIN(EA12,h_col)/7)))^2/3))+$D12/2*((MAX(-f_yd,MIN(f_yd,200000*IF(EA12&lt;=h_col,0.0035*(EA12-d_2)/EA12,0.002*(EA12-d_2)/(EA12-3*h_col/7))))-f_cd*(1-(1-MAX(0,MIN(1,IF(EA12&lt;=h_col,0.0035*(EA12-d_2)/EA12,0.002*(EA12-d_2)/(EA12-3*h_col/7))/0.002)))^2))+(MAX(-f_yd,MIN(f_yd,200000*IF(EA12&lt;=h_col,0.0035*(EA12-(h_col-d_2))/EA12,0.002*(EA12-(h_col-d_2))/(EA12-3*h_col/7))))-f_cd*(1-(1-MAX(0,MIN(1,IF(EA12&lt;=h_col,0.0035*(EA12-(h_col-d_2))/EA12,0.002*(EA12-(h_col-d_2))/(EA12-3*h_col/7))/0.002)))^2))))/1000</f>
        <v/>
      </c>
      <c r="EC12">
        <f>IF($EB12&lt;N_Ed-1E-9*MAX(1,N_Ed),(DY12+DZ12)/2,DY12)</f>
        <v/>
      </c>
      <c r="ED12">
        <f>IF($EB12&lt;N_Ed-1E-9*MAX(1,N_Ed),DZ12,(DY12+DZ12)/2)</f>
        <v/>
      </c>
      <c r="EE12">
        <f>h_col*((EC12+ED12)/2)/(1-(EC12+ED12)/2)</f>
        <v/>
      </c>
      <c r="EF12">
        <f>(f_cd*b_col*((3*MIN(EE12,h_col)/7)+(4*MIN(EE12,h_col)/7)*(1-((4*MIN(EE12,h_col)/7)/(EE12-(3*MIN(EE12,h_col)/7)))^2/3))+$D12/2*((MAX(-f_yd,MIN(f_yd,200000*IF(EE12&lt;=h_col,0.0035*(EE12-d_2)/EE12,0.002*(EE12-d_2)/(EE12-3*h_col/7))))-f_cd*(1-(1-MAX(0,MIN(1,IF(EE12&lt;=h_col,0.0035*(EE12-d_2)/EE12,0.002*(EE12-d_2)/(EE12-3*h_col/7))/0.002)))^2))+(MAX(-f_yd,MIN(f_yd,200000*IF(EE12&lt;=h_col,0.0035*(EE12-(h_col-d_2))/EE12,0.002*(EE12-(h_col-d_2))/(EE12-3*h_col/7))))-f_cd*(1-(1-MAX(0,MIN(1,IF(EE12&lt;=h_col,0.0035*(EE12-(h_col-d_2))/EE12,0.002*(EE12-(h_col-d_2))/(EE12-3*h_col/7))/0.002)))^2))))/1000</f>
        <v/>
      </c>
      <c r="EG12">
        <f>IF($EF12&lt;N_Ed-1E-9*MAX(1,N_Ed),(EC12+ED12)/2,EC12)</f>
        <v/>
      </c>
      <c r="EH12">
        <f>IF($EF12&lt;N_Ed-1E-9*MAX(1,N_Ed),ED12,(EC12+ED12)/2)</f>
        <v/>
      </c>
      <c r="EI12">
        <f>h_col*((EG12+EH12)/2)/(1-(EG12+EH12)/2)</f>
        <v/>
      </c>
      <c r="EJ12">
        <f>(f_cd*b_col*((3*MIN(EI12,h_col)/7)+(4*MIN(EI12,h_col)/7)*(1-((4*MIN(EI12,h_col)/7)/(EI12-(3*MIN(EI12,h_col)/7)))^2/3))+$D12/2*((MAX(-f_yd,MIN(f_yd,200000*IF(EI12&lt;=h_col,0.0035*(EI12-d_2)/EI12,0.002*(EI12-d_2)/(EI12-3*h_col/7))))-f_cd*(1-(1-MAX(0,MIN(1,IF(EI12&lt;=h_col,0.0035*(EI12-d_2)/EI12,0.002*(EI12-d_2)/(EI12-3*h_col/7))/0.002)))^2))+(MAX(-f_yd,MIN(f_yd,200000*IF(EI12&lt;=h_col,0.0035*(EI12-(h_col-d_2))/EI12,0.002*(EI12-(h_col-d_2))/(EI12-3*h_col/7))))-f_cd*(1-(1-MAX(0,MIN(1,IF(EI12&lt;=h_col,0.0035*(EI12-(h_col-d_2))/EI12,0.002*(EI12-(h_col-d_2))/(EI12-3*h_col/7))/0.002)))^2))))/1000</f>
        <v/>
      </c>
      <c r="EK12">
        <f>IF($EJ12&lt;N_Ed-1E-9*MAX(1,N_Ed),(EG12+EH12)/2,EG12)</f>
        <v/>
      </c>
      <c r="EL12">
        <f>IF($EJ12&lt;N_Ed-1E-9*MAX(1,N_Ed),EH12,(EG12+EH12)/2)</f>
        <v/>
      </c>
      <c r="EM12">
        <f>h_col*((EK12+EL12)/2)/(1-(EK12+EL12)/2)</f>
        <v/>
      </c>
      <c r="EN12">
        <f>(f_cd*b_col*((3*MIN(EM12,h_col)/7)+(4*MIN(EM12,h_col)/7)*(1-((4*MIN(EM12,h_col)/7)/(EM12-(3*MIN(EM12,h_col)/7)))^2/3))+$D12/2*((MAX(-f_yd,MIN(f_yd,200000*IF(EM12&lt;=h_col,0.0035*(EM12-d_2)/EM12,0.002*(EM12-d_2)/(EM12-3*h_col/7))))-f_cd*(1-(1-MAX(0,MIN(1,IF(EM12&lt;=h_col,0.0035*(EM12-d_2)/EM12,0.002*(EM12-d_2)/(EM12-3*h_col/7))/0.002)))^2))+(MAX(-f_yd,MIN(f_yd,200000*IF(EM12&lt;=h_col,0.0035*(EM12-(h_col-d_2))/EM12,0.002*(EM12-(h_col-d_2))/(EM12-3*h_col/7))))-f_cd*(1-(1-MAX(0,MIN(1,IF(EM12&lt;=h_col,0.0035*(EM12-(h_col-d_2))/EM12,0.002*(EM12-(h_col-d_2))/(EM12-3*h_col/7))/0.002)))^2))))/1000</f>
        <v/>
      </c>
      <c r="EO12">
        <f>IF($EN12&lt;N_Ed-1E-9*MAX(1,N_Ed),(EK12+EL12)/2,EK12)</f>
        <v/>
      </c>
      <c r="EP12">
        <f>IF($EN12&lt;N_Ed-1E-9*MAX(1,N_Ed),EL12,(EK12+EL12)/2)</f>
        <v/>
      </c>
      <c r="EQ12">
        <f>h_col*((EO12+EP12)/2)/(1-(EO12+EP12)/2)</f>
        <v/>
      </c>
      <c r="ER12">
        <f>(f_cd*b_col*((3*MIN(EQ12,h_col)/7)+(4*MIN(EQ12,h_col)/7)*(1-((4*MIN(EQ12,h_col)/7)/(EQ12-(3*MIN(EQ12,h_col)/7)))^2/3))+$D12/2*((MAX(-f_yd,MIN(f_yd,200000*IF(EQ12&lt;=h_col,0.0035*(EQ12-d_2)/EQ12,0.002*(EQ12-d_2)/(EQ12-3*h_col/7))))-f_cd*(1-(1-MAX(0,MIN(1,IF(EQ12&lt;=h_col,0.0035*(EQ12-d_2)/EQ12,0.002*(EQ12-d_2)/(EQ12-3*h_col/7))/0.002)))^2))+(MAX(-f_yd,MIN(f_yd,200000*IF(EQ12&lt;=h_col,0.0035*(EQ12-(h_col-d_2))/EQ12,0.002*(EQ12-(h_col-d_2))/(EQ12-3*h_col/7))))-f_cd*(1-(1-MAX(0,MIN(1,IF(EQ12&lt;=h_col,0.0035*(EQ12-(h_col-d_2))/EQ12,0.002*(EQ12-(h_col-d_2))/(EQ12-3*h_col/7))/0.002)))^2))))/1000</f>
        <v/>
      </c>
      <c r="ES12">
        <f>IF($ER12&lt;N_Ed-1E-9*MAX(1,N_Ed),(EO12+EP12)/2,EO12)</f>
        <v/>
      </c>
      <c r="ET12">
        <f>IF($ER12&lt;N_Ed-1E-9*MAX(1,N_Ed),EP12,(EO12+EP12)/2)</f>
        <v/>
      </c>
      <c r="EU12">
        <f>h_col*((ES12+ET12)/2)/(1-(ES12+ET12)/2)</f>
        <v/>
      </c>
      <c r="EV12">
        <f>(f_cd*b_col*((3*MIN(EU12,h_col)/7)+(4*MIN(EU12,h_col)/7)*(1-((4*MIN(EU12,h_col)/7)/(EU12-(3*MIN(EU12,h_col)/7)))^2/3))+$D12/2*((MAX(-f_yd,MIN(f_yd,200000*IF(EU12&lt;=h_col,0.0035*(EU12-d_2)/EU12,0.002*(EU12-d_2)/(EU12-3*h_col/7))))-f_cd*(1-(1-MAX(0,MIN(1,IF(EU12&lt;=h_col,0.0035*(EU12-d_2)/EU12,0.002*(EU12-d_2)/(EU12-3*h_col/7))/0.002)))^2))+(MAX(-f_yd,MIN(f_yd,200000*IF(EU12&lt;=h_col,0.0035*(EU12-(h_col-d_2))/EU12,0.002*(EU12-(h_col-d_2))/(EU12-3*h_col/7))))-f_cd*(1-(1-MAX(0,MIN(1,IF(EU12&lt;=h_col,0.0035*(EU12-(h_col-d_2))/EU12,0.002*(EU12-(h_col-d_2))/(EU12-3*h_col/7))/0.002)))^2))))/1000</f>
        <v/>
      </c>
      <c r="EW12">
        <f>IF($EV12&lt;N_Ed-1E-9*MAX(1,N_Ed),(ES12+ET12)/2,ES12)</f>
        <v/>
      </c>
      <c r="EX12">
        <f>IF($EV12&lt;N_Ed-1E-9*MAX(1,N_Ed),ET12,(ES12+ET12)/2)</f>
        <v/>
      </c>
      <c r="EY12">
        <f>h_col*((EW12+EX12)/2)/(1-(EW12+EX12)/2)</f>
        <v/>
      </c>
      <c r="EZ12">
        <f>(f_cd*b_col*((3*MIN(EY12,h_col)/7)+(4*MIN(EY12,h_col)/7)*(1-((4*MIN(EY12,h_col)/7)/(EY12-(3*MIN(EY12,h_col)/7)))^2/3))+$D12/2*((MAX(-f_yd,MIN(f_yd,200000*IF(EY12&lt;=h_col,0.0035*(EY12-d_2)/EY12,0.002*(EY12-d_2)/(EY12-3*h_col/7))))-f_cd*(1-(1-MAX(0,MIN(1,IF(EY12&lt;=h_col,0.0035*(EY12-d_2)/EY12,0.002*(EY12-d_2)/(EY12-3*h_col/7))/0.002)))^2))+(MAX(-f_yd,MIN(f_yd,200000*IF(EY12&lt;=h_col,0.0035*(EY12-(h_col-d_2))/EY12,0.002*(EY12-(h_col-d_2))/(EY12-3*h_col/7))))-f_cd*(1-(1-MAX(0,MIN(1,IF(EY12&lt;=h_col,0.0035*(EY12-(h_col-d_2))/EY12,0.002*(EY12-(h_col-d_2))/(EY12-3*h_col/7))/0.002)))^2))))/1000</f>
        <v/>
      </c>
      <c r="FA12">
        <f>IF($EZ12&lt;N_Ed-1E-9*MAX(1,N_Ed),(EW12+EX12)/2,EW12)</f>
        <v/>
      </c>
      <c r="FB12">
        <f>IF($EZ12&lt;N_Ed-1E-9*MAX(1,N_Ed),EX12,(EW12+EX12)/2)</f>
        <v/>
      </c>
      <c r="FC12">
        <f>h_col*((FA12+FB12)/2)/(1-(FA12+FB12)/2)</f>
        <v/>
      </c>
      <c r="FD12">
        <f>(f_cd*b_col*((3*MIN(FC12,h_col)/7)+(4*MIN(FC12,h_col)/7)*(1-((4*MIN(FC12,h_col)/7)/(FC12-(3*MIN(FC12,h_col)/7)))^2/3))+$D12/2*((MAX(-f_yd,MIN(f_yd,200000*IF(FC12&lt;=h_col,0.0035*(FC12-d_2)/FC12,0.002*(FC12-d_2)/(FC12-3*h_col/7))))-f_cd*(1-(1-MAX(0,MIN(1,IF(FC12&lt;=h_col,0.0035*(FC12-d_2)/FC12,0.002*(FC12-d_2)/(FC12-3*h_col/7))/0.002)))^2))+(MAX(-f_yd,MIN(f_yd,200000*IF(FC12&lt;=h_col,0.0035*(FC12-(h_col-d_2))/FC12,0.002*(FC12-(h_col-d_2))/(FC12-3*h_col/7))))-f_cd*(1-(1-MAX(0,MIN(1,IF(FC12&lt;=h_col,0.0035*(FC12-(h_col-d_2))/FC12,0.002*(FC12-(h_col-d_2))/(FC12-3*h_col/7))/0.002)))^2))))/1000</f>
        <v/>
      </c>
      <c r="FE12">
        <f>IF($FD12&lt;N_Ed-1E-9*MAX(1,N_Ed),(FA12+FB12)/2,FA12)</f>
        <v/>
      </c>
      <c r="FF12">
        <f>IF($FD12&lt;N_Ed-1E-9*MAX(1,N_Ed),FB12,(FA12+FB12)/2)</f>
        <v/>
      </c>
      <c r="FG12">
        <f>h_col*((FE12+FF12)/2)/(1-(FE12+FF12)/2)</f>
        <v/>
      </c>
      <c r="FH12">
        <f>(f_cd*b_col*((3*MIN(FG12,h_col)/7)+(4*MIN(FG12,h_col)/7)*(1-((4*MIN(FG12,h_col)/7)/(FG12-(3*MIN(FG12,h_col)/7)))^2/3))+$D12/2*((MAX(-f_yd,MIN(f_yd,200000*IF(FG12&lt;=h_col,0.0035*(FG12-d_2)/FG12,0.002*(FG12-d_2)/(FG12-3*h_col/7))))-f_cd*(1-(1-MAX(0,MIN(1,IF(FG12&lt;=h_col,0.0035*(FG12-d_2)/FG12,0.002*(FG12-d_2)/(FG12-3*h_col/7))/0.002)))^2))+(MAX(-f_yd,MIN(f_yd,200000*IF(FG12&lt;=h_col,0.0035*(FG12-(h_col-d_2))/FG12,0.002*(FG12-(h_col-d_2))/(FG12-3*h_col/7))))-f_cd*(1-(1-MAX(0,MIN(1,IF(FG12&lt;=h_col,0.0035*(FG12-(h_col-d_2))/FG12,0.002*(FG12-(h_col-d_2))/(FG12-3*h_col/7))/0.002)))^2))))/1000</f>
        <v/>
      </c>
      <c r="FI12">
        <f>IF($FH12&lt;N_Ed-1E-9*MAX(1,N_Ed),(FE12+FF12)/2,FE12)</f>
        <v/>
      </c>
      <c r="FJ12">
        <f>IF($FH12&lt;N_Ed-1E-9*MAX(1,N_Ed),FF12,(FE12+FF12)/2)</f>
        <v/>
      </c>
      <c r="FK12">
        <f>h_col*((FI12+FJ12)/2)/(1-(FI12+FJ12)/2)</f>
        <v/>
      </c>
      <c r="FL12">
        <f>(f_cd*b_col*((3*MIN(FK12,h_col)/7)+(4*MIN(FK12,h_col)/7)*(1-((4*MIN(FK12,h_col)/7)/(FK12-(3*MIN(FK12,h_col)/7)))^2/3))+$D12/2*((MAX(-f_yd,MIN(f_yd,200000*IF(FK12&lt;=h_col,0.0035*(FK12-d_2)/FK12,0.002*(FK12-d_2)/(FK12-3*h_col/7))))-f_cd*(1-(1-MAX(0,MIN(1,IF(FK12&lt;=h_col,0.0035*(FK12-d_2)/FK12,0.002*(FK12-d_2)/(FK12-3*h_col/7))/0.002)))^2))+(MAX(-f_yd,MIN(f_yd,200000*IF(FK12&lt;=h_col,0.0035*(FK12-(h_col-d_2))/FK12,0.002*(FK12-(h_col-d_2))/(FK12-3*h_col/7))))-f_cd*(1-(1-MAX(0,MIN(1,IF(FK12&lt;=h_col,0.0035*(FK12-(h_col-d_2))/FK12,0.002*(FK12-(h_col-d_2))/(FK12-3*h_col/7))/0.002)))^2))))/1000</f>
        <v/>
      </c>
      <c r="FM12">
        <f>IF($FL12&lt;N_Ed-1E-9*MAX(1,N_Ed),(FI12+FJ12)/2,FI12)</f>
        <v/>
      </c>
      <c r="FN12">
        <f>IF($FL12&lt;N_Ed-1E-9*MAX(1,N_Ed),FJ12,(FI12+FJ12)/2)</f>
        <v/>
      </c>
      <c r="FO12">
        <f>h_col*((FM12+FN12)/2)/(1-(FM12+FN12)/2)</f>
        <v/>
      </c>
      <c r="FP12">
        <f>(f_cd*b_col*((3*MIN(FO12,h_col)/7)+(4*MIN(FO12,h_col)/7)*(1-((4*MIN(FO12,h_col)/7)/(FO12-(3*MIN(FO12,h_col)/7)))^2/3))+$D12/2*((MAX(-f_yd,MIN(f_yd,200000*IF(FO12&lt;=h_col,0.0035*(FO12-d_2)/FO12,0.002*(FO12-d_2)/(FO12-3*h_col/7))))-f_cd*(1-(1-MAX(0,MIN(1,IF(FO12&lt;=h_col,0.0035*(FO12-d_2)/FO12,0.002*(FO12-d_2)/(FO12-3*h_col/7))/0.002)))^2))+(MAX(-f_yd,MIN(f_yd,200000*IF(FO12&lt;=h_col,0.0035*(FO12-(h_col-d_2))/FO12,0.002*(FO12-(h_col-d_2))/(FO12-3*h_col/7))))-f_cd*(1-(1-MAX(0,MIN(1,IF(FO12&lt;=h_col,0.0035*(FO12-(h_col-d_2))/FO12,0.002*(FO12-(h_col-d_2))/(FO12-3*h_col/7))/0.002)))^2))))/1000</f>
        <v/>
      </c>
      <c r="FQ12">
        <f>IF($FP12&lt;N_Ed-1E-9*MAX(1,N_Ed),(FM12+FN12)/2,FM12)</f>
        <v/>
      </c>
      <c r="FR12">
        <f>IF($FP12&lt;N_Ed-1E-9*MAX(1,N_Ed),FN12,(FM12+FN12)/2)</f>
        <v/>
      </c>
      <c r="FS12">
        <f>h_col*((FQ12+FR12)/2)/(1-(FQ12+FR12)/2)</f>
        <v/>
      </c>
      <c r="FT12">
        <f>(f_cd*b_col*((3*MIN(FS12,h_col)/7)+(4*MIN(FS12,h_col)/7)*(1-((4*MIN(FS12,h_col)/7)/(FS12-(3*MIN(FS12,h_col)/7)))^2/3))+$D12/2*((MAX(-f_yd,MIN(f_yd,200000*IF(FS12&lt;=h_col,0.0035*(FS12-d_2)/FS12,0.002*(FS12-d_2)/(FS12-3*h_col/7))))-f_cd*(1-(1-MAX(0,MIN(1,IF(FS12&lt;=h_col,0.0035*(FS12-d_2)/FS12,0.002*(FS12-d_2)/(FS12-3*h_col/7))/0.002)))^2))+(MAX(-f_yd,MIN(f_yd,200000*IF(FS12&lt;=h_col,0.0035*(FS12-(h_col-d_2))/FS12,0.002*(FS12-(h_col-d_2))/(FS12-3*h_col/7))))-f_cd*(1-(1-MAX(0,MIN(1,IF(FS12&lt;=h_col,0.0035*(FS12-(h_col-d_2))/FS12,0.002*(FS12-(h_col-d_2))/(FS12-3*h_col/7))/0.002)))^2))))/1000</f>
        <v/>
      </c>
      <c r="FU12">
        <f>IF($FT12&lt;N_Ed-1E-9*MAX(1,N_Ed),(FQ12+FR12)/2,FQ12)</f>
        <v/>
      </c>
      <c r="FV12">
        <f>IF($FT12&lt;N_Ed-1E-9*MAX(1,N_Ed),FR12,(FQ12+FR12)/2)</f>
        <v/>
      </c>
      <c r="FW12">
        <f>h_col*((FU12+FV12)/2)/(1-(FU12+FV12)/2)</f>
        <v/>
      </c>
      <c r="FX12">
        <f>(f_cd*b_col*((3*MIN(FW12,h_col)/7)+(4*MIN(FW12,h_col)/7)*(1-((4*MIN(FW12,h_col)/7)/(FW12-(3*MIN(FW12,h_col)/7)))^2/3))+$D12/2*((MAX(-f_yd,MIN(f_yd,200000*IF(FW12&lt;=h_col,0.0035*(FW12-d_2)/FW12,0.002*(FW12-d_2)/(FW12-3*h_col/7))))-f_cd*(1-(1-MAX(0,MIN(1,IF(FW12&lt;=h_col,0.0035*(FW12-d_2)/FW12,0.002*(FW12-d_2)/(FW12-3*h_col/7))/0.002)))^2))+(MAX(-f_yd,MIN(f_yd,200000*IF(FW12&lt;=h_col,0.0035*(FW12-(h_col-d_2))/FW12,0.002*(FW12-(h_col-d_2))/(FW12-3*h_col/7))))-f_cd*(1-(1-MAX(0,MIN(1,IF(FW12&lt;=h_col,0.0035*(FW12-(h_col-d_2))/FW12,0.002*(FW12-(h_col-d_2))/(FW12-3*h_col/7))/0.002)))^2))))/1000</f>
        <v/>
      </c>
      <c r="FY12">
        <f>IF($FX12&lt;N_Ed-1E-9*MAX(1,N_Ed),(FU12+FV12)/2,FU12)</f>
        <v/>
      </c>
      <c r="FZ12">
        <f>IF($FX12&lt;N_Ed-1E-9*MAX(1,N_Ed),FV12,(FU12+FV12)/2)</f>
        <v/>
      </c>
      <c r="GA12">
        <f>h_col*((FY12+FZ12)/2)/(1-(FY12+FZ12)/2)</f>
        <v/>
      </c>
      <c r="GB12">
        <f>(f_cd*b_col*((3*MIN(GA12,h_col)/7)+(4*MIN(GA12,h_col)/7)*(1-((4*MIN(GA12,h_col)/7)/(GA12-(3*MIN(GA12,h_col)/7)))^2/3))+$D12/2*((MAX(-f_yd,MIN(f_yd,200000*IF(GA12&lt;=h_col,0.0035*(GA12-d_2)/GA12,0.002*(GA12-d_2)/(GA12-3*h_col/7))))-f_cd*(1-(1-MAX(0,MIN(1,IF(GA12&lt;=h_col,0.0035*(GA12-d_2)/GA12,0.002*(GA12-d_2)/(GA12-3*h_col/7))/0.002)))^2))+(MAX(-f_yd,MIN(f_yd,200000*IF(GA12&lt;=h_col,0.0035*(GA12-(h_col-d_2))/GA12,0.002*(GA12-(h_col-d_2))/(GA12-3*h_col/7))))-f_cd*(1-(1-MAX(0,MIN(1,IF(GA12&lt;=h_col,0.0035*(GA12-(h_col-d_2))/GA12,0.002*(GA12-(h_col-d_2))/(GA12-3*h_col/7))/0.002)))^2))))/1000</f>
        <v/>
      </c>
      <c r="GC12">
        <f>IF($GB12&lt;N_Ed-1E-9*MAX(1,N_Ed),(FY12+FZ12)/2,FY12)</f>
        <v/>
      </c>
      <c r="GD12">
        <f>IF($GB12&lt;N_Ed-1E-9*MAX(1,N_Ed),FZ12,(FY12+FZ12)/2)</f>
        <v/>
      </c>
      <c r="GE12">
        <f>h_col*((GC12+GD12)/2)/(1-(GC12+GD12)/2)</f>
        <v/>
      </c>
      <c r="GF12">
        <f>(f_cd*b_col*((3*MIN(GE12,h_col)/7)+(4*MIN(GE12,h_col)/7)*(1-((4*MIN(GE12,h_col)/7)/(GE12-(3*MIN(GE12,h_col)/7)))^2/3))+$D12/2*((MAX(-f_yd,MIN(f_yd,200000*IF(GE12&lt;=h_col,0.0035*(GE12-d_2)/GE12,0.002*(GE12-d_2)/(GE12-3*h_col/7))))-f_cd*(1-(1-MAX(0,MIN(1,IF(GE12&lt;=h_col,0.0035*(GE12-d_2)/GE12,0.002*(GE12-d_2)/(GE12-3*h_col/7))/0.002)))^2))+(MAX(-f_yd,MIN(f_yd,200000*IF(GE12&lt;=h_col,0.0035*(GE12-(h_col-d_2))/GE12,0.002*(GE12-(h_col-d_2))/(GE12-3*h_col/7))))-f_cd*(1-(1-MAX(0,MIN(1,IF(GE12&lt;=h_col,0.0035*(GE12-(h_col-d_2))/GE12,0.002*(GE12-(h_col-d_2))/(GE12-3*h_col/7))/0.002)))^2))))/1000</f>
        <v/>
      </c>
      <c r="GG12">
        <f>IF($GF12&lt;N_Ed-1E-9*MAX(1,N_Ed),(GC12+GD12)/2,GC12)</f>
        <v/>
      </c>
      <c r="GH12">
        <f>IF($GF12&lt;N_Ed-1E-9*MAX(1,N_Ed),GD12,(GC12+GD12)/2)</f>
        <v/>
      </c>
      <c r="GI12">
        <f>h_col*((GG12+GH12)/2)/(1-(GG12+GH12)/2)</f>
        <v/>
      </c>
      <c r="GJ12">
        <f>(f_cd*b_col*((3*MIN(GI12,h_col)/7)+(4*MIN(GI12,h_col)/7)*(1-((4*MIN(GI12,h_col)/7)/(GI12-(3*MIN(GI12,h_col)/7)))^2/3))+$D12/2*((MAX(-f_yd,MIN(f_yd,200000*IF(GI12&lt;=h_col,0.0035*(GI12-d_2)/GI12,0.002*(GI12-d_2)/(GI12-3*h_col/7))))-f_cd*(1-(1-MAX(0,MIN(1,IF(GI12&lt;=h_col,0.0035*(GI12-d_2)/GI12,0.002*(GI12-d_2)/(GI12-3*h_col/7))/0.002)))^2))+(MAX(-f_yd,MIN(f_yd,200000*IF(GI12&lt;=h_col,0.0035*(GI12-(h_col-d_2))/GI12,0.002*(GI12-(h_col-d_2))/(GI12-3*h_col/7))))-f_cd*(1-(1-MAX(0,MIN(1,IF(GI12&lt;=h_col,0.0035*(GI12-(h_col-d_2))/GI12,0.002*(GI12-(h_col-d_2))/(GI12-3*h_col/7))/0.002)))^2))))/1000</f>
        <v/>
      </c>
      <c r="GK12">
        <f>IF($GJ12&lt;N_Ed-1E-9*MAX(1,N_Ed),(GG12+GH12)/2,GG12)</f>
        <v/>
      </c>
      <c r="GL12">
        <f>IF($GJ12&lt;N_Ed-1E-9*MAX(1,N_Ed),GH12,(GG12+GH12)/2)</f>
        <v/>
      </c>
      <c r="GM12">
        <f>h_col*((GK12+GL12)/2)/(1-(GK12+GL12)/2)</f>
        <v/>
      </c>
      <c r="GN12">
        <f>(f_cd*b_col*((3*MIN(GM12,h_col)/7)+(4*MIN(GM12,h_col)/7)*(1-((4*MIN(GM12,h_col)/7)/(GM12-(3*MIN(GM12,h_col)/7)))^2/3))+$D12/2*((MAX(-f_yd,MIN(f_yd,200000*IF(GM12&lt;=h_col,0.0035*(GM12-d_2)/GM12,0.002*(GM12-d_2)/(GM12-3*h_col/7))))-f_cd*(1-(1-MAX(0,MIN(1,IF(GM12&lt;=h_col,0.0035*(GM12-d_2)/GM12,0.002*(GM12-d_2)/(GM12-3*h_col/7))/0.002)))^2))+(MAX(-f_yd,MIN(f_yd,200000*IF(GM12&lt;=h_col,0.0035*(GM12-(h_col-d_2))/GM12,0.002*(GM12-(h_col-d_2))/(GM12-3*h_col/7))))-f_cd*(1-(1-MAX(0,MIN(1,IF(GM12&lt;=h_col,0.0035*(GM12-(h_col-d_2))/GM12,0.002*(GM12-(h_col-d_2))/(GM12-3*h_col/7))/0.002)))^2))))/1000</f>
        <v/>
      </c>
      <c r="GO12">
        <f>IF($GN12&lt;N_Ed-1E-9*MAX(1,N_Ed),(GK12+GL12)/2,GK12)</f>
        <v/>
      </c>
      <c r="GP12">
        <f>IF($GN12&lt;N_Ed-1E-9*MAX(1,N_Ed),GL12,(GK12+GL12)/2)</f>
        <v/>
      </c>
      <c r="GQ12">
        <f>h_col*((GO12+GP12)/2)/(1-(GO12+GP12)/2)</f>
        <v/>
      </c>
      <c r="GR12">
        <f>(f_cd*b_col*((3*MIN(GQ12,h_col)/7)+(4*MIN(GQ12,h_col)/7)*(1-((4*MIN(GQ12,h_col)/7)/(GQ12-(3*MIN(GQ12,h_col)/7)))^2/3))+$D12/2*((MAX(-f_yd,MIN(f_yd,200000*IF(GQ12&lt;=h_col,0.0035*(GQ12-d_2)/GQ12,0.002*(GQ12-d_2)/(GQ12-3*h_col/7))))-f_cd*(1-(1-MAX(0,MIN(1,IF(GQ12&lt;=h_col,0.0035*(GQ12-d_2)/GQ12,0.002*(GQ12-d_2)/(GQ12-3*h_col/7))/0.002)))^2))+(MAX(-f_yd,MIN(f_yd,200000*IF(GQ12&lt;=h_col,0.0035*(GQ12-(h_col-d_2))/GQ12,0.002*(GQ12-(h_col-d_2))/(GQ12-3*h_col/7))))-f_cd*(1-(1-MAX(0,MIN(1,IF(GQ12&lt;=h_col,0.0035*(GQ12-(h_col-d_2))/GQ12,0.002*(GQ12-(h_col-d_2))/(GQ12-3*h_col/7))/0.002)))^2))))/1000</f>
        <v/>
      </c>
      <c r="GS12">
        <f>IF($GR12&lt;N_Ed-1E-9*MAX(1,N_Ed),(GO12+GP12)/2,GO12)</f>
        <v/>
      </c>
      <c r="GT12">
        <f>IF($GR12&lt;N_Ed-1E-9*MAX(1,N_Ed),GP12,(GO12+GP12)/2)</f>
        <v/>
      </c>
      <c r="GU12">
        <f>h_col*((GS12+GT12)/2)/(1-(GS12+GT12)/2)</f>
        <v/>
      </c>
      <c r="GV12">
        <f>(f_cd*b_col*((3*MIN(GU12,h_col)/7)+(4*MIN(GU12,h_col)/7)*(1-((4*MIN(GU12,h_col)/7)/(GU12-(3*MIN(GU12,h_col)/7)))^2/3))+$D12/2*((MAX(-f_yd,MIN(f_yd,200000*IF(GU12&lt;=h_col,0.0035*(GU12-d_2)/GU12,0.002*(GU12-d_2)/(GU12-3*h_col/7))))-f_cd*(1-(1-MAX(0,MIN(1,IF(GU12&lt;=h_col,0.0035*(GU12-d_2)/GU12,0.002*(GU12-d_2)/(GU12-3*h_col/7))/0.002)))^2))+(MAX(-f_yd,MIN(f_yd,200000*IF(GU12&lt;=h_col,0.0035*(GU12-(h_col-d_2))/GU12,0.002*(GU12-(h_col-d_2))/(GU12-3*h_col/7))))-f_cd*(1-(1-MAX(0,MIN(1,IF(GU12&lt;=h_col,0.0035*(GU12-(h_col-d_2))/GU12,0.002*(GU12-(h_col-d_2))/(GU12-3*h_col/7))/0.002)))^2))))/1000</f>
        <v/>
      </c>
      <c r="GW12">
        <f>GU12</f>
        <v/>
      </c>
      <c r="GX12">
        <f>(f_cd*b_col*((3*MIN(GW12,h_col)/7)+(4*MIN(GW12,h_col)/7)*(1-((4*MIN(GW12,h_col)/7)/(GW12-(3*MIN(GW12,h_col)/7)))^2/3))+$D12/2*((MAX(-f_yd,MIN(f_yd,200000*IF(GW12&lt;=h_col,0.0035*(GW12-d_2)/GW12,0.002*(GW12-d_2)/(GW12-3*h_col/7))))-f_cd*(1-(1-MAX(0,MIN(1,IF(GW12&lt;=h_col,0.0035*(GW12-d_2)/GW12,0.002*(GW12-d_2)/(GW12-3*h_col/7))/0.002)))^2))+(MAX(-f_yd,MIN(f_yd,200000*IF(GW12&lt;=h_col,0.0035*(GW12-(h_col-d_2))/GW12,0.002*(GW12-(h_col-d_2))/(GW12-3*h_col/7))))-f_cd*(1-(1-MAX(0,MIN(1,IF(GW12&lt;=h_col,0.0035*(GW12-(h_col-d_2))/GW12,0.002*(GW12-(h_col-d_2))/(GW12-3*h_col/7))/0.002)))^2))))/1000</f>
        <v/>
      </c>
      <c r="GY12">
        <f>(f_cd*b_col*((3*MIN(GW12,h_col)/7)*(h_col/2-(3*MIN(GW12,h_col)/7)/2)+(4*MIN(GW12,h_col)/7)*((h_col/2-(3*MIN(GW12,h_col)/7))*(1-((4*MIN(GW12,h_col)/7)/(GW12-(3*MIN(GW12,h_col)/7)))^2/3)-(4*MIN(GW12,h_col)/7)*(0.5-((4*MIN(GW12,h_col)/7)/(GW12-(3*MIN(GW12,h_col)/7)))^2/4)))+$D12/2*((MAX(-f_yd,MIN(f_yd,200000*IF(GW12&lt;=h_col,0.0035*(GW12-d_2)/GW12,0.002*(GW12-d_2)/(GW12-3*h_col/7))))-f_cd*(1-(1-MAX(0,MIN(1,IF(GW12&lt;=h_col,0.0035*(GW12-d_2)/GW12,0.002*(GW12-d_2)/(GW12-3*h_col/7))/0.002)))^2))-(MAX(-f_yd,MIN(f_yd,200000*IF(GW12&lt;=h_col,0.0035*(GW12-(h_col-d_2))/GW12,0.002*(GW12-(h_col-d_2))/(GW12-3*h_col/7))))-f_cd*(1-(1-MAX(0,MIN(1,IF(GW12&lt;=h_col,0.0035*(GW12-(h_col-d_2))/GW12,0.002*(GW12-(h_col-d_2))/(GW12-3*h_col/7))/0.002)))^2)))*(h_col/2-d_2))/1E6</f>
        <v/>
      </c>
      <c r="GZ12">
        <f>GX12&gt;=N_Ed-1E-6*MAX(1,N_Ed)</f>
        <v/>
      </c>
      <c r="HA12">
        <f>IF(GZ12,GY12,-1E9)</f>
        <v/>
      </c>
    </row>
    <row r="13">
      <c r="A13" t="n">
        <v>8</v>
      </c>
      <c r="B13">
        <f>IF($HA12&gt;=M_d,$B12,$D12)</f>
        <v/>
      </c>
      <c r="C13">
        <f>IF($HA12&gt;=M_d,$D12,$C12)</f>
        <v/>
      </c>
      <c r="D13">
        <f>($B13+$C13)/2</f>
        <v/>
      </c>
      <c r="E13" t="n">
        <v>0</v>
      </c>
      <c r="F13">
        <f>1-1E-12</f>
        <v/>
      </c>
      <c r="G13">
        <f>h_col*((E13+F13)/2)/(1-(E13+F13)/2)</f>
        <v/>
      </c>
      <c r="H13">
        <f>(f_cd*b_col*((3*MIN(G13,h_col)/7)+(4*MIN(G13,h_col)/7)*(1-((4*MIN(G13,h_col)/7)/(G13-(3*MIN(G13,h_col)/7)))^2/3))+$D13/2*((MAX(-f_yd,MIN(f_yd,200000*IF(G13&lt;=h_col,0.0035*(G13-d_2)/G13,0.002*(G13-d_2)/(G13-3*h_col/7))))-f_cd*(1-(1-MAX(0,MIN(1,IF(G13&lt;=h_col,0.0035*(G13-d_2)/G13,0.002*(G13-d_2)/(G13-3*h_col/7))/0.002)))^2))+(MAX(-f_yd,MIN(f_yd,200000*IF(G13&lt;=h_col,0.0035*(G13-(h_col-d_2))/G13,0.002*(G13-(h_col-d_2))/(G13-3*h_col/7))))-f_cd*(1-(1-MAX(0,MIN(1,IF(G13&lt;=h_col,0.0035*(G13-(h_col-d_2))/G13,0.002*(G13-(h_col-d_2))/(G13-3*h_col/7))/0.002)))^2))))/1000</f>
        <v/>
      </c>
      <c r="I13">
        <f>IF($H13&lt;N_Ed-1E-9*MAX(1,N_Ed),(E13+F13)/2,E13)</f>
        <v/>
      </c>
      <c r="J13">
        <f>IF($H13&lt;N_Ed-1E-9*MAX(1,N_Ed),F13,(E13+F13)/2)</f>
        <v/>
      </c>
      <c r="K13">
        <f>h_col*((I13+J13)/2)/(1-(I13+J13)/2)</f>
        <v/>
      </c>
      <c r="L13">
        <f>(f_cd*b_col*((3*MIN(K13,h_col)/7)+(4*MIN(K13,h_col)/7)*(1-((4*MIN(K13,h_col)/7)/(K13-(3*MIN(K13,h_col)/7)))^2/3))+$D13/2*((MAX(-f_yd,MIN(f_yd,200000*IF(K13&lt;=h_col,0.0035*(K13-d_2)/K13,0.002*(K13-d_2)/(K13-3*h_col/7))))-f_cd*(1-(1-MAX(0,MIN(1,IF(K13&lt;=h_col,0.0035*(K13-d_2)/K13,0.002*(K13-d_2)/(K13-3*h_col/7))/0.002)))^2))+(MAX(-f_yd,MIN(f_yd,200000*IF(K13&lt;=h_col,0.0035*(K13-(h_col-d_2))/K13,0.002*(K13-(h_col-d_2))/(K13-3*h_col/7))))-f_cd*(1-(1-MAX(0,MIN(1,IF(K13&lt;=h_col,0.0035*(K13-(h_col-d_2))/K13,0.002*(K13-(h_col-d_2))/(K13-3*h_col/7))/0.002)))^2))))/1000</f>
        <v/>
      </c>
      <c r="M13">
        <f>IF($L13&lt;N_Ed-1E-9*MAX(1,N_Ed),(I13+J13)/2,I13)</f>
        <v/>
      </c>
      <c r="N13">
        <f>IF($L13&lt;N_Ed-1E-9*MAX(1,N_Ed),J13,(I13+J13)/2)</f>
        <v/>
      </c>
      <c r="O13">
        <f>h_col*((M13+N13)/2)/(1-(M13+N13)/2)</f>
        <v/>
      </c>
      <c r="P13">
        <f>(f_cd*b_col*((3*MIN(O13,h_col)/7)+(4*MIN(O13,h_col)/7)*(1-((4*MIN(O13,h_col)/7)/(O13-(3*MIN(O13,h_col)/7)))^2/3))+$D13/2*((MAX(-f_yd,MIN(f_yd,200000*IF(O13&lt;=h_col,0.0035*(O13-d_2)/O13,0.002*(O13-d_2)/(O13-3*h_col/7))))-f_cd*(1-(1-MAX(0,MIN(1,IF(O13&lt;=h_col,0.0035*(O13-d_2)/O13,0.002*(O13-d_2)/(O13-3*h_col/7))/0.002)))^2))+(MAX(-f_yd,MIN(f_yd,200000*IF(O13&lt;=h_col,0.0035*(O13-(h_col-d_2))/O13,0.002*(O13-(h_col-d_2))/(O13-3*h_col/7))))-f_cd*(1-(1-MAX(0,MIN(1,IF(O13&lt;=h_col,0.0035*(O13-(h_col-d_2))/O13,0.002*(O13-(h_col-d_2))/(O13-3*h_col/7))/0.002)))^2))))/1000</f>
        <v/>
      </c>
      <c r="Q13">
        <f>IF($P13&lt;N_Ed-1E-9*MAX(1,N_Ed),(M13+N13)/2,M13)</f>
        <v/>
      </c>
      <c r="R13">
        <f>IF($P13&lt;N_Ed-1E-9*MAX(1,N_Ed),N13,(M13+N13)/2)</f>
        <v/>
      </c>
      <c r="S13">
        <f>h_col*((Q13+R13)/2)/(1-(Q13+R13)/2)</f>
        <v/>
      </c>
      <c r="T13">
        <f>(f_cd*b_col*((3*MIN(S13,h_col)/7)+(4*MIN(S13,h_col)/7)*(1-((4*MIN(S13,h_col)/7)/(S13-(3*MIN(S13,h_col)/7)))^2/3))+$D13/2*((MAX(-f_yd,MIN(f_yd,200000*IF(S13&lt;=h_col,0.0035*(S13-d_2)/S13,0.002*(S13-d_2)/(S13-3*h_col/7))))-f_cd*(1-(1-MAX(0,MIN(1,IF(S13&lt;=h_col,0.0035*(S13-d_2)/S13,0.002*(S13-d_2)/(S13-3*h_col/7))/0.002)))^2))+(MAX(-f_yd,MIN(f_yd,200000*IF(S13&lt;=h_col,0.0035*(S13-(h_col-d_2))/S13,0.002*(S13-(h_col-d_2))/(S13-3*h_col/7))))-f_cd*(1-(1-MAX(0,MIN(1,IF(S13&lt;=h_col,0.0035*(S13-(h_col-d_2))/S13,0.002*(S13-(h_col-d_2))/(S13-3*h_col/7))/0.002)))^2))))/1000</f>
        <v/>
      </c>
      <c r="U13">
        <f>IF($T13&lt;N_Ed-1E-9*MAX(1,N_Ed),(Q13+R13)/2,Q13)</f>
        <v/>
      </c>
      <c r="V13">
        <f>IF($T13&lt;N_Ed-1E-9*MAX(1,N_Ed),R13,(Q13+R13)/2)</f>
        <v/>
      </c>
      <c r="W13">
        <f>h_col*((U13+V13)/2)/(1-(U13+V13)/2)</f>
        <v/>
      </c>
      <c r="X13">
        <f>(f_cd*b_col*((3*MIN(W13,h_col)/7)+(4*MIN(W13,h_col)/7)*(1-((4*MIN(W13,h_col)/7)/(W13-(3*MIN(W13,h_col)/7)))^2/3))+$D13/2*((MAX(-f_yd,MIN(f_yd,200000*IF(W13&lt;=h_col,0.0035*(W13-d_2)/W13,0.002*(W13-d_2)/(W13-3*h_col/7))))-f_cd*(1-(1-MAX(0,MIN(1,IF(W13&lt;=h_col,0.0035*(W13-d_2)/W13,0.002*(W13-d_2)/(W13-3*h_col/7))/0.002)))^2))+(MAX(-f_yd,MIN(f_yd,200000*IF(W13&lt;=h_col,0.0035*(W13-(h_col-d_2))/W13,0.002*(W13-(h_col-d_2))/(W13-3*h_col/7))))-f_cd*(1-(1-MAX(0,MIN(1,IF(W13&lt;=h_col,0.0035*(W13-(h_col-d_2))/W13,0.002*(W13-(h_col-d_2))/(W13-3*h_col/7))/0.002)))^2))))/1000</f>
        <v/>
      </c>
      <c r="Y13">
        <f>IF($X13&lt;N_Ed-1E-9*MAX(1,N_Ed),(U13+V13)/2,U13)</f>
        <v/>
      </c>
      <c r="Z13">
        <f>IF($X13&lt;N_Ed-1E-9*MAX(1,N_Ed),V13,(U13+V13)/2)</f>
        <v/>
      </c>
      <c r="AA13">
        <f>h_col*((Y13+Z13)/2)/(1-(Y13+Z13)/2)</f>
        <v/>
      </c>
      <c r="AB13">
        <f>(f_cd*b_col*((3*MIN(AA13,h_col)/7)+(4*MIN(AA13,h_col)/7)*(1-((4*MIN(AA13,h_col)/7)/(AA13-(3*MIN(AA13,h_col)/7)))^2/3))+$D13/2*((MAX(-f_yd,MIN(f_yd,200000*IF(AA13&lt;=h_col,0.0035*(AA13-d_2)/AA13,0.002*(AA13-d_2)/(AA13-3*h_col/7))))-f_cd*(1-(1-MAX(0,MIN(1,IF(AA13&lt;=h_col,0.0035*(AA13-d_2)/AA13,0.002*(AA13-d_2)/(AA13-3*h_col/7))/0.002)))^2))+(MAX(-f_yd,MIN(f_yd,200000*IF(AA13&lt;=h_col,0.0035*(AA13-(h_col-d_2))/AA13,0.002*(AA13-(h_col-d_2))/(AA13-3*h_col/7))))-f_cd*(1-(1-MAX(0,MIN(1,IF(AA13&lt;=h_col,0.0035*(AA13-(h_col-d_2))/AA13,0.002*(AA13-(h_col-d_2))/(AA13-3*h_col/7))/0.002)))^2))))/1000</f>
        <v/>
      </c>
      <c r="AC13">
        <f>IF($AB13&lt;N_Ed-1E-9*MAX(1,N_Ed),(Y13+Z13)/2,Y13)</f>
        <v/>
      </c>
      <c r="AD13">
        <f>IF($AB13&lt;N_Ed-1E-9*MAX(1,N_Ed),Z13,(Y13+Z13)/2)</f>
        <v/>
      </c>
      <c r="AE13">
        <f>h_col*((AC13+AD13)/2)/(1-(AC13+AD13)/2)</f>
        <v/>
      </c>
      <c r="AF13">
        <f>(f_cd*b_col*((3*MIN(AE13,h_col)/7)+(4*MIN(AE13,h_col)/7)*(1-((4*MIN(AE13,h_col)/7)/(AE13-(3*MIN(AE13,h_col)/7)))^2/3))+$D13/2*((MAX(-f_yd,MIN(f_yd,200000*IF(AE13&lt;=h_col,0.0035*(AE13-d_2)/AE13,0.002*(AE13-d_2)/(AE13-3*h_col/7))))-f_cd*(1-(1-MAX(0,MIN(1,IF(AE13&lt;=h_col,0.0035*(AE13-d_2)/AE13,0.002*(AE13-d_2)/(AE13-3*h_col/7))/0.002)))^2))+(MAX(-f_yd,MIN(f_yd,200000*IF(AE13&lt;=h_col,0.0035*(AE13-(h_col-d_2))/AE13,0.002*(AE13-(h_col-d_2))/(AE13-3*h_col/7))))-f_cd*(1-(1-MAX(0,MIN(1,IF(AE13&lt;=h_col,0.0035*(AE13-(h_col-d_2))/AE13,0.002*(AE13-(h_col-d_2))/(AE13-3*h_col/7))/0.002)))^2))))/1000</f>
        <v/>
      </c>
      <c r="AG13">
        <f>IF($AF13&lt;N_Ed-1E-9*MAX(1,N_Ed),(AC13+AD13)/2,AC13)</f>
        <v/>
      </c>
      <c r="AH13">
        <f>IF($AF13&lt;N_Ed-1E-9*MAX(1,N_Ed),AD13,(AC13+AD13)/2)</f>
        <v/>
      </c>
      <c r="AI13">
        <f>h_col*((AG13+AH13)/2)/(1-(AG13+AH13)/2)</f>
        <v/>
      </c>
      <c r="AJ13">
        <f>(f_cd*b_col*((3*MIN(AI13,h_col)/7)+(4*MIN(AI13,h_col)/7)*(1-((4*MIN(AI13,h_col)/7)/(AI13-(3*MIN(AI13,h_col)/7)))^2/3))+$D13/2*((MAX(-f_yd,MIN(f_yd,200000*IF(AI13&lt;=h_col,0.0035*(AI13-d_2)/AI13,0.002*(AI13-d_2)/(AI13-3*h_col/7))))-f_cd*(1-(1-MAX(0,MIN(1,IF(AI13&lt;=h_col,0.0035*(AI13-d_2)/AI13,0.002*(AI13-d_2)/(AI13-3*h_col/7))/0.002)))^2))+(MAX(-f_yd,MIN(f_yd,200000*IF(AI13&lt;=h_col,0.0035*(AI13-(h_col-d_2))/AI13,0.002*(AI13-(h_col-d_2))/(AI13-3*h_col/7))))-f_cd*(1-(1-MAX(0,MIN(1,IF(AI13&lt;=h_col,0.0035*(AI13-(h_col-d_2))/AI13,0.002*(AI13-(h_col-d_2))/(AI13-3*h_col/7))/0.002)))^2))))/1000</f>
        <v/>
      </c>
      <c r="AK13">
        <f>IF($AJ13&lt;N_Ed-1E-9*MAX(1,N_Ed),(AG13+AH13)/2,AG13)</f>
        <v/>
      </c>
      <c r="AL13">
        <f>IF($AJ13&lt;N_Ed-1E-9*MAX(1,N_Ed),AH13,(AG13+AH13)/2)</f>
        <v/>
      </c>
      <c r="AM13">
        <f>h_col*((AK13+AL13)/2)/(1-(AK13+AL13)/2)</f>
        <v/>
      </c>
      <c r="AN13">
        <f>(f_cd*b_col*((3*MIN(AM13,h_col)/7)+(4*MIN(AM13,h_col)/7)*(1-((4*MIN(AM13,h_col)/7)/(AM13-(3*MIN(AM13,h_col)/7)))^2/3))+$D13/2*((MAX(-f_yd,MIN(f_yd,200000*IF(AM13&lt;=h_col,0.0035*(AM13-d_2)/AM13,0.002*(AM13-d_2)/(AM13-3*h_col/7))))-f_cd*(1-(1-MAX(0,MIN(1,IF(AM13&lt;=h_col,0.0035*(AM13-d_2)/AM13,0.002*(AM13-d_2)/(AM13-3*h_col/7))/0.002)))^2))+(MAX(-f_yd,MIN(f_yd,200000*IF(AM13&lt;=h_col,0.0035*(AM13-(h_col-d_2))/AM13,0.002*(AM13-(h_col-d_2))/(AM13-3*h_col/7))))-f_cd*(1-(1-MAX(0,MIN(1,IF(AM13&lt;=h_col,0.0035*(AM13-(h_col-d_2))/AM13,0.002*(AM13-(h_col-d_2))/(AM13-3*h_col/7))/0.002)))^2))))/1000</f>
        <v/>
      </c>
      <c r="AO13">
        <f>IF($AN13&lt;N_Ed-1E-9*MAX(1,N_Ed),(AK13+AL13)/2,AK13)</f>
        <v/>
      </c>
      <c r="AP13">
        <f>IF($AN13&lt;N_Ed-1E-9*MAX(1,N_Ed),AL13,(AK13+AL13)/2)</f>
        <v/>
      </c>
      <c r="AQ13">
        <f>h_col*((AO13+AP13)/2)/(1-(AO13+AP13)/2)</f>
        <v/>
      </c>
      <c r="AR13">
        <f>(f_cd*b_col*((3*MIN(AQ13,h_col)/7)+(4*MIN(AQ13,h_col)/7)*(1-((4*MIN(AQ13,h_col)/7)/(AQ13-(3*MIN(AQ13,h_col)/7)))^2/3))+$D13/2*((MAX(-f_yd,MIN(f_yd,200000*IF(AQ13&lt;=h_col,0.0035*(AQ13-d_2)/AQ13,0.002*(AQ13-d_2)/(AQ13-3*h_col/7))))-f_cd*(1-(1-MAX(0,MIN(1,IF(AQ13&lt;=h_col,0.0035*(AQ13-d_2)/AQ13,0.002*(AQ13-d_2)/(AQ13-3*h_col/7))/0.002)))^2))+(MAX(-f_yd,MIN(f_yd,200000*IF(AQ13&lt;=h_col,0.0035*(AQ13-(h_col-d_2))/AQ13,0.002*(AQ13-(h_col-d_2))/(AQ13-3*h_col/7))))-f_cd*(1-(1-MAX(0,MIN(1,IF(AQ13&lt;=h_col,0.0035*(AQ13-(h_col-d_2))/AQ13,0.002*(AQ13-(h_col-d_2))/(AQ13-3*h_col/7))/0.002)))^2))))/1000</f>
        <v/>
      </c>
      <c r="AS13">
        <f>IF($AR13&lt;N_Ed-1E-9*MAX(1,N_Ed),(AO13+AP13)/2,AO13)</f>
        <v/>
      </c>
      <c r="AT13">
        <f>IF($AR13&lt;N_Ed-1E-9*MAX(1,N_Ed),AP13,(AO13+AP13)/2)</f>
        <v/>
      </c>
      <c r="AU13">
        <f>h_col*((AS13+AT13)/2)/(1-(AS13+AT13)/2)</f>
        <v/>
      </c>
      <c r="AV13">
        <f>(f_cd*b_col*((3*MIN(AU13,h_col)/7)+(4*MIN(AU13,h_col)/7)*(1-((4*MIN(AU13,h_col)/7)/(AU13-(3*MIN(AU13,h_col)/7)))^2/3))+$D13/2*((MAX(-f_yd,MIN(f_yd,200000*IF(AU13&lt;=h_col,0.0035*(AU13-d_2)/AU13,0.002*(AU13-d_2)/(AU13-3*h_col/7))))-f_cd*(1-(1-MAX(0,MIN(1,IF(AU13&lt;=h_col,0.0035*(AU13-d_2)/AU13,0.002*(AU13-d_2)/(AU13-3*h_col/7))/0.002)))^2))+(MAX(-f_yd,MIN(f_yd,200000*IF(AU13&lt;=h_col,0.0035*(AU13-(h_col-d_2))/AU13,0.002*(AU13-(h_col-d_2))/(AU13-3*h_col/7))))-f_cd*(1-(1-MAX(0,MIN(1,IF(AU13&lt;=h_col,0.0035*(AU13-(h_col-d_2))/AU13,0.002*(AU13-(h_col-d_2))/(AU13-3*h_col/7))/0.002)))^2))))/1000</f>
        <v/>
      </c>
      <c r="AW13">
        <f>IF($AV13&lt;N_Ed-1E-9*MAX(1,N_Ed),(AS13+AT13)/2,AS13)</f>
        <v/>
      </c>
      <c r="AX13">
        <f>IF($AV13&lt;N_Ed-1E-9*MAX(1,N_Ed),AT13,(AS13+AT13)/2)</f>
        <v/>
      </c>
      <c r="AY13">
        <f>h_col*((AW13+AX13)/2)/(1-(AW13+AX13)/2)</f>
        <v/>
      </c>
      <c r="AZ13">
        <f>(f_cd*b_col*((3*MIN(AY13,h_col)/7)+(4*MIN(AY13,h_col)/7)*(1-((4*MIN(AY13,h_col)/7)/(AY13-(3*MIN(AY13,h_col)/7)))^2/3))+$D13/2*((MAX(-f_yd,MIN(f_yd,200000*IF(AY13&lt;=h_col,0.0035*(AY13-d_2)/AY13,0.002*(AY13-d_2)/(AY13-3*h_col/7))))-f_cd*(1-(1-MAX(0,MIN(1,IF(AY13&lt;=h_col,0.0035*(AY13-d_2)/AY13,0.002*(AY13-d_2)/(AY13-3*h_col/7))/0.002)))^2))+(MAX(-f_yd,MIN(f_yd,200000*IF(AY13&lt;=h_col,0.0035*(AY13-(h_col-d_2))/AY13,0.002*(AY13-(h_col-d_2))/(AY13-3*h_col/7))))-f_cd*(1-(1-MAX(0,MIN(1,IF(AY13&lt;=h_col,0.0035*(AY13-(h_col-d_2))/AY13,0.002*(AY13-(h_col-d_2))/(AY13-3*h_col/7))/0.002)))^2))))/1000</f>
        <v/>
      </c>
      <c r="BA13">
        <f>IF($AZ13&lt;N_Ed-1E-9*MAX(1,N_Ed),(AW13+AX13)/2,AW13)</f>
        <v/>
      </c>
      <c r="BB13">
        <f>IF($AZ13&lt;N_Ed-1E-9*MAX(1,N_Ed),AX13,(AW13+AX13)/2)</f>
        <v/>
      </c>
      <c r="BC13">
        <f>h_col*((BA13+BB13)/2)/(1-(BA13+BB13)/2)</f>
        <v/>
      </c>
      <c r="BD13">
        <f>(f_cd*b_col*((3*MIN(BC13,h_col)/7)+(4*MIN(BC13,h_col)/7)*(1-((4*MIN(BC13,h_col)/7)/(BC13-(3*MIN(BC13,h_col)/7)))^2/3))+$D13/2*((MAX(-f_yd,MIN(f_yd,200000*IF(BC13&lt;=h_col,0.0035*(BC13-d_2)/BC13,0.002*(BC13-d_2)/(BC13-3*h_col/7))))-f_cd*(1-(1-MAX(0,MIN(1,IF(BC13&lt;=h_col,0.0035*(BC13-d_2)/BC13,0.002*(BC13-d_2)/(BC13-3*h_col/7))/0.002)))^2))+(MAX(-f_yd,MIN(f_yd,200000*IF(BC13&lt;=h_col,0.0035*(BC13-(h_col-d_2))/BC13,0.002*(BC13-(h_col-d_2))/(BC13-3*h_col/7))))-f_cd*(1-(1-MAX(0,MIN(1,IF(BC13&lt;=h_col,0.0035*(BC13-(h_col-d_2))/BC13,0.002*(BC13-(h_col-d_2))/(BC13-3*h_col/7))/0.002)))^2))))/1000</f>
        <v/>
      </c>
      <c r="BE13">
        <f>IF($BD13&lt;N_Ed-1E-9*MAX(1,N_Ed),(BA13+BB13)/2,BA13)</f>
        <v/>
      </c>
      <c r="BF13">
        <f>IF($BD13&lt;N_Ed-1E-9*MAX(1,N_Ed),BB13,(BA13+BB13)/2)</f>
        <v/>
      </c>
      <c r="BG13">
        <f>h_col*((BE13+BF13)/2)/(1-(BE13+BF13)/2)</f>
        <v/>
      </c>
      <c r="BH13">
        <f>(f_cd*b_col*((3*MIN(BG13,h_col)/7)+(4*MIN(BG13,h_col)/7)*(1-((4*MIN(BG13,h_col)/7)/(BG13-(3*MIN(BG13,h_col)/7)))^2/3))+$D13/2*((MAX(-f_yd,MIN(f_yd,200000*IF(BG13&lt;=h_col,0.0035*(BG13-d_2)/BG13,0.002*(BG13-d_2)/(BG13-3*h_col/7))))-f_cd*(1-(1-MAX(0,MIN(1,IF(BG13&lt;=h_col,0.0035*(BG13-d_2)/BG13,0.002*(BG13-d_2)/(BG13-3*h_col/7))/0.002)))^2))+(MAX(-f_yd,MIN(f_yd,200000*IF(BG13&lt;=h_col,0.0035*(BG13-(h_col-d_2))/BG13,0.002*(BG13-(h_col-d_2))/(BG13-3*h_col/7))))-f_cd*(1-(1-MAX(0,MIN(1,IF(BG13&lt;=h_col,0.0035*(BG13-(h_col-d_2))/BG13,0.002*(BG13-(h_col-d_2))/(BG13-3*h_col/7))/0.002)))^2))))/1000</f>
        <v/>
      </c>
      <c r="BI13">
        <f>IF($BH13&lt;N_Ed-1E-9*MAX(1,N_Ed),(BE13+BF13)/2,BE13)</f>
        <v/>
      </c>
      <c r="BJ13">
        <f>IF($BH13&lt;N_Ed-1E-9*MAX(1,N_Ed),BF13,(BE13+BF13)/2)</f>
        <v/>
      </c>
      <c r="BK13">
        <f>h_col*((BI13+BJ13)/2)/(1-(BI13+BJ13)/2)</f>
        <v/>
      </c>
      <c r="BL13">
        <f>(f_cd*b_col*((3*MIN(BK13,h_col)/7)+(4*MIN(BK13,h_col)/7)*(1-((4*MIN(BK13,h_col)/7)/(BK13-(3*MIN(BK13,h_col)/7)))^2/3))+$D13/2*((MAX(-f_yd,MIN(f_yd,200000*IF(BK13&lt;=h_col,0.0035*(BK13-d_2)/BK13,0.002*(BK13-d_2)/(BK13-3*h_col/7))))-f_cd*(1-(1-MAX(0,MIN(1,IF(BK13&lt;=h_col,0.0035*(BK13-d_2)/BK13,0.002*(BK13-d_2)/(BK13-3*h_col/7))/0.002)))^2))+(MAX(-f_yd,MIN(f_yd,200000*IF(BK13&lt;=h_col,0.0035*(BK13-(h_col-d_2))/BK13,0.002*(BK13-(h_col-d_2))/(BK13-3*h_col/7))))-f_cd*(1-(1-MAX(0,MIN(1,IF(BK13&lt;=h_col,0.0035*(BK13-(h_col-d_2))/BK13,0.002*(BK13-(h_col-d_2))/(BK13-3*h_col/7))/0.002)))^2))))/1000</f>
        <v/>
      </c>
      <c r="BM13">
        <f>IF($BL13&lt;N_Ed-1E-9*MAX(1,N_Ed),(BI13+BJ13)/2,BI13)</f>
        <v/>
      </c>
      <c r="BN13">
        <f>IF($BL13&lt;N_Ed-1E-9*MAX(1,N_Ed),BJ13,(BI13+BJ13)/2)</f>
        <v/>
      </c>
      <c r="BO13">
        <f>h_col*((BM13+BN13)/2)/(1-(BM13+BN13)/2)</f>
        <v/>
      </c>
      <c r="BP13">
        <f>(f_cd*b_col*((3*MIN(BO13,h_col)/7)+(4*MIN(BO13,h_col)/7)*(1-((4*MIN(BO13,h_col)/7)/(BO13-(3*MIN(BO13,h_col)/7)))^2/3))+$D13/2*((MAX(-f_yd,MIN(f_yd,200000*IF(BO13&lt;=h_col,0.0035*(BO13-d_2)/BO13,0.002*(BO13-d_2)/(BO13-3*h_col/7))))-f_cd*(1-(1-MAX(0,MIN(1,IF(BO13&lt;=h_col,0.0035*(BO13-d_2)/BO13,0.002*(BO13-d_2)/(BO13-3*h_col/7))/0.002)))^2))+(MAX(-f_yd,MIN(f_yd,200000*IF(BO13&lt;=h_col,0.0035*(BO13-(h_col-d_2))/BO13,0.002*(BO13-(h_col-d_2))/(BO13-3*h_col/7))))-f_cd*(1-(1-MAX(0,MIN(1,IF(BO13&lt;=h_col,0.0035*(BO13-(h_col-d_2))/BO13,0.002*(BO13-(h_col-d_2))/(BO13-3*h_col/7))/0.002)))^2))))/1000</f>
        <v/>
      </c>
      <c r="BQ13">
        <f>IF($BP13&lt;N_Ed-1E-9*MAX(1,N_Ed),(BM13+BN13)/2,BM13)</f>
        <v/>
      </c>
      <c r="BR13">
        <f>IF($BP13&lt;N_Ed-1E-9*MAX(1,N_Ed),BN13,(BM13+BN13)/2)</f>
        <v/>
      </c>
      <c r="BS13">
        <f>h_col*((BQ13+BR13)/2)/(1-(BQ13+BR13)/2)</f>
        <v/>
      </c>
      <c r="BT13">
        <f>(f_cd*b_col*((3*MIN(BS13,h_col)/7)+(4*MIN(BS13,h_col)/7)*(1-((4*MIN(BS13,h_col)/7)/(BS13-(3*MIN(BS13,h_col)/7)))^2/3))+$D13/2*((MAX(-f_yd,MIN(f_yd,200000*IF(BS13&lt;=h_col,0.0035*(BS13-d_2)/BS13,0.002*(BS13-d_2)/(BS13-3*h_col/7))))-f_cd*(1-(1-MAX(0,MIN(1,IF(BS13&lt;=h_col,0.0035*(BS13-d_2)/BS13,0.002*(BS13-d_2)/(BS13-3*h_col/7))/0.002)))^2))+(MAX(-f_yd,MIN(f_yd,200000*IF(BS13&lt;=h_col,0.0035*(BS13-(h_col-d_2))/BS13,0.002*(BS13-(h_col-d_2))/(BS13-3*h_col/7))))-f_cd*(1-(1-MAX(0,MIN(1,IF(BS13&lt;=h_col,0.0035*(BS13-(h_col-d_2))/BS13,0.002*(BS13-(h_col-d_2))/(BS13-3*h_col/7))/0.002)))^2))))/1000</f>
        <v/>
      </c>
      <c r="BU13">
        <f>IF($BT13&lt;N_Ed-1E-9*MAX(1,N_Ed),(BQ13+BR13)/2,BQ13)</f>
        <v/>
      </c>
      <c r="BV13">
        <f>IF($BT13&lt;N_Ed-1E-9*MAX(1,N_Ed),BR13,(BQ13+BR13)/2)</f>
        <v/>
      </c>
      <c r="BW13">
        <f>h_col*((BU13+BV13)/2)/(1-(BU13+BV13)/2)</f>
        <v/>
      </c>
      <c r="BX13">
        <f>(f_cd*b_col*((3*MIN(BW13,h_col)/7)+(4*MIN(BW13,h_col)/7)*(1-((4*MIN(BW13,h_col)/7)/(BW13-(3*MIN(BW13,h_col)/7)))^2/3))+$D13/2*((MAX(-f_yd,MIN(f_yd,200000*IF(BW13&lt;=h_col,0.0035*(BW13-d_2)/BW13,0.002*(BW13-d_2)/(BW13-3*h_col/7))))-f_cd*(1-(1-MAX(0,MIN(1,IF(BW13&lt;=h_col,0.0035*(BW13-d_2)/BW13,0.002*(BW13-d_2)/(BW13-3*h_col/7))/0.002)))^2))+(MAX(-f_yd,MIN(f_yd,200000*IF(BW13&lt;=h_col,0.0035*(BW13-(h_col-d_2))/BW13,0.002*(BW13-(h_col-d_2))/(BW13-3*h_col/7))))-f_cd*(1-(1-MAX(0,MIN(1,IF(BW13&lt;=h_col,0.0035*(BW13-(h_col-d_2))/BW13,0.002*(BW13-(h_col-d_2))/(BW13-3*h_col/7))/0.002)))^2))))/1000</f>
        <v/>
      </c>
      <c r="BY13">
        <f>IF($BX13&lt;N_Ed-1E-9*MAX(1,N_Ed),(BU13+BV13)/2,BU13)</f>
        <v/>
      </c>
      <c r="BZ13">
        <f>IF($BX13&lt;N_Ed-1E-9*MAX(1,N_Ed),BV13,(BU13+BV13)/2)</f>
        <v/>
      </c>
      <c r="CA13">
        <f>h_col*((BY13+BZ13)/2)/(1-(BY13+BZ13)/2)</f>
        <v/>
      </c>
      <c r="CB13">
        <f>(f_cd*b_col*((3*MIN(CA13,h_col)/7)+(4*MIN(CA13,h_col)/7)*(1-((4*MIN(CA13,h_col)/7)/(CA13-(3*MIN(CA13,h_col)/7)))^2/3))+$D13/2*((MAX(-f_yd,MIN(f_yd,200000*IF(CA13&lt;=h_col,0.0035*(CA13-d_2)/CA13,0.002*(CA13-d_2)/(CA13-3*h_col/7))))-f_cd*(1-(1-MAX(0,MIN(1,IF(CA13&lt;=h_col,0.0035*(CA13-d_2)/CA13,0.002*(CA13-d_2)/(CA13-3*h_col/7))/0.002)))^2))+(MAX(-f_yd,MIN(f_yd,200000*IF(CA13&lt;=h_col,0.0035*(CA13-(h_col-d_2))/CA13,0.002*(CA13-(h_col-d_2))/(CA13-3*h_col/7))))-f_cd*(1-(1-MAX(0,MIN(1,IF(CA13&lt;=h_col,0.0035*(CA13-(h_col-d_2))/CA13,0.002*(CA13-(h_col-d_2))/(CA13-3*h_col/7))/0.002)))^2))))/1000</f>
        <v/>
      </c>
      <c r="CC13">
        <f>IF($CB13&lt;N_Ed-1E-9*MAX(1,N_Ed),(BY13+BZ13)/2,BY13)</f>
        <v/>
      </c>
      <c r="CD13">
        <f>IF($CB13&lt;N_Ed-1E-9*MAX(1,N_Ed),BZ13,(BY13+BZ13)/2)</f>
        <v/>
      </c>
      <c r="CE13">
        <f>h_col*((CC13+CD13)/2)/(1-(CC13+CD13)/2)</f>
        <v/>
      </c>
      <c r="CF13">
        <f>(f_cd*b_col*((3*MIN(CE13,h_col)/7)+(4*MIN(CE13,h_col)/7)*(1-((4*MIN(CE13,h_col)/7)/(CE13-(3*MIN(CE13,h_col)/7)))^2/3))+$D13/2*((MAX(-f_yd,MIN(f_yd,200000*IF(CE13&lt;=h_col,0.0035*(CE13-d_2)/CE13,0.002*(CE13-d_2)/(CE13-3*h_col/7))))-f_cd*(1-(1-MAX(0,MIN(1,IF(CE13&lt;=h_col,0.0035*(CE13-d_2)/CE13,0.002*(CE13-d_2)/(CE13-3*h_col/7))/0.002)))^2))+(MAX(-f_yd,MIN(f_yd,200000*IF(CE13&lt;=h_col,0.0035*(CE13-(h_col-d_2))/CE13,0.002*(CE13-(h_col-d_2))/(CE13-3*h_col/7))))-f_cd*(1-(1-MAX(0,MIN(1,IF(CE13&lt;=h_col,0.0035*(CE13-(h_col-d_2))/CE13,0.002*(CE13-(h_col-d_2))/(CE13-3*h_col/7))/0.002)))^2))))/1000</f>
        <v/>
      </c>
      <c r="CG13">
        <f>IF($CF13&lt;N_Ed-1E-9*MAX(1,N_Ed),(CC13+CD13)/2,CC13)</f>
        <v/>
      </c>
      <c r="CH13">
        <f>IF($CF13&lt;N_Ed-1E-9*MAX(1,N_Ed),CD13,(CC13+CD13)/2)</f>
        <v/>
      </c>
      <c r="CI13">
        <f>h_col*((CG13+CH13)/2)/(1-(CG13+CH13)/2)</f>
        <v/>
      </c>
      <c r="CJ13">
        <f>(f_cd*b_col*((3*MIN(CI13,h_col)/7)+(4*MIN(CI13,h_col)/7)*(1-((4*MIN(CI13,h_col)/7)/(CI13-(3*MIN(CI13,h_col)/7)))^2/3))+$D13/2*((MAX(-f_yd,MIN(f_yd,200000*IF(CI13&lt;=h_col,0.0035*(CI13-d_2)/CI13,0.002*(CI13-d_2)/(CI13-3*h_col/7))))-f_cd*(1-(1-MAX(0,MIN(1,IF(CI13&lt;=h_col,0.0035*(CI13-d_2)/CI13,0.002*(CI13-d_2)/(CI13-3*h_col/7))/0.002)))^2))+(MAX(-f_yd,MIN(f_yd,200000*IF(CI13&lt;=h_col,0.0035*(CI13-(h_col-d_2))/CI13,0.002*(CI13-(h_col-d_2))/(CI13-3*h_col/7))))-f_cd*(1-(1-MAX(0,MIN(1,IF(CI13&lt;=h_col,0.0035*(CI13-(h_col-d_2))/CI13,0.002*(CI13-(h_col-d_2))/(CI13-3*h_col/7))/0.002)))^2))))/1000</f>
        <v/>
      </c>
      <c r="CK13">
        <f>IF($CJ13&lt;N_Ed-1E-9*MAX(1,N_Ed),(CG13+CH13)/2,CG13)</f>
        <v/>
      </c>
      <c r="CL13">
        <f>IF($CJ13&lt;N_Ed-1E-9*MAX(1,N_Ed),CH13,(CG13+CH13)/2)</f>
        <v/>
      </c>
      <c r="CM13">
        <f>h_col*((CK13+CL13)/2)/(1-(CK13+CL13)/2)</f>
        <v/>
      </c>
      <c r="CN13">
        <f>(f_cd*b_col*((3*MIN(CM13,h_col)/7)+(4*MIN(CM13,h_col)/7)*(1-((4*MIN(CM13,h_col)/7)/(CM13-(3*MIN(CM13,h_col)/7)))^2/3))+$D13/2*((MAX(-f_yd,MIN(f_yd,200000*IF(CM13&lt;=h_col,0.0035*(CM13-d_2)/CM13,0.002*(CM13-d_2)/(CM13-3*h_col/7))))-f_cd*(1-(1-MAX(0,MIN(1,IF(CM13&lt;=h_col,0.0035*(CM13-d_2)/CM13,0.002*(CM13-d_2)/(CM13-3*h_col/7))/0.002)))^2))+(MAX(-f_yd,MIN(f_yd,200000*IF(CM13&lt;=h_col,0.0035*(CM13-(h_col-d_2))/CM13,0.002*(CM13-(h_col-d_2))/(CM13-3*h_col/7))))-f_cd*(1-(1-MAX(0,MIN(1,IF(CM13&lt;=h_col,0.0035*(CM13-(h_col-d_2))/CM13,0.002*(CM13-(h_col-d_2))/(CM13-3*h_col/7))/0.002)))^2))))/1000</f>
        <v/>
      </c>
      <c r="CO13">
        <f>IF($CN13&lt;N_Ed-1E-9*MAX(1,N_Ed),(CK13+CL13)/2,CK13)</f>
        <v/>
      </c>
      <c r="CP13">
        <f>IF($CN13&lt;N_Ed-1E-9*MAX(1,N_Ed),CL13,(CK13+CL13)/2)</f>
        <v/>
      </c>
      <c r="CQ13">
        <f>h_col*((CO13+CP13)/2)/(1-(CO13+CP13)/2)</f>
        <v/>
      </c>
      <c r="CR13">
        <f>(f_cd*b_col*((3*MIN(CQ13,h_col)/7)+(4*MIN(CQ13,h_col)/7)*(1-((4*MIN(CQ13,h_col)/7)/(CQ13-(3*MIN(CQ13,h_col)/7)))^2/3))+$D13/2*((MAX(-f_yd,MIN(f_yd,200000*IF(CQ13&lt;=h_col,0.0035*(CQ13-d_2)/CQ13,0.002*(CQ13-d_2)/(CQ13-3*h_col/7))))-f_cd*(1-(1-MAX(0,MIN(1,IF(CQ13&lt;=h_col,0.0035*(CQ13-d_2)/CQ13,0.002*(CQ13-d_2)/(CQ13-3*h_col/7))/0.002)))^2))+(MAX(-f_yd,MIN(f_yd,200000*IF(CQ13&lt;=h_col,0.0035*(CQ13-(h_col-d_2))/CQ13,0.002*(CQ13-(h_col-d_2))/(CQ13-3*h_col/7))))-f_cd*(1-(1-MAX(0,MIN(1,IF(CQ13&lt;=h_col,0.0035*(CQ13-(h_col-d_2))/CQ13,0.002*(CQ13-(h_col-d_2))/(CQ13-3*h_col/7))/0.002)))^2))))/1000</f>
        <v/>
      </c>
      <c r="CS13">
        <f>IF($CR13&lt;N_Ed-1E-9*MAX(1,N_Ed),(CO13+CP13)/2,CO13)</f>
        <v/>
      </c>
      <c r="CT13">
        <f>IF($CR13&lt;N_Ed-1E-9*MAX(1,N_Ed),CP13,(CO13+CP13)/2)</f>
        <v/>
      </c>
      <c r="CU13">
        <f>h_col*((CS13+CT13)/2)/(1-(CS13+CT13)/2)</f>
        <v/>
      </c>
      <c r="CV13">
        <f>(f_cd*b_col*((3*MIN(CU13,h_col)/7)+(4*MIN(CU13,h_col)/7)*(1-((4*MIN(CU13,h_col)/7)/(CU13-(3*MIN(CU13,h_col)/7)))^2/3))+$D13/2*((MAX(-f_yd,MIN(f_yd,200000*IF(CU13&lt;=h_col,0.0035*(CU13-d_2)/CU13,0.002*(CU13-d_2)/(CU13-3*h_col/7))))-f_cd*(1-(1-MAX(0,MIN(1,IF(CU13&lt;=h_col,0.0035*(CU13-d_2)/CU13,0.002*(CU13-d_2)/(CU13-3*h_col/7))/0.002)))^2))+(MAX(-f_yd,MIN(f_yd,200000*IF(CU13&lt;=h_col,0.0035*(CU13-(h_col-d_2))/CU13,0.002*(CU13-(h_col-d_2))/(CU13-3*h_col/7))))-f_cd*(1-(1-MAX(0,MIN(1,IF(CU13&lt;=h_col,0.0035*(CU13-(h_col-d_2))/CU13,0.002*(CU13-(h_col-d_2))/(CU13-3*h_col/7))/0.002)))^2))))/1000</f>
        <v/>
      </c>
      <c r="CW13">
        <f>IF($CV13&lt;N_Ed-1E-9*MAX(1,N_Ed),(CS13+CT13)/2,CS13)</f>
        <v/>
      </c>
      <c r="CX13">
        <f>IF($CV13&lt;N_Ed-1E-9*MAX(1,N_Ed),CT13,(CS13+CT13)/2)</f>
        <v/>
      </c>
      <c r="CY13">
        <f>h_col*((CW13+CX13)/2)/(1-(CW13+CX13)/2)</f>
        <v/>
      </c>
      <c r="CZ13">
        <f>(f_cd*b_col*((3*MIN(CY13,h_col)/7)+(4*MIN(CY13,h_col)/7)*(1-((4*MIN(CY13,h_col)/7)/(CY13-(3*MIN(CY13,h_col)/7)))^2/3))+$D13/2*((MAX(-f_yd,MIN(f_yd,200000*IF(CY13&lt;=h_col,0.0035*(CY13-d_2)/CY13,0.002*(CY13-d_2)/(CY13-3*h_col/7))))-f_cd*(1-(1-MAX(0,MIN(1,IF(CY13&lt;=h_col,0.0035*(CY13-d_2)/CY13,0.002*(CY13-d_2)/(CY13-3*h_col/7))/0.002)))^2))+(MAX(-f_yd,MIN(f_yd,200000*IF(CY13&lt;=h_col,0.0035*(CY13-(h_col-d_2))/CY13,0.002*(CY13-(h_col-d_2))/(CY13-3*h_col/7))))-f_cd*(1-(1-MAX(0,MIN(1,IF(CY13&lt;=h_col,0.0035*(CY13-(h_col-d_2))/CY13,0.002*(CY13-(h_col-d_2))/(CY13-3*h_col/7))/0.002)))^2))))/1000</f>
        <v/>
      </c>
      <c r="DA13">
        <f>IF($CZ13&lt;N_Ed-1E-9*MAX(1,N_Ed),(CW13+CX13)/2,CW13)</f>
        <v/>
      </c>
      <c r="DB13">
        <f>IF($CZ13&lt;N_Ed-1E-9*MAX(1,N_Ed),CX13,(CW13+CX13)/2)</f>
        <v/>
      </c>
      <c r="DC13">
        <f>h_col*((DA13+DB13)/2)/(1-(DA13+DB13)/2)</f>
        <v/>
      </c>
      <c r="DD13">
        <f>(f_cd*b_col*((3*MIN(DC13,h_col)/7)+(4*MIN(DC13,h_col)/7)*(1-((4*MIN(DC13,h_col)/7)/(DC13-(3*MIN(DC13,h_col)/7)))^2/3))+$D13/2*((MAX(-f_yd,MIN(f_yd,200000*IF(DC13&lt;=h_col,0.0035*(DC13-d_2)/DC13,0.002*(DC13-d_2)/(DC13-3*h_col/7))))-f_cd*(1-(1-MAX(0,MIN(1,IF(DC13&lt;=h_col,0.0035*(DC13-d_2)/DC13,0.002*(DC13-d_2)/(DC13-3*h_col/7))/0.002)))^2))+(MAX(-f_yd,MIN(f_yd,200000*IF(DC13&lt;=h_col,0.0035*(DC13-(h_col-d_2))/DC13,0.002*(DC13-(h_col-d_2))/(DC13-3*h_col/7))))-f_cd*(1-(1-MAX(0,MIN(1,IF(DC13&lt;=h_col,0.0035*(DC13-(h_col-d_2))/DC13,0.002*(DC13-(h_col-d_2))/(DC13-3*h_col/7))/0.002)))^2))))/1000</f>
        <v/>
      </c>
      <c r="DE13">
        <f>IF($DD13&lt;N_Ed-1E-9*MAX(1,N_Ed),(DA13+DB13)/2,DA13)</f>
        <v/>
      </c>
      <c r="DF13">
        <f>IF($DD13&lt;N_Ed-1E-9*MAX(1,N_Ed),DB13,(DA13+DB13)/2)</f>
        <v/>
      </c>
      <c r="DG13">
        <f>h_col*((DE13+DF13)/2)/(1-(DE13+DF13)/2)</f>
        <v/>
      </c>
      <c r="DH13">
        <f>(f_cd*b_col*((3*MIN(DG13,h_col)/7)+(4*MIN(DG13,h_col)/7)*(1-((4*MIN(DG13,h_col)/7)/(DG13-(3*MIN(DG13,h_col)/7)))^2/3))+$D13/2*((MAX(-f_yd,MIN(f_yd,200000*IF(DG13&lt;=h_col,0.0035*(DG13-d_2)/DG13,0.002*(DG13-d_2)/(DG13-3*h_col/7))))-f_cd*(1-(1-MAX(0,MIN(1,IF(DG13&lt;=h_col,0.0035*(DG13-d_2)/DG13,0.002*(DG13-d_2)/(DG13-3*h_col/7))/0.002)))^2))+(MAX(-f_yd,MIN(f_yd,200000*IF(DG13&lt;=h_col,0.0035*(DG13-(h_col-d_2))/DG13,0.002*(DG13-(h_col-d_2))/(DG13-3*h_col/7))))-f_cd*(1-(1-MAX(0,MIN(1,IF(DG13&lt;=h_col,0.0035*(DG13-(h_col-d_2))/DG13,0.002*(DG13-(h_col-d_2))/(DG13-3*h_col/7))/0.002)))^2))))/1000</f>
        <v/>
      </c>
      <c r="DI13">
        <f>IF($DH13&lt;N_Ed-1E-9*MAX(1,N_Ed),(DE13+DF13)/2,DE13)</f>
        <v/>
      </c>
      <c r="DJ13">
        <f>IF($DH13&lt;N_Ed-1E-9*MAX(1,N_Ed),DF13,(DE13+DF13)/2)</f>
        <v/>
      </c>
      <c r="DK13">
        <f>h_col*((DI13+DJ13)/2)/(1-(DI13+DJ13)/2)</f>
        <v/>
      </c>
      <c r="DL13">
        <f>(f_cd*b_col*((3*MIN(DK13,h_col)/7)+(4*MIN(DK13,h_col)/7)*(1-((4*MIN(DK13,h_col)/7)/(DK13-(3*MIN(DK13,h_col)/7)))^2/3))+$D13/2*((MAX(-f_yd,MIN(f_yd,200000*IF(DK13&lt;=h_col,0.0035*(DK13-d_2)/DK13,0.002*(DK13-d_2)/(DK13-3*h_col/7))))-f_cd*(1-(1-MAX(0,MIN(1,IF(DK13&lt;=h_col,0.0035*(DK13-d_2)/DK13,0.002*(DK13-d_2)/(DK13-3*h_col/7))/0.002)))^2))+(MAX(-f_yd,MIN(f_yd,200000*IF(DK13&lt;=h_col,0.0035*(DK13-(h_col-d_2))/DK13,0.002*(DK13-(h_col-d_2))/(DK13-3*h_col/7))))-f_cd*(1-(1-MAX(0,MIN(1,IF(DK13&lt;=h_col,0.0035*(DK13-(h_col-d_2))/DK13,0.002*(DK13-(h_col-d_2))/(DK13-3*h_col/7))/0.002)))^2))))/1000</f>
        <v/>
      </c>
      <c r="DM13">
        <f>IF($DL13&lt;N_Ed-1E-9*MAX(1,N_Ed),(DI13+DJ13)/2,DI13)</f>
        <v/>
      </c>
      <c r="DN13">
        <f>IF($DL13&lt;N_Ed-1E-9*MAX(1,N_Ed),DJ13,(DI13+DJ13)/2)</f>
        <v/>
      </c>
      <c r="DO13">
        <f>h_col*((DM13+DN13)/2)/(1-(DM13+DN13)/2)</f>
        <v/>
      </c>
      <c r="DP13">
        <f>(f_cd*b_col*((3*MIN(DO13,h_col)/7)+(4*MIN(DO13,h_col)/7)*(1-((4*MIN(DO13,h_col)/7)/(DO13-(3*MIN(DO13,h_col)/7)))^2/3))+$D13/2*((MAX(-f_yd,MIN(f_yd,200000*IF(DO13&lt;=h_col,0.0035*(DO13-d_2)/DO13,0.002*(DO13-d_2)/(DO13-3*h_col/7))))-f_cd*(1-(1-MAX(0,MIN(1,IF(DO13&lt;=h_col,0.0035*(DO13-d_2)/DO13,0.002*(DO13-d_2)/(DO13-3*h_col/7))/0.002)))^2))+(MAX(-f_yd,MIN(f_yd,200000*IF(DO13&lt;=h_col,0.0035*(DO13-(h_col-d_2))/DO13,0.002*(DO13-(h_col-d_2))/(DO13-3*h_col/7))))-f_cd*(1-(1-MAX(0,MIN(1,IF(DO13&lt;=h_col,0.0035*(DO13-(h_col-d_2))/DO13,0.002*(DO13-(h_col-d_2))/(DO13-3*h_col/7))/0.002)))^2))))/1000</f>
        <v/>
      </c>
      <c r="DQ13">
        <f>IF($DP13&lt;N_Ed-1E-9*MAX(1,N_Ed),(DM13+DN13)/2,DM13)</f>
        <v/>
      </c>
      <c r="DR13">
        <f>IF($DP13&lt;N_Ed-1E-9*MAX(1,N_Ed),DN13,(DM13+DN13)/2)</f>
        <v/>
      </c>
      <c r="DS13">
        <f>h_col*((DQ13+DR13)/2)/(1-(DQ13+DR13)/2)</f>
        <v/>
      </c>
      <c r="DT13">
        <f>(f_cd*b_col*((3*MIN(DS13,h_col)/7)+(4*MIN(DS13,h_col)/7)*(1-((4*MIN(DS13,h_col)/7)/(DS13-(3*MIN(DS13,h_col)/7)))^2/3))+$D13/2*((MAX(-f_yd,MIN(f_yd,200000*IF(DS13&lt;=h_col,0.0035*(DS13-d_2)/DS13,0.002*(DS13-d_2)/(DS13-3*h_col/7))))-f_cd*(1-(1-MAX(0,MIN(1,IF(DS13&lt;=h_col,0.0035*(DS13-d_2)/DS13,0.002*(DS13-d_2)/(DS13-3*h_col/7))/0.002)))^2))+(MAX(-f_yd,MIN(f_yd,200000*IF(DS13&lt;=h_col,0.0035*(DS13-(h_col-d_2))/DS13,0.002*(DS13-(h_col-d_2))/(DS13-3*h_col/7))))-f_cd*(1-(1-MAX(0,MIN(1,IF(DS13&lt;=h_col,0.0035*(DS13-(h_col-d_2))/DS13,0.002*(DS13-(h_col-d_2))/(DS13-3*h_col/7))/0.002)))^2))))/1000</f>
        <v/>
      </c>
      <c r="DU13">
        <f>IF($DT13&lt;N_Ed-1E-9*MAX(1,N_Ed),(DQ13+DR13)/2,DQ13)</f>
        <v/>
      </c>
      <c r="DV13">
        <f>IF($DT13&lt;N_Ed-1E-9*MAX(1,N_Ed),DR13,(DQ13+DR13)/2)</f>
        <v/>
      </c>
      <c r="DW13">
        <f>h_col*((DU13+DV13)/2)/(1-(DU13+DV13)/2)</f>
        <v/>
      </c>
      <c r="DX13">
        <f>(f_cd*b_col*((3*MIN(DW13,h_col)/7)+(4*MIN(DW13,h_col)/7)*(1-((4*MIN(DW13,h_col)/7)/(DW13-(3*MIN(DW13,h_col)/7)))^2/3))+$D13/2*((MAX(-f_yd,MIN(f_yd,200000*IF(DW13&lt;=h_col,0.0035*(DW13-d_2)/DW13,0.002*(DW13-d_2)/(DW13-3*h_col/7))))-f_cd*(1-(1-MAX(0,MIN(1,IF(DW13&lt;=h_col,0.0035*(DW13-d_2)/DW13,0.002*(DW13-d_2)/(DW13-3*h_col/7))/0.002)))^2))+(MAX(-f_yd,MIN(f_yd,200000*IF(DW13&lt;=h_col,0.0035*(DW13-(h_col-d_2))/DW13,0.002*(DW13-(h_col-d_2))/(DW13-3*h_col/7))))-f_cd*(1-(1-MAX(0,MIN(1,IF(DW13&lt;=h_col,0.0035*(DW13-(h_col-d_2))/DW13,0.002*(DW13-(h_col-d_2))/(DW13-3*h_col/7))/0.002)))^2))))/1000</f>
        <v/>
      </c>
      <c r="DY13">
        <f>IF($DX13&lt;N_Ed-1E-9*MAX(1,N_Ed),(DU13+DV13)/2,DU13)</f>
        <v/>
      </c>
      <c r="DZ13">
        <f>IF($DX13&lt;N_Ed-1E-9*MAX(1,N_Ed),DV13,(DU13+DV13)/2)</f>
        <v/>
      </c>
      <c r="EA13">
        <f>h_col*((DY13+DZ13)/2)/(1-(DY13+DZ13)/2)</f>
        <v/>
      </c>
      <c r="EB13">
        <f>(f_cd*b_col*((3*MIN(EA13,h_col)/7)+(4*MIN(EA13,h_col)/7)*(1-((4*MIN(EA13,h_col)/7)/(EA13-(3*MIN(EA13,h_col)/7)))^2/3))+$D13/2*((MAX(-f_yd,MIN(f_yd,200000*IF(EA13&lt;=h_col,0.0035*(EA13-d_2)/EA13,0.002*(EA13-d_2)/(EA13-3*h_col/7))))-f_cd*(1-(1-MAX(0,MIN(1,IF(EA13&lt;=h_col,0.0035*(EA13-d_2)/EA13,0.002*(EA13-d_2)/(EA13-3*h_col/7))/0.002)))^2))+(MAX(-f_yd,MIN(f_yd,200000*IF(EA13&lt;=h_col,0.0035*(EA13-(h_col-d_2))/EA13,0.002*(EA13-(h_col-d_2))/(EA13-3*h_col/7))))-f_cd*(1-(1-MAX(0,MIN(1,IF(EA13&lt;=h_col,0.0035*(EA13-(h_col-d_2))/EA13,0.002*(EA13-(h_col-d_2))/(EA13-3*h_col/7))/0.002)))^2))))/1000</f>
        <v/>
      </c>
      <c r="EC13">
        <f>IF($EB13&lt;N_Ed-1E-9*MAX(1,N_Ed),(DY13+DZ13)/2,DY13)</f>
        <v/>
      </c>
      <c r="ED13">
        <f>IF($EB13&lt;N_Ed-1E-9*MAX(1,N_Ed),DZ13,(DY13+DZ13)/2)</f>
        <v/>
      </c>
      <c r="EE13">
        <f>h_col*((EC13+ED13)/2)/(1-(EC13+ED13)/2)</f>
        <v/>
      </c>
      <c r="EF13">
        <f>(f_cd*b_col*((3*MIN(EE13,h_col)/7)+(4*MIN(EE13,h_col)/7)*(1-((4*MIN(EE13,h_col)/7)/(EE13-(3*MIN(EE13,h_col)/7)))^2/3))+$D13/2*((MAX(-f_yd,MIN(f_yd,200000*IF(EE13&lt;=h_col,0.0035*(EE13-d_2)/EE13,0.002*(EE13-d_2)/(EE13-3*h_col/7))))-f_cd*(1-(1-MAX(0,MIN(1,IF(EE13&lt;=h_col,0.0035*(EE13-d_2)/EE13,0.002*(EE13-d_2)/(EE13-3*h_col/7))/0.002)))^2))+(MAX(-f_yd,MIN(f_yd,200000*IF(EE13&lt;=h_col,0.0035*(EE13-(h_col-d_2))/EE13,0.002*(EE13-(h_col-d_2))/(EE13-3*h_col/7))))-f_cd*(1-(1-MAX(0,MIN(1,IF(EE13&lt;=h_col,0.0035*(EE13-(h_col-d_2))/EE13,0.002*(EE13-(h_col-d_2))/(EE13-3*h_col/7))/0.002)))^2))))/1000</f>
        <v/>
      </c>
      <c r="EG13">
        <f>IF($EF13&lt;N_Ed-1E-9*MAX(1,N_Ed),(EC13+ED13)/2,EC13)</f>
        <v/>
      </c>
      <c r="EH13">
        <f>IF($EF13&lt;N_Ed-1E-9*MAX(1,N_Ed),ED13,(EC13+ED13)/2)</f>
        <v/>
      </c>
      <c r="EI13">
        <f>h_col*((EG13+EH13)/2)/(1-(EG13+EH13)/2)</f>
        <v/>
      </c>
      <c r="EJ13">
        <f>(f_cd*b_col*((3*MIN(EI13,h_col)/7)+(4*MIN(EI13,h_col)/7)*(1-((4*MIN(EI13,h_col)/7)/(EI13-(3*MIN(EI13,h_col)/7)))^2/3))+$D13/2*((MAX(-f_yd,MIN(f_yd,200000*IF(EI13&lt;=h_col,0.0035*(EI13-d_2)/EI13,0.002*(EI13-d_2)/(EI13-3*h_col/7))))-f_cd*(1-(1-MAX(0,MIN(1,IF(EI13&lt;=h_col,0.0035*(EI13-d_2)/EI13,0.002*(EI13-d_2)/(EI13-3*h_col/7))/0.002)))^2))+(MAX(-f_yd,MIN(f_yd,200000*IF(EI13&lt;=h_col,0.0035*(EI13-(h_col-d_2))/EI13,0.002*(EI13-(h_col-d_2))/(EI13-3*h_col/7))))-f_cd*(1-(1-MAX(0,MIN(1,IF(EI13&lt;=h_col,0.0035*(EI13-(h_col-d_2))/EI13,0.002*(EI13-(h_col-d_2))/(EI13-3*h_col/7))/0.002)))^2))))/1000</f>
        <v/>
      </c>
      <c r="EK13">
        <f>IF($EJ13&lt;N_Ed-1E-9*MAX(1,N_Ed),(EG13+EH13)/2,EG13)</f>
        <v/>
      </c>
      <c r="EL13">
        <f>IF($EJ13&lt;N_Ed-1E-9*MAX(1,N_Ed),EH13,(EG13+EH13)/2)</f>
        <v/>
      </c>
      <c r="EM13">
        <f>h_col*((EK13+EL13)/2)/(1-(EK13+EL13)/2)</f>
        <v/>
      </c>
      <c r="EN13">
        <f>(f_cd*b_col*((3*MIN(EM13,h_col)/7)+(4*MIN(EM13,h_col)/7)*(1-((4*MIN(EM13,h_col)/7)/(EM13-(3*MIN(EM13,h_col)/7)))^2/3))+$D13/2*((MAX(-f_yd,MIN(f_yd,200000*IF(EM13&lt;=h_col,0.0035*(EM13-d_2)/EM13,0.002*(EM13-d_2)/(EM13-3*h_col/7))))-f_cd*(1-(1-MAX(0,MIN(1,IF(EM13&lt;=h_col,0.0035*(EM13-d_2)/EM13,0.002*(EM13-d_2)/(EM13-3*h_col/7))/0.002)))^2))+(MAX(-f_yd,MIN(f_yd,200000*IF(EM13&lt;=h_col,0.0035*(EM13-(h_col-d_2))/EM13,0.002*(EM13-(h_col-d_2))/(EM13-3*h_col/7))))-f_cd*(1-(1-MAX(0,MIN(1,IF(EM13&lt;=h_col,0.0035*(EM13-(h_col-d_2))/EM13,0.002*(EM13-(h_col-d_2))/(EM13-3*h_col/7))/0.002)))^2))))/1000</f>
        <v/>
      </c>
      <c r="EO13">
        <f>IF($EN13&lt;N_Ed-1E-9*MAX(1,N_Ed),(EK13+EL13)/2,EK13)</f>
        <v/>
      </c>
      <c r="EP13">
        <f>IF($EN13&lt;N_Ed-1E-9*MAX(1,N_Ed),EL13,(EK13+EL13)/2)</f>
        <v/>
      </c>
      <c r="EQ13">
        <f>h_col*((EO13+EP13)/2)/(1-(EO13+EP13)/2)</f>
        <v/>
      </c>
      <c r="ER13">
        <f>(f_cd*b_col*((3*MIN(EQ13,h_col)/7)+(4*MIN(EQ13,h_col)/7)*(1-((4*MIN(EQ13,h_col)/7)/(EQ13-(3*MIN(EQ13,h_col)/7)))^2/3))+$D13/2*((MAX(-f_yd,MIN(f_yd,200000*IF(EQ13&lt;=h_col,0.0035*(EQ13-d_2)/EQ13,0.002*(EQ13-d_2)/(EQ13-3*h_col/7))))-f_cd*(1-(1-MAX(0,MIN(1,IF(EQ13&lt;=h_col,0.0035*(EQ13-d_2)/EQ13,0.002*(EQ13-d_2)/(EQ13-3*h_col/7))/0.002)))^2))+(MAX(-f_yd,MIN(f_yd,200000*IF(EQ13&lt;=h_col,0.0035*(EQ13-(h_col-d_2))/EQ13,0.002*(EQ13-(h_col-d_2))/(EQ13-3*h_col/7))))-f_cd*(1-(1-MAX(0,MIN(1,IF(EQ13&lt;=h_col,0.0035*(EQ13-(h_col-d_2))/EQ13,0.002*(EQ13-(h_col-d_2))/(EQ13-3*h_col/7))/0.002)))^2))))/1000</f>
        <v/>
      </c>
      <c r="ES13">
        <f>IF($ER13&lt;N_Ed-1E-9*MAX(1,N_Ed),(EO13+EP13)/2,EO13)</f>
        <v/>
      </c>
      <c r="ET13">
        <f>IF($ER13&lt;N_Ed-1E-9*MAX(1,N_Ed),EP13,(EO13+EP13)/2)</f>
        <v/>
      </c>
      <c r="EU13">
        <f>h_col*((ES13+ET13)/2)/(1-(ES13+ET13)/2)</f>
        <v/>
      </c>
      <c r="EV13">
        <f>(f_cd*b_col*((3*MIN(EU13,h_col)/7)+(4*MIN(EU13,h_col)/7)*(1-((4*MIN(EU13,h_col)/7)/(EU13-(3*MIN(EU13,h_col)/7)))^2/3))+$D13/2*((MAX(-f_yd,MIN(f_yd,200000*IF(EU13&lt;=h_col,0.0035*(EU13-d_2)/EU13,0.002*(EU13-d_2)/(EU13-3*h_col/7))))-f_cd*(1-(1-MAX(0,MIN(1,IF(EU13&lt;=h_col,0.0035*(EU13-d_2)/EU13,0.002*(EU13-d_2)/(EU13-3*h_col/7))/0.002)))^2))+(MAX(-f_yd,MIN(f_yd,200000*IF(EU13&lt;=h_col,0.0035*(EU13-(h_col-d_2))/EU13,0.002*(EU13-(h_col-d_2))/(EU13-3*h_col/7))))-f_cd*(1-(1-MAX(0,MIN(1,IF(EU13&lt;=h_col,0.0035*(EU13-(h_col-d_2))/EU13,0.002*(EU13-(h_col-d_2))/(EU13-3*h_col/7))/0.002)))^2))))/1000</f>
        <v/>
      </c>
      <c r="EW13">
        <f>IF($EV13&lt;N_Ed-1E-9*MAX(1,N_Ed),(ES13+ET13)/2,ES13)</f>
        <v/>
      </c>
      <c r="EX13">
        <f>IF($EV13&lt;N_Ed-1E-9*MAX(1,N_Ed),ET13,(ES13+ET13)/2)</f>
        <v/>
      </c>
      <c r="EY13">
        <f>h_col*((EW13+EX13)/2)/(1-(EW13+EX13)/2)</f>
        <v/>
      </c>
      <c r="EZ13">
        <f>(f_cd*b_col*((3*MIN(EY13,h_col)/7)+(4*MIN(EY13,h_col)/7)*(1-((4*MIN(EY13,h_col)/7)/(EY13-(3*MIN(EY13,h_col)/7)))^2/3))+$D13/2*((MAX(-f_yd,MIN(f_yd,200000*IF(EY13&lt;=h_col,0.0035*(EY13-d_2)/EY13,0.002*(EY13-d_2)/(EY13-3*h_col/7))))-f_cd*(1-(1-MAX(0,MIN(1,IF(EY13&lt;=h_col,0.0035*(EY13-d_2)/EY13,0.002*(EY13-d_2)/(EY13-3*h_col/7))/0.002)))^2))+(MAX(-f_yd,MIN(f_yd,200000*IF(EY13&lt;=h_col,0.0035*(EY13-(h_col-d_2))/EY13,0.002*(EY13-(h_col-d_2))/(EY13-3*h_col/7))))-f_cd*(1-(1-MAX(0,MIN(1,IF(EY13&lt;=h_col,0.0035*(EY13-(h_col-d_2))/EY13,0.002*(EY13-(h_col-d_2))/(EY13-3*h_col/7))/0.002)))^2))))/1000</f>
        <v/>
      </c>
      <c r="FA13">
        <f>IF($EZ13&lt;N_Ed-1E-9*MAX(1,N_Ed),(EW13+EX13)/2,EW13)</f>
        <v/>
      </c>
      <c r="FB13">
        <f>IF($EZ13&lt;N_Ed-1E-9*MAX(1,N_Ed),EX13,(EW13+EX13)/2)</f>
        <v/>
      </c>
      <c r="FC13">
        <f>h_col*((FA13+FB13)/2)/(1-(FA13+FB13)/2)</f>
        <v/>
      </c>
      <c r="FD13">
        <f>(f_cd*b_col*((3*MIN(FC13,h_col)/7)+(4*MIN(FC13,h_col)/7)*(1-((4*MIN(FC13,h_col)/7)/(FC13-(3*MIN(FC13,h_col)/7)))^2/3))+$D13/2*((MAX(-f_yd,MIN(f_yd,200000*IF(FC13&lt;=h_col,0.0035*(FC13-d_2)/FC13,0.002*(FC13-d_2)/(FC13-3*h_col/7))))-f_cd*(1-(1-MAX(0,MIN(1,IF(FC13&lt;=h_col,0.0035*(FC13-d_2)/FC13,0.002*(FC13-d_2)/(FC13-3*h_col/7))/0.002)))^2))+(MAX(-f_yd,MIN(f_yd,200000*IF(FC13&lt;=h_col,0.0035*(FC13-(h_col-d_2))/FC13,0.002*(FC13-(h_col-d_2))/(FC13-3*h_col/7))))-f_cd*(1-(1-MAX(0,MIN(1,IF(FC13&lt;=h_col,0.0035*(FC13-(h_col-d_2))/FC13,0.002*(FC13-(h_col-d_2))/(FC13-3*h_col/7))/0.002)))^2))))/1000</f>
        <v/>
      </c>
      <c r="FE13">
        <f>IF($FD13&lt;N_Ed-1E-9*MAX(1,N_Ed),(FA13+FB13)/2,FA13)</f>
        <v/>
      </c>
      <c r="FF13">
        <f>IF($FD13&lt;N_Ed-1E-9*MAX(1,N_Ed),FB13,(FA13+FB13)/2)</f>
        <v/>
      </c>
      <c r="FG13">
        <f>h_col*((FE13+FF13)/2)/(1-(FE13+FF13)/2)</f>
        <v/>
      </c>
      <c r="FH13">
        <f>(f_cd*b_col*((3*MIN(FG13,h_col)/7)+(4*MIN(FG13,h_col)/7)*(1-((4*MIN(FG13,h_col)/7)/(FG13-(3*MIN(FG13,h_col)/7)))^2/3))+$D13/2*((MAX(-f_yd,MIN(f_yd,200000*IF(FG13&lt;=h_col,0.0035*(FG13-d_2)/FG13,0.002*(FG13-d_2)/(FG13-3*h_col/7))))-f_cd*(1-(1-MAX(0,MIN(1,IF(FG13&lt;=h_col,0.0035*(FG13-d_2)/FG13,0.002*(FG13-d_2)/(FG13-3*h_col/7))/0.002)))^2))+(MAX(-f_yd,MIN(f_yd,200000*IF(FG13&lt;=h_col,0.0035*(FG13-(h_col-d_2))/FG13,0.002*(FG13-(h_col-d_2))/(FG13-3*h_col/7))))-f_cd*(1-(1-MAX(0,MIN(1,IF(FG13&lt;=h_col,0.0035*(FG13-(h_col-d_2))/FG13,0.002*(FG13-(h_col-d_2))/(FG13-3*h_col/7))/0.002)))^2))))/1000</f>
        <v/>
      </c>
      <c r="FI13">
        <f>IF($FH13&lt;N_Ed-1E-9*MAX(1,N_Ed),(FE13+FF13)/2,FE13)</f>
        <v/>
      </c>
      <c r="FJ13">
        <f>IF($FH13&lt;N_Ed-1E-9*MAX(1,N_Ed),FF13,(FE13+FF13)/2)</f>
        <v/>
      </c>
      <c r="FK13">
        <f>h_col*((FI13+FJ13)/2)/(1-(FI13+FJ13)/2)</f>
        <v/>
      </c>
      <c r="FL13">
        <f>(f_cd*b_col*((3*MIN(FK13,h_col)/7)+(4*MIN(FK13,h_col)/7)*(1-((4*MIN(FK13,h_col)/7)/(FK13-(3*MIN(FK13,h_col)/7)))^2/3))+$D13/2*((MAX(-f_yd,MIN(f_yd,200000*IF(FK13&lt;=h_col,0.0035*(FK13-d_2)/FK13,0.002*(FK13-d_2)/(FK13-3*h_col/7))))-f_cd*(1-(1-MAX(0,MIN(1,IF(FK13&lt;=h_col,0.0035*(FK13-d_2)/FK13,0.002*(FK13-d_2)/(FK13-3*h_col/7))/0.002)))^2))+(MAX(-f_yd,MIN(f_yd,200000*IF(FK13&lt;=h_col,0.0035*(FK13-(h_col-d_2))/FK13,0.002*(FK13-(h_col-d_2))/(FK13-3*h_col/7))))-f_cd*(1-(1-MAX(0,MIN(1,IF(FK13&lt;=h_col,0.0035*(FK13-(h_col-d_2))/FK13,0.002*(FK13-(h_col-d_2))/(FK13-3*h_col/7))/0.002)))^2))))/1000</f>
        <v/>
      </c>
      <c r="FM13">
        <f>IF($FL13&lt;N_Ed-1E-9*MAX(1,N_Ed),(FI13+FJ13)/2,FI13)</f>
        <v/>
      </c>
      <c r="FN13">
        <f>IF($FL13&lt;N_Ed-1E-9*MAX(1,N_Ed),FJ13,(FI13+FJ13)/2)</f>
        <v/>
      </c>
      <c r="FO13">
        <f>h_col*((FM13+FN13)/2)/(1-(FM13+FN13)/2)</f>
        <v/>
      </c>
      <c r="FP13">
        <f>(f_cd*b_col*((3*MIN(FO13,h_col)/7)+(4*MIN(FO13,h_col)/7)*(1-((4*MIN(FO13,h_col)/7)/(FO13-(3*MIN(FO13,h_col)/7)))^2/3))+$D13/2*((MAX(-f_yd,MIN(f_yd,200000*IF(FO13&lt;=h_col,0.0035*(FO13-d_2)/FO13,0.002*(FO13-d_2)/(FO13-3*h_col/7))))-f_cd*(1-(1-MAX(0,MIN(1,IF(FO13&lt;=h_col,0.0035*(FO13-d_2)/FO13,0.002*(FO13-d_2)/(FO13-3*h_col/7))/0.002)))^2))+(MAX(-f_yd,MIN(f_yd,200000*IF(FO13&lt;=h_col,0.0035*(FO13-(h_col-d_2))/FO13,0.002*(FO13-(h_col-d_2))/(FO13-3*h_col/7))))-f_cd*(1-(1-MAX(0,MIN(1,IF(FO13&lt;=h_col,0.0035*(FO13-(h_col-d_2))/FO13,0.002*(FO13-(h_col-d_2))/(FO13-3*h_col/7))/0.002)))^2))))/1000</f>
        <v/>
      </c>
      <c r="FQ13">
        <f>IF($FP13&lt;N_Ed-1E-9*MAX(1,N_Ed),(FM13+FN13)/2,FM13)</f>
        <v/>
      </c>
      <c r="FR13">
        <f>IF($FP13&lt;N_Ed-1E-9*MAX(1,N_Ed),FN13,(FM13+FN13)/2)</f>
        <v/>
      </c>
      <c r="FS13">
        <f>h_col*((FQ13+FR13)/2)/(1-(FQ13+FR13)/2)</f>
        <v/>
      </c>
      <c r="FT13">
        <f>(f_cd*b_col*((3*MIN(FS13,h_col)/7)+(4*MIN(FS13,h_col)/7)*(1-((4*MIN(FS13,h_col)/7)/(FS13-(3*MIN(FS13,h_col)/7)))^2/3))+$D13/2*((MAX(-f_yd,MIN(f_yd,200000*IF(FS13&lt;=h_col,0.0035*(FS13-d_2)/FS13,0.002*(FS13-d_2)/(FS13-3*h_col/7))))-f_cd*(1-(1-MAX(0,MIN(1,IF(FS13&lt;=h_col,0.0035*(FS13-d_2)/FS13,0.002*(FS13-d_2)/(FS13-3*h_col/7))/0.002)))^2))+(MAX(-f_yd,MIN(f_yd,200000*IF(FS13&lt;=h_col,0.0035*(FS13-(h_col-d_2))/FS13,0.002*(FS13-(h_col-d_2))/(FS13-3*h_col/7))))-f_cd*(1-(1-MAX(0,MIN(1,IF(FS13&lt;=h_col,0.0035*(FS13-(h_col-d_2))/FS13,0.002*(FS13-(h_col-d_2))/(FS13-3*h_col/7))/0.002)))^2))))/1000</f>
        <v/>
      </c>
      <c r="FU13">
        <f>IF($FT13&lt;N_Ed-1E-9*MAX(1,N_Ed),(FQ13+FR13)/2,FQ13)</f>
        <v/>
      </c>
      <c r="FV13">
        <f>IF($FT13&lt;N_Ed-1E-9*MAX(1,N_Ed),FR13,(FQ13+FR13)/2)</f>
        <v/>
      </c>
      <c r="FW13">
        <f>h_col*((FU13+FV13)/2)/(1-(FU13+FV13)/2)</f>
        <v/>
      </c>
      <c r="FX13">
        <f>(f_cd*b_col*((3*MIN(FW13,h_col)/7)+(4*MIN(FW13,h_col)/7)*(1-((4*MIN(FW13,h_col)/7)/(FW13-(3*MIN(FW13,h_col)/7)))^2/3))+$D13/2*((MAX(-f_yd,MIN(f_yd,200000*IF(FW13&lt;=h_col,0.0035*(FW13-d_2)/FW13,0.002*(FW13-d_2)/(FW13-3*h_col/7))))-f_cd*(1-(1-MAX(0,MIN(1,IF(FW13&lt;=h_col,0.0035*(FW13-d_2)/FW13,0.002*(FW13-d_2)/(FW13-3*h_col/7))/0.002)))^2))+(MAX(-f_yd,MIN(f_yd,200000*IF(FW13&lt;=h_col,0.0035*(FW13-(h_col-d_2))/FW13,0.002*(FW13-(h_col-d_2))/(FW13-3*h_col/7))))-f_cd*(1-(1-MAX(0,MIN(1,IF(FW13&lt;=h_col,0.0035*(FW13-(h_col-d_2))/FW13,0.002*(FW13-(h_col-d_2))/(FW13-3*h_col/7))/0.002)))^2))))/1000</f>
        <v/>
      </c>
      <c r="FY13">
        <f>IF($FX13&lt;N_Ed-1E-9*MAX(1,N_Ed),(FU13+FV13)/2,FU13)</f>
        <v/>
      </c>
      <c r="FZ13">
        <f>IF($FX13&lt;N_Ed-1E-9*MAX(1,N_Ed),FV13,(FU13+FV13)/2)</f>
        <v/>
      </c>
      <c r="GA13">
        <f>h_col*((FY13+FZ13)/2)/(1-(FY13+FZ13)/2)</f>
        <v/>
      </c>
      <c r="GB13">
        <f>(f_cd*b_col*((3*MIN(GA13,h_col)/7)+(4*MIN(GA13,h_col)/7)*(1-((4*MIN(GA13,h_col)/7)/(GA13-(3*MIN(GA13,h_col)/7)))^2/3))+$D13/2*((MAX(-f_yd,MIN(f_yd,200000*IF(GA13&lt;=h_col,0.0035*(GA13-d_2)/GA13,0.002*(GA13-d_2)/(GA13-3*h_col/7))))-f_cd*(1-(1-MAX(0,MIN(1,IF(GA13&lt;=h_col,0.0035*(GA13-d_2)/GA13,0.002*(GA13-d_2)/(GA13-3*h_col/7))/0.002)))^2))+(MAX(-f_yd,MIN(f_yd,200000*IF(GA13&lt;=h_col,0.0035*(GA13-(h_col-d_2))/GA13,0.002*(GA13-(h_col-d_2))/(GA13-3*h_col/7))))-f_cd*(1-(1-MAX(0,MIN(1,IF(GA13&lt;=h_col,0.0035*(GA13-(h_col-d_2))/GA13,0.002*(GA13-(h_col-d_2))/(GA13-3*h_col/7))/0.002)))^2))))/1000</f>
        <v/>
      </c>
      <c r="GC13">
        <f>IF($GB13&lt;N_Ed-1E-9*MAX(1,N_Ed),(FY13+FZ13)/2,FY13)</f>
        <v/>
      </c>
      <c r="GD13">
        <f>IF($GB13&lt;N_Ed-1E-9*MAX(1,N_Ed),FZ13,(FY13+FZ13)/2)</f>
        <v/>
      </c>
      <c r="GE13">
        <f>h_col*((GC13+GD13)/2)/(1-(GC13+GD13)/2)</f>
        <v/>
      </c>
      <c r="GF13">
        <f>(f_cd*b_col*((3*MIN(GE13,h_col)/7)+(4*MIN(GE13,h_col)/7)*(1-((4*MIN(GE13,h_col)/7)/(GE13-(3*MIN(GE13,h_col)/7)))^2/3))+$D13/2*((MAX(-f_yd,MIN(f_yd,200000*IF(GE13&lt;=h_col,0.0035*(GE13-d_2)/GE13,0.002*(GE13-d_2)/(GE13-3*h_col/7))))-f_cd*(1-(1-MAX(0,MIN(1,IF(GE13&lt;=h_col,0.0035*(GE13-d_2)/GE13,0.002*(GE13-d_2)/(GE13-3*h_col/7))/0.002)))^2))+(MAX(-f_yd,MIN(f_yd,200000*IF(GE13&lt;=h_col,0.0035*(GE13-(h_col-d_2))/GE13,0.002*(GE13-(h_col-d_2))/(GE13-3*h_col/7))))-f_cd*(1-(1-MAX(0,MIN(1,IF(GE13&lt;=h_col,0.0035*(GE13-(h_col-d_2))/GE13,0.002*(GE13-(h_col-d_2))/(GE13-3*h_col/7))/0.002)))^2))))/1000</f>
        <v/>
      </c>
      <c r="GG13">
        <f>IF($GF13&lt;N_Ed-1E-9*MAX(1,N_Ed),(GC13+GD13)/2,GC13)</f>
        <v/>
      </c>
      <c r="GH13">
        <f>IF($GF13&lt;N_Ed-1E-9*MAX(1,N_Ed),GD13,(GC13+GD13)/2)</f>
        <v/>
      </c>
      <c r="GI13">
        <f>h_col*((GG13+GH13)/2)/(1-(GG13+GH13)/2)</f>
        <v/>
      </c>
      <c r="GJ13">
        <f>(f_cd*b_col*((3*MIN(GI13,h_col)/7)+(4*MIN(GI13,h_col)/7)*(1-((4*MIN(GI13,h_col)/7)/(GI13-(3*MIN(GI13,h_col)/7)))^2/3))+$D13/2*((MAX(-f_yd,MIN(f_yd,200000*IF(GI13&lt;=h_col,0.0035*(GI13-d_2)/GI13,0.002*(GI13-d_2)/(GI13-3*h_col/7))))-f_cd*(1-(1-MAX(0,MIN(1,IF(GI13&lt;=h_col,0.0035*(GI13-d_2)/GI13,0.002*(GI13-d_2)/(GI13-3*h_col/7))/0.002)))^2))+(MAX(-f_yd,MIN(f_yd,200000*IF(GI13&lt;=h_col,0.0035*(GI13-(h_col-d_2))/GI13,0.002*(GI13-(h_col-d_2))/(GI13-3*h_col/7))))-f_cd*(1-(1-MAX(0,MIN(1,IF(GI13&lt;=h_col,0.0035*(GI13-(h_col-d_2))/GI13,0.002*(GI13-(h_col-d_2))/(GI13-3*h_col/7))/0.002)))^2))))/1000</f>
        <v/>
      </c>
      <c r="GK13">
        <f>IF($GJ13&lt;N_Ed-1E-9*MAX(1,N_Ed),(GG13+GH13)/2,GG13)</f>
        <v/>
      </c>
      <c r="GL13">
        <f>IF($GJ13&lt;N_Ed-1E-9*MAX(1,N_Ed),GH13,(GG13+GH13)/2)</f>
        <v/>
      </c>
      <c r="GM13">
        <f>h_col*((GK13+GL13)/2)/(1-(GK13+GL13)/2)</f>
        <v/>
      </c>
      <c r="GN13">
        <f>(f_cd*b_col*((3*MIN(GM13,h_col)/7)+(4*MIN(GM13,h_col)/7)*(1-((4*MIN(GM13,h_col)/7)/(GM13-(3*MIN(GM13,h_col)/7)))^2/3))+$D13/2*((MAX(-f_yd,MIN(f_yd,200000*IF(GM13&lt;=h_col,0.0035*(GM13-d_2)/GM13,0.002*(GM13-d_2)/(GM13-3*h_col/7))))-f_cd*(1-(1-MAX(0,MIN(1,IF(GM13&lt;=h_col,0.0035*(GM13-d_2)/GM13,0.002*(GM13-d_2)/(GM13-3*h_col/7))/0.002)))^2))+(MAX(-f_yd,MIN(f_yd,200000*IF(GM13&lt;=h_col,0.0035*(GM13-(h_col-d_2))/GM13,0.002*(GM13-(h_col-d_2))/(GM13-3*h_col/7))))-f_cd*(1-(1-MAX(0,MIN(1,IF(GM13&lt;=h_col,0.0035*(GM13-(h_col-d_2))/GM13,0.002*(GM13-(h_col-d_2))/(GM13-3*h_col/7))/0.002)))^2))))/1000</f>
        <v/>
      </c>
      <c r="GO13">
        <f>IF($GN13&lt;N_Ed-1E-9*MAX(1,N_Ed),(GK13+GL13)/2,GK13)</f>
        <v/>
      </c>
      <c r="GP13">
        <f>IF($GN13&lt;N_Ed-1E-9*MAX(1,N_Ed),GL13,(GK13+GL13)/2)</f>
        <v/>
      </c>
      <c r="GQ13">
        <f>h_col*((GO13+GP13)/2)/(1-(GO13+GP13)/2)</f>
        <v/>
      </c>
      <c r="GR13">
        <f>(f_cd*b_col*((3*MIN(GQ13,h_col)/7)+(4*MIN(GQ13,h_col)/7)*(1-((4*MIN(GQ13,h_col)/7)/(GQ13-(3*MIN(GQ13,h_col)/7)))^2/3))+$D13/2*((MAX(-f_yd,MIN(f_yd,200000*IF(GQ13&lt;=h_col,0.0035*(GQ13-d_2)/GQ13,0.002*(GQ13-d_2)/(GQ13-3*h_col/7))))-f_cd*(1-(1-MAX(0,MIN(1,IF(GQ13&lt;=h_col,0.0035*(GQ13-d_2)/GQ13,0.002*(GQ13-d_2)/(GQ13-3*h_col/7))/0.002)))^2))+(MAX(-f_yd,MIN(f_yd,200000*IF(GQ13&lt;=h_col,0.0035*(GQ13-(h_col-d_2))/GQ13,0.002*(GQ13-(h_col-d_2))/(GQ13-3*h_col/7))))-f_cd*(1-(1-MAX(0,MIN(1,IF(GQ13&lt;=h_col,0.0035*(GQ13-(h_col-d_2))/GQ13,0.002*(GQ13-(h_col-d_2))/(GQ13-3*h_col/7))/0.002)))^2))))/1000</f>
        <v/>
      </c>
      <c r="GS13">
        <f>IF($GR13&lt;N_Ed-1E-9*MAX(1,N_Ed),(GO13+GP13)/2,GO13)</f>
        <v/>
      </c>
      <c r="GT13">
        <f>IF($GR13&lt;N_Ed-1E-9*MAX(1,N_Ed),GP13,(GO13+GP13)/2)</f>
        <v/>
      </c>
      <c r="GU13">
        <f>h_col*((GS13+GT13)/2)/(1-(GS13+GT13)/2)</f>
        <v/>
      </c>
      <c r="GV13">
        <f>(f_cd*b_col*((3*MIN(GU13,h_col)/7)+(4*MIN(GU13,h_col)/7)*(1-((4*MIN(GU13,h_col)/7)/(GU13-(3*MIN(GU13,h_col)/7)))^2/3))+$D13/2*((MAX(-f_yd,MIN(f_yd,200000*IF(GU13&lt;=h_col,0.0035*(GU13-d_2)/GU13,0.002*(GU13-d_2)/(GU13-3*h_col/7))))-f_cd*(1-(1-MAX(0,MIN(1,IF(GU13&lt;=h_col,0.0035*(GU13-d_2)/GU13,0.002*(GU13-d_2)/(GU13-3*h_col/7))/0.002)))^2))+(MAX(-f_yd,MIN(f_yd,200000*IF(GU13&lt;=h_col,0.0035*(GU13-(h_col-d_2))/GU13,0.002*(GU13-(h_col-d_2))/(GU13-3*h_col/7))))-f_cd*(1-(1-MAX(0,MIN(1,IF(GU13&lt;=h_col,0.0035*(GU13-(h_col-d_2))/GU13,0.002*(GU13-(h_col-d_2))/(GU13-3*h_col/7))/0.002)))^2))))/1000</f>
        <v/>
      </c>
      <c r="GW13">
        <f>GU13</f>
        <v/>
      </c>
      <c r="GX13">
        <f>(f_cd*b_col*((3*MIN(GW13,h_col)/7)+(4*MIN(GW13,h_col)/7)*(1-((4*MIN(GW13,h_col)/7)/(GW13-(3*MIN(GW13,h_col)/7)))^2/3))+$D13/2*((MAX(-f_yd,MIN(f_yd,200000*IF(GW13&lt;=h_col,0.0035*(GW13-d_2)/GW13,0.002*(GW13-d_2)/(GW13-3*h_col/7))))-f_cd*(1-(1-MAX(0,MIN(1,IF(GW13&lt;=h_col,0.0035*(GW13-d_2)/GW13,0.002*(GW13-d_2)/(GW13-3*h_col/7))/0.002)))^2))+(MAX(-f_yd,MIN(f_yd,200000*IF(GW13&lt;=h_col,0.0035*(GW13-(h_col-d_2))/GW13,0.002*(GW13-(h_col-d_2))/(GW13-3*h_col/7))))-f_cd*(1-(1-MAX(0,MIN(1,IF(GW13&lt;=h_col,0.0035*(GW13-(h_col-d_2))/GW13,0.002*(GW13-(h_col-d_2))/(GW13-3*h_col/7))/0.002)))^2))))/1000</f>
        <v/>
      </c>
      <c r="GY13">
        <f>(f_cd*b_col*((3*MIN(GW13,h_col)/7)*(h_col/2-(3*MIN(GW13,h_col)/7)/2)+(4*MIN(GW13,h_col)/7)*((h_col/2-(3*MIN(GW13,h_col)/7))*(1-((4*MIN(GW13,h_col)/7)/(GW13-(3*MIN(GW13,h_col)/7)))^2/3)-(4*MIN(GW13,h_col)/7)*(0.5-((4*MIN(GW13,h_col)/7)/(GW13-(3*MIN(GW13,h_col)/7)))^2/4)))+$D13/2*((MAX(-f_yd,MIN(f_yd,200000*IF(GW13&lt;=h_col,0.0035*(GW13-d_2)/GW13,0.002*(GW13-d_2)/(GW13-3*h_col/7))))-f_cd*(1-(1-MAX(0,MIN(1,IF(GW13&lt;=h_col,0.0035*(GW13-d_2)/GW13,0.002*(GW13-d_2)/(GW13-3*h_col/7))/0.002)))^2))-(MAX(-f_yd,MIN(f_yd,200000*IF(GW13&lt;=h_col,0.0035*(GW13-(h_col-d_2))/GW13,0.002*(GW13-(h_col-d_2))/(GW13-3*h_col/7))))-f_cd*(1-(1-MAX(0,MIN(1,IF(GW13&lt;=h_col,0.0035*(GW13-(h_col-d_2))/GW13,0.002*(GW13-(h_col-d_2))/(GW13-3*h_col/7))/0.002)))^2)))*(h_col/2-d_2))/1E6</f>
        <v/>
      </c>
      <c r="GZ13">
        <f>GX13&gt;=N_Ed-1E-6*MAX(1,N_Ed)</f>
        <v/>
      </c>
      <c r="HA13">
        <f>IF(GZ13,GY13,-1E9)</f>
        <v/>
      </c>
    </row>
    <row r="14">
      <c r="A14" t="n">
        <v>9</v>
      </c>
      <c r="B14">
        <f>IF($HA13&gt;=M_d,$B13,$D13)</f>
        <v/>
      </c>
      <c r="C14">
        <f>IF($HA13&gt;=M_d,$D13,$C13)</f>
        <v/>
      </c>
      <c r="D14">
        <f>($B14+$C14)/2</f>
        <v/>
      </c>
      <c r="E14" t="n">
        <v>0</v>
      </c>
      <c r="F14">
        <f>1-1E-12</f>
        <v/>
      </c>
      <c r="G14">
        <f>h_col*((E14+F14)/2)/(1-(E14+F14)/2)</f>
        <v/>
      </c>
      <c r="H14">
        <f>(f_cd*b_col*((3*MIN(G14,h_col)/7)+(4*MIN(G14,h_col)/7)*(1-((4*MIN(G14,h_col)/7)/(G14-(3*MIN(G14,h_col)/7)))^2/3))+$D14/2*((MAX(-f_yd,MIN(f_yd,200000*IF(G14&lt;=h_col,0.0035*(G14-d_2)/G14,0.002*(G14-d_2)/(G14-3*h_col/7))))-f_cd*(1-(1-MAX(0,MIN(1,IF(G14&lt;=h_col,0.0035*(G14-d_2)/G14,0.002*(G14-d_2)/(G14-3*h_col/7))/0.002)))^2))+(MAX(-f_yd,MIN(f_yd,200000*IF(G14&lt;=h_col,0.0035*(G14-(h_col-d_2))/G14,0.002*(G14-(h_col-d_2))/(G14-3*h_col/7))))-f_cd*(1-(1-MAX(0,MIN(1,IF(G14&lt;=h_col,0.0035*(G14-(h_col-d_2))/G14,0.002*(G14-(h_col-d_2))/(G14-3*h_col/7))/0.002)))^2))))/1000</f>
        <v/>
      </c>
      <c r="I14">
        <f>IF($H14&lt;N_Ed-1E-9*MAX(1,N_Ed),(E14+F14)/2,E14)</f>
        <v/>
      </c>
      <c r="J14">
        <f>IF($H14&lt;N_Ed-1E-9*MAX(1,N_Ed),F14,(E14+F14)/2)</f>
        <v/>
      </c>
      <c r="K14">
        <f>h_col*((I14+J14)/2)/(1-(I14+J14)/2)</f>
        <v/>
      </c>
      <c r="L14">
        <f>(f_cd*b_col*((3*MIN(K14,h_col)/7)+(4*MIN(K14,h_col)/7)*(1-((4*MIN(K14,h_col)/7)/(K14-(3*MIN(K14,h_col)/7)))^2/3))+$D14/2*((MAX(-f_yd,MIN(f_yd,200000*IF(K14&lt;=h_col,0.0035*(K14-d_2)/K14,0.002*(K14-d_2)/(K14-3*h_col/7))))-f_cd*(1-(1-MAX(0,MIN(1,IF(K14&lt;=h_col,0.0035*(K14-d_2)/K14,0.002*(K14-d_2)/(K14-3*h_col/7))/0.002)))^2))+(MAX(-f_yd,MIN(f_yd,200000*IF(K14&lt;=h_col,0.0035*(K14-(h_col-d_2))/K14,0.002*(K14-(h_col-d_2))/(K14-3*h_col/7))))-f_cd*(1-(1-MAX(0,MIN(1,IF(K14&lt;=h_col,0.0035*(K14-(h_col-d_2))/K14,0.002*(K14-(h_col-d_2))/(K14-3*h_col/7))/0.002)))^2))))/1000</f>
        <v/>
      </c>
      <c r="M14">
        <f>IF($L14&lt;N_Ed-1E-9*MAX(1,N_Ed),(I14+J14)/2,I14)</f>
        <v/>
      </c>
      <c r="N14">
        <f>IF($L14&lt;N_Ed-1E-9*MAX(1,N_Ed),J14,(I14+J14)/2)</f>
        <v/>
      </c>
      <c r="O14">
        <f>h_col*((M14+N14)/2)/(1-(M14+N14)/2)</f>
        <v/>
      </c>
      <c r="P14">
        <f>(f_cd*b_col*((3*MIN(O14,h_col)/7)+(4*MIN(O14,h_col)/7)*(1-((4*MIN(O14,h_col)/7)/(O14-(3*MIN(O14,h_col)/7)))^2/3))+$D14/2*((MAX(-f_yd,MIN(f_yd,200000*IF(O14&lt;=h_col,0.0035*(O14-d_2)/O14,0.002*(O14-d_2)/(O14-3*h_col/7))))-f_cd*(1-(1-MAX(0,MIN(1,IF(O14&lt;=h_col,0.0035*(O14-d_2)/O14,0.002*(O14-d_2)/(O14-3*h_col/7))/0.002)))^2))+(MAX(-f_yd,MIN(f_yd,200000*IF(O14&lt;=h_col,0.0035*(O14-(h_col-d_2))/O14,0.002*(O14-(h_col-d_2))/(O14-3*h_col/7))))-f_cd*(1-(1-MAX(0,MIN(1,IF(O14&lt;=h_col,0.0035*(O14-(h_col-d_2))/O14,0.002*(O14-(h_col-d_2))/(O14-3*h_col/7))/0.002)))^2))))/1000</f>
        <v/>
      </c>
      <c r="Q14">
        <f>IF($P14&lt;N_Ed-1E-9*MAX(1,N_Ed),(M14+N14)/2,M14)</f>
        <v/>
      </c>
      <c r="R14">
        <f>IF($P14&lt;N_Ed-1E-9*MAX(1,N_Ed),N14,(M14+N14)/2)</f>
        <v/>
      </c>
      <c r="S14">
        <f>h_col*((Q14+R14)/2)/(1-(Q14+R14)/2)</f>
        <v/>
      </c>
      <c r="T14">
        <f>(f_cd*b_col*((3*MIN(S14,h_col)/7)+(4*MIN(S14,h_col)/7)*(1-((4*MIN(S14,h_col)/7)/(S14-(3*MIN(S14,h_col)/7)))^2/3))+$D14/2*((MAX(-f_yd,MIN(f_yd,200000*IF(S14&lt;=h_col,0.0035*(S14-d_2)/S14,0.002*(S14-d_2)/(S14-3*h_col/7))))-f_cd*(1-(1-MAX(0,MIN(1,IF(S14&lt;=h_col,0.0035*(S14-d_2)/S14,0.002*(S14-d_2)/(S14-3*h_col/7))/0.002)))^2))+(MAX(-f_yd,MIN(f_yd,200000*IF(S14&lt;=h_col,0.0035*(S14-(h_col-d_2))/S14,0.002*(S14-(h_col-d_2))/(S14-3*h_col/7))))-f_cd*(1-(1-MAX(0,MIN(1,IF(S14&lt;=h_col,0.0035*(S14-(h_col-d_2))/S14,0.002*(S14-(h_col-d_2))/(S14-3*h_col/7))/0.002)))^2))))/1000</f>
        <v/>
      </c>
      <c r="U14">
        <f>IF($T14&lt;N_Ed-1E-9*MAX(1,N_Ed),(Q14+R14)/2,Q14)</f>
        <v/>
      </c>
      <c r="V14">
        <f>IF($T14&lt;N_Ed-1E-9*MAX(1,N_Ed),R14,(Q14+R14)/2)</f>
        <v/>
      </c>
      <c r="W14">
        <f>h_col*((U14+V14)/2)/(1-(U14+V14)/2)</f>
        <v/>
      </c>
      <c r="X14">
        <f>(f_cd*b_col*((3*MIN(W14,h_col)/7)+(4*MIN(W14,h_col)/7)*(1-((4*MIN(W14,h_col)/7)/(W14-(3*MIN(W14,h_col)/7)))^2/3))+$D14/2*((MAX(-f_yd,MIN(f_yd,200000*IF(W14&lt;=h_col,0.0035*(W14-d_2)/W14,0.002*(W14-d_2)/(W14-3*h_col/7))))-f_cd*(1-(1-MAX(0,MIN(1,IF(W14&lt;=h_col,0.0035*(W14-d_2)/W14,0.002*(W14-d_2)/(W14-3*h_col/7))/0.002)))^2))+(MAX(-f_yd,MIN(f_yd,200000*IF(W14&lt;=h_col,0.0035*(W14-(h_col-d_2))/W14,0.002*(W14-(h_col-d_2))/(W14-3*h_col/7))))-f_cd*(1-(1-MAX(0,MIN(1,IF(W14&lt;=h_col,0.0035*(W14-(h_col-d_2))/W14,0.002*(W14-(h_col-d_2))/(W14-3*h_col/7))/0.002)))^2))))/1000</f>
        <v/>
      </c>
      <c r="Y14">
        <f>IF($X14&lt;N_Ed-1E-9*MAX(1,N_Ed),(U14+V14)/2,U14)</f>
        <v/>
      </c>
      <c r="Z14">
        <f>IF($X14&lt;N_Ed-1E-9*MAX(1,N_Ed),V14,(U14+V14)/2)</f>
        <v/>
      </c>
      <c r="AA14">
        <f>h_col*((Y14+Z14)/2)/(1-(Y14+Z14)/2)</f>
        <v/>
      </c>
      <c r="AB14">
        <f>(f_cd*b_col*((3*MIN(AA14,h_col)/7)+(4*MIN(AA14,h_col)/7)*(1-((4*MIN(AA14,h_col)/7)/(AA14-(3*MIN(AA14,h_col)/7)))^2/3))+$D14/2*((MAX(-f_yd,MIN(f_yd,200000*IF(AA14&lt;=h_col,0.0035*(AA14-d_2)/AA14,0.002*(AA14-d_2)/(AA14-3*h_col/7))))-f_cd*(1-(1-MAX(0,MIN(1,IF(AA14&lt;=h_col,0.0035*(AA14-d_2)/AA14,0.002*(AA14-d_2)/(AA14-3*h_col/7))/0.002)))^2))+(MAX(-f_yd,MIN(f_yd,200000*IF(AA14&lt;=h_col,0.0035*(AA14-(h_col-d_2))/AA14,0.002*(AA14-(h_col-d_2))/(AA14-3*h_col/7))))-f_cd*(1-(1-MAX(0,MIN(1,IF(AA14&lt;=h_col,0.0035*(AA14-(h_col-d_2))/AA14,0.002*(AA14-(h_col-d_2))/(AA14-3*h_col/7))/0.002)))^2))))/1000</f>
        <v/>
      </c>
      <c r="AC14">
        <f>IF($AB14&lt;N_Ed-1E-9*MAX(1,N_Ed),(Y14+Z14)/2,Y14)</f>
        <v/>
      </c>
      <c r="AD14">
        <f>IF($AB14&lt;N_Ed-1E-9*MAX(1,N_Ed),Z14,(Y14+Z14)/2)</f>
        <v/>
      </c>
      <c r="AE14">
        <f>h_col*((AC14+AD14)/2)/(1-(AC14+AD14)/2)</f>
        <v/>
      </c>
      <c r="AF14">
        <f>(f_cd*b_col*((3*MIN(AE14,h_col)/7)+(4*MIN(AE14,h_col)/7)*(1-((4*MIN(AE14,h_col)/7)/(AE14-(3*MIN(AE14,h_col)/7)))^2/3))+$D14/2*((MAX(-f_yd,MIN(f_yd,200000*IF(AE14&lt;=h_col,0.0035*(AE14-d_2)/AE14,0.002*(AE14-d_2)/(AE14-3*h_col/7))))-f_cd*(1-(1-MAX(0,MIN(1,IF(AE14&lt;=h_col,0.0035*(AE14-d_2)/AE14,0.002*(AE14-d_2)/(AE14-3*h_col/7))/0.002)))^2))+(MAX(-f_yd,MIN(f_yd,200000*IF(AE14&lt;=h_col,0.0035*(AE14-(h_col-d_2))/AE14,0.002*(AE14-(h_col-d_2))/(AE14-3*h_col/7))))-f_cd*(1-(1-MAX(0,MIN(1,IF(AE14&lt;=h_col,0.0035*(AE14-(h_col-d_2))/AE14,0.002*(AE14-(h_col-d_2))/(AE14-3*h_col/7))/0.002)))^2))))/1000</f>
        <v/>
      </c>
      <c r="AG14">
        <f>IF($AF14&lt;N_Ed-1E-9*MAX(1,N_Ed),(AC14+AD14)/2,AC14)</f>
        <v/>
      </c>
      <c r="AH14">
        <f>IF($AF14&lt;N_Ed-1E-9*MAX(1,N_Ed),AD14,(AC14+AD14)/2)</f>
        <v/>
      </c>
      <c r="AI14">
        <f>h_col*((AG14+AH14)/2)/(1-(AG14+AH14)/2)</f>
        <v/>
      </c>
      <c r="AJ14">
        <f>(f_cd*b_col*((3*MIN(AI14,h_col)/7)+(4*MIN(AI14,h_col)/7)*(1-((4*MIN(AI14,h_col)/7)/(AI14-(3*MIN(AI14,h_col)/7)))^2/3))+$D14/2*((MAX(-f_yd,MIN(f_yd,200000*IF(AI14&lt;=h_col,0.0035*(AI14-d_2)/AI14,0.002*(AI14-d_2)/(AI14-3*h_col/7))))-f_cd*(1-(1-MAX(0,MIN(1,IF(AI14&lt;=h_col,0.0035*(AI14-d_2)/AI14,0.002*(AI14-d_2)/(AI14-3*h_col/7))/0.002)))^2))+(MAX(-f_yd,MIN(f_yd,200000*IF(AI14&lt;=h_col,0.0035*(AI14-(h_col-d_2))/AI14,0.002*(AI14-(h_col-d_2))/(AI14-3*h_col/7))))-f_cd*(1-(1-MAX(0,MIN(1,IF(AI14&lt;=h_col,0.0035*(AI14-(h_col-d_2))/AI14,0.002*(AI14-(h_col-d_2))/(AI14-3*h_col/7))/0.002)))^2))))/1000</f>
        <v/>
      </c>
      <c r="AK14">
        <f>IF($AJ14&lt;N_Ed-1E-9*MAX(1,N_Ed),(AG14+AH14)/2,AG14)</f>
        <v/>
      </c>
      <c r="AL14">
        <f>IF($AJ14&lt;N_Ed-1E-9*MAX(1,N_Ed),AH14,(AG14+AH14)/2)</f>
        <v/>
      </c>
      <c r="AM14">
        <f>h_col*((AK14+AL14)/2)/(1-(AK14+AL14)/2)</f>
        <v/>
      </c>
      <c r="AN14">
        <f>(f_cd*b_col*((3*MIN(AM14,h_col)/7)+(4*MIN(AM14,h_col)/7)*(1-((4*MIN(AM14,h_col)/7)/(AM14-(3*MIN(AM14,h_col)/7)))^2/3))+$D14/2*((MAX(-f_yd,MIN(f_yd,200000*IF(AM14&lt;=h_col,0.0035*(AM14-d_2)/AM14,0.002*(AM14-d_2)/(AM14-3*h_col/7))))-f_cd*(1-(1-MAX(0,MIN(1,IF(AM14&lt;=h_col,0.0035*(AM14-d_2)/AM14,0.002*(AM14-d_2)/(AM14-3*h_col/7))/0.002)))^2))+(MAX(-f_yd,MIN(f_yd,200000*IF(AM14&lt;=h_col,0.0035*(AM14-(h_col-d_2))/AM14,0.002*(AM14-(h_col-d_2))/(AM14-3*h_col/7))))-f_cd*(1-(1-MAX(0,MIN(1,IF(AM14&lt;=h_col,0.0035*(AM14-(h_col-d_2))/AM14,0.002*(AM14-(h_col-d_2))/(AM14-3*h_col/7))/0.002)))^2))))/1000</f>
        <v/>
      </c>
      <c r="AO14">
        <f>IF($AN14&lt;N_Ed-1E-9*MAX(1,N_Ed),(AK14+AL14)/2,AK14)</f>
        <v/>
      </c>
      <c r="AP14">
        <f>IF($AN14&lt;N_Ed-1E-9*MAX(1,N_Ed),AL14,(AK14+AL14)/2)</f>
        <v/>
      </c>
      <c r="AQ14">
        <f>h_col*((AO14+AP14)/2)/(1-(AO14+AP14)/2)</f>
        <v/>
      </c>
      <c r="AR14">
        <f>(f_cd*b_col*((3*MIN(AQ14,h_col)/7)+(4*MIN(AQ14,h_col)/7)*(1-((4*MIN(AQ14,h_col)/7)/(AQ14-(3*MIN(AQ14,h_col)/7)))^2/3))+$D14/2*((MAX(-f_yd,MIN(f_yd,200000*IF(AQ14&lt;=h_col,0.0035*(AQ14-d_2)/AQ14,0.002*(AQ14-d_2)/(AQ14-3*h_col/7))))-f_cd*(1-(1-MAX(0,MIN(1,IF(AQ14&lt;=h_col,0.0035*(AQ14-d_2)/AQ14,0.002*(AQ14-d_2)/(AQ14-3*h_col/7))/0.002)))^2))+(MAX(-f_yd,MIN(f_yd,200000*IF(AQ14&lt;=h_col,0.0035*(AQ14-(h_col-d_2))/AQ14,0.002*(AQ14-(h_col-d_2))/(AQ14-3*h_col/7))))-f_cd*(1-(1-MAX(0,MIN(1,IF(AQ14&lt;=h_col,0.0035*(AQ14-(h_col-d_2))/AQ14,0.002*(AQ14-(h_col-d_2))/(AQ14-3*h_col/7))/0.002)))^2))))/1000</f>
        <v/>
      </c>
      <c r="AS14">
        <f>IF($AR14&lt;N_Ed-1E-9*MAX(1,N_Ed),(AO14+AP14)/2,AO14)</f>
        <v/>
      </c>
      <c r="AT14">
        <f>IF($AR14&lt;N_Ed-1E-9*MAX(1,N_Ed),AP14,(AO14+AP14)/2)</f>
        <v/>
      </c>
      <c r="AU14">
        <f>h_col*((AS14+AT14)/2)/(1-(AS14+AT14)/2)</f>
        <v/>
      </c>
      <c r="AV14">
        <f>(f_cd*b_col*((3*MIN(AU14,h_col)/7)+(4*MIN(AU14,h_col)/7)*(1-((4*MIN(AU14,h_col)/7)/(AU14-(3*MIN(AU14,h_col)/7)))^2/3))+$D14/2*((MAX(-f_yd,MIN(f_yd,200000*IF(AU14&lt;=h_col,0.0035*(AU14-d_2)/AU14,0.002*(AU14-d_2)/(AU14-3*h_col/7))))-f_cd*(1-(1-MAX(0,MIN(1,IF(AU14&lt;=h_col,0.0035*(AU14-d_2)/AU14,0.002*(AU14-d_2)/(AU14-3*h_col/7))/0.002)))^2))+(MAX(-f_yd,MIN(f_yd,200000*IF(AU14&lt;=h_col,0.0035*(AU14-(h_col-d_2))/AU14,0.002*(AU14-(h_col-d_2))/(AU14-3*h_col/7))))-f_cd*(1-(1-MAX(0,MIN(1,IF(AU14&lt;=h_col,0.0035*(AU14-(h_col-d_2))/AU14,0.002*(AU14-(h_col-d_2))/(AU14-3*h_col/7))/0.002)))^2))))/1000</f>
        <v/>
      </c>
      <c r="AW14">
        <f>IF($AV14&lt;N_Ed-1E-9*MAX(1,N_Ed),(AS14+AT14)/2,AS14)</f>
        <v/>
      </c>
      <c r="AX14">
        <f>IF($AV14&lt;N_Ed-1E-9*MAX(1,N_Ed),AT14,(AS14+AT14)/2)</f>
        <v/>
      </c>
      <c r="AY14">
        <f>h_col*((AW14+AX14)/2)/(1-(AW14+AX14)/2)</f>
        <v/>
      </c>
      <c r="AZ14">
        <f>(f_cd*b_col*((3*MIN(AY14,h_col)/7)+(4*MIN(AY14,h_col)/7)*(1-((4*MIN(AY14,h_col)/7)/(AY14-(3*MIN(AY14,h_col)/7)))^2/3))+$D14/2*((MAX(-f_yd,MIN(f_yd,200000*IF(AY14&lt;=h_col,0.0035*(AY14-d_2)/AY14,0.002*(AY14-d_2)/(AY14-3*h_col/7))))-f_cd*(1-(1-MAX(0,MIN(1,IF(AY14&lt;=h_col,0.0035*(AY14-d_2)/AY14,0.002*(AY14-d_2)/(AY14-3*h_col/7))/0.002)))^2))+(MAX(-f_yd,MIN(f_yd,200000*IF(AY14&lt;=h_col,0.0035*(AY14-(h_col-d_2))/AY14,0.002*(AY14-(h_col-d_2))/(AY14-3*h_col/7))))-f_cd*(1-(1-MAX(0,MIN(1,IF(AY14&lt;=h_col,0.0035*(AY14-(h_col-d_2))/AY14,0.002*(AY14-(h_col-d_2))/(AY14-3*h_col/7))/0.002)))^2))))/1000</f>
        <v/>
      </c>
      <c r="BA14">
        <f>IF($AZ14&lt;N_Ed-1E-9*MAX(1,N_Ed),(AW14+AX14)/2,AW14)</f>
        <v/>
      </c>
      <c r="BB14">
        <f>IF($AZ14&lt;N_Ed-1E-9*MAX(1,N_Ed),AX14,(AW14+AX14)/2)</f>
        <v/>
      </c>
      <c r="BC14">
        <f>h_col*((BA14+BB14)/2)/(1-(BA14+BB14)/2)</f>
        <v/>
      </c>
      <c r="BD14">
        <f>(f_cd*b_col*((3*MIN(BC14,h_col)/7)+(4*MIN(BC14,h_col)/7)*(1-((4*MIN(BC14,h_col)/7)/(BC14-(3*MIN(BC14,h_col)/7)))^2/3))+$D14/2*((MAX(-f_yd,MIN(f_yd,200000*IF(BC14&lt;=h_col,0.0035*(BC14-d_2)/BC14,0.002*(BC14-d_2)/(BC14-3*h_col/7))))-f_cd*(1-(1-MAX(0,MIN(1,IF(BC14&lt;=h_col,0.0035*(BC14-d_2)/BC14,0.002*(BC14-d_2)/(BC14-3*h_col/7))/0.002)))^2))+(MAX(-f_yd,MIN(f_yd,200000*IF(BC14&lt;=h_col,0.0035*(BC14-(h_col-d_2))/BC14,0.002*(BC14-(h_col-d_2))/(BC14-3*h_col/7))))-f_cd*(1-(1-MAX(0,MIN(1,IF(BC14&lt;=h_col,0.0035*(BC14-(h_col-d_2))/BC14,0.002*(BC14-(h_col-d_2))/(BC14-3*h_col/7))/0.002)))^2))))/1000</f>
        <v/>
      </c>
      <c r="BE14">
        <f>IF($BD14&lt;N_Ed-1E-9*MAX(1,N_Ed),(BA14+BB14)/2,BA14)</f>
        <v/>
      </c>
      <c r="BF14">
        <f>IF($BD14&lt;N_Ed-1E-9*MAX(1,N_Ed),BB14,(BA14+BB14)/2)</f>
        <v/>
      </c>
      <c r="BG14">
        <f>h_col*((BE14+BF14)/2)/(1-(BE14+BF14)/2)</f>
        <v/>
      </c>
      <c r="BH14">
        <f>(f_cd*b_col*((3*MIN(BG14,h_col)/7)+(4*MIN(BG14,h_col)/7)*(1-((4*MIN(BG14,h_col)/7)/(BG14-(3*MIN(BG14,h_col)/7)))^2/3))+$D14/2*((MAX(-f_yd,MIN(f_yd,200000*IF(BG14&lt;=h_col,0.0035*(BG14-d_2)/BG14,0.002*(BG14-d_2)/(BG14-3*h_col/7))))-f_cd*(1-(1-MAX(0,MIN(1,IF(BG14&lt;=h_col,0.0035*(BG14-d_2)/BG14,0.002*(BG14-d_2)/(BG14-3*h_col/7))/0.002)))^2))+(MAX(-f_yd,MIN(f_yd,200000*IF(BG14&lt;=h_col,0.0035*(BG14-(h_col-d_2))/BG14,0.002*(BG14-(h_col-d_2))/(BG14-3*h_col/7))))-f_cd*(1-(1-MAX(0,MIN(1,IF(BG14&lt;=h_col,0.0035*(BG14-(h_col-d_2))/BG14,0.002*(BG14-(h_col-d_2))/(BG14-3*h_col/7))/0.002)))^2))))/1000</f>
        <v/>
      </c>
      <c r="BI14">
        <f>IF($BH14&lt;N_Ed-1E-9*MAX(1,N_Ed),(BE14+BF14)/2,BE14)</f>
        <v/>
      </c>
      <c r="BJ14">
        <f>IF($BH14&lt;N_Ed-1E-9*MAX(1,N_Ed),BF14,(BE14+BF14)/2)</f>
        <v/>
      </c>
      <c r="BK14">
        <f>h_col*((BI14+BJ14)/2)/(1-(BI14+BJ14)/2)</f>
        <v/>
      </c>
      <c r="BL14">
        <f>(f_cd*b_col*((3*MIN(BK14,h_col)/7)+(4*MIN(BK14,h_col)/7)*(1-((4*MIN(BK14,h_col)/7)/(BK14-(3*MIN(BK14,h_col)/7)))^2/3))+$D14/2*((MAX(-f_yd,MIN(f_yd,200000*IF(BK14&lt;=h_col,0.0035*(BK14-d_2)/BK14,0.002*(BK14-d_2)/(BK14-3*h_col/7))))-f_cd*(1-(1-MAX(0,MIN(1,IF(BK14&lt;=h_col,0.0035*(BK14-d_2)/BK14,0.002*(BK14-d_2)/(BK14-3*h_col/7))/0.002)))^2))+(MAX(-f_yd,MIN(f_yd,200000*IF(BK14&lt;=h_col,0.0035*(BK14-(h_col-d_2))/BK14,0.002*(BK14-(h_col-d_2))/(BK14-3*h_col/7))))-f_cd*(1-(1-MAX(0,MIN(1,IF(BK14&lt;=h_col,0.0035*(BK14-(h_col-d_2))/BK14,0.002*(BK14-(h_col-d_2))/(BK14-3*h_col/7))/0.002)))^2))))/1000</f>
        <v/>
      </c>
      <c r="BM14">
        <f>IF($BL14&lt;N_Ed-1E-9*MAX(1,N_Ed),(BI14+BJ14)/2,BI14)</f>
        <v/>
      </c>
      <c r="BN14">
        <f>IF($BL14&lt;N_Ed-1E-9*MAX(1,N_Ed),BJ14,(BI14+BJ14)/2)</f>
        <v/>
      </c>
      <c r="BO14">
        <f>h_col*((BM14+BN14)/2)/(1-(BM14+BN14)/2)</f>
        <v/>
      </c>
      <c r="BP14">
        <f>(f_cd*b_col*((3*MIN(BO14,h_col)/7)+(4*MIN(BO14,h_col)/7)*(1-((4*MIN(BO14,h_col)/7)/(BO14-(3*MIN(BO14,h_col)/7)))^2/3))+$D14/2*((MAX(-f_yd,MIN(f_yd,200000*IF(BO14&lt;=h_col,0.0035*(BO14-d_2)/BO14,0.002*(BO14-d_2)/(BO14-3*h_col/7))))-f_cd*(1-(1-MAX(0,MIN(1,IF(BO14&lt;=h_col,0.0035*(BO14-d_2)/BO14,0.002*(BO14-d_2)/(BO14-3*h_col/7))/0.002)))^2))+(MAX(-f_yd,MIN(f_yd,200000*IF(BO14&lt;=h_col,0.0035*(BO14-(h_col-d_2))/BO14,0.002*(BO14-(h_col-d_2))/(BO14-3*h_col/7))))-f_cd*(1-(1-MAX(0,MIN(1,IF(BO14&lt;=h_col,0.0035*(BO14-(h_col-d_2))/BO14,0.002*(BO14-(h_col-d_2))/(BO14-3*h_col/7))/0.002)))^2))))/1000</f>
        <v/>
      </c>
      <c r="BQ14">
        <f>IF($BP14&lt;N_Ed-1E-9*MAX(1,N_Ed),(BM14+BN14)/2,BM14)</f>
        <v/>
      </c>
      <c r="BR14">
        <f>IF($BP14&lt;N_Ed-1E-9*MAX(1,N_Ed),BN14,(BM14+BN14)/2)</f>
        <v/>
      </c>
      <c r="BS14">
        <f>h_col*((BQ14+BR14)/2)/(1-(BQ14+BR14)/2)</f>
        <v/>
      </c>
      <c r="BT14">
        <f>(f_cd*b_col*((3*MIN(BS14,h_col)/7)+(4*MIN(BS14,h_col)/7)*(1-((4*MIN(BS14,h_col)/7)/(BS14-(3*MIN(BS14,h_col)/7)))^2/3))+$D14/2*((MAX(-f_yd,MIN(f_yd,200000*IF(BS14&lt;=h_col,0.0035*(BS14-d_2)/BS14,0.002*(BS14-d_2)/(BS14-3*h_col/7))))-f_cd*(1-(1-MAX(0,MIN(1,IF(BS14&lt;=h_col,0.0035*(BS14-d_2)/BS14,0.002*(BS14-d_2)/(BS14-3*h_col/7))/0.002)))^2))+(MAX(-f_yd,MIN(f_yd,200000*IF(BS14&lt;=h_col,0.0035*(BS14-(h_col-d_2))/BS14,0.002*(BS14-(h_col-d_2))/(BS14-3*h_col/7))))-f_cd*(1-(1-MAX(0,MIN(1,IF(BS14&lt;=h_col,0.0035*(BS14-(h_col-d_2))/BS14,0.002*(BS14-(h_col-d_2))/(BS14-3*h_col/7))/0.002)))^2))))/1000</f>
        <v/>
      </c>
      <c r="BU14">
        <f>IF($BT14&lt;N_Ed-1E-9*MAX(1,N_Ed),(BQ14+BR14)/2,BQ14)</f>
        <v/>
      </c>
      <c r="BV14">
        <f>IF($BT14&lt;N_Ed-1E-9*MAX(1,N_Ed),BR14,(BQ14+BR14)/2)</f>
        <v/>
      </c>
      <c r="BW14">
        <f>h_col*((BU14+BV14)/2)/(1-(BU14+BV14)/2)</f>
        <v/>
      </c>
      <c r="BX14">
        <f>(f_cd*b_col*((3*MIN(BW14,h_col)/7)+(4*MIN(BW14,h_col)/7)*(1-((4*MIN(BW14,h_col)/7)/(BW14-(3*MIN(BW14,h_col)/7)))^2/3))+$D14/2*((MAX(-f_yd,MIN(f_yd,200000*IF(BW14&lt;=h_col,0.0035*(BW14-d_2)/BW14,0.002*(BW14-d_2)/(BW14-3*h_col/7))))-f_cd*(1-(1-MAX(0,MIN(1,IF(BW14&lt;=h_col,0.0035*(BW14-d_2)/BW14,0.002*(BW14-d_2)/(BW14-3*h_col/7))/0.002)))^2))+(MAX(-f_yd,MIN(f_yd,200000*IF(BW14&lt;=h_col,0.0035*(BW14-(h_col-d_2))/BW14,0.002*(BW14-(h_col-d_2))/(BW14-3*h_col/7))))-f_cd*(1-(1-MAX(0,MIN(1,IF(BW14&lt;=h_col,0.0035*(BW14-(h_col-d_2))/BW14,0.002*(BW14-(h_col-d_2))/(BW14-3*h_col/7))/0.002)))^2))))/1000</f>
        <v/>
      </c>
      <c r="BY14">
        <f>IF($BX14&lt;N_Ed-1E-9*MAX(1,N_Ed),(BU14+BV14)/2,BU14)</f>
        <v/>
      </c>
      <c r="BZ14">
        <f>IF($BX14&lt;N_Ed-1E-9*MAX(1,N_Ed),BV14,(BU14+BV14)/2)</f>
        <v/>
      </c>
      <c r="CA14">
        <f>h_col*((BY14+BZ14)/2)/(1-(BY14+BZ14)/2)</f>
        <v/>
      </c>
      <c r="CB14">
        <f>(f_cd*b_col*((3*MIN(CA14,h_col)/7)+(4*MIN(CA14,h_col)/7)*(1-((4*MIN(CA14,h_col)/7)/(CA14-(3*MIN(CA14,h_col)/7)))^2/3))+$D14/2*((MAX(-f_yd,MIN(f_yd,200000*IF(CA14&lt;=h_col,0.0035*(CA14-d_2)/CA14,0.002*(CA14-d_2)/(CA14-3*h_col/7))))-f_cd*(1-(1-MAX(0,MIN(1,IF(CA14&lt;=h_col,0.0035*(CA14-d_2)/CA14,0.002*(CA14-d_2)/(CA14-3*h_col/7))/0.002)))^2))+(MAX(-f_yd,MIN(f_yd,200000*IF(CA14&lt;=h_col,0.0035*(CA14-(h_col-d_2))/CA14,0.002*(CA14-(h_col-d_2))/(CA14-3*h_col/7))))-f_cd*(1-(1-MAX(0,MIN(1,IF(CA14&lt;=h_col,0.0035*(CA14-(h_col-d_2))/CA14,0.002*(CA14-(h_col-d_2))/(CA14-3*h_col/7))/0.002)))^2))))/1000</f>
        <v/>
      </c>
      <c r="CC14">
        <f>IF($CB14&lt;N_Ed-1E-9*MAX(1,N_Ed),(BY14+BZ14)/2,BY14)</f>
        <v/>
      </c>
      <c r="CD14">
        <f>IF($CB14&lt;N_Ed-1E-9*MAX(1,N_Ed),BZ14,(BY14+BZ14)/2)</f>
        <v/>
      </c>
      <c r="CE14">
        <f>h_col*((CC14+CD14)/2)/(1-(CC14+CD14)/2)</f>
        <v/>
      </c>
      <c r="CF14">
        <f>(f_cd*b_col*((3*MIN(CE14,h_col)/7)+(4*MIN(CE14,h_col)/7)*(1-((4*MIN(CE14,h_col)/7)/(CE14-(3*MIN(CE14,h_col)/7)))^2/3))+$D14/2*((MAX(-f_yd,MIN(f_yd,200000*IF(CE14&lt;=h_col,0.0035*(CE14-d_2)/CE14,0.002*(CE14-d_2)/(CE14-3*h_col/7))))-f_cd*(1-(1-MAX(0,MIN(1,IF(CE14&lt;=h_col,0.0035*(CE14-d_2)/CE14,0.002*(CE14-d_2)/(CE14-3*h_col/7))/0.002)))^2))+(MAX(-f_yd,MIN(f_yd,200000*IF(CE14&lt;=h_col,0.0035*(CE14-(h_col-d_2))/CE14,0.002*(CE14-(h_col-d_2))/(CE14-3*h_col/7))))-f_cd*(1-(1-MAX(0,MIN(1,IF(CE14&lt;=h_col,0.0035*(CE14-(h_col-d_2))/CE14,0.002*(CE14-(h_col-d_2))/(CE14-3*h_col/7))/0.002)))^2))))/1000</f>
        <v/>
      </c>
      <c r="CG14">
        <f>IF($CF14&lt;N_Ed-1E-9*MAX(1,N_Ed),(CC14+CD14)/2,CC14)</f>
        <v/>
      </c>
      <c r="CH14">
        <f>IF($CF14&lt;N_Ed-1E-9*MAX(1,N_Ed),CD14,(CC14+CD14)/2)</f>
        <v/>
      </c>
      <c r="CI14">
        <f>h_col*((CG14+CH14)/2)/(1-(CG14+CH14)/2)</f>
        <v/>
      </c>
      <c r="CJ14">
        <f>(f_cd*b_col*((3*MIN(CI14,h_col)/7)+(4*MIN(CI14,h_col)/7)*(1-((4*MIN(CI14,h_col)/7)/(CI14-(3*MIN(CI14,h_col)/7)))^2/3))+$D14/2*((MAX(-f_yd,MIN(f_yd,200000*IF(CI14&lt;=h_col,0.0035*(CI14-d_2)/CI14,0.002*(CI14-d_2)/(CI14-3*h_col/7))))-f_cd*(1-(1-MAX(0,MIN(1,IF(CI14&lt;=h_col,0.0035*(CI14-d_2)/CI14,0.002*(CI14-d_2)/(CI14-3*h_col/7))/0.002)))^2))+(MAX(-f_yd,MIN(f_yd,200000*IF(CI14&lt;=h_col,0.0035*(CI14-(h_col-d_2))/CI14,0.002*(CI14-(h_col-d_2))/(CI14-3*h_col/7))))-f_cd*(1-(1-MAX(0,MIN(1,IF(CI14&lt;=h_col,0.0035*(CI14-(h_col-d_2))/CI14,0.002*(CI14-(h_col-d_2))/(CI14-3*h_col/7))/0.002)))^2))))/1000</f>
        <v/>
      </c>
      <c r="CK14">
        <f>IF($CJ14&lt;N_Ed-1E-9*MAX(1,N_Ed),(CG14+CH14)/2,CG14)</f>
        <v/>
      </c>
      <c r="CL14">
        <f>IF($CJ14&lt;N_Ed-1E-9*MAX(1,N_Ed),CH14,(CG14+CH14)/2)</f>
        <v/>
      </c>
      <c r="CM14">
        <f>h_col*((CK14+CL14)/2)/(1-(CK14+CL14)/2)</f>
        <v/>
      </c>
      <c r="CN14">
        <f>(f_cd*b_col*((3*MIN(CM14,h_col)/7)+(4*MIN(CM14,h_col)/7)*(1-((4*MIN(CM14,h_col)/7)/(CM14-(3*MIN(CM14,h_col)/7)))^2/3))+$D14/2*((MAX(-f_yd,MIN(f_yd,200000*IF(CM14&lt;=h_col,0.0035*(CM14-d_2)/CM14,0.002*(CM14-d_2)/(CM14-3*h_col/7))))-f_cd*(1-(1-MAX(0,MIN(1,IF(CM14&lt;=h_col,0.0035*(CM14-d_2)/CM14,0.002*(CM14-d_2)/(CM14-3*h_col/7))/0.002)))^2))+(MAX(-f_yd,MIN(f_yd,200000*IF(CM14&lt;=h_col,0.0035*(CM14-(h_col-d_2))/CM14,0.002*(CM14-(h_col-d_2))/(CM14-3*h_col/7))))-f_cd*(1-(1-MAX(0,MIN(1,IF(CM14&lt;=h_col,0.0035*(CM14-(h_col-d_2))/CM14,0.002*(CM14-(h_col-d_2))/(CM14-3*h_col/7))/0.002)))^2))))/1000</f>
        <v/>
      </c>
      <c r="CO14">
        <f>IF($CN14&lt;N_Ed-1E-9*MAX(1,N_Ed),(CK14+CL14)/2,CK14)</f>
        <v/>
      </c>
      <c r="CP14">
        <f>IF($CN14&lt;N_Ed-1E-9*MAX(1,N_Ed),CL14,(CK14+CL14)/2)</f>
        <v/>
      </c>
      <c r="CQ14">
        <f>h_col*((CO14+CP14)/2)/(1-(CO14+CP14)/2)</f>
        <v/>
      </c>
      <c r="CR14">
        <f>(f_cd*b_col*((3*MIN(CQ14,h_col)/7)+(4*MIN(CQ14,h_col)/7)*(1-((4*MIN(CQ14,h_col)/7)/(CQ14-(3*MIN(CQ14,h_col)/7)))^2/3))+$D14/2*((MAX(-f_yd,MIN(f_yd,200000*IF(CQ14&lt;=h_col,0.0035*(CQ14-d_2)/CQ14,0.002*(CQ14-d_2)/(CQ14-3*h_col/7))))-f_cd*(1-(1-MAX(0,MIN(1,IF(CQ14&lt;=h_col,0.0035*(CQ14-d_2)/CQ14,0.002*(CQ14-d_2)/(CQ14-3*h_col/7))/0.002)))^2))+(MAX(-f_yd,MIN(f_yd,200000*IF(CQ14&lt;=h_col,0.0035*(CQ14-(h_col-d_2))/CQ14,0.002*(CQ14-(h_col-d_2))/(CQ14-3*h_col/7))))-f_cd*(1-(1-MAX(0,MIN(1,IF(CQ14&lt;=h_col,0.0035*(CQ14-(h_col-d_2))/CQ14,0.002*(CQ14-(h_col-d_2))/(CQ14-3*h_col/7))/0.002)))^2))))/1000</f>
        <v/>
      </c>
      <c r="CS14">
        <f>IF($CR14&lt;N_Ed-1E-9*MAX(1,N_Ed),(CO14+CP14)/2,CO14)</f>
        <v/>
      </c>
      <c r="CT14">
        <f>IF($CR14&lt;N_Ed-1E-9*MAX(1,N_Ed),CP14,(CO14+CP14)/2)</f>
        <v/>
      </c>
      <c r="CU14">
        <f>h_col*((CS14+CT14)/2)/(1-(CS14+CT14)/2)</f>
        <v/>
      </c>
      <c r="CV14">
        <f>(f_cd*b_col*((3*MIN(CU14,h_col)/7)+(4*MIN(CU14,h_col)/7)*(1-((4*MIN(CU14,h_col)/7)/(CU14-(3*MIN(CU14,h_col)/7)))^2/3))+$D14/2*((MAX(-f_yd,MIN(f_yd,200000*IF(CU14&lt;=h_col,0.0035*(CU14-d_2)/CU14,0.002*(CU14-d_2)/(CU14-3*h_col/7))))-f_cd*(1-(1-MAX(0,MIN(1,IF(CU14&lt;=h_col,0.0035*(CU14-d_2)/CU14,0.002*(CU14-d_2)/(CU14-3*h_col/7))/0.002)))^2))+(MAX(-f_yd,MIN(f_yd,200000*IF(CU14&lt;=h_col,0.0035*(CU14-(h_col-d_2))/CU14,0.002*(CU14-(h_col-d_2))/(CU14-3*h_col/7))))-f_cd*(1-(1-MAX(0,MIN(1,IF(CU14&lt;=h_col,0.0035*(CU14-(h_col-d_2))/CU14,0.002*(CU14-(h_col-d_2))/(CU14-3*h_col/7))/0.002)))^2))))/1000</f>
        <v/>
      </c>
      <c r="CW14">
        <f>IF($CV14&lt;N_Ed-1E-9*MAX(1,N_Ed),(CS14+CT14)/2,CS14)</f>
        <v/>
      </c>
      <c r="CX14">
        <f>IF($CV14&lt;N_Ed-1E-9*MAX(1,N_Ed),CT14,(CS14+CT14)/2)</f>
        <v/>
      </c>
      <c r="CY14">
        <f>h_col*((CW14+CX14)/2)/(1-(CW14+CX14)/2)</f>
        <v/>
      </c>
      <c r="CZ14">
        <f>(f_cd*b_col*((3*MIN(CY14,h_col)/7)+(4*MIN(CY14,h_col)/7)*(1-((4*MIN(CY14,h_col)/7)/(CY14-(3*MIN(CY14,h_col)/7)))^2/3))+$D14/2*((MAX(-f_yd,MIN(f_yd,200000*IF(CY14&lt;=h_col,0.0035*(CY14-d_2)/CY14,0.002*(CY14-d_2)/(CY14-3*h_col/7))))-f_cd*(1-(1-MAX(0,MIN(1,IF(CY14&lt;=h_col,0.0035*(CY14-d_2)/CY14,0.002*(CY14-d_2)/(CY14-3*h_col/7))/0.002)))^2))+(MAX(-f_yd,MIN(f_yd,200000*IF(CY14&lt;=h_col,0.0035*(CY14-(h_col-d_2))/CY14,0.002*(CY14-(h_col-d_2))/(CY14-3*h_col/7))))-f_cd*(1-(1-MAX(0,MIN(1,IF(CY14&lt;=h_col,0.0035*(CY14-(h_col-d_2))/CY14,0.002*(CY14-(h_col-d_2))/(CY14-3*h_col/7))/0.002)))^2))))/1000</f>
        <v/>
      </c>
      <c r="DA14">
        <f>IF($CZ14&lt;N_Ed-1E-9*MAX(1,N_Ed),(CW14+CX14)/2,CW14)</f>
        <v/>
      </c>
      <c r="DB14">
        <f>IF($CZ14&lt;N_Ed-1E-9*MAX(1,N_Ed),CX14,(CW14+CX14)/2)</f>
        <v/>
      </c>
      <c r="DC14">
        <f>h_col*((DA14+DB14)/2)/(1-(DA14+DB14)/2)</f>
        <v/>
      </c>
      <c r="DD14">
        <f>(f_cd*b_col*((3*MIN(DC14,h_col)/7)+(4*MIN(DC14,h_col)/7)*(1-((4*MIN(DC14,h_col)/7)/(DC14-(3*MIN(DC14,h_col)/7)))^2/3))+$D14/2*((MAX(-f_yd,MIN(f_yd,200000*IF(DC14&lt;=h_col,0.0035*(DC14-d_2)/DC14,0.002*(DC14-d_2)/(DC14-3*h_col/7))))-f_cd*(1-(1-MAX(0,MIN(1,IF(DC14&lt;=h_col,0.0035*(DC14-d_2)/DC14,0.002*(DC14-d_2)/(DC14-3*h_col/7))/0.002)))^2))+(MAX(-f_yd,MIN(f_yd,200000*IF(DC14&lt;=h_col,0.0035*(DC14-(h_col-d_2))/DC14,0.002*(DC14-(h_col-d_2))/(DC14-3*h_col/7))))-f_cd*(1-(1-MAX(0,MIN(1,IF(DC14&lt;=h_col,0.0035*(DC14-(h_col-d_2))/DC14,0.002*(DC14-(h_col-d_2))/(DC14-3*h_col/7))/0.002)))^2))))/1000</f>
        <v/>
      </c>
      <c r="DE14">
        <f>IF($DD14&lt;N_Ed-1E-9*MAX(1,N_Ed),(DA14+DB14)/2,DA14)</f>
        <v/>
      </c>
      <c r="DF14">
        <f>IF($DD14&lt;N_Ed-1E-9*MAX(1,N_Ed),DB14,(DA14+DB14)/2)</f>
        <v/>
      </c>
      <c r="DG14">
        <f>h_col*((DE14+DF14)/2)/(1-(DE14+DF14)/2)</f>
        <v/>
      </c>
      <c r="DH14">
        <f>(f_cd*b_col*((3*MIN(DG14,h_col)/7)+(4*MIN(DG14,h_col)/7)*(1-((4*MIN(DG14,h_col)/7)/(DG14-(3*MIN(DG14,h_col)/7)))^2/3))+$D14/2*((MAX(-f_yd,MIN(f_yd,200000*IF(DG14&lt;=h_col,0.0035*(DG14-d_2)/DG14,0.002*(DG14-d_2)/(DG14-3*h_col/7))))-f_cd*(1-(1-MAX(0,MIN(1,IF(DG14&lt;=h_col,0.0035*(DG14-d_2)/DG14,0.002*(DG14-d_2)/(DG14-3*h_col/7))/0.002)))^2))+(MAX(-f_yd,MIN(f_yd,200000*IF(DG14&lt;=h_col,0.0035*(DG14-(h_col-d_2))/DG14,0.002*(DG14-(h_col-d_2))/(DG14-3*h_col/7))))-f_cd*(1-(1-MAX(0,MIN(1,IF(DG14&lt;=h_col,0.0035*(DG14-(h_col-d_2))/DG14,0.002*(DG14-(h_col-d_2))/(DG14-3*h_col/7))/0.002)))^2))))/1000</f>
        <v/>
      </c>
      <c r="DI14">
        <f>IF($DH14&lt;N_Ed-1E-9*MAX(1,N_Ed),(DE14+DF14)/2,DE14)</f>
        <v/>
      </c>
      <c r="DJ14">
        <f>IF($DH14&lt;N_Ed-1E-9*MAX(1,N_Ed),DF14,(DE14+DF14)/2)</f>
        <v/>
      </c>
      <c r="DK14">
        <f>h_col*((DI14+DJ14)/2)/(1-(DI14+DJ14)/2)</f>
        <v/>
      </c>
      <c r="DL14">
        <f>(f_cd*b_col*((3*MIN(DK14,h_col)/7)+(4*MIN(DK14,h_col)/7)*(1-((4*MIN(DK14,h_col)/7)/(DK14-(3*MIN(DK14,h_col)/7)))^2/3))+$D14/2*((MAX(-f_yd,MIN(f_yd,200000*IF(DK14&lt;=h_col,0.0035*(DK14-d_2)/DK14,0.002*(DK14-d_2)/(DK14-3*h_col/7))))-f_cd*(1-(1-MAX(0,MIN(1,IF(DK14&lt;=h_col,0.0035*(DK14-d_2)/DK14,0.002*(DK14-d_2)/(DK14-3*h_col/7))/0.002)))^2))+(MAX(-f_yd,MIN(f_yd,200000*IF(DK14&lt;=h_col,0.0035*(DK14-(h_col-d_2))/DK14,0.002*(DK14-(h_col-d_2))/(DK14-3*h_col/7))))-f_cd*(1-(1-MAX(0,MIN(1,IF(DK14&lt;=h_col,0.0035*(DK14-(h_col-d_2))/DK14,0.002*(DK14-(h_col-d_2))/(DK14-3*h_col/7))/0.002)))^2))))/1000</f>
        <v/>
      </c>
      <c r="DM14">
        <f>IF($DL14&lt;N_Ed-1E-9*MAX(1,N_Ed),(DI14+DJ14)/2,DI14)</f>
        <v/>
      </c>
      <c r="DN14">
        <f>IF($DL14&lt;N_Ed-1E-9*MAX(1,N_Ed),DJ14,(DI14+DJ14)/2)</f>
        <v/>
      </c>
      <c r="DO14">
        <f>h_col*((DM14+DN14)/2)/(1-(DM14+DN14)/2)</f>
        <v/>
      </c>
      <c r="DP14">
        <f>(f_cd*b_col*((3*MIN(DO14,h_col)/7)+(4*MIN(DO14,h_col)/7)*(1-((4*MIN(DO14,h_col)/7)/(DO14-(3*MIN(DO14,h_col)/7)))^2/3))+$D14/2*((MAX(-f_yd,MIN(f_yd,200000*IF(DO14&lt;=h_col,0.0035*(DO14-d_2)/DO14,0.002*(DO14-d_2)/(DO14-3*h_col/7))))-f_cd*(1-(1-MAX(0,MIN(1,IF(DO14&lt;=h_col,0.0035*(DO14-d_2)/DO14,0.002*(DO14-d_2)/(DO14-3*h_col/7))/0.002)))^2))+(MAX(-f_yd,MIN(f_yd,200000*IF(DO14&lt;=h_col,0.0035*(DO14-(h_col-d_2))/DO14,0.002*(DO14-(h_col-d_2))/(DO14-3*h_col/7))))-f_cd*(1-(1-MAX(0,MIN(1,IF(DO14&lt;=h_col,0.0035*(DO14-(h_col-d_2))/DO14,0.002*(DO14-(h_col-d_2))/(DO14-3*h_col/7))/0.002)))^2))))/1000</f>
        <v/>
      </c>
      <c r="DQ14">
        <f>IF($DP14&lt;N_Ed-1E-9*MAX(1,N_Ed),(DM14+DN14)/2,DM14)</f>
        <v/>
      </c>
      <c r="DR14">
        <f>IF($DP14&lt;N_Ed-1E-9*MAX(1,N_Ed),DN14,(DM14+DN14)/2)</f>
        <v/>
      </c>
      <c r="DS14">
        <f>h_col*((DQ14+DR14)/2)/(1-(DQ14+DR14)/2)</f>
        <v/>
      </c>
      <c r="DT14">
        <f>(f_cd*b_col*((3*MIN(DS14,h_col)/7)+(4*MIN(DS14,h_col)/7)*(1-((4*MIN(DS14,h_col)/7)/(DS14-(3*MIN(DS14,h_col)/7)))^2/3))+$D14/2*((MAX(-f_yd,MIN(f_yd,200000*IF(DS14&lt;=h_col,0.0035*(DS14-d_2)/DS14,0.002*(DS14-d_2)/(DS14-3*h_col/7))))-f_cd*(1-(1-MAX(0,MIN(1,IF(DS14&lt;=h_col,0.0035*(DS14-d_2)/DS14,0.002*(DS14-d_2)/(DS14-3*h_col/7))/0.002)))^2))+(MAX(-f_yd,MIN(f_yd,200000*IF(DS14&lt;=h_col,0.0035*(DS14-(h_col-d_2))/DS14,0.002*(DS14-(h_col-d_2))/(DS14-3*h_col/7))))-f_cd*(1-(1-MAX(0,MIN(1,IF(DS14&lt;=h_col,0.0035*(DS14-(h_col-d_2))/DS14,0.002*(DS14-(h_col-d_2))/(DS14-3*h_col/7))/0.002)))^2))))/1000</f>
        <v/>
      </c>
      <c r="DU14">
        <f>IF($DT14&lt;N_Ed-1E-9*MAX(1,N_Ed),(DQ14+DR14)/2,DQ14)</f>
        <v/>
      </c>
      <c r="DV14">
        <f>IF($DT14&lt;N_Ed-1E-9*MAX(1,N_Ed),DR14,(DQ14+DR14)/2)</f>
        <v/>
      </c>
      <c r="DW14">
        <f>h_col*((DU14+DV14)/2)/(1-(DU14+DV14)/2)</f>
        <v/>
      </c>
      <c r="DX14">
        <f>(f_cd*b_col*((3*MIN(DW14,h_col)/7)+(4*MIN(DW14,h_col)/7)*(1-((4*MIN(DW14,h_col)/7)/(DW14-(3*MIN(DW14,h_col)/7)))^2/3))+$D14/2*((MAX(-f_yd,MIN(f_yd,200000*IF(DW14&lt;=h_col,0.0035*(DW14-d_2)/DW14,0.002*(DW14-d_2)/(DW14-3*h_col/7))))-f_cd*(1-(1-MAX(0,MIN(1,IF(DW14&lt;=h_col,0.0035*(DW14-d_2)/DW14,0.002*(DW14-d_2)/(DW14-3*h_col/7))/0.002)))^2))+(MAX(-f_yd,MIN(f_yd,200000*IF(DW14&lt;=h_col,0.0035*(DW14-(h_col-d_2))/DW14,0.002*(DW14-(h_col-d_2))/(DW14-3*h_col/7))))-f_cd*(1-(1-MAX(0,MIN(1,IF(DW14&lt;=h_col,0.0035*(DW14-(h_col-d_2))/DW14,0.002*(DW14-(h_col-d_2))/(DW14-3*h_col/7))/0.002)))^2))))/1000</f>
        <v/>
      </c>
      <c r="DY14">
        <f>IF($DX14&lt;N_Ed-1E-9*MAX(1,N_Ed),(DU14+DV14)/2,DU14)</f>
        <v/>
      </c>
      <c r="DZ14">
        <f>IF($DX14&lt;N_Ed-1E-9*MAX(1,N_Ed),DV14,(DU14+DV14)/2)</f>
        <v/>
      </c>
      <c r="EA14">
        <f>h_col*((DY14+DZ14)/2)/(1-(DY14+DZ14)/2)</f>
        <v/>
      </c>
      <c r="EB14">
        <f>(f_cd*b_col*((3*MIN(EA14,h_col)/7)+(4*MIN(EA14,h_col)/7)*(1-((4*MIN(EA14,h_col)/7)/(EA14-(3*MIN(EA14,h_col)/7)))^2/3))+$D14/2*((MAX(-f_yd,MIN(f_yd,200000*IF(EA14&lt;=h_col,0.0035*(EA14-d_2)/EA14,0.002*(EA14-d_2)/(EA14-3*h_col/7))))-f_cd*(1-(1-MAX(0,MIN(1,IF(EA14&lt;=h_col,0.0035*(EA14-d_2)/EA14,0.002*(EA14-d_2)/(EA14-3*h_col/7))/0.002)))^2))+(MAX(-f_yd,MIN(f_yd,200000*IF(EA14&lt;=h_col,0.0035*(EA14-(h_col-d_2))/EA14,0.002*(EA14-(h_col-d_2))/(EA14-3*h_col/7))))-f_cd*(1-(1-MAX(0,MIN(1,IF(EA14&lt;=h_col,0.0035*(EA14-(h_col-d_2))/EA14,0.002*(EA14-(h_col-d_2))/(EA14-3*h_col/7))/0.002)))^2))))/1000</f>
        <v/>
      </c>
      <c r="EC14">
        <f>IF($EB14&lt;N_Ed-1E-9*MAX(1,N_Ed),(DY14+DZ14)/2,DY14)</f>
        <v/>
      </c>
      <c r="ED14">
        <f>IF($EB14&lt;N_Ed-1E-9*MAX(1,N_Ed),DZ14,(DY14+DZ14)/2)</f>
        <v/>
      </c>
      <c r="EE14">
        <f>h_col*((EC14+ED14)/2)/(1-(EC14+ED14)/2)</f>
        <v/>
      </c>
      <c r="EF14">
        <f>(f_cd*b_col*((3*MIN(EE14,h_col)/7)+(4*MIN(EE14,h_col)/7)*(1-((4*MIN(EE14,h_col)/7)/(EE14-(3*MIN(EE14,h_col)/7)))^2/3))+$D14/2*((MAX(-f_yd,MIN(f_yd,200000*IF(EE14&lt;=h_col,0.0035*(EE14-d_2)/EE14,0.002*(EE14-d_2)/(EE14-3*h_col/7))))-f_cd*(1-(1-MAX(0,MIN(1,IF(EE14&lt;=h_col,0.0035*(EE14-d_2)/EE14,0.002*(EE14-d_2)/(EE14-3*h_col/7))/0.002)))^2))+(MAX(-f_yd,MIN(f_yd,200000*IF(EE14&lt;=h_col,0.0035*(EE14-(h_col-d_2))/EE14,0.002*(EE14-(h_col-d_2))/(EE14-3*h_col/7))))-f_cd*(1-(1-MAX(0,MIN(1,IF(EE14&lt;=h_col,0.0035*(EE14-(h_col-d_2))/EE14,0.002*(EE14-(h_col-d_2))/(EE14-3*h_col/7))/0.002)))^2))))/1000</f>
        <v/>
      </c>
      <c r="EG14">
        <f>IF($EF14&lt;N_Ed-1E-9*MAX(1,N_Ed),(EC14+ED14)/2,EC14)</f>
        <v/>
      </c>
      <c r="EH14">
        <f>IF($EF14&lt;N_Ed-1E-9*MAX(1,N_Ed),ED14,(EC14+ED14)/2)</f>
        <v/>
      </c>
      <c r="EI14">
        <f>h_col*((EG14+EH14)/2)/(1-(EG14+EH14)/2)</f>
        <v/>
      </c>
      <c r="EJ14">
        <f>(f_cd*b_col*((3*MIN(EI14,h_col)/7)+(4*MIN(EI14,h_col)/7)*(1-((4*MIN(EI14,h_col)/7)/(EI14-(3*MIN(EI14,h_col)/7)))^2/3))+$D14/2*((MAX(-f_yd,MIN(f_yd,200000*IF(EI14&lt;=h_col,0.0035*(EI14-d_2)/EI14,0.002*(EI14-d_2)/(EI14-3*h_col/7))))-f_cd*(1-(1-MAX(0,MIN(1,IF(EI14&lt;=h_col,0.0035*(EI14-d_2)/EI14,0.002*(EI14-d_2)/(EI14-3*h_col/7))/0.002)))^2))+(MAX(-f_yd,MIN(f_yd,200000*IF(EI14&lt;=h_col,0.0035*(EI14-(h_col-d_2))/EI14,0.002*(EI14-(h_col-d_2))/(EI14-3*h_col/7))))-f_cd*(1-(1-MAX(0,MIN(1,IF(EI14&lt;=h_col,0.0035*(EI14-(h_col-d_2))/EI14,0.002*(EI14-(h_col-d_2))/(EI14-3*h_col/7))/0.002)))^2))))/1000</f>
        <v/>
      </c>
      <c r="EK14">
        <f>IF($EJ14&lt;N_Ed-1E-9*MAX(1,N_Ed),(EG14+EH14)/2,EG14)</f>
        <v/>
      </c>
      <c r="EL14">
        <f>IF($EJ14&lt;N_Ed-1E-9*MAX(1,N_Ed),EH14,(EG14+EH14)/2)</f>
        <v/>
      </c>
      <c r="EM14">
        <f>h_col*((EK14+EL14)/2)/(1-(EK14+EL14)/2)</f>
        <v/>
      </c>
      <c r="EN14">
        <f>(f_cd*b_col*((3*MIN(EM14,h_col)/7)+(4*MIN(EM14,h_col)/7)*(1-((4*MIN(EM14,h_col)/7)/(EM14-(3*MIN(EM14,h_col)/7)))^2/3))+$D14/2*((MAX(-f_yd,MIN(f_yd,200000*IF(EM14&lt;=h_col,0.0035*(EM14-d_2)/EM14,0.002*(EM14-d_2)/(EM14-3*h_col/7))))-f_cd*(1-(1-MAX(0,MIN(1,IF(EM14&lt;=h_col,0.0035*(EM14-d_2)/EM14,0.002*(EM14-d_2)/(EM14-3*h_col/7))/0.002)))^2))+(MAX(-f_yd,MIN(f_yd,200000*IF(EM14&lt;=h_col,0.0035*(EM14-(h_col-d_2))/EM14,0.002*(EM14-(h_col-d_2))/(EM14-3*h_col/7))))-f_cd*(1-(1-MAX(0,MIN(1,IF(EM14&lt;=h_col,0.0035*(EM14-(h_col-d_2))/EM14,0.002*(EM14-(h_col-d_2))/(EM14-3*h_col/7))/0.002)))^2))))/1000</f>
        <v/>
      </c>
      <c r="EO14">
        <f>IF($EN14&lt;N_Ed-1E-9*MAX(1,N_Ed),(EK14+EL14)/2,EK14)</f>
        <v/>
      </c>
      <c r="EP14">
        <f>IF($EN14&lt;N_Ed-1E-9*MAX(1,N_Ed),EL14,(EK14+EL14)/2)</f>
        <v/>
      </c>
      <c r="EQ14">
        <f>h_col*((EO14+EP14)/2)/(1-(EO14+EP14)/2)</f>
        <v/>
      </c>
      <c r="ER14">
        <f>(f_cd*b_col*((3*MIN(EQ14,h_col)/7)+(4*MIN(EQ14,h_col)/7)*(1-((4*MIN(EQ14,h_col)/7)/(EQ14-(3*MIN(EQ14,h_col)/7)))^2/3))+$D14/2*((MAX(-f_yd,MIN(f_yd,200000*IF(EQ14&lt;=h_col,0.0035*(EQ14-d_2)/EQ14,0.002*(EQ14-d_2)/(EQ14-3*h_col/7))))-f_cd*(1-(1-MAX(0,MIN(1,IF(EQ14&lt;=h_col,0.0035*(EQ14-d_2)/EQ14,0.002*(EQ14-d_2)/(EQ14-3*h_col/7))/0.002)))^2))+(MAX(-f_yd,MIN(f_yd,200000*IF(EQ14&lt;=h_col,0.0035*(EQ14-(h_col-d_2))/EQ14,0.002*(EQ14-(h_col-d_2))/(EQ14-3*h_col/7))))-f_cd*(1-(1-MAX(0,MIN(1,IF(EQ14&lt;=h_col,0.0035*(EQ14-(h_col-d_2))/EQ14,0.002*(EQ14-(h_col-d_2))/(EQ14-3*h_col/7))/0.002)))^2))))/1000</f>
        <v/>
      </c>
      <c r="ES14">
        <f>IF($ER14&lt;N_Ed-1E-9*MAX(1,N_Ed),(EO14+EP14)/2,EO14)</f>
        <v/>
      </c>
      <c r="ET14">
        <f>IF($ER14&lt;N_Ed-1E-9*MAX(1,N_Ed),EP14,(EO14+EP14)/2)</f>
        <v/>
      </c>
      <c r="EU14">
        <f>h_col*((ES14+ET14)/2)/(1-(ES14+ET14)/2)</f>
        <v/>
      </c>
      <c r="EV14">
        <f>(f_cd*b_col*((3*MIN(EU14,h_col)/7)+(4*MIN(EU14,h_col)/7)*(1-((4*MIN(EU14,h_col)/7)/(EU14-(3*MIN(EU14,h_col)/7)))^2/3))+$D14/2*((MAX(-f_yd,MIN(f_yd,200000*IF(EU14&lt;=h_col,0.0035*(EU14-d_2)/EU14,0.002*(EU14-d_2)/(EU14-3*h_col/7))))-f_cd*(1-(1-MAX(0,MIN(1,IF(EU14&lt;=h_col,0.0035*(EU14-d_2)/EU14,0.002*(EU14-d_2)/(EU14-3*h_col/7))/0.002)))^2))+(MAX(-f_yd,MIN(f_yd,200000*IF(EU14&lt;=h_col,0.0035*(EU14-(h_col-d_2))/EU14,0.002*(EU14-(h_col-d_2))/(EU14-3*h_col/7))))-f_cd*(1-(1-MAX(0,MIN(1,IF(EU14&lt;=h_col,0.0035*(EU14-(h_col-d_2))/EU14,0.002*(EU14-(h_col-d_2))/(EU14-3*h_col/7))/0.002)))^2))))/1000</f>
        <v/>
      </c>
      <c r="EW14">
        <f>IF($EV14&lt;N_Ed-1E-9*MAX(1,N_Ed),(ES14+ET14)/2,ES14)</f>
        <v/>
      </c>
      <c r="EX14">
        <f>IF($EV14&lt;N_Ed-1E-9*MAX(1,N_Ed),ET14,(ES14+ET14)/2)</f>
        <v/>
      </c>
      <c r="EY14">
        <f>h_col*((EW14+EX14)/2)/(1-(EW14+EX14)/2)</f>
        <v/>
      </c>
      <c r="EZ14">
        <f>(f_cd*b_col*((3*MIN(EY14,h_col)/7)+(4*MIN(EY14,h_col)/7)*(1-((4*MIN(EY14,h_col)/7)/(EY14-(3*MIN(EY14,h_col)/7)))^2/3))+$D14/2*((MAX(-f_yd,MIN(f_yd,200000*IF(EY14&lt;=h_col,0.0035*(EY14-d_2)/EY14,0.002*(EY14-d_2)/(EY14-3*h_col/7))))-f_cd*(1-(1-MAX(0,MIN(1,IF(EY14&lt;=h_col,0.0035*(EY14-d_2)/EY14,0.002*(EY14-d_2)/(EY14-3*h_col/7))/0.002)))^2))+(MAX(-f_yd,MIN(f_yd,200000*IF(EY14&lt;=h_col,0.0035*(EY14-(h_col-d_2))/EY14,0.002*(EY14-(h_col-d_2))/(EY14-3*h_col/7))))-f_cd*(1-(1-MAX(0,MIN(1,IF(EY14&lt;=h_col,0.0035*(EY14-(h_col-d_2))/EY14,0.002*(EY14-(h_col-d_2))/(EY14-3*h_col/7))/0.002)))^2))))/1000</f>
        <v/>
      </c>
      <c r="FA14">
        <f>IF($EZ14&lt;N_Ed-1E-9*MAX(1,N_Ed),(EW14+EX14)/2,EW14)</f>
        <v/>
      </c>
      <c r="FB14">
        <f>IF($EZ14&lt;N_Ed-1E-9*MAX(1,N_Ed),EX14,(EW14+EX14)/2)</f>
        <v/>
      </c>
      <c r="FC14">
        <f>h_col*((FA14+FB14)/2)/(1-(FA14+FB14)/2)</f>
        <v/>
      </c>
      <c r="FD14">
        <f>(f_cd*b_col*((3*MIN(FC14,h_col)/7)+(4*MIN(FC14,h_col)/7)*(1-((4*MIN(FC14,h_col)/7)/(FC14-(3*MIN(FC14,h_col)/7)))^2/3))+$D14/2*((MAX(-f_yd,MIN(f_yd,200000*IF(FC14&lt;=h_col,0.0035*(FC14-d_2)/FC14,0.002*(FC14-d_2)/(FC14-3*h_col/7))))-f_cd*(1-(1-MAX(0,MIN(1,IF(FC14&lt;=h_col,0.0035*(FC14-d_2)/FC14,0.002*(FC14-d_2)/(FC14-3*h_col/7))/0.002)))^2))+(MAX(-f_yd,MIN(f_yd,200000*IF(FC14&lt;=h_col,0.0035*(FC14-(h_col-d_2))/FC14,0.002*(FC14-(h_col-d_2))/(FC14-3*h_col/7))))-f_cd*(1-(1-MAX(0,MIN(1,IF(FC14&lt;=h_col,0.0035*(FC14-(h_col-d_2))/FC14,0.002*(FC14-(h_col-d_2))/(FC14-3*h_col/7))/0.002)))^2))))/1000</f>
        <v/>
      </c>
      <c r="FE14">
        <f>IF($FD14&lt;N_Ed-1E-9*MAX(1,N_Ed),(FA14+FB14)/2,FA14)</f>
        <v/>
      </c>
      <c r="FF14">
        <f>IF($FD14&lt;N_Ed-1E-9*MAX(1,N_Ed),FB14,(FA14+FB14)/2)</f>
        <v/>
      </c>
      <c r="FG14">
        <f>h_col*((FE14+FF14)/2)/(1-(FE14+FF14)/2)</f>
        <v/>
      </c>
      <c r="FH14">
        <f>(f_cd*b_col*((3*MIN(FG14,h_col)/7)+(4*MIN(FG14,h_col)/7)*(1-((4*MIN(FG14,h_col)/7)/(FG14-(3*MIN(FG14,h_col)/7)))^2/3))+$D14/2*((MAX(-f_yd,MIN(f_yd,200000*IF(FG14&lt;=h_col,0.0035*(FG14-d_2)/FG14,0.002*(FG14-d_2)/(FG14-3*h_col/7))))-f_cd*(1-(1-MAX(0,MIN(1,IF(FG14&lt;=h_col,0.0035*(FG14-d_2)/FG14,0.002*(FG14-d_2)/(FG14-3*h_col/7))/0.002)))^2))+(MAX(-f_yd,MIN(f_yd,200000*IF(FG14&lt;=h_col,0.0035*(FG14-(h_col-d_2))/FG14,0.002*(FG14-(h_col-d_2))/(FG14-3*h_col/7))))-f_cd*(1-(1-MAX(0,MIN(1,IF(FG14&lt;=h_col,0.0035*(FG14-(h_col-d_2))/FG14,0.002*(FG14-(h_col-d_2))/(FG14-3*h_col/7))/0.002)))^2))))/1000</f>
        <v/>
      </c>
      <c r="FI14">
        <f>IF($FH14&lt;N_Ed-1E-9*MAX(1,N_Ed),(FE14+FF14)/2,FE14)</f>
        <v/>
      </c>
      <c r="FJ14">
        <f>IF($FH14&lt;N_Ed-1E-9*MAX(1,N_Ed),FF14,(FE14+FF14)/2)</f>
        <v/>
      </c>
      <c r="FK14">
        <f>h_col*((FI14+FJ14)/2)/(1-(FI14+FJ14)/2)</f>
        <v/>
      </c>
      <c r="FL14">
        <f>(f_cd*b_col*((3*MIN(FK14,h_col)/7)+(4*MIN(FK14,h_col)/7)*(1-((4*MIN(FK14,h_col)/7)/(FK14-(3*MIN(FK14,h_col)/7)))^2/3))+$D14/2*((MAX(-f_yd,MIN(f_yd,200000*IF(FK14&lt;=h_col,0.0035*(FK14-d_2)/FK14,0.002*(FK14-d_2)/(FK14-3*h_col/7))))-f_cd*(1-(1-MAX(0,MIN(1,IF(FK14&lt;=h_col,0.0035*(FK14-d_2)/FK14,0.002*(FK14-d_2)/(FK14-3*h_col/7))/0.002)))^2))+(MAX(-f_yd,MIN(f_yd,200000*IF(FK14&lt;=h_col,0.0035*(FK14-(h_col-d_2))/FK14,0.002*(FK14-(h_col-d_2))/(FK14-3*h_col/7))))-f_cd*(1-(1-MAX(0,MIN(1,IF(FK14&lt;=h_col,0.0035*(FK14-(h_col-d_2))/FK14,0.002*(FK14-(h_col-d_2))/(FK14-3*h_col/7))/0.002)))^2))))/1000</f>
        <v/>
      </c>
      <c r="FM14">
        <f>IF($FL14&lt;N_Ed-1E-9*MAX(1,N_Ed),(FI14+FJ14)/2,FI14)</f>
        <v/>
      </c>
      <c r="FN14">
        <f>IF($FL14&lt;N_Ed-1E-9*MAX(1,N_Ed),FJ14,(FI14+FJ14)/2)</f>
        <v/>
      </c>
      <c r="FO14">
        <f>h_col*((FM14+FN14)/2)/(1-(FM14+FN14)/2)</f>
        <v/>
      </c>
      <c r="FP14">
        <f>(f_cd*b_col*((3*MIN(FO14,h_col)/7)+(4*MIN(FO14,h_col)/7)*(1-((4*MIN(FO14,h_col)/7)/(FO14-(3*MIN(FO14,h_col)/7)))^2/3))+$D14/2*((MAX(-f_yd,MIN(f_yd,200000*IF(FO14&lt;=h_col,0.0035*(FO14-d_2)/FO14,0.002*(FO14-d_2)/(FO14-3*h_col/7))))-f_cd*(1-(1-MAX(0,MIN(1,IF(FO14&lt;=h_col,0.0035*(FO14-d_2)/FO14,0.002*(FO14-d_2)/(FO14-3*h_col/7))/0.002)))^2))+(MAX(-f_yd,MIN(f_yd,200000*IF(FO14&lt;=h_col,0.0035*(FO14-(h_col-d_2))/FO14,0.002*(FO14-(h_col-d_2))/(FO14-3*h_col/7))))-f_cd*(1-(1-MAX(0,MIN(1,IF(FO14&lt;=h_col,0.0035*(FO14-(h_col-d_2))/FO14,0.002*(FO14-(h_col-d_2))/(FO14-3*h_col/7))/0.002)))^2))))/1000</f>
        <v/>
      </c>
      <c r="FQ14">
        <f>IF($FP14&lt;N_Ed-1E-9*MAX(1,N_Ed),(FM14+FN14)/2,FM14)</f>
        <v/>
      </c>
      <c r="FR14">
        <f>IF($FP14&lt;N_Ed-1E-9*MAX(1,N_Ed),FN14,(FM14+FN14)/2)</f>
        <v/>
      </c>
      <c r="FS14">
        <f>h_col*((FQ14+FR14)/2)/(1-(FQ14+FR14)/2)</f>
        <v/>
      </c>
      <c r="FT14">
        <f>(f_cd*b_col*((3*MIN(FS14,h_col)/7)+(4*MIN(FS14,h_col)/7)*(1-((4*MIN(FS14,h_col)/7)/(FS14-(3*MIN(FS14,h_col)/7)))^2/3))+$D14/2*((MAX(-f_yd,MIN(f_yd,200000*IF(FS14&lt;=h_col,0.0035*(FS14-d_2)/FS14,0.002*(FS14-d_2)/(FS14-3*h_col/7))))-f_cd*(1-(1-MAX(0,MIN(1,IF(FS14&lt;=h_col,0.0035*(FS14-d_2)/FS14,0.002*(FS14-d_2)/(FS14-3*h_col/7))/0.002)))^2))+(MAX(-f_yd,MIN(f_yd,200000*IF(FS14&lt;=h_col,0.0035*(FS14-(h_col-d_2))/FS14,0.002*(FS14-(h_col-d_2))/(FS14-3*h_col/7))))-f_cd*(1-(1-MAX(0,MIN(1,IF(FS14&lt;=h_col,0.0035*(FS14-(h_col-d_2))/FS14,0.002*(FS14-(h_col-d_2))/(FS14-3*h_col/7))/0.002)))^2))))/1000</f>
        <v/>
      </c>
      <c r="FU14">
        <f>IF($FT14&lt;N_Ed-1E-9*MAX(1,N_Ed),(FQ14+FR14)/2,FQ14)</f>
        <v/>
      </c>
      <c r="FV14">
        <f>IF($FT14&lt;N_Ed-1E-9*MAX(1,N_Ed),FR14,(FQ14+FR14)/2)</f>
        <v/>
      </c>
      <c r="FW14">
        <f>h_col*((FU14+FV14)/2)/(1-(FU14+FV14)/2)</f>
        <v/>
      </c>
      <c r="FX14">
        <f>(f_cd*b_col*((3*MIN(FW14,h_col)/7)+(4*MIN(FW14,h_col)/7)*(1-((4*MIN(FW14,h_col)/7)/(FW14-(3*MIN(FW14,h_col)/7)))^2/3))+$D14/2*((MAX(-f_yd,MIN(f_yd,200000*IF(FW14&lt;=h_col,0.0035*(FW14-d_2)/FW14,0.002*(FW14-d_2)/(FW14-3*h_col/7))))-f_cd*(1-(1-MAX(0,MIN(1,IF(FW14&lt;=h_col,0.0035*(FW14-d_2)/FW14,0.002*(FW14-d_2)/(FW14-3*h_col/7))/0.002)))^2))+(MAX(-f_yd,MIN(f_yd,200000*IF(FW14&lt;=h_col,0.0035*(FW14-(h_col-d_2))/FW14,0.002*(FW14-(h_col-d_2))/(FW14-3*h_col/7))))-f_cd*(1-(1-MAX(0,MIN(1,IF(FW14&lt;=h_col,0.0035*(FW14-(h_col-d_2))/FW14,0.002*(FW14-(h_col-d_2))/(FW14-3*h_col/7))/0.002)))^2))))/1000</f>
        <v/>
      </c>
      <c r="FY14">
        <f>IF($FX14&lt;N_Ed-1E-9*MAX(1,N_Ed),(FU14+FV14)/2,FU14)</f>
        <v/>
      </c>
      <c r="FZ14">
        <f>IF($FX14&lt;N_Ed-1E-9*MAX(1,N_Ed),FV14,(FU14+FV14)/2)</f>
        <v/>
      </c>
      <c r="GA14">
        <f>h_col*((FY14+FZ14)/2)/(1-(FY14+FZ14)/2)</f>
        <v/>
      </c>
      <c r="GB14">
        <f>(f_cd*b_col*((3*MIN(GA14,h_col)/7)+(4*MIN(GA14,h_col)/7)*(1-((4*MIN(GA14,h_col)/7)/(GA14-(3*MIN(GA14,h_col)/7)))^2/3))+$D14/2*((MAX(-f_yd,MIN(f_yd,200000*IF(GA14&lt;=h_col,0.0035*(GA14-d_2)/GA14,0.002*(GA14-d_2)/(GA14-3*h_col/7))))-f_cd*(1-(1-MAX(0,MIN(1,IF(GA14&lt;=h_col,0.0035*(GA14-d_2)/GA14,0.002*(GA14-d_2)/(GA14-3*h_col/7))/0.002)))^2))+(MAX(-f_yd,MIN(f_yd,200000*IF(GA14&lt;=h_col,0.0035*(GA14-(h_col-d_2))/GA14,0.002*(GA14-(h_col-d_2))/(GA14-3*h_col/7))))-f_cd*(1-(1-MAX(0,MIN(1,IF(GA14&lt;=h_col,0.0035*(GA14-(h_col-d_2))/GA14,0.002*(GA14-(h_col-d_2))/(GA14-3*h_col/7))/0.002)))^2))))/1000</f>
        <v/>
      </c>
      <c r="GC14">
        <f>IF($GB14&lt;N_Ed-1E-9*MAX(1,N_Ed),(FY14+FZ14)/2,FY14)</f>
        <v/>
      </c>
      <c r="GD14">
        <f>IF($GB14&lt;N_Ed-1E-9*MAX(1,N_Ed),FZ14,(FY14+FZ14)/2)</f>
        <v/>
      </c>
      <c r="GE14">
        <f>h_col*((GC14+GD14)/2)/(1-(GC14+GD14)/2)</f>
        <v/>
      </c>
      <c r="GF14">
        <f>(f_cd*b_col*((3*MIN(GE14,h_col)/7)+(4*MIN(GE14,h_col)/7)*(1-((4*MIN(GE14,h_col)/7)/(GE14-(3*MIN(GE14,h_col)/7)))^2/3))+$D14/2*((MAX(-f_yd,MIN(f_yd,200000*IF(GE14&lt;=h_col,0.0035*(GE14-d_2)/GE14,0.002*(GE14-d_2)/(GE14-3*h_col/7))))-f_cd*(1-(1-MAX(0,MIN(1,IF(GE14&lt;=h_col,0.0035*(GE14-d_2)/GE14,0.002*(GE14-d_2)/(GE14-3*h_col/7))/0.002)))^2))+(MAX(-f_yd,MIN(f_yd,200000*IF(GE14&lt;=h_col,0.0035*(GE14-(h_col-d_2))/GE14,0.002*(GE14-(h_col-d_2))/(GE14-3*h_col/7))))-f_cd*(1-(1-MAX(0,MIN(1,IF(GE14&lt;=h_col,0.0035*(GE14-(h_col-d_2))/GE14,0.002*(GE14-(h_col-d_2))/(GE14-3*h_col/7))/0.002)))^2))))/1000</f>
        <v/>
      </c>
      <c r="GG14">
        <f>IF($GF14&lt;N_Ed-1E-9*MAX(1,N_Ed),(GC14+GD14)/2,GC14)</f>
        <v/>
      </c>
      <c r="GH14">
        <f>IF($GF14&lt;N_Ed-1E-9*MAX(1,N_Ed),GD14,(GC14+GD14)/2)</f>
        <v/>
      </c>
      <c r="GI14">
        <f>h_col*((GG14+GH14)/2)/(1-(GG14+GH14)/2)</f>
        <v/>
      </c>
      <c r="GJ14">
        <f>(f_cd*b_col*((3*MIN(GI14,h_col)/7)+(4*MIN(GI14,h_col)/7)*(1-((4*MIN(GI14,h_col)/7)/(GI14-(3*MIN(GI14,h_col)/7)))^2/3))+$D14/2*((MAX(-f_yd,MIN(f_yd,200000*IF(GI14&lt;=h_col,0.0035*(GI14-d_2)/GI14,0.002*(GI14-d_2)/(GI14-3*h_col/7))))-f_cd*(1-(1-MAX(0,MIN(1,IF(GI14&lt;=h_col,0.0035*(GI14-d_2)/GI14,0.002*(GI14-d_2)/(GI14-3*h_col/7))/0.002)))^2))+(MAX(-f_yd,MIN(f_yd,200000*IF(GI14&lt;=h_col,0.0035*(GI14-(h_col-d_2))/GI14,0.002*(GI14-(h_col-d_2))/(GI14-3*h_col/7))))-f_cd*(1-(1-MAX(0,MIN(1,IF(GI14&lt;=h_col,0.0035*(GI14-(h_col-d_2))/GI14,0.002*(GI14-(h_col-d_2))/(GI14-3*h_col/7))/0.002)))^2))))/1000</f>
        <v/>
      </c>
      <c r="GK14">
        <f>IF($GJ14&lt;N_Ed-1E-9*MAX(1,N_Ed),(GG14+GH14)/2,GG14)</f>
        <v/>
      </c>
      <c r="GL14">
        <f>IF($GJ14&lt;N_Ed-1E-9*MAX(1,N_Ed),GH14,(GG14+GH14)/2)</f>
        <v/>
      </c>
      <c r="GM14">
        <f>h_col*((GK14+GL14)/2)/(1-(GK14+GL14)/2)</f>
        <v/>
      </c>
      <c r="GN14">
        <f>(f_cd*b_col*((3*MIN(GM14,h_col)/7)+(4*MIN(GM14,h_col)/7)*(1-((4*MIN(GM14,h_col)/7)/(GM14-(3*MIN(GM14,h_col)/7)))^2/3))+$D14/2*((MAX(-f_yd,MIN(f_yd,200000*IF(GM14&lt;=h_col,0.0035*(GM14-d_2)/GM14,0.002*(GM14-d_2)/(GM14-3*h_col/7))))-f_cd*(1-(1-MAX(0,MIN(1,IF(GM14&lt;=h_col,0.0035*(GM14-d_2)/GM14,0.002*(GM14-d_2)/(GM14-3*h_col/7))/0.002)))^2))+(MAX(-f_yd,MIN(f_yd,200000*IF(GM14&lt;=h_col,0.0035*(GM14-(h_col-d_2))/GM14,0.002*(GM14-(h_col-d_2))/(GM14-3*h_col/7))))-f_cd*(1-(1-MAX(0,MIN(1,IF(GM14&lt;=h_col,0.0035*(GM14-(h_col-d_2))/GM14,0.002*(GM14-(h_col-d_2))/(GM14-3*h_col/7))/0.002)))^2))))/1000</f>
        <v/>
      </c>
      <c r="GO14">
        <f>IF($GN14&lt;N_Ed-1E-9*MAX(1,N_Ed),(GK14+GL14)/2,GK14)</f>
        <v/>
      </c>
      <c r="GP14">
        <f>IF($GN14&lt;N_Ed-1E-9*MAX(1,N_Ed),GL14,(GK14+GL14)/2)</f>
        <v/>
      </c>
      <c r="GQ14">
        <f>h_col*((GO14+GP14)/2)/(1-(GO14+GP14)/2)</f>
        <v/>
      </c>
      <c r="GR14">
        <f>(f_cd*b_col*((3*MIN(GQ14,h_col)/7)+(4*MIN(GQ14,h_col)/7)*(1-((4*MIN(GQ14,h_col)/7)/(GQ14-(3*MIN(GQ14,h_col)/7)))^2/3))+$D14/2*((MAX(-f_yd,MIN(f_yd,200000*IF(GQ14&lt;=h_col,0.0035*(GQ14-d_2)/GQ14,0.002*(GQ14-d_2)/(GQ14-3*h_col/7))))-f_cd*(1-(1-MAX(0,MIN(1,IF(GQ14&lt;=h_col,0.0035*(GQ14-d_2)/GQ14,0.002*(GQ14-d_2)/(GQ14-3*h_col/7))/0.002)))^2))+(MAX(-f_yd,MIN(f_yd,200000*IF(GQ14&lt;=h_col,0.0035*(GQ14-(h_col-d_2))/GQ14,0.002*(GQ14-(h_col-d_2))/(GQ14-3*h_col/7))))-f_cd*(1-(1-MAX(0,MIN(1,IF(GQ14&lt;=h_col,0.0035*(GQ14-(h_col-d_2))/GQ14,0.002*(GQ14-(h_col-d_2))/(GQ14-3*h_col/7))/0.002)))^2))))/1000</f>
        <v/>
      </c>
      <c r="GS14">
        <f>IF($GR14&lt;N_Ed-1E-9*MAX(1,N_Ed),(GO14+GP14)/2,GO14)</f>
        <v/>
      </c>
      <c r="GT14">
        <f>IF($GR14&lt;N_Ed-1E-9*MAX(1,N_Ed),GP14,(GO14+GP14)/2)</f>
        <v/>
      </c>
      <c r="GU14">
        <f>h_col*((GS14+GT14)/2)/(1-(GS14+GT14)/2)</f>
        <v/>
      </c>
      <c r="GV14">
        <f>(f_cd*b_col*((3*MIN(GU14,h_col)/7)+(4*MIN(GU14,h_col)/7)*(1-((4*MIN(GU14,h_col)/7)/(GU14-(3*MIN(GU14,h_col)/7)))^2/3))+$D14/2*((MAX(-f_yd,MIN(f_yd,200000*IF(GU14&lt;=h_col,0.0035*(GU14-d_2)/GU14,0.002*(GU14-d_2)/(GU14-3*h_col/7))))-f_cd*(1-(1-MAX(0,MIN(1,IF(GU14&lt;=h_col,0.0035*(GU14-d_2)/GU14,0.002*(GU14-d_2)/(GU14-3*h_col/7))/0.002)))^2))+(MAX(-f_yd,MIN(f_yd,200000*IF(GU14&lt;=h_col,0.0035*(GU14-(h_col-d_2))/GU14,0.002*(GU14-(h_col-d_2))/(GU14-3*h_col/7))))-f_cd*(1-(1-MAX(0,MIN(1,IF(GU14&lt;=h_col,0.0035*(GU14-(h_col-d_2))/GU14,0.002*(GU14-(h_col-d_2))/(GU14-3*h_col/7))/0.002)))^2))))/1000</f>
        <v/>
      </c>
      <c r="GW14">
        <f>GU14</f>
        <v/>
      </c>
      <c r="GX14">
        <f>(f_cd*b_col*((3*MIN(GW14,h_col)/7)+(4*MIN(GW14,h_col)/7)*(1-((4*MIN(GW14,h_col)/7)/(GW14-(3*MIN(GW14,h_col)/7)))^2/3))+$D14/2*((MAX(-f_yd,MIN(f_yd,200000*IF(GW14&lt;=h_col,0.0035*(GW14-d_2)/GW14,0.002*(GW14-d_2)/(GW14-3*h_col/7))))-f_cd*(1-(1-MAX(0,MIN(1,IF(GW14&lt;=h_col,0.0035*(GW14-d_2)/GW14,0.002*(GW14-d_2)/(GW14-3*h_col/7))/0.002)))^2))+(MAX(-f_yd,MIN(f_yd,200000*IF(GW14&lt;=h_col,0.0035*(GW14-(h_col-d_2))/GW14,0.002*(GW14-(h_col-d_2))/(GW14-3*h_col/7))))-f_cd*(1-(1-MAX(0,MIN(1,IF(GW14&lt;=h_col,0.0035*(GW14-(h_col-d_2))/GW14,0.002*(GW14-(h_col-d_2))/(GW14-3*h_col/7))/0.002)))^2))))/1000</f>
        <v/>
      </c>
      <c r="GY14">
        <f>(f_cd*b_col*((3*MIN(GW14,h_col)/7)*(h_col/2-(3*MIN(GW14,h_col)/7)/2)+(4*MIN(GW14,h_col)/7)*((h_col/2-(3*MIN(GW14,h_col)/7))*(1-((4*MIN(GW14,h_col)/7)/(GW14-(3*MIN(GW14,h_col)/7)))^2/3)-(4*MIN(GW14,h_col)/7)*(0.5-((4*MIN(GW14,h_col)/7)/(GW14-(3*MIN(GW14,h_col)/7)))^2/4)))+$D14/2*((MAX(-f_yd,MIN(f_yd,200000*IF(GW14&lt;=h_col,0.0035*(GW14-d_2)/GW14,0.002*(GW14-d_2)/(GW14-3*h_col/7))))-f_cd*(1-(1-MAX(0,MIN(1,IF(GW14&lt;=h_col,0.0035*(GW14-d_2)/GW14,0.002*(GW14-d_2)/(GW14-3*h_col/7))/0.002)))^2))-(MAX(-f_yd,MIN(f_yd,200000*IF(GW14&lt;=h_col,0.0035*(GW14-(h_col-d_2))/GW14,0.002*(GW14-(h_col-d_2))/(GW14-3*h_col/7))))-f_cd*(1-(1-MAX(0,MIN(1,IF(GW14&lt;=h_col,0.0035*(GW14-(h_col-d_2))/GW14,0.002*(GW14-(h_col-d_2))/(GW14-3*h_col/7))/0.002)))^2)))*(h_col/2-d_2))/1E6</f>
        <v/>
      </c>
      <c r="GZ14">
        <f>GX14&gt;=N_Ed-1E-6*MAX(1,N_Ed)</f>
        <v/>
      </c>
      <c r="HA14">
        <f>IF(GZ14,GY14,-1E9)</f>
        <v/>
      </c>
    </row>
    <row r="15">
      <c r="A15" t="n">
        <v>10</v>
      </c>
      <c r="B15">
        <f>IF($HA14&gt;=M_d,$B14,$D14)</f>
        <v/>
      </c>
      <c r="C15">
        <f>IF($HA14&gt;=M_d,$D14,$C14)</f>
        <v/>
      </c>
      <c r="D15">
        <f>($B15+$C15)/2</f>
        <v/>
      </c>
      <c r="E15" t="n">
        <v>0</v>
      </c>
      <c r="F15">
        <f>1-1E-12</f>
        <v/>
      </c>
      <c r="G15">
        <f>h_col*((E15+F15)/2)/(1-(E15+F15)/2)</f>
        <v/>
      </c>
      <c r="H15">
        <f>(f_cd*b_col*((3*MIN(G15,h_col)/7)+(4*MIN(G15,h_col)/7)*(1-((4*MIN(G15,h_col)/7)/(G15-(3*MIN(G15,h_col)/7)))^2/3))+$D15/2*((MAX(-f_yd,MIN(f_yd,200000*IF(G15&lt;=h_col,0.0035*(G15-d_2)/G15,0.002*(G15-d_2)/(G15-3*h_col/7))))-f_cd*(1-(1-MAX(0,MIN(1,IF(G15&lt;=h_col,0.0035*(G15-d_2)/G15,0.002*(G15-d_2)/(G15-3*h_col/7))/0.002)))^2))+(MAX(-f_yd,MIN(f_yd,200000*IF(G15&lt;=h_col,0.0035*(G15-(h_col-d_2))/G15,0.002*(G15-(h_col-d_2))/(G15-3*h_col/7))))-f_cd*(1-(1-MAX(0,MIN(1,IF(G15&lt;=h_col,0.0035*(G15-(h_col-d_2))/G15,0.002*(G15-(h_col-d_2))/(G15-3*h_col/7))/0.002)))^2))))/1000</f>
        <v/>
      </c>
      <c r="I15">
        <f>IF($H15&lt;N_Ed-1E-9*MAX(1,N_Ed),(E15+F15)/2,E15)</f>
        <v/>
      </c>
      <c r="J15">
        <f>IF($H15&lt;N_Ed-1E-9*MAX(1,N_Ed),F15,(E15+F15)/2)</f>
        <v/>
      </c>
      <c r="K15">
        <f>h_col*((I15+J15)/2)/(1-(I15+J15)/2)</f>
        <v/>
      </c>
      <c r="L15">
        <f>(f_cd*b_col*((3*MIN(K15,h_col)/7)+(4*MIN(K15,h_col)/7)*(1-((4*MIN(K15,h_col)/7)/(K15-(3*MIN(K15,h_col)/7)))^2/3))+$D15/2*((MAX(-f_yd,MIN(f_yd,200000*IF(K15&lt;=h_col,0.0035*(K15-d_2)/K15,0.002*(K15-d_2)/(K15-3*h_col/7))))-f_cd*(1-(1-MAX(0,MIN(1,IF(K15&lt;=h_col,0.0035*(K15-d_2)/K15,0.002*(K15-d_2)/(K15-3*h_col/7))/0.002)))^2))+(MAX(-f_yd,MIN(f_yd,200000*IF(K15&lt;=h_col,0.0035*(K15-(h_col-d_2))/K15,0.002*(K15-(h_col-d_2))/(K15-3*h_col/7))))-f_cd*(1-(1-MAX(0,MIN(1,IF(K15&lt;=h_col,0.0035*(K15-(h_col-d_2))/K15,0.002*(K15-(h_col-d_2))/(K15-3*h_col/7))/0.002)))^2))))/1000</f>
        <v/>
      </c>
      <c r="M15">
        <f>IF($L15&lt;N_Ed-1E-9*MAX(1,N_Ed),(I15+J15)/2,I15)</f>
        <v/>
      </c>
      <c r="N15">
        <f>IF($L15&lt;N_Ed-1E-9*MAX(1,N_Ed),J15,(I15+J15)/2)</f>
        <v/>
      </c>
      <c r="O15">
        <f>h_col*((M15+N15)/2)/(1-(M15+N15)/2)</f>
        <v/>
      </c>
      <c r="P15">
        <f>(f_cd*b_col*((3*MIN(O15,h_col)/7)+(4*MIN(O15,h_col)/7)*(1-((4*MIN(O15,h_col)/7)/(O15-(3*MIN(O15,h_col)/7)))^2/3))+$D15/2*((MAX(-f_yd,MIN(f_yd,200000*IF(O15&lt;=h_col,0.0035*(O15-d_2)/O15,0.002*(O15-d_2)/(O15-3*h_col/7))))-f_cd*(1-(1-MAX(0,MIN(1,IF(O15&lt;=h_col,0.0035*(O15-d_2)/O15,0.002*(O15-d_2)/(O15-3*h_col/7))/0.002)))^2))+(MAX(-f_yd,MIN(f_yd,200000*IF(O15&lt;=h_col,0.0035*(O15-(h_col-d_2))/O15,0.002*(O15-(h_col-d_2))/(O15-3*h_col/7))))-f_cd*(1-(1-MAX(0,MIN(1,IF(O15&lt;=h_col,0.0035*(O15-(h_col-d_2))/O15,0.002*(O15-(h_col-d_2))/(O15-3*h_col/7))/0.002)))^2))))/1000</f>
        <v/>
      </c>
      <c r="Q15">
        <f>IF($P15&lt;N_Ed-1E-9*MAX(1,N_Ed),(M15+N15)/2,M15)</f>
        <v/>
      </c>
      <c r="R15">
        <f>IF($P15&lt;N_Ed-1E-9*MAX(1,N_Ed),N15,(M15+N15)/2)</f>
        <v/>
      </c>
      <c r="S15">
        <f>h_col*((Q15+R15)/2)/(1-(Q15+R15)/2)</f>
        <v/>
      </c>
      <c r="T15">
        <f>(f_cd*b_col*((3*MIN(S15,h_col)/7)+(4*MIN(S15,h_col)/7)*(1-((4*MIN(S15,h_col)/7)/(S15-(3*MIN(S15,h_col)/7)))^2/3))+$D15/2*((MAX(-f_yd,MIN(f_yd,200000*IF(S15&lt;=h_col,0.0035*(S15-d_2)/S15,0.002*(S15-d_2)/(S15-3*h_col/7))))-f_cd*(1-(1-MAX(0,MIN(1,IF(S15&lt;=h_col,0.0035*(S15-d_2)/S15,0.002*(S15-d_2)/(S15-3*h_col/7))/0.002)))^2))+(MAX(-f_yd,MIN(f_yd,200000*IF(S15&lt;=h_col,0.0035*(S15-(h_col-d_2))/S15,0.002*(S15-(h_col-d_2))/(S15-3*h_col/7))))-f_cd*(1-(1-MAX(0,MIN(1,IF(S15&lt;=h_col,0.0035*(S15-(h_col-d_2))/S15,0.002*(S15-(h_col-d_2))/(S15-3*h_col/7))/0.002)))^2))))/1000</f>
        <v/>
      </c>
      <c r="U15">
        <f>IF($T15&lt;N_Ed-1E-9*MAX(1,N_Ed),(Q15+R15)/2,Q15)</f>
        <v/>
      </c>
      <c r="V15">
        <f>IF($T15&lt;N_Ed-1E-9*MAX(1,N_Ed),R15,(Q15+R15)/2)</f>
        <v/>
      </c>
      <c r="W15">
        <f>h_col*((U15+V15)/2)/(1-(U15+V15)/2)</f>
        <v/>
      </c>
      <c r="X15">
        <f>(f_cd*b_col*((3*MIN(W15,h_col)/7)+(4*MIN(W15,h_col)/7)*(1-((4*MIN(W15,h_col)/7)/(W15-(3*MIN(W15,h_col)/7)))^2/3))+$D15/2*((MAX(-f_yd,MIN(f_yd,200000*IF(W15&lt;=h_col,0.0035*(W15-d_2)/W15,0.002*(W15-d_2)/(W15-3*h_col/7))))-f_cd*(1-(1-MAX(0,MIN(1,IF(W15&lt;=h_col,0.0035*(W15-d_2)/W15,0.002*(W15-d_2)/(W15-3*h_col/7))/0.002)))^2))+(MAX(-f_yd,MIN(f_yd,200000*IF(W15&lt;=h_col,0.0035*(W15-(h_col-d_2))/W15,0.002*(W15-(h_col-d_2))/(W15-3*h_col/7))))-f_cd*(1-(1-MAX(0,MIN(1,IF(W15&lt;=h_col,0.0035*(W15-(h_col-d_2))/W15,0.002*(W15-(h_col-d_2))/(W15-3*h_col/7))/0.002)))^2))))/1000</f>
        <v/>
      </c>
      <c r="Y15">
        <f>IF($X15&lt;N_Ed-1E-9*MAX(1,N_Ed),(U15+V15)/2,U15)</f>
        <v/>
      </c>
      <c r="Z15">
        <f>IF($X15&lt;N_Ed-1E-9*MAX(1,N_Ed),V15,(U15+V15)/2)</f>
        <v/>
      </c>
      <c r="AA15">
        <f>h_col*((Y15+Z15)/2)/(1-(Y15+Z15)/2)</f>
        <v/>
      </c>
      <c r="AB15">
        <f>(f_cd*b_col*((3*MIN(AA15,h_col)/7)+(4*MIN(AA15,h_col)/7)*(1-((4*MIN(AA15,h_col)/7)/(AA15-(3*MIN(AA15,h_col)/7)))^2/3))+$D15/2*((MAX(-f_yd,MIN(f_yd,200000*IF(AA15&lt;=h_col,0.0035*(AA15-d_2)/AA15,0.002*(AA15-d_2)/(AA15-3*h_col/7))))-f_cd*(1-(1-MAX(0,MIN(1,IF(AA15&lt;=h_col,0.0035*(AA15-d_2)/AA15,0.002*(AA15-d_2)/(AA15-3*h_col/7))/0.002)))^2))+(MAX(-f_yd,MIN(f_yd,200000*IF(AA15&lt;=h_col,0.0035*(AA15-(h_col-d_2))/AA15,0.002*(AA15-(h_col-d_2))/(AA15-3*h_col/7))))-f_cd*(1-(1-MAX(0,MIN(1,IF(AA15&lt;=h_col,0.0035*(AA15-(h_col-d_2))/AA15,0.002*(AA15-(h_col-d_2))/(AA15-3*h_col/7))/0.002)))^2))))/1000</f>
        <v/>
      </c>
      <c r="AC15">
        <f>IF($AB15&lt;N_Ed-1E-9*MAX(1,N_Ed),(Y15+Z15)/2,Y15)</f>
        <v/>
      </c>
      <c r="AD15">
        <f>IF($AB15&lt;N_Ed-1E-9*MAX(1,N_Ed),Z15,(Y15+Z15)/2)</f>
        <v/>
      </c>
      <c r="AE15">
        <f>h_col*((AC15+AD15)/2)/(1-(AC15+AD15)/2)</f>
        <v/>
      </c>
      <c r="AF15">
        <f>(f_cd*b_col*((3*MIN(AE15,h_col)/7)+(4*MIN(AE15,h_col)/7)*(1-((4*MIN(AE15,h_col)/7)/(AE15-(3*MIN(AE15,h_col)/7)))^2/3))+$D15/2*((MAX(-f_yd,MIN(f_yd,200000*IF(AE15&lt;=h_col,0.0035*(AE15-d_2)/AE15,0.002*(AE15-d_2)/(AE15-3*h_col/7))))-f_cd*(1-(1-MAX(0,MIN(1,IF(AE15&lt;=h_col,0.0035*(AE15-d_2)/AE15,0.002*(AE15-d_2)/(AE15-3*h_col/7))/0.002)))^2))+(MAX(-f_yd,MIN(f_yd,200000*IF(AE15&lt;=h_col,0.0035*(AE15-(h_col-d_2))/AE15,0.002*(AE15-(h_col-d_2))/(AE15-3*h_col/7))))-f_cd*(1-(1-MAX(0,MIN(1,IF(AE15&lt;=h_col,0.0035*(AE15-(h_col-d_2))/AE15,0.002*(AE15-(h_col-d_2))/(AE15-3*h_col/7))/0.002)))^2))))/1000</f>
        <v/>
      </c>
      <c r="AG15">
        <f>IF($AF15&lt;N_Ed-1E-9*MAX(1,N_Ed),(AC15+AD15)/2,AC15)</f>
        <v/>
      </c>
      <c r="AH15">
        <f>IF($AF15&lt;N_Ed-1E-9*MAX(1,N_Ed),AD15,(AC15+AD15)/2)</f>
        <v/>
      </c>
      <c r="AI15">
        <f>h_col*((AG15+AH15)/2)/(1-(AG15+AH15)/2)</f>
        <v/>
      </c>
      <c r="AJ15">
        <f>(f_cd*b_col*((3*MIN(AI15,h_col)/7)+(4*MIN(AI15,h_col)/7)*(1-((4*MIN(AI15,h_col)/7)/(AI15-(3*MIN(AI15,h_col)/7)))^2/3))+$D15/2*((MAX(-f_yd,MIN(f_yd,200000*IF(AI15&lt;=h_col,0.0035*(AI15-d_2)/AI15,0.002*(AI15-d_2)/(AI15-3*h_col/7))))-f_cd*(1-(1-MAX(0,MIN(1,IF(AI15&lt;=h_col,0.0035*(AI15-d_2)/AI15,0.002*(AI15-d_2)/(AI15-3*h_col/7))/0.002)))^2))+(MAX(-f_yd,MIN(f_yd,200000*IF(AI15&lt;=h_col,0.0035*(AI15-(h_col-d_2))/AI15,0.002*(AI15-(h_col-d_2))/(AI15-3*h_col/7))))-f_cd*(1-(1-MAX(0,MIN(1,IF(AI15&lt;=h_col,0.0035*(AI15-(h_col-d_2))/AI15,0.002*(AI15-(h_col-d_2))/(AI15-3*h_col/7))/0.002)))^2))))/1000</f>
        <v/>
      </c>
      <c r="AK15">
        <f>IF($AJ15&lt;N_Ed-1E-9*MAX(1,N_Ed),(AG15+AH15)/2,AG15)</f>
        <v/>
      </c>
      <c r="AL15">
        <f>IF($AJ15&lt;N_Ed-1E-9*MAX(1,N_Ed),AH15,(AG15+AH15)/2)</f>
        <v/>
      </c>
      <c r="AM15">
        <f>h_col*((AK15+AL15)/2)/(1-(AK15+AL15)/2)</f>
        <v/>
      </c>
      <c r="AN15">
        <f>(f_cd*b_col*((3*MIN(AM15,h_col)/7)+(4*MIN(AM15,h_col)/7)*(1-((4*MIN(AM15,h_col)/7)/(AM15-(3*MIN(AM15,h_col)/7)))^2/3))+$D15/2*((MAX(-f_yd,MIN(f_yd,200000*IF(AM15&lt;=h_col,0.0035*(AM15-d_2)/AM15,0.002*(AM15-d_2)/(AM15-3*h_col/7))))-f_cd*(1-(1-MAX(0,MIN(1,IF(AM15&lt;=h_col,0.0035*(AM15-d_2)/AM15,0.002*(AM15-d_2)/(AM15-3*h_col/7))/0.002)))^2))+(MAX(-f_yd,MIN(f_yd,200000*IF(AM15&lt;=h_col,0.0035*(AM15-(h_col-d_2))/AM15,0.002*(AM15-(h_col-d_2))/(AM15-3*h_col/7))))-f_cd*(1-(1-MAX(0,MIN(1,IF(AM15&lt;=h_col,0.0035*(AM15-(h_col-d_2))/AM15,0.002*(AM15-(h_col-d_2))/(AM15-3*h_col/7))/0.002)))^2))))/1000</f>
        <v/>
      </c>
      <c r="AO15">
        <f>IF($AN15&lt;N_Ed-1E-9*MAX(1,N_Ed),(AK15+AL15)/2,AK15)</f>
        <v/>
      </c>
      <c r="AP15">
        <f>IF($AN15&lt;N_Ed-1E-9*MAX(1,N_Ed),AL15,(AK15+AL15)/2)</f>
        <v/>
      </c>
      <c r="AQ15">
        <f>h_col*((AO15+AP15)/2)/(1-(AO15+AP15)/2)</f>
        <v/>
      </c>
      <c r="AR15">
        <f>(f_cd*b_col*((3*MIN(AQ15,h_col)/7)+(4*MIN(AQ15,h_col)/7)*(1-((4*MIN(AQ15,h_col)/7)/(AQ15-(3*MIN(AQ15,h_col)/7)))^2/3))+$D15/2*((MAX(-f_yd,MIN(f_yd,200000*IF(AQ15&lt;=h_col,0.0035*(AQ15-d_2)/AQ15,0.002*(AQ15-d_2)/(AQ15-3*h_col/7))))-f_cd*(1-(1-MAX(0,MIN(1,IF(AQ15&lt;=h_col,0.0035*(AQ15-d_2)/AQ15,0.002*(AQ15-d_2)/(AQ15-3*h_col/7))/0.002)))^2))+(MAX(-f_yd,MIN(f_yd,200000*IF(AQ15&lt;=h_col,0.0035*(AQ15-(h_col-d_2))/AQ15,0.002*(AQ15-(h_col-d_2))/(AQ15-3*h_col/7))))-f_cd*(1-(1-MAX(0,MIN(1,IF(AQ15&lt;=h_col,0.0035*(AQ15-(h_col-d_2))/AQ15,0.002*(AQ15-(h_col-d_2))/(AQ15-3*h_col/7))/0.002)))^2))))/1000</f>
        <v/>
      </c>
      <c r="AS15">
        <f>IF($AR15&lt;N_Ed-1E-9*MAX(1,N_Ed),(AO15+AP15)/2,AO15)</f>
        <v/>
      </c>
      <c r="AT15">
        <f>IF($AR15&lt;N_Ed-1E-9*MAX(1,N_Ed),AP15,(AO15+AP15)/2)</f>
        <v/>
      </c>
      <c r="AU15">
        <f>h_col*((AS15+AT15)/2)/(1-(AS15+AT15)/2)</f>
        <v/>
      </c>
      <c r="AV15">
        <f>(f_cd*b_col*((3*MIN(AU15,h_col)/7)+(4*MIN(AU15,h_col)/7)*(1-((4*MIN(AU15,h_col)/7)/(AU15-(3*MIN(AU15,h_col)/7)))^2/3))+$D15/2*((MAX(-f_yd,MIN(f_yd,200000*IF(AU15&lt;=h_col,0.0035*(AU15-d_2)/AU15,0.002*(AU15-d_2)/(AU15-3*h_col/7))))-f_cd*(1-(1-MAX(0,MIN(1,IF(AU15&lt;=h_col,0.0035*(AU15-d_2)/AU15,0.002*(AU15-d_2)/(AU15-3*h_col/7))/0.002)))^2))+(MAX(-f_yd,MIN(f_yd,200000*IF(AU15&lt;=h_col,0.0035*(AU15-(h_col-d_2))/AU15,0.002*(AU15-(h_col-d_2))/(AU15-3*h_col/7))))-f_cd*(1-(1-MAX(0,MIN(1,IF(AU15&lt;=h_col,0.0035*(AU15-(h_col-d_2))/AU15,0.002*(AU15-(h_col-d_2))/(AU15-3*h_col/7))/0.002)))^2))))/1000</f>
        <v/>
      </c>
      <c r="AW15">
        <f>IF($AV15&lt;N_Ed-1E-9*MAX(1,N_Ed),(AS15+AT15)/2,AS15)</f>
        <v/>
      </c>
      <c r="AX15">
        <f>IF($AV15&lt;N_Ed-1E-9*MAX(1,N_Ed),AT15,(AS15+AT15)/2)</f>
        <v/>
      </c>
      <c r="AY15">
        <f>h_col*((AW15+AX15)/2)/(1-(AW15+AX15)/2)</f>
        <v/>
      </c>
      <c r="AZ15">
        <f>(f_cd*b_col*((3*MIN(AY15,h_col)/7)+(4*MIN(AY15,h_col)/7)*(1-((4*MIN(AY15,h_col)/7)/(AY15-(3*MIN(AY15,h_col)/7)))^2/3))+$D15/2*((MAX(-f_yd,MIN(f_yd,200000*IF(AY15&lt;=h_col,0.0035*(AY15-d_2)/AY15,0.002*(AY15-d_2)/(AY15-3*h_col/7))))-f_cd*(1-(1-MAX(0,MIN(1,IF(AY15&lt;=h_col,0.0035*(AY15-d_2)/AY15,0.002*(AY15-d_2)/(AY15-3*h_col/7))/0.002)))^2))+(MAX(-f_yd,MIN(f_yd,200000*IF(AY15&lt;=h_col,0.0035*(AY15-(h_col-d_2))/AY15,0.002*(AY15-(h_col-d_2))/(AY15-3*h_col/7))))-f_cd*(1-(1-MAX(0,MIN(1,IF(AY15&lt;=h_col,0.0035*(AY15-(h_col-d_2))/AY15,0.002*(AY15-(h_col-d_2))/(AY15-3*h_col/7))/0.002)))^2))))/1000</f>
        <v/>
      </c>
      <c r="BA15">
        <f>IF($AZ15&lt;N_Ed-1E-9*MAX(1,N_Ed),(AW15+AX15)/2,AW15)</f>
        <v/>
      </c>
      <c r="BB15">
        <f>IF($AZ15&lt;N_Ed-1E-9*MAX(1,N_Ed),AX15,(AW15+AX15)/2)</f>
        <v/>
      </c>
      <c r="BC15">
        <f>h_col*((BA15+BB15)/2)/(1-(BA15+BB15)/2)</f>
        <v/>
      </c>
      <c r="BD15">
        <f>(f_cd*b_col*((3*MIN(BC15,h_col)/7)+(4*MIN(BC15,h_col)/7)*(1-((4*MIN(BC15,h_col)/7)/(BC15-(3*MIN(BC15,h_col)/7)))^2/3))+$D15/2*((MAX(-f_yd,MIN(f_yd,200000*IF(BC15&lt;=h_col,0.0035*(BC15-d_2)/BC15,0.002*(BC15-d_2)/(BC15-3*h_col/7))))-f_cd*(1-(1-MAX(0,MIN(1,IF(BC15&lt;=h_col,0.0035*(BC15-d_2)/BC15,0.002*(BC15-d_2)/(BC15-3*h_col/7))/0.002)))^2))+(MAX(-f_yd,MIN(f_yd,200000*IF(BC15&lt;=h_col,0.0035*(BC15-(h_col-d_2))/BC15,0.002*(BC15-(h_col-d_2))/(BC15-3*h_col/7))))-f_cd*(1-(1-MAX(0,MIN(1,IF(BC15&lt;=h_col,0.0035*(BC15-(h_col-d_2))/BC15,0.002*(BC15-(h_col-d_2))/(BC15-3*h_col/7))/0.002)))^2))))/1000</f>
        <v/>
      </c>
      <c r="BE15">
        <f>IF($BD15&lt;N_Ed-1E-9*MAX(1,N_Ed),(BA15+BB15)/2,BA15)</f>
        <v/>
      </c>
      <c r="BF15">
        <f>IF($BD15&lt;N_Ed-1E-9*MAX(1,N_Ed),BB15,(BA15+BB15)/2)</f>
        <v/>
      </c>
      <c r="BG15">
        <f>h_col*((BE15+BF15)/2)/(1-(BE15+BF15)/2)</f>
        <v/>
      </c>
      <c r="BH15">
        <f>(f_cd*b_col*((3*MIN(BG15,h_col)/7)+(4*MIN(BG15,h_col)/7)*(1-((4*MIN(BG15,h_col)/7)/(BG15-(3*MIN(BG15,h_col)/7)))^2/3))+$D15/2*((MAX(-f_yd,MIN(f_yd,200000*IF(BG15&lt;=h_col,0.0035*(BG15-d_2)/BG15,0.002*(BG15-d_2)/(BG15-3*h_col/7))))-f_cd*(1-(1-MAX(0,MIN(1,IF(BG15&lt;=h_col,0.0035*(BG15-d_2)/BG15,0.002*(BG15-d_2)/(BG15-3*h_col/7))/0.002)))^2))+(MAX(-f_yd,MIN(f_yd,200000*IF(BG15&lt;=h_col,0.0035*(BG15-(h_col-d_2))/BG15,0.002*(BG15-(h_col-d_2))/(BG15-3*h_col/7))))-f_cd*(1-(1-MAX(0,MIN(1,IF(BG15&lt;=h_col,0.0035*(BG15-(h_col-d_2))/BG15,0.002*(BG15-(h_col-d_2))/(BG15-3*h_col/7))/0.002)))^2))))/1000</f>
        <v/>
      </c>
      <c r="BI15">
        <f>IF($BH15&lt;N_Ed-1E-9*MAX(1,N_Ed),(BE15+BF15)/2,BE15)</f>
        <v/>
      </c>
      <c r="BJ15">
        <f>IF($BH15&lt;N_Ed-1E-9*MAX(1,N_Ed),BF15,(BE15+BF15)/2)</f>
        <v/>
      </c>
      <c r="BK15">
        <f>h_col*((BI15+BJ15)/2)/(1-(BI15+BJ15)/2)</f>
        <v/>
      </c>
      <c r="BL15">
        <f>(f_cd*b_col*((3*MIN(BK15,h_col)/7)+(4*MIN(BK15,h_col)/7)*(1-((4*MIN(BK15,h_col)/7)/(BK15-(3*MIN(BK15,h_col)/7)))^2/3))+$D15/2*((MAX(-f_yd,MIN(f_yd,200000*IF(BK15&lt;=h_col,0.0035*(BK15-d_2)/BK15,0.002*(BK15-d_2)/(BK15-3*h_col/7))))-f_cd*(1-(1-MAX(0,MIN(1,IF(BK15&lt;=h_col,0.0035*(BK15-d_2)/BK15,0.002*(BK15-d_2)/(BK15-3*h_col/7))/0.002)))^2))+(MAX(-f_yd,MIN(f_yd,200000*IF(BK15&lt;=h_col,0.0035*(BK15-(h_col-d_2))/BK15,0.002*(BK15-(h_col-d_2))/(BK15-3*h_col/7))))-f_cd*(1-(1-MAX(0,MIN(1,IF(BK15&lt;=h_col,0.0035*(BK15-(h_col-d_2))/BK15,0.002*(BK15-(h_col-d_2))/(BK15-3*h_col/7))/0.002)))^2))))/1000</f>
        <v/>
      </c>
      <c r="BM15">
        <f>IF($BL15&lt;N_Ed-1E-9*MAX(1,N_Ed),(BI15+BJ15)/2,BI15)</f>
        <v/>
      </c>
      <c r="BN15">
        <f>IF($BL15&lt;N_Ed-1E-9*MAX(1,N_Ed),BJ15,(BI15+BJ15)/2)</f>
        <v/>
      </c>
      <c r="BO15">
        <f>h_col*((BM15+BN15)/2)/(1-(BM15+BN15)/2)</f>
        <v/>
      </c>
      <c r="BP15">
        <f>(f_cd*b_col*((3*MIN(BO15,h_col)/7)+(4*MIN(BO15,h_col)/7)*(1-((4*MIN(BO15,h_col)/7)/(BO15-(3*MIN(BO15,h_col)/7)))^2/3))+$D15/2*((MAX(-f_yd,MIN(f_yd,200000*IF(BO15&lt;=h_col,0.0035*(BO15-d_2)/BO15,0.002*(BO15-d_2)/(BO15-3*h_col/7))))-f_cd*(1-(1-MAX(0,MIN(1,IF(BO15&lt;=h_col,0.0035*(BO15-d_2)/BO15,0.002*(BO15-d_2)/(BO15-3*h_col/7))/0.002)))^2))+(MAX(-f_yd,MIN(f_yd,200000*IF(BO15&lt;=h_col,0.0035*(BO15-(h_col-d_2))/BO15,0.002*(BO15-(h_col-d_2))/(BO15-3*h_col/7))))-f_cd*(1-(1-MAX(0,MIN(1,IF(BO15&lt;=h_col,0.0035*(BO15-(h_col-d_2))/BO15,0.002*(BO15-(h_col-d_2))/(BO15-3*h_col/7))/0.002)))^2))))/1000</f>
        <v/>
      </c>
      <c r="BQ15">
        <f>IF($BP15&lt;N_Ed-1E-9*MAX(1,N_Ed),(BM15+BN15)/2,BM15)</f>
        <v/>
      </c>
      <c r="BR15">
        <f>IF($BP15&lt;N_Ed-1E-9*MAX(1,N_Ed),BN15,(BM15+BN15)/2)</f>
        <v/>
      </c>
      <c r="BS15">
        <f>h_col*((BQ15+BR15)/2)/(1-(BQ15+BR15)/2)</f>
        <v/>
      </c>
      <c r="BT15">
        <f>(f_cd*b_col*((3*MIN(BS15,h_col)/7)+(4*MIN(BS15,h_col)/7)*(1-((4*MIN(BS15,h_col)/7)/(BS15-(3*MIN(BS15,h_col)/7)))^2/3))+$D15/2*((MAX(-f_yd,MIN(f_yd,200000*IF(BS15&lt;=h_col,0.0035*(BS15-d_2)/BS15,0.002*(BS15-d_2)/(BS15-3*h_col/7))))-f_cd*(1-(1-MAX(0,MIN(1,IF(BS15&lt;=h_col,0.0035*(BS15-d_2)/BS15,0.002*(BS15-d_2)/(BS15-3*h_col/7))/0.002)))^2))+(MAX(-f_yd,MIN(f_yd,200000*IF(BS15&lt;=h_col,0.0035*(BS15-(h_col-d_2))/BS15,0.002*(BS15-(h_col-d_2))/(BS15-3*h_col/7))))-f_cd*(1-(1-MAX(0,MIN(1,IF(BS15&lt;=h_col,0.0035*(BS15-(h_col-d_2))/BS15,0.002*(BS15-(h_col-d_2))/(BS15-3*h_col/7))/0.002)))^2))))/1000</f>
        <v/>
      </c>
      <c r="BU15">
        <f>IF($BT15&lt;N_Ed-1E-9*MAX(1,N_Ed),(BQ15+BR15)/2,BQ15)</f>
        <v/>
      </c>
      <c r="BV15">
        <f>IF($BT15&lt;N_Ed-1E-9*MAX(1,N_Ed),BR15,(BQ15+BR15)/2)</f>
        <v/>
      </c>
      <c r="BW15">
        <f>h_col*((BU15+BV15)/2)/(1-(BU15+BV15)/2)</f>
        <v/>
      </c>
      <c r="BX15">
        <f>(f_cd*b_col*((3*MIN(BW15,h_col)/7)+(4*MIN(BW15,h_col)/7)*(1-((4*MIN(BW15,h_col)/7)/(BW15-(3*MIN(BW15,h_col)/7)))^2/3))+$D15/2*((MAX(-f_yd,MIN(f_yd,200000*IF(BW15&lt;=h_col,0.0035*(BW15-d_2)/BW15,0.002*(BW15-d_2)/(BW15-3*h_col/7))))-f_cd*(1-(1-MAX(0,MIN(1,IF(BW15&lt;=h_col,0.0035*(BW15-d_2)/BW15,0.002*(BW15-d_2)/(BW15-3*h_col/7))/0.002)))^2))+(MAX(-f_yd,MIN(f_yd,200000*IF(BW15&lt;=h_col,0.0035*(BW15-(h_col-d_2))/BW15,0.002*(BW15-(h_col-d_2))/(BW15-3*h_col/7))))-f_cd*(1-(1-MAX(0,MIN(1,IF(BW15&lt;=h_col,0.0035*(BW15-(h_col-d_2))/BW15,0.002*(BW15-(h_col-d_2))/(BW15-3*h_col/7))/0.002)))^2))))/1000</f>
        <v/>
      </c>
      <c r="BY15">
        <f>IF($BX15&lt;N_Ed-1E-9*MAX(1,N_Ed),(BU15+BV15)/2,BU15)</f>
        <v/>
      </c>
      <c r="BZ15">
        <f>IF($BX15&lt;N_Ed-1E-9*MAX(1,N_Ed),BV15,(BU15+BV15)/2)</f>
        <v/>
      </c>
      <c r="CA15">
        <f>h_col*((BY15+BZ15)/2)/(1-(BY15+BZ15)/2)</f>
        <v/>
      </c>
      <c r="CB15">
        <f>(f_cd*b_col*((3*MIN(CA15,h_col)/7)+(4*MIN(CA15,h_col)/7)*(1-((4*MIN(CA15,h_col)/7)/(CA15-(3*MIN(CA15,h_col)/7)))^2/3))+$D15/2*((MAX(-f_yd,MIN(f_yd,200000*IF(CA15&lt;=h_col,0.0035*(CA15-d_2)/CA15,0.002*(CA15-d_2)/(CA15-3*h_col/7))))-f_cd*(1-(1-MAX(0,MIN(1,IF(CA15&lt;=h_col,0.0035*(CA15-d_2)/CA15,0.002*(CA15-d_2)/(CA15-3*h_col/7))/0.002)))^2))+(MAX(-f_yd,MIN(f_yd,200000*IF(CA15&lt;=h_col,0.0035*(CA15-(h_col-d_2))/CA15,0.002*(CA15-(h_col-d_2))/(CA15-3*h_col/7))))-f_cd*(1-(1-MAX(0,MIN(1,IF(CA15&lt;=h_col,0.0035*(CA15-(h_col-d_2))/CA15,0.002*(CA15-(h_col-d_2))/(CA15-3*h_col/7))/0.002)))^2))))/1000</f>
        <v/>
      </c>
      <c r="CC15">
        <f>IF($CB15&lt;N_Ed-1E-9*MAX(1,N_Ed),(BY15+BZ15)/2,BY15)</f>
        <v/>
      </c>
      <c r="CD15">
        <f>IF($CB15&lt;N_Ed-1E-9*MAX(1,N_Ed),BZ15,(BY15+BZ15)/2)</f>
        <v/>
      </c>
      <c r="CE15">
        <f>h_col*((CC15+CD15)/2)/(1-(CC15+CD15)/2)</f>
        <v/>
      </c>
      <c r="CF15">
        <f>(f_cd*b_col*((3*MIN(CE15,h_col)/7)+(4*MIN(CE15,h_col)/7)*(1-((4*MIN(CE15,h_col)/7)/(CE15-(3*MIN(CE15,h_col)/7)))^2/3))+$D15/2*((MAX(-f_yd,MIN(f_yd,200000*IF(CE15&lt;=h_col,0.0035*(CE15-d_2)/CE15,0.002*(CE15-d_2)/(CE15-3*h_col/7))))-f_cd*(1-(1-MAX(0,MIN(1,IF(CE15&lt;=h_col,0.0035*(CE15-d_2)/CE15,0.002*(CE15-d_2)/(CE15-3*h_col/7))/0.002)))^2))+(MAX(-f_yd,MIN(f_yd,200000*IF(CE15&lt;=h_col,0.0035*(CE15-(h_col-d_2))/CE15,0.002*(CE15-(h_col-d_2))/(CE15-3*h_col/7))))-f_cd*(1-(1-MAX(0,MIN(1,IF(CE15&lt;=h_col,0.0035*(CE15-(h_col-d_2))/CE15,0.002*(CE15-(h_col-d_2))/(CE15-3*h_col/7))/0.002)))^2))))/1000</f>
        <v/>
      </c>
      <c r="CG15">
        <f>IF($CF15&lt;N_Ed-1E-9*MAX(1,N_Ed),(CC15+CD15)/2,CC15)</f>
        <v/>
      </c>
      <c r="CH15">
        <f>IF($CF15&lt;N_Ed-1E-9*MAX(1,N_Ed),CD15,(CC15+CD15)/2)</f>
        <v/>
      </c>
      <c r="CI15">
        <f>h_col*((CG15+CH15)/2)/(1-(CG15+CH15)/2)</f>
        <v/>
      </c>
      <c r="CJ15">
        <f>(f_cd*b_col*((3*MIN(CI15,h_col)/7)+(4*MIN(CI15,h_col)/7)*(1-((4*MIN(CI15,h_col)/7)/(CI15-(3*MIN(CI15,h_col)/7)))^2/3))+$D15/2*((MAX(-f_yd,MIN(f_yd,200000*IF(CI15&lt;=h_col,0.0035*(CI15-d_2)/CI15,0.002*(CI15-d_2)/(CI15-3*h_col/7))))-f_cd*(1-(1-MAX(0,MIN(1,IF(CI15&lt;=h_col,0.0035*(CI15-d_2)/CI15,0.002*(CI15-d_2)/(CI15-3*h_col/7))/0.002)))^2))+(MAX(-f_yd,MIN(f_yd,200000*IF(CI15&lt;=h_col,0.0035*(CI15-(h_col-d_2))/CI15,0.002*(CI15-(h_col-d_2))/(CI15-3*h_col/7))))-f_cd*(1-(1-MAX(0,MIN(1,IF(CI15&lt;=h_col,0.0035*(CI15-(h_col-d_2))/CI15,0.002*(CI15-(h_col-d_2))/(CI15-3*h_col/7))/0.002)))^2))))/1000</f>
        <v/>
      </c>
      <c r="CK15">
        <f>IF($CJ15&lt;N_Ed-1E-9*MAX(1,N_Ed),(CG15+CH15)/2,CG15)</f>
        <v/>
      </c>
      <c r="CL15">
        <f>IF($CJ15&lt;N_Ed-1E-9*MAX(1,N_Ed),CH15,(CG15+CH15)/2)</f>
        <v/>
      </c>
      <c r="CM15">
        <f>h_col*((CK15+CL15)/2)/(1-(CK15+CL15)/2)</f>
        <v/>
      </c>
      <c r="CN15">
        <f>(f_cd*b_col*((3*MIN(CM15,h_col)/7)+(4*MIN(CM15,h_col)/7)*(1-((4*MIN(CM15,h_col)/7)/(CM15-(3*MIN(CM15,h_col)/7)))^2/3))+$D15/2*((MAX(-f_yd,MIN(f_yd,200000*IF(CM15&lt;=h_col,0.0035*(CM15-d_2)/CM15,0.002*(CM15-d_2)/(CM15-3*h_col/7))))-f_cd*(1-(1-MAX(0,MIN(1,IF(CM15&lt;=h_col,0.0035*(CM15-d_2)/CM15,0.002*(CM15-d_2)/(CM15-3*h_col/7))/0.002)))^2))+(MAX(-f_yd,MIN(f_yd,200000*IF(CM15&lt;=h_col,0.0035*(CM15-(h_col-d_2))/CM15,0.002*(CM15-(h_col-d_2))/(CM15-3*h_col/7))))-f_cd*(1-(1-MAX(0,MIN(1,IF(CM15&lt;=h_col,0.0035*(CM15-(h_col-d_2))/CM15,0.002*(CM15-(h_col-d_2))/(CM15-3*h_col/7))/0.002)))^2))))/1000</f>
        <v/>
      </c>
      <c r="CO15">
        <f>IF($CN15&lt;N_Ed-1E-9*MAX(1,N_Ed),(CK15+CL15)/2,CK15)</f>
        <v/>
      </c>
      <c r="CP15">
        <f>IF($CN15&lt;N_Ed-1E-9*MAX(1,N_Ed),CL15,(CK15+CL15)/2)</f>
        <v/>
      </c>
      <c r="CQ15">
        <f>h_col*((CO15+CP15)/2)/(1-(CO15+CP15)/2)</f>
        <v/>
      </c>
      <c r="CR15">
        <f>(f_cd*b_col*((3*MIN(CQ15,h_col)/7)+(4*MIN(CQ15,h_col)/7)*(1-((4*MIN(CQ15,h_col)/7)/(CQ15-(3*MIN(CQ15,h_col)/7)))^2/3))+$D15/2*((MAX(-f_yd,MIN(f_yd,200000*IF(CQ15&lt;=h_col,0.0035*(CQ15-d_2)/CQ15,0.002*(CQ15-d_2)/(CQ15-3*h_col/7))))-f_cd*(1-(1-MAX(0,MIN(1,IF(CQ15&lt;=h_col,0.0035*(CQ15-d_2)/CQ15,0.002*(CQ15-d_2)/(CQ15-3*h_col/7))/0.002)))^2))+(MAX(-f_yd,MIN(f_yd,200000*IF(CQ15&lt;=h_col,0.0035*(CQ15-(h_col-d_2))/CQ15,0.002*(CQ15-(h_col-d_2))/(CQ15-3*h_col/7))))-f_cd*(1-(1-MAX(0,MIN(1,IF(CQ15&lt;=h_col,0.0035*(CQ15-(h_col-d_2))/CQ15,0.002*(CQ15-(h_col-d_2))/(CQ15-3*h_col/7))/0.002)))^2))))/1000</f>
        <v/>
      </c>
      <c r="CS15">
        <f>IF($CR15&lt;N_Ed-1E-9*MAX(1,N_Ed),(CO15+CP15)/2,CO15)</f>
        <v/>
      </c>
      <c r="CT15">
        <f>IF($CR15&lt;N_Ed-1E-9*MAX(1,N_Ed),CP15,(CO15+CP15)/2)</f>
        <v/>
      </c>
      <c r="CU15">
        <f>h_col*((CS15+CT15)/2)/(1-(CS15+CT15)/2)</f>
        <v/>
      </c>
      <c r="CV15">
        <f>(f_cd*b_col*((3*MIN(CU15,h_col)/7)+(4*MIN(CU15,h_col)/7)*(1-((4*MIN(CU15,h_col)/7)/(CU15-(3*MIN(CU15,h_col)/7)))^2/3))+$D15/2*((MAX(-f_yd,MIN(f_yd,200000*IF(CU15&lt;=h_col,0.0035*(CU15-d_2)/CU15,0.002*(CU15-d_2)/(CU15-3*h_col/7))))-f_cd*(1-(1-MAX(0,MIN(1,IF(CU15&lt;=h_col,0.0035*(CU15-d_2)/CU15,0.002*(CU15-d_2)/(CU15-3*h_col/7))/0.002)))^2))+(MAX(-f_yd,MIN(f_yd,200000*IF(CU15&lt;=h_col,0.0035*(CU15-(h_col-d_2))/CU15,0.002*(CU15-(h_col-d_2))/(CU15-3*h_col/7))))-f_cd*(1-(1-MAX(0,MIN(1,IF(CU15&lt;=h_col,0.0035*(CU15-(h_col-d_2))/CU15,0.002*(CU15-(h_col-d_2))/(CU15-3*h_col/7))/0.002)))^2))))/1000</f>
        <v/>
      </c>
      <c r="CW15">
        <f>IF($CV15&lt;N_Ed-1E-9*MAX(1,N_Ed),(CS15+CT15)/2,CS15)</f>
        <v/>
      </c>
      <c r="CX15">
        <f>IF($CV15&lt;N_Ed-1E-9*MAX(1,N_Ed),CT15,(CS15+CT15)/2)</f>
        <v/>
      </c>
      <c r="CY15">
        <f>h_col*((CW15+CX15)/2)/(1-(CW15+CX15)/2)</f>
        <v/>
      </c>
      <c r="CZ15">
        <f>(f_cd*b_col*((3*MIN(CY15,h_col)/7)+(4*MIN(CY15,h_col)/7)*(1-((4*MIN(CY15,h_col)/7)/(CY15-(3*MIN(CY15,h_col)/7)))^2/3))+$D15/2*((MAX(-f_yd,MIN(f_yd,200000*IF(CY15&lt;=h_col,0.0035*(CY15-d_2)/CY15,0.002*(CY15-d_2)/(CY15-3*h_col/7))))-f_cd*(1-(1-MAX(0,MIN(1,IF(CY15&lt;=h_col,0.0035*(CY15-d_2)/CY15,0.002*(CY15-d_2)/(CY15-3*h_col/7))/0.002)))^2))+(MAX(-f_yd,MIN(f_yd,200000*IF(CY15&lt;=h_col,0.0035*(CY15-(h_col-d_2))/CY15,0.002*(CY15-(h_col-d_2))/(CY15-3*h_col/7))))-f_cd*(1-(1-MAX(0,MIN(1,IF(CY15&lt;=h_col,0.0035*(CY15-(h_col-d_2))/CY15,0.002*(CY15-(h_col-d_2))/(CY15-3*h_col/7))/0.002)))^2))))/1000</f>
        <v/>
      </c>
      <c r="DA15">
        <f>IF($CZ15&lt;N_Ed-1E-9*MAX(1,N_Ed),(CW15+CX15)/2,CW15)</f>
        <v/>
      </c>
      <c r="DB15">
        <f>IF($CZ15&lt;N_Ed-1E-9*MAX(1,N_Ed),CX15,(CW15+CX15)/2)</f>
        <v/>
      </c>
      <c r="DC15">
        <f>h_col*((DA15+DB15)/2)/(1-(DA15+DB15)/2)</f>
        <v/>
      </c>
      <c r="DD15">
        <f>(f_cd*b_col*((3*MIN(DC15,h_col)/7)+(4*MIN(DC15,h_col)/7)*(1-((4*MIN(DC15,h_col)/7)/(DC15-(3*MIN(DC15,h_col)/7)))^2/3))+$D15/2*((MAX(-f_yd,MIN(f_yd,200000*IF(DC15&lt;=h_col,0.0035*(DC15-d_2)/DC15,0.002*(DC15-d_2)/(DC15-3*h_col/7))))-f_cd*(1-(1-MAX(0,MIN(1,IF(DC15&lt;=h_col,0.0035*(DC15-d_2)/DC15,0.002*(DC15-d_2)/(DC15-3*h_col/7))/0.002)))^2))+(MAX(-f_yd,MIN(f_yd,200000*IF(DC15&lt;=h_col,0.0035*(DC15-(h_col-d_2))/DC15,0.002*(DC15-(h_col-d_2))/(DC15-3*h_col/7))))-f_cd*(1-(1-MAX(0,MIN(1,IF(DC15&lt;=h_col,0.0035*(DC15-(h_col-d_2))/DC15,0.002*(DC15-(h_col-d_2))/(DC15-3*h_col/7))/0.002)))^2))))/1000</f>
        <v/>
      </c>
      <c r="DE15">
        <f>IF($DD15&lt;N_Ed-1E-9*MAX(1,N_Ed),(DA15+DB15)/2,DA15)</f>
        <v/>
      </c>
      <c r="DF15">
        <f>IF($DD15&lt;N_Ed-1E-9*MAX(1,N_Ed),DB15,(DA15+DB15)/2)</f>
        <v/>
      </c>
      <c r="DG15">
        <f>h_col*((DE15+DF15)/2)/(1-(DE15+DF15)/2)</f>
        <v/>
      </c>
      <c r="DH15">
        <f>(f_cd*b_col*((3*MIN(DG15,h_col)/7)+(4*MIN(DG15,h_col)/7)*(1-((4*MIN(DG15,h_col)/7)/(DG15-(3*MIN(DG15,h_col)/7)))^2/3))+$D15/2*((MAX(-f_yd,MIN(f_yd,200000*IF(DG15&lt;=h_col,0.0035*(DG15-d_2)/DG15,0.002*(DG15-d_2)/(DG15-3*h_col/7))))-f_cd*(1-(1-MAX(0,MIN(1,IF(DG15&lt;=h_col,0.0035*(DG15-d_2)/DG15,0.002*(DG15-d_2)/(DG15-3*h_col/7))/0.002)))^2))+(MAX(-f_yd,MIN(f_yd,200000*IF(DG15&lt;=h_col,0.0035*(DG15-(h_col-d_2))/DG15,0.002*(DG15-(h_col-d_2))/(DG15-3*h_col/7))))-f_cd*(1-(1-MAX(0,MIN(1,IF(DG15&lt;=h_col,0.0035*(DG15-(h_col-d_2))/DG15,0.002*(DG15-(h_col-d_2))/(DG15-3*h_col/7))/0.002)))^2))))/1000</f>
        <v/>
      </c>
      <c r="DI15">
        <f>IF($DH15&lt;N_Ed-1E-9*MAX(1,N_Ed),(DE15+DF15)/2,DE15)</f>
        <v/>
      </c>
      <c r="DJ15">
        <f>IF($DH15&lt;N_Ed-1E-9*MAX(1,N_Ed),DF15,(DE15+DF15)/2)</f>
        <v/>
      </c>
      <c r="DK15">
        <f>h_col*((DI15+DJ15)/2)/(1-(DI15+DJ15)/2)</f>
        <v/>
      </c>
      <c r="DL15">
        <f>(f_cd*b_col*((3*MIN(DK15,h_col)/7)+(4*MIN(DK15,h_col)/7)*(1-((4*MIN(DK15,h_col)/7)/(DK15-(3*MIN(DK15,h_col)/7)))^2/3))+$D15/2*((MAX(-f_yd,MIN(f_yd,200000*IF(DK15&lt;=h_col,0.0035*(DK15-d_2)/DK15,0.002*(DK15-d_2)/(DK15-3*h_col/7))))-f_cd*(1-(1-MAX(0,MIN(1,IF(DK15&lt;=h_col,0.0035*(DK15-d_2)/DK15,0.002*(DK15-d_2)/(DK15-3*h_col/7))/0.002)))^2))+(MAX(-f_yd,MIN(f_yd,200000*IF(DK15&lt;=h_col,0.0035*(DK15-(h_col-d_2))/DK15,0.002*(DK15-(h_col-d_2))/(DK15-3*h_col/7))))-f_cd*(1-(1-MAX(0,MIN(1,IF(DK15&lt;=h_col,0.0035*(DK15-(h_col-d_2))/DK15,0.002*(DK15-(h_col-d_2))/(DK15-3*h_col/7))/0.002)))^2))))/1000</f>
        <v/>
      </c>
      <c r="DM15">
        <f>IF($DL15&lt;N_Ed-1E-9*MAX(1,N_Ed),(DI15+DJ15)/2,DI15)</f>
        <v/>
      </c>
      <c r="DN15">
        <f>IF($DL15&lt;N_Ed-1E-9*MAX(1,N_Ed),DJ15,(DI15+DJ15)/2)</f>
        <v/>
      </c>
      <c r="DO15">
        <f>h_col*((DM15+DN15)/2)/(1-(DM15+DN15)/2)</f>
        <v/>
      </c>
      <c r="DP15">
        <f>(f_cd*b_col*((3*MIN(DO15,h_col)/7)+(4*MIN(DO15,h_col)/7)*(1-((4*MIN(DO15,h_col)/7)/(DO15-(3*MIN(DO15,h_col)/7)))^2/3))+$D15/2*((MAX(-f_yd,MIN(f_yd,200000*IF(DO15&lt;=h_col,0.0035*(DO15-d_2)/DO15,0.002*(DO15-d_2)/(DO15-3*h_col/7))))-f_cd*(1-(1-MAX(0,MIN(1,IF(DO15&lt;=h_col,0.0035*(DO15-d_2)/DO15,0.002*(DO15-d_2)/(DO15-3*h_col/7))/0.002)))^2))+(MAX(-f_yd,MIN(f_yd,200000*IF(DO15&lt;=h_col,0.0035*(DO15-(h_col-d_2))/DO15,0.002*(DO15-(h_col-d_2))/(DO15-3*h_col/7))))-f_cd*(1-(1-MAX(0,MIN(1,IF(DO15&lt;=h_col,0.0035*(DO15-(h_col-d_2))/DO15,0.002*(DO15-(h_col-d_2))/(DO15-3*h_col/7))/0.002)))^2))))/1000</f>
        <v/>
      </c>
      <c r="DQ15">
        <f>IF($DP15&lt;N_Ed-1E-9*MAX(1,N_Ed),(DM15+DN15)/2,DM15)</f>
        <v/>
      </c>
      <c r="DR15">
        <f>IF($DP15&lt;N_Ed-1E-9*MAX(1,N_Ed),DN15,(DM15+DN15)/2)</f>
        <v/>
      </c>
      <c r="DS15">
        <f>h_col*((DQ15+DR15)/2)/(1-(DQ15+DR15)/2)</f>
        <v/>
      </c>
      <c r="DT15">
        <f>(f_cd*b_col*((3*MIN(DS15,h_col)/7)+(4*MIN(DS15,h_col)/7)*(1-((4*MIN(DS15,h_col)/7)/(DS15-(3*MIN(DS15,h_col)/7)))^2/3))+$D15/2*((MAX(-f_yd,MIN(f_yd,200000*IF(DS15&lt;=h_col,0.0035*(DS15-d_2)/DS15,0.002*(DS15-d_2)/(DS15-3*h_col/7))))-f_cd*(1-(1-MAX(0,MIN(1,IF(DS15&lt;=h_col,0.0035*(DS15-d_2)/DS15,0.002*(DS15-d_2)/(DS15-3*h_col/7))/0.002)))^2))+(MAX(-f_yd,MIN(f_yd,200000*IF(DS15&lt;=h_col,0.0035*(DS15-(h_col-d_2))/DS15,0.002*(DS15-(h_col-d_2))/(DS15-3*h_col/7))))-f_cd*(1-(1-MAX(0,MIN(1,IF(DS15&lt;=h_col,0.0035*(DS15-(h_col-d_2))/DS15,0.002*(DS15-(h_col-d_2))/(DS15-3*h_col/7))/0.002)))^2))))/1000</f>
        <v/>
      </c>
      <c r="DU15">
        <f>IF($DT15&lt;N_Ed-1E-9*MAX(1,N_Ed),(DQ15+DR15)/2,DQ15)</f>
        <v/>
      </c>
      <c r="DV15">
        <f>IF($DT15&lt;N_Ed-1E-9*MAX(1,N_Ed),DR15,(DQ15+DR15)/2)</f>
        <v/>
      </c>
      <c r="DW15">
        <f>h_col*((DU15+DV15)/2)/(1-(DU15+DV15)/2)</f>
        <v/>
      </c>
      <c r="DX15">
        <f>(f_cd*b_col*((3*MIN(DW15,h_col)/7)+(4*MIN(DW15,h_col)/7)*(1-((4*MIN(DW15,h_col)/7)/(DW15-(3*MIN(DW15,h_col)/7)))^2/3))+$D15/2*((MAX(-f_yd,MIN(f_yd,200000*IF(DW15&lt;=h_col,0.0035*(DW15-d_2)/DW15,0.002*(DW15-d_2)/(DW15-3*h_col/7))))-f_cd*(1-(1-MAX(0,MIN(1,IF(DW15&lt;=h_col,0.0035*(DW15-d_2)/DW15,0.002*(DW15-d_2)/(DW15-3*h_col/7))/0.002)))^2))+(MAX(-f_yd,MIN(f_yd,200000*IF(DW15&lt;=h_col,0.0035*(DW15-(h_col-d_2))/DW15,0.002*(DW15-(h_col-d_2))/(DW15-3*h_col/7))))-f_cd*(1-(1-MAX(0,MIN(1,IF(DW15&lt;=h_col,0.0035*(DW15-(h_col-d_2))/DW15,0.002*(DW15-(h_col-d_2))/(DW15-3*h_col/7))/0.002)))^2))))/1000</f>
        <v/>
      </c>
      <c r="DY15">
        <f>IF($DX15&lt;N_Ed-1E-9*MAX(1,N_Ed),(DU15+DV15)/2,DU15)</f>
        <v/>
      </c>
      <c r="DZ15">
        <f>IF($DX15&lt;N_Ed-1E-9*MAX(1,N_Ed),DV15,(DU15+DV15)/2)</f>
        <v/>
      </c>
      <c r="EA15">
        <f>h_col*((DY15+DZ15)/2)/(1-(DY15+DZ15)/2)</f>
        <v/>
      </c>
      <c r="EB15">
        <f>(f_cd*b_col*((3*MIN(EA15,h_col)/7)+(4*MIN(EA15,h_col)/7)*(1-((4*MIN(EA15,h_col)/7)/(EA15-(3*MIN(EA15,h_col)/7)))^2/3))+$D15/2*((MAX(-f_yd,MIN(f_yd,200000*IF(EA15&lt;=h_col,0.0035*(EA15-d_2)/EA15,0.002*(EA15-d_2)/(EA15-3*h_col/7))))-f_cd*(1-(1-MAX(0,MIN(1,IF(EA15&lt;=h_col,0.0035*(EA15-d_2)/EA15,0.002*(EA15-d_2)/(EA15-3*h_col/7))/0.002)))^2))+(MAX(-f_yd,MIN(f_yd,200000*IF(EA15&lt;=h_col,0.0035*(EA15-(h_col-d_2))/EA15,0.002*(EA15-(h_col-d_2))/(EA15-3*h_col/7))))-f_cd*(1-(1-MAX(0,MIN(1,IF(EA15&lt;=h_col,0.0035*(EA15-(h_col-d_2))/EA15,0.002*(EA15-(h_col-d_2))/(EA15-3*h_col/7))/0.002)))^2))))/1000</f>
        <v/>
      </c>
      <c r="EC15">
        <f>IF($EB15&lt;N_Ed-1E-9*MAX(1,N_Ed),(DY15+DZ15)/2,DY15)</f>
        <v/>
      </c>
      <c r="ED15">
        <f>IF($EB15&lt;N_Ed-1E-9*MAX(1,N_Ed),DZ15,(DY15+DZ15)/2)</f>
        <v/>
      </c>
      <c r="EE15">
        <f>h_col*((EC15+ED15)/2)/(1-(EC15+ED15)/2)</f>
        <v/>
      </c>
      <c r="EF15">
        <f>(f_cd*b_col*((3*MIN(EE15,h_col)/7)+(4*MIN(EE15,h_col)/7)*(1-((4*MIN(EE15,h_col)/7)/(EE15-(3*MIN(EE15,h_col)/7)))^2/3))+$D15/2*((MAX(-f_yd,MIN(f_yd,200000*IF(EE15&lt;=h_col,0.0035*(EE15-d_2)/EE15,0.002*(EE15-d_2)/(EE15-3*h_col/7))))-f_cd*(1-(1-MAX(0,MIN(1,IF(EE15&lt;=h_col,0.0035*(EE15-d_2)/EE15,0.002*(EE15-d_2)/(EE15-3*h_col/7))/0.002)))^2))+(MAX(-f_yd,MIN(f_yd,200000*IF(EE15&lt;=h_col,0.0035*(EE15-(h_col-d_2))/EE15,0.002*(EE15-(h_col-d_2))/(EE15-3*h_col/7))))-f_cd*(1-(1-MAX(0,MIN(1,IF(EE15&lt;=h_col,0.0035*(EE15-(h_col-d_2))/EE15,0.002*(EE15-(h_col-d_2))/(EE15-3*h_col/7))/0.002)))^2))))/1000</f>
        <v/>
      </c>
      <c r="EG15">
        <f>IF($EF15&lt;N_Ed-1E-9*MAX(1,N_Ed),(EC15+ED15)/2,EC15)</f>
        <v/>
      </c>
      <c r="EH15">
        <f>IF($EF15&lt;N_Ed-1E-9*MAX(1,N_Ed),ED15,(EC15+ED15)/2)</f>
        <v/>
      </c>
      <c r="EI15">
        <f>h_col*((EG15+EH15)/2)/(1-(EG15+EH15)/2)</f>
        <v/>
      </c>
      <c r="EJ15">
        <f>(f_cd*b_col*((3*MIN(EI15,h_col)/7)+(4*MIN(EI15,h_col)/7)*(1-((4*MIN(EI15,h_col)/7)/(EI15-(3*MIN(EI15,h_col)/7)))^2/3))+$D15/2*((MAX(-f_yd,MIN(f_yd,200000*IF(EI15&lt;=h_col,0.0035*(EI15-d_2)/EI15,0.002*(EI15-d_2)/(EI15-3*h_col/7))))-f_cd*(1-(1-MAX(0,MIN(1,IF(EI15&lt;=h_col,0.0035*(EI15-d_2)/EI15,0.002*(EI15-d_2)/(EI15-3*h_col/7))/0.002)))^2))+(MAX(-f_yd,MIN(f_yd,200000*IF(EI15&lt;=h_col,0.0035*(EI15-(h_col-d_2))/EI15,0.002*(EI15-(h_col-d_2))/(EI15-3*h_col/7))))-f_cd*(1-(1-MAX(0,MIN(1,IF(EI15&lt;=h_col,0.0035*(EI15-(h_col-d_2))/EI15,0.002*(EI15-(h_col-d_2))/(EI15-3*h_col/7))/0.002)))^2))))/1000</f>
        <v/>
      </c>
      <c r="EK15">
        <f>IF($EJ15&lt;N_Ed-1E-9*MAX(1,N_Ed),(EG15+EH15)/2,EG15)</f>
        <v/>
      </c>
      <c r="EL15">
        <f>IF($EJ15&lt;N_Ed-1E-9*MAX(1,N_Ed),EH15,(EG15+EH15)/2)</f>
        <v/>
      </c>
      <c r="EM15">
        <f>h_col*((EK15+EL15)/2)/(1-(EK15+EL15)/2)</f>
        <v/>
      </c>
      <c r="EN15">
        <f>(f_cd*b_col*((3*MIN(EM15,h_col)/7)+(4*MIN(EM15,h_col)/7)*(1-((4*MIN(EM15,h_col)/7)/(EM15-(3*MIN(EM15,h_col)/7)))^2/3))+$D15/2*((MAX(-f_yd,MIN(f_yd,200000*IF(EM15&lt;=h_col,0.0035*(EM15-d_2)/EM15,0.002*(EM15-d_2)/(EM15-3*h_col/7))))-f_cd*(1-(1-MAX(0,MIN(1,IF(EM15&lt;=h_col,0.0035*(EM15-d_2)/EM15,0.002*(EM15-d_2)/(EM15-3*h_col/7))/0.002)))^2))+(MAX(-f_yd,MIN(f_yd,200000*IF(EM15&lt;=h_col,0.0035*(EM15-(h_col-d_2))/EM15,0.002*(EM15-(h_col-d_2))/(EM15-3*h_col/7))))-f_cd*(1-(1-MAX(0,MIN(1,IF(EM15&lt;=h_col,0.0035*(EM15-(h_col-d_2))/EM15,0.002*(EM15-(h_col-d_2))/(EM15-3*h_col/7))/0.002)))^2))))/1000</f>
        <v/>
      </c>
      <c r="EO15">
        <f>IF($EN15&lt;N_Ed-1E-9*MAX(1,N_Ed),(EK15+EL15)/2,EK15)</f>
        <v/>
      </c>
      <c r="EP15">
        <f>IF($EN15&lt;N_Ed-1E-9*MAX(1,N_Ed),EL15,(EK15+EL15)/2)</f>
        <v/>
      </c>
      <c r="EQ15">
        <f>h_col*((EO15+EP15)/2)/(1-(EO15+EP15)/2)</f>
        <v/>
      </c>
      <c r="ER15">
        <f>(f_cd*b_col*((3*MIN(EQ15,h_col)/7)+(4*MIN(EQ15,h_col)/7)*(1-((4*MIN(EQ15,h_col)/7)/(EQ15-(3*MIN(EQ15,h_col)/7)))^2/3))+$D15/2*((MAX(-f_yd,MIN(f_yd,200000*IF(EQ15&lt;=h_col,0.0035*(EQ15-d_2)/EQ15,0.002*(EQ15-d_2)/(EQ15-3*h_col/7))))-f_cd*(1-(1-MAX(0,MIN(1,IF(EQ15&lt;=h_col,0.0035*(EQ15-d_2)/EQ15,0.002*(EQ15-d_2)/(EQ15-3*h_col/7))/0.002)))^2))+(MAX(-f_yd,MIN(f_yd,200000*IF(EQ15&lt;=h_col,0.0035*(EQ15-(h_col-d_2))/EQ15,0.002*(EQ15-(h_col-d_2))/(EQ15-3*h_col/7))))-f_cd*(1-(1-MAX(0,MIN(1,IF(EQ15&lt;=h_col,0.0035*(EQ15-(h_col-d_2))/EQ15,0.002*(EQ15-(h_col-d_2))/(EQ15-3*h_col/7))/0.002)))^2))))/1000</f>
        <v/>
      </c>
      <c r="ES15">
        <f>IF($ER15&lt;N_Ed-1E-9*MAX(1,N_Ed),(EO15+EP15)/2,EO15)</f>
        <v/>
      </c>
      <c r="ET15">
        <f>IF($ER15&lt;N_Ed-1E-9*MAX(1,N_Ed),EP15,(EO15+EP15)/2)</f>
        <v/>
      </c>
      <c r="EU15">
        <f>h_col*((ES15+ET15)/2)/(1-(ES15+ET15)/2)</f>
        <v/>
      </c>
      <c r="EV15">
        <f>(f_cd*b_col*((3*MIN(EU15,h_col)/7)+(4*MIN(EU15,h_col)/7)*(1-((4*MIN(EU15,h_col)/7)/(EU15-(3*MIN(EU15,h_col)/7)))^2/3))+$D15/2*((MAX(-f_yd,MIN(f_yd,200000*IF(EU15&lt;=h_col,0.0035*(EU15-d_2)/EU15,0.002*(EU15-d_2)/(EU15-3*h_col/7))))-f_cd*(1-(1-MAX(0,MIN(1,IF(EU15&lt;=h_col,0.0035*(EU15-d_2)/EU15,0.002*(EU15-d_2)/(EU15-3*h_col/7))/0.002)))^2))+(MAX(-f_yd,MIN(f_yd,200000*IF(EU15&lt;=h_col,0.0035*(EU15-(h_col-d_2))/EU15,0.002*(EU15-(h_col-d_2))/(EU15-3*h_col/7))))-f_cd*(1-(1-MAX(0,MIN(1,IF(EU15&lt;=h_col,0.0035*(EU15-(h_col-d_2))/EU15,0.002*(EU15-(h_col-d_2))/(EU15-3*h_col/7))/0.002)))^2))))/1000</f>
        <v/>
      </c>
      <c r="EW15">
        <f>IF($EV15&lt;N_Ed-1E-9*MAX(1,N_Ed),(ES15+ET15)/2,ES15)</f>
        <v/>
      </c>
      <c r="EX15">
        <f>IF($EV15&lt;N_Ed-1E-9*MAX(1,N_Ed),ET15,(ES15+ET15)/2)</f>
        <v/>
      </c>
      <c r="EY15">
        <f>h_col*((EW15+EX15)/2)/(1-(EW15+EX15)/2)</f>
        <v/>
      </c>
      <c r="EZ15">
        <f>(f_cd*b_col*((3*MIN(EY15,h_col)/7)+(4*MIN(EY15,h_col)/7)*(1-((4*MIN(EY15,h_col)/7)/(EY15-(3*MIN(EY15,h_col)/7)))^2/3))+$D15/2*((MAX(-f_yd,MIN(f_yd,200000*IF(EY15&lt;=h_col,0.0035*(EY15-d_2)/EY15,0.002*(EY15-d_2)/(EY15-3*h_col/7))))-f_cd*(1-(1-MAX(0,MIN(1,IF(EY15&lt;=h_col,0.0035*(EY15-d_2)/EY15,0.002*(EY15-d_2)/(EY15-3*h_col/7))/0.002)))^2))+(MAX(-f_yd,MIN(f_yd,200000*IF(EY15&lt;=h_col,0.0035*(EY15-(h_col-d_2))/EY15,0.002*(EY15-(h_col-d_2))/(EY15-3*h_col/7))))-f_cd*(1-(1-MAX(0,MIN(1,IF(EY15&lt;=h_col,0.0035*(EY15-(h_col-d_2))/EY15,0.002*(EY15-(h_col-d_2))/(EY15-3*h_col/7))/0.002)))^2))))/1000</f>
        <v/>
      </c>
      <c r="FA15">
        <f>IF($EZ15&lt;N_Ed-1E-9*MAX(1,N_Ed),(EW15+EX15)/2,EW15)</f>
        <v/>
      </c>
      <c r="FB15">
        <f>IF($EZ15&lt;N_Ed-1E-9*MAX(1,N_Ed),EX15,(EW15+EX15)/2)</f>
        <v/>
      </c>
      <c r="FC15">
        <f>h_col*((FA15+FB15)/2)/(1-(FA15+FB15)/2)</f>
        <v/>
      </c>
      <c r="FD15">
        <f>(f_cd*b_col*((3*MIN(FC15,h_col)/7)+(4*MIN(FC15,h_col)/7)*(1-((4*MIN(FC15,h_col)/7)/(FC15-(3*MIN(FC15,h_col)/7)))^2/3))+$D15/2*((MAX(-f_yd,MIN(f_yd,200000*IF(FC15&lt;=h_col,0.0035*(FC15-d_2)/FC15,0.002*(FC15-d_2)/(FC15-3*h_col/7))))-f_cd*(1-(1-MAX(0,MIN(1,IF(FC15&lt;=h_col,0.0035*(FC15-d_2)/FC15,0.002*(FC15-d_2)/(FC15-3*h_col/7))/0.002)))^2))+(MAX(-f_yd,MIN(f_yd,200000*IF(FC15&lt;=h_col,0.0035*(FC15-(h_col-d_2))/FC15,0.002*(FC15-(h_col-d_2))/(FC15-3*h_col/7))))-f_cd*(1-(1-MAX(0,MIN(1,IF(FC15&lt;=h_col,0.0035*(FC15-(h_col-d_2))/FC15,0.002*(FC15-(h_col-d_2))/(FC15-3*h_col/7))/0.002)))^2))))/1000</f>
        <v/>
      </c>
      <c r="FE15">
        <f>IF($FD15&lt;N_Ed-1E-9*MAX(1,N_Ed),(FA15+FB15)/2,FA15)</f>
        <v/>
      </c>
      <c r="FF15">
        <f>IF($FD15&lt;N_Ed-1E-9*MAX(1,N_Ed),FB15,(FA15+FB15)/2)</f>
        <v/>
      </c>
      <c r="FG15">
        <f>h_col*((FE15+FF15)/2)/(1-(FE15+FF15)/2)</f>
        <v/>
      </c>
      <c r="FH15">
        <f>(f_cd*b_col*((3*MIN(FG15,h_col)/7)+(4*MIN(FG15,h_col)/7)*(1-((4*MIN(FG15,h_col)/7)/(FG15-(3*MIN(FG15,h_col)/7)))^2/3))+$D15/2*((MAX(-f_yd,MIN(f_yd,200000*IF(FG15&lt;=h_col,0.0035*(FG15-d_2)/FG15,0.002*(FG15-d_2)/(FG15-3*h_col/7))))-f_cd*(1-(1-MAX(0,MIN(1,IF(FG15&lt;=h_col,0.0035*(FG15-d_2)/FG15,0.002*(FG15-d_2)/(FG15-3*h_col/7))/0.002)))^2))+(MAX(-f_yd,MIN(f_yd,200000*IF(FG15&lt;=h_col,0.0035*(FG15-(h_col-d_2))/FG15,0.002*(FG15-(h_col-d_2))/(FG15-3*h_col/7))))-f_cd*(1-(1-MAX(0,MIN(1,IF(FG15&lt;=h_col,0.0035*(FG15-(h_col-d_2))/FG15,0.002*(FG15-(h_col-d_2))/(FG15-3*h_col/7))/0.002)))^2))))/1000</f>
        <v/>
      </c>
      <c r="FI15">
        <f>IF($FH15&lt;N_Ed-1E-9*MAX(1,N_Ed),(FE15+FF15)/2,FE15)</f>
        <v/>
      </c>
      <c r="FJ15">
        <f>IF($FH15&lt;N_Ed-1E-9*MAX(1,N_Ed),FF15,(FE15+FF15)/2)</f>
        <v/>
      </c>
      <c r="FK15">
        <f>h_col*((FI15+FJ15)/2)/(1-(FI15+FJ15)/2)</f>
        <v/>
      </c>
      <c r="FL15">
        <f>(f_cd*b_col*((3*MIN(FK15,h_col)/7)+(4*MIN(FK15,h_col)/7)*(1-((4*MIN(FK15,h_col)/7)/(FK15-(3*MIN(FK15,h_col)/7)))^2/3))+$D15/2*((MAX(-f_yd,MIN(f_yd,200000*IF(FK15&lt;=h_col,0.0035*(FK15-d_2)/FK15,0.002*(FK15-d_2)/(FK15-3*h_col/7))))-f_cd*(1-(1-MAX(0,MIN(1,IF(FK15&lt;=h_col,0.0035*(FK15-d_2)/FK15,0.002*(FK15-d_2)/(FK15-3*h_col/7))/0.002)))^2))+(MAX(-f_yd,MIN(f_yd,200000*IF(FK15&lt;=h_col,0.0035*(FK15-(h_col-d_2))/FK15,0.002*(FK15-(h_col-d_2))/(FK15-3*h_col/7))))-f_cd*(1-(1-MAX(0,MIN(1,IF(FK15&lt;=h_col,0.0035*(FK15-(h_col-d_2))/FK15,0.002*(FK15-(h_col-d_2))/(FK15-3*h_col/7))/0.002)))^2))))/1000</f>
        <v/>
      </c>
      <c r="FM15">
        <f>IF($FL15&lt;N_Ed-1E-9*MAX(1,N_Ed),(FI15+FJ15)/2,FI15)</f>
        <v/>
      </c>
      <c r="FN15">
        <f>IF($FL15&lt;N_Ed-1E-9*MAX(1,N_Ed),FJ15,(FI15+FJ15)/2)</f>
        <v/>
      </c>
      <c r="FO15">
        <f>h_col*((FM15+FN15)/2)/(1-(FM15+FN15)/2)</f>
        <v/>
      </c>
      <c r="FP15">
        <f>(f_cd*b_col*((3*MIN(FO15,h_col)/7)+(4*MIN(FO15,h_col)/7)*(1-((4*MIN(FO15,h_col)/7)/(FO15-(3*MIN(FO15,h_col)/7)))^2/3))+$D15/2*((MAX(-f_yd,MIN(f_yd,200000*IF(FO15&lt;=h_col,0.0035*(FO15-d_2)/FO15,0.002*(FO15-d_2)/(FO15-3*h_col/7))))-f_cd*(1-(1-MAX(0,MIN(1,IF(FO15&lt;=h_col,0.0035*(FO15-d_2)/FO15,0.002*(FO15-d_2)/(FO15-3*h_col/7))/0.002)))^2))+(MAX(-f_yd,MIN(f_yd,200000*IF(FO15&lt;=h_col,0.0035*(FO15-(h_col-d_2))/FO15,0.002*(FO15-(h_col-d_2))/(FO15-3*h_col/7))))-f_cd*(1-(1-MAX(0,MIN(1,IF(FO15&lt;=h_col,0.0035*(FO15-(h_col-d_2))/FO15,0.002*(FO15-(h_col-d_2))/(FO15-3*h_col/7))/0.002)))^2))))/1000</f>
        <v/>
      </c>
      <c r="FQ15">
        <f>IF($FP15&lt;N_Ed-1E-9*MAX(1,N_Ed),(FM15+FN15)/2,FM15)</f>
        <v/>
      </c>
      <c r="FR15">
        <f>IF($FP15&lt;N_Ed-1E-9*MAX(1,N_Ed),FN15,(FM15+FN15)/2)</f>
        <v/>
      </c>
      <c r="FS15">
        <f>h_col*((FQ15+FR15)/2)/(1-(FQ15+FR15)/2)</f>
        <v/>
      </c>
      <c r="FT15">
        <f>(f_cd*b_col*((3*MIN(FS15,h_col)/7)+(4*MIN(FS15,h_col)/7)*(1-((4*MIN(FS15,h_col)/7)/(FS15-(3*MIN(FS15,h_col)/7)))^2/3))+$D15/2*((MAX(-f_yd,MIN(f_yd,200000*IF(FS15&lt;=h_col,0.0035*(FS15-d_2)/FS15,0.002*(FS15-d_2)/(FS15-3*h_col/7))))-f_cd*(1-(1-MAX(0,MIN(1,IF(FS15&lt;=h_col,0.0035*(FS15-d_2)/FS15,0.002*(FS15-d_2)/(FS15-3*h_col/7))/0.002)))^2))+(MAX(-f_yd,MIN(f_yd,200000*IF(FS15&lt;=h_col,0.0035*(FS15-(h_col-d_2))/FS15,0.002*(FS15-(h_col-d_2))/(FS15-3*h_col/7))))-f_cd*(1-(1-MAX(0,MIN(1,IF(FS15&lt;=h_col,0.0035*(FS15-(h_col-d_2))/FS15,0.002*(FS15-(h_col-d_2))/(FS15-3*h_col/7))/0.002)))^2))))/1000</f>
        <v/>
      </c>
      <c r="FU15">
        <f>IF($FT15&lt;N_Ed-1E-9*MAX(1,N_Ed),(FQ15+FR15)/2,FQ15)</f>
        <v/>
      </c>
      <c r="FV15">
        <f>IF($FT15&lt;N_Ed-1E-9*MAX(1,N_Ed),FR15,(FQ15+FR15)/2)</f>
        <v/>
      </c>
      <c r="FW15">
        <f>h_col*((FU15+FV15)/2)/(1-(FU15+FV15)/2)</f>
        <v/>
      </c>
      <c r="FX15">
        <f>(f_cd*b_col*((3*MIN(FW15,h_col)/7)+(4*MIN(FW15,h_col)/7)*(1-((4*MIN(FW15,h_col)/7)/(FW15-(3*MIN(FW15,h_col)/7)))^2/3))+$D15/2*((MAX(-f_yd,MIN(f_yd,200000*IF(FW15&lt;=h_col,0.0035*(FW15-d_2)/FW15,0.002*(FW15-d_2)/(FW15-3*h_col/7))))-f_cd*(1-(1-MAX(0,MIN(1,IF(FW15&lt;=h_col,0.0035*(FW15-d_2)/FW15,0.002*(FW15-d_2)/(FW15-3*h_col/7))/0.002)))^2))+(MAX(-f_yd,MIN(f_yd,200000*IF(FW15&lt;=h_col,0.0035*(FW15-(h_col-d_2))/FW15,0.002*(FW15-(h_col-d_2))/(FW15-3*h_col/7))))-f_cd*(1-(1-MAX(0,MIN(1,IF(FW15&lt;=h_col,0.0035*(FW15-(h_col-d_2))/FW15,0.002*(FW15-(h_col-d_2))/(FW15-3*h_col/7))/0.002)))^2))))/1000</f>
        <v/>
      </c>
      <c r="FY15">
        <f>IF($FX15&lt;N_Ed-1E-9*MAX(1,N_Ed),(FU15+FV15)/2,FU15)</f>
        <v/>
      </c>
      <c r="FZ15">
        <f>IF($FX15&lt;N_Ed-1E-9*MAX(1,N_Ed),FV15,(FU15+FV15)/2)</f>
        <v/>
      </c>
      <c r="GA15">
        <f>h_col*((FY15+FZ15)/2)/(1-(FY15+FZ15)/2)</f>
        <v/>
      </c>
      <c r="GB15">
        <f>(f_cd*b_col*((3*MIN(GA15,h_col)/7)+(4*MIN(GA15,h_col)/7)*(1-((4*MIN(GA15,h_col)/7)/(GA15-(3*MIN(GA15,h_col)/7)))^2/3))+$D15/2*((MAX(-f_yd,MIN(f_yd,200000*IF(GA15&lt;=h_col,0.0035*(GA15-d_2)/GA15,0.002*(GA15-d_2)/(GA15-3*h_col/7))))-f_cd*(1-(1-MAX(0,MIN(1,IF(GA15&lt;=h_col,0.0035*(GA15-d_2)/GA15,0.002*(GA15-d_2)/(GA15-3*h_col/7))/0.002)))^2))+(MAX(-f_yd,MIN(f_yd,200000*IF(GA15&lt;=h_col,0.0035*(GA15-(h_col-d_2))/GA15,0.002*(GA15-(h_col-d_2))/(GA15-3*h_col/7))))-f_cd*(1-(1-MAX(0,MIN(1,IF(GA15&lt;=h_col,0.0035*(GA15-(h_col-d_2))/GA15,0.002*(GA15-(h_col-d_2))/(GA15-3*h_col/7))/0.002)))^2))))/1000</f>
        <v/>
      </c>
      <c r="GC15">
        <f>IF($GB15&lt;N_Ed-1E-9*MAX(1,N_Ed),(FY15+FZ15)/2,FY15)</f>
        <v/>
      </c>
      <c r="GD15">
        <f>IF($GB15&lt;N_Ed-1E-9*MAX(1,N_Ed),FZ15,(FY15+FZ15)/2)</f>
        <v/>
      </c>
      <c r="GE15">
        <f>h_col*((GC15+GD15)/2)/(1-(GC15+GD15)/2)</f>
        <v/>
      </c>
      <c r="GF15">
        <f>(f_cd*b_col*((3*MIN(GE15,h_col)/7)+(4*MIN(GE15,h_col)/7)*(1-((4*MIN(GE15,h_col)/7)/(GE15-(3*MIN(GE15,h_col)/7)))^2/3))+$D15/2*((MAX(-f_yd,MIN(f_yd,200000*IF(GE15&lt;=h_col,0.0035*(GE15-d_2)/GE15,0.002*(GE15-d_2)/(GE15-3*h_col/7))))-f_cd*(1-(1-MAX(0,MIN(1,IF(GE15&lt;=h_col,0.0035*(GE15-d_2)/GE15,0.002*(GE15-d_2)/(GE15-3*h_col/7))/0.002)))^2))+(MAX(-f_yd,MIN(f_yd,200000*IF(GE15&lt;=h_col,0.0035*(GE15-(h_col-d_2))/GE15,0.002*(GE15-(h_col-d_2))/(GE15-3*h_col/7))))-f_cd*(1-(1-MAX(0,MIN(1,IF(GE15&lt;=h_col,0.0035*(GE15-(h_col-d_2))/GE15,0.002*(GE15-(h_col-d_2))/(GE15-3*h_col/7))/0.002)))^2))))/1000</f>
        <v/>
      </c>
      <c r="GG15">
        <f>IF($GF15&lt;N_Ed-1E-9*MAX(1,N_Ed),(GC15+GD15)/2,GC15)</f>
        <v/>
      </c>
      <c r="GH15">
        <f>IF($GF15&lt;N_Ed-1E-9*MAX(1,N_Ed),GD15,(GC15+GD15)/2)</f>
        <v/>
      </c>
      <c r="GI15">
        <f>h_col*((GG15+GH15)/2)/(1-(GG15+GH15)/2)</f>
        <v/>
      </c>
      <c r="GJ15">
        <f>(f_cd*b_col*((3*MIN(GI15,h_col)/7)+(4*MIN(GI15,h_col)/7)*(1-((4*MIN(GI15,h_col)/7)/(GI15-(3*MIN(GI15,h_col)/7)))^2/3))+$D15/2*((MAX(-f_yd,MIN(f_yd,200000*IF(GI15&lt;=h_col,0.0035*(GI15-d_2)/GI15,0.002*(GI15-d_2)/(GI15-3*h_col/7))))-f_cd*(1-(1-MAX(0,MIN(1,IF(GI15&lt;=h_col,0.0035*(GI15-d_2)/GI15,0.002*(GI15-d_2)/(GI15-3*h_col/7))/0.002)))^2))+(MAX(-f_yd,MIN(f_yd,200000*IF(GI15&lt;=h_col,0.0035*(GI15-(h_col-d_2))/GI15,0.002*(GI15-(h_col-d_2))/(GI15-3*h_col/7))))-f_cd*(1-(1-MAX(0,MIN(1,IF(GI15&lt;=h_col,0.0035*(GI15-(h_col-d_2))/GI15,0.002*(GI15-(h_col-d_2))/(GI15-3*h_col/7))/0.002)))^2))))/1000</f>
        <v/>
      </c>
      <c r="GK15">
        <f>IF($GJ15&lt;N_Ed-1E-9*MAX(1,N_Ed),(GG15+GH15)/2,GG15)</f>
        <v/>
      </c>
      <c r="GL15">
        <f>IF($GJ15&lt;N_Ed-1E-9*MAX(1,N_Ed),GH15,(GG15+GH15)/2)</f>
        <v/>
      </c>
      <c r="GM15">
        <f>h_col*((GK15+GL15)/2)/(1-(GK15+GL15)/2)</f>
        <v/>
      </c>
      <c r="GN15">
        <f>(f_cd*b_col*((3*MIN(GM15,h_col)/7)+(4*MIN(GM15,h_col)/7)*(1-((4*MIN(GM15,h_col)/7)/(GM15-(3*MIN(GM15,h_col)/7)))^2/3))+$D15/2*((MAX(-f_yd,MIN(f_yd,200000*IF(GM15&lt;=h_col,0.0035*(GM15-d_2)/GM15,0.002*(GM15-d_2)/(GM15-3*h_col/7))))-f_cd*(1-(1-MAX(0,MIN(1,IF(GM15&lt;=h_col,0.0035*(GM15-d_2)/GM15,0.002*(GM15-d_2)/(GM15-3*h_col/7))/0.002)))^2))+(MAX(-f_yd,MIN(f_yd,200000*IF(GM15&lt;=h_col,0.0035*(GM15-(h_col-d_2))/GM15,0.002*(GM15-(h_col-d_2))/(GM15-3*h_col/7))))-f_cd*(1-(1-MAX(0,MIN(1,IF(GM15&lt;=h_col,0.0035*(GM15-(h_col-d_2))/GM15,0.002*(GM15-(h_col-d_2))/(GM15-3*h_col/7))/0.002)))^2))))/1000</f>
        <v/>
      </c>
      <c r="GO15">
        <f>IF($GN15&lt;N_Ed-1E-9*MAX(1,N_Ed),(GK15+GL15)/2,GK15)</f>
        <v/>
      </c>
      <c r="GP15">
        <f>IF($GN15&lt;N_Ed-1E-9*MAX(1,N_Ed),GL15,(GK15+GL15)/2)</f>
        <v/>
      </c>
      <c r="GQ15">
        <f>h_col*((GO15+GP15)/2)/(1-(GO15+GP15)/2)</f>
        <v/>
      </c>
      <c r="GR15">
        <f>(f_cd*b_col*((3*MIN(GQ15,h_col)/7)+(4*MIN(GQ15,h_col)/7)*(1-((4*MIN(GQ15,h_col)/7)/(GQ15-(3*MIN(GQ15,h_col)/7)))^2/3))+$D15/2*((MAX(-f_yd,MIN(f_yd,200000*IF(GQ15&lt;=h_col,0.0035*(GQ15-d_2)/GQ15,0.002*(GQ15-d_2)/(GQ15-3*h_col/7))))-f_cd*(1-(1-MAX(0,MIN(1,IF(GQ15&lt;=h_col,0.0035*(GQ15-d_2)/GQ15,0.002*(GQ15-d_2)/(GQ15-3*h_col/7))/0.002)))^2))+(MAX(-f_yd,MIN(f_yd,200000*IF(GQ15&lt;=h_col,0.0035*(GQ15-(h_col-d_2))/GQ15,0.002*(GQ15-(h_col-d_2))/(GQ15-3*h_col/7))))-f_cd*(1-(1-MAX(0,MIN(1,IF(GQ15&lt;=h_col,0.0035*(GQ15-(h_col-d_2))/GQ15,0.002*(GQ15-(h_col-d_2))/(GQ15-3*h_col/7))/0.002)))^2))))/1000</f>
        <v/>
      </c>
      <c r="GS15">
        <f>IF($GR15&lt;N_Ed-1E-9*MAX(1,N_Ed),(GO15+GP15)/2,GO15)</f>
        <v/>
      </c>
      <c r="GT15">
        <f>IF($GR15&lt;N_Ed-1E-9*MAX(1,N_Ed),GP15,(GO15+GP15)/2)</f>
        <v/>
      </c>
      <c r="GU15">
        <f>h_col*((GS15+GT15)/2)/(1-(GS15+GT15)/2)</f>
        <v/>
      </c>
      <c r="GV15">
        <f>(f_cd*b_col*((3*MIN(GU15,h_col)/7)+(4*MIN(GU15,h_col)/7)*(1-((4*MIN(GU15,h_col)/7)/(GU15-(3*MIN(GU15,h_col)/7)))^2/3))+$D15/2*((MAX(-f_yd,MIN(f_yd,200000*IF(GU15&lt;=h_col,0.0035*(GU15-d_2)/GU15,0.002*(GU15-d_2)/(GU15-3*h_col/7))))-f_cd*(1-(1-MAX(0,MIN(1,IF(GU15&lt;=h_col,0.0035*(GU15-d_2)/GU15,0.002*(GU15-d_2)/(GU15-3*h_col/7))/0.002)))^2))+(MAX(-f_yd,MIN(f_yd,200000*IF(GU15&lt;=h_col,0.0035*(GU15-(h_col-d_2))/GU15,0.002*(GU15-(h_col-d_2))/(GU15-3*h_col/7))))-f_cd*(1-(1-MAX(0,MIN(1,IF(GU15&lt;=h_col,0.0035*(GU15-(h_col-d_2))/GU15,0.002*(GU15-(h_col-d_2))/(GU15-3*h_col/7))/0.002)))^2))))/1000</f>
        <v/>
      </c>
      <c r="GW15">
        <f>GU15</f>
        <v/>
      </c>
      <c r="GX15">
        <f>(f_cd*b_col*((3*MIN(GW15,h_col)/7)+(4*MIN(GW15,h_col)/7)*(1-((4*MIN(GW15,h_col)/7)/(GW15-(3*MIN(GW15,h_col)/7)))^2/3))+$D15/2*((MAX(-f_yd,MIN(f_yd,200000*IF(GW15&lt;=h_col,0.0035*(GW15-d_2)/GW15,0.002*(GW15-d_2)/(GW15-3*h_col/7))))-f_cd*(1-(1-MAX(0,MIN(1,IF(GW15&lt;=h_col,0.0035*(GW15-d_2)/GW15,0.002*(GW15-d_2)/(GW15-3*h_col/7))/0.002)))^2))+(MAX(-f_yd,MIN(f_yd,200000*IF(GW15&lt;=h_col,0.0035*(GW15-(h_col-d_2))/GW15,0.002*(GW15-(h_col-d_2))/(GW15-3*h_col/7))))-f_cd*(1-(1-MAX(0,MIN(1,IF(GW15&lt;=h_col,0.0035*(GW15-(h_col-d_2))/GW15,0.002*(GW15-(h_col-d_2))/(GW15-3*h_col/7))/0.002)))^2))))/1000</f>
        <v/>
      </c>
      <c r="GY15">
        <f>(f_cd*b_col*((3*MIN(GW15,h_col)/7)*(h_col/2-(3*MIN(GW15,h_col)/7)/2)+(4*MIN(GW15,h_col)/7)*((h_col/2-(3*MIN(GW15,h_col)/7))*(1-((4*MIN(GW15,h_col)/7)/(GW15-(3*MIN(GW15,h_col)/7)))^2/3)-(4*MIN(GW15,h_col)/7)*(0.5-((4*MIN(GW15,h_col)/7)/(GW15-(3*MIN(GW15,h_col)/7)))^2/4)))+$D15/2*((MAX(-f_yd,MIN(f_yd,200000*IF(GW15&lt;=h_col,0.0035*(GW15-d_2)/GW15,0.002*(GW15-d_2)/(GW15-3*h_col/7))))-f_cd*(1-(1-MAX(0,MIN(1,IF(GW15&lt;=h_col,0.0035*(GW15-d_2)/GW15,0.002*(GW15-d_2)/(GW15-3*h_col/7))/0.002)))^2))-(MAX(-f_yd,MIN(f_yd,200000*IF(GW15&lt;=h_col,0.0035*(GW15-(h_col-d_2))/GW15,0.002*(GW15-(h_col-d_2))/(GW15-3*h_col/7))))-f_cd*(1-(1-MAX(0,MIN(1,IF(GW15&lt;=h_col,0.0035*(GW15-(h_col-d_2))/GW15,0.002*(GW15-(h_col-d_2))/(GW15-3*h_col/7))/0.002)))^2)))*(h_col/2-d_2))/1E6</f>
        <v/>
      </c>
      <c r="GZ15">
        <f>GX15&gt;=N_Ed-1E-6*MAX(1,N_Ed)</f>
        <v/>
      </c>
      <c r="HA15">
        <f>IF(GZ15,GY15,-1E9)</f>
        <v/>
      </c>
    </row>
    <row r="16">
      <c r="A16" t="n">
        <v>11</v>
      </c>
      <c r="B16">
        <f>IF($HA15&gt;=M_d,$B15,$D15)</f>
        <v/>
      </c>
      <c r="C16">
        <f>IF($HA15&gt;=M_d,$D15,$C15)</f>
        <v/>
      </c>
      <c r="D16">
        <f>($B16+$C16)/2</f>
        <v/>
      </c>
      <c r="E16" t="n">
        <v>0</v>
      </c>
      <c r="F16">
        <f>1-1E-12</f>
        <v/>
      </c>
      <c r="G16">
        <f>h_col*((E16+F16)/2)/(1-(E16+F16)/2)</f>
        <v/>
      </c>
      <c r="H16">
        <f>(f_cd*b_col*((3*MIN(G16,h_col)/7)+(4*MIN(G16,h_col)/7)*(1-((4*MIN(G16,h_col)/7)/(G16-(3*MIN(G16,h_col)/7)))^2/3))+$D16/2*((MAX(-f_yd,MIN(f_yd,200000*IF(G16&lt;=h_col,0.0035*(G16-d_2)/G16,0.002*(G16-d_2)/(G16-3*h_col/7))))-f_cd*(1-(1-MAX(0,MIN(1,IF(G16&lt;=h_col,0.0035*(G16-d_2)/G16,0.002*(G16-d_2)/(G16-3*h_col/7))/0.002)))^2))+(MAX(-f_yd,MIN(f_yd,200000*IF(G16&lt;=h_col,0.0035*(G16-(h_col-d_2))/G16,0.002*(G16-(h_col-d_2))/(G16-3*h_col/7))))-f_cd*(1-(1-MAX(0,MIN(1,IF(G16&lt;=h_col,0.0035*(G16-(h_col-d_2))/G16,0.002*(G16-(h_col-d_2))/(G16-3*h_col/7))/0.002)))^2))))/1000</f>
        <v/>
      </c>
      <c r="I16">
        <f>IF($H16&lt;N_Ed-1E-9*MAX(1,N_Ed),(E16+F16)/2,E16)</f>
        <v/>
      </c>
      <c r="J16">
        <f>IF($H16&lt;N_Ed-1E-9*MAX(1,N_Ed),F16,(E16+F16)/2)</f>
        <v/>
      </c>
      <c r="K16">
        <f>h_col*((I16+J16)/2)/(1-(I16+J16)/2)</f>
        <v/>
      </c>
      <c r="L16">
        <f>(f_cd*b_col*((3*MIN(K16,h_col)/7)+(4*MIN(K16,h_col)/7)*(1-((4*MIN(K16,h_col)/7)/(K16-(3*MIN(K16,h_col)/7)))^2/3))+$D16/2*((MAX(-f_yd,MIN(f_yd,200000*IF(K16&lt;=h_col,0.0035*(K16-d_2)/K16,0.002*(K16-d_2)/(K16-3*h_col/7))))-f_cd*(1-(1-MAX(0,MIN(1,IF(K16&lt;=h_col,0.0035*(K16-d_2)/K16,0.002*(K16-d_2)/(K16-3*h_col/7))/0.002)))^2))+(MAX(-f_yd,MIN(f_yd,200000*IF(K16&lt;=h_col,0.0035*(K16-(h_col-d_2))/K16,0.002*(K16-(h_col-d_2))/(K16-3*h_col/7))))-f_cd*(1-(1-MAX(0,MIN(1,IF(K16&lt;=h_col,0.0035*(K16-(h_col-d_2))/K16,0.002*(K16-(h_col-d_2))/(K16-3*h_col/7))/0.002)))^2))))/1000</f>
        <v/>
      </c>
      <c r="M16">
        <f>IF($L16&lt;N_Ed-1E-9*MAX(1,N_Ed),(I16+J16)/2,I16)</f>
        <v/>
      </c>
      <c r="N16">
        <f>IF($L16&lt;N_Ed-1E-9*MAX(1,N_Ed),J16,(I16+J16)/2)</f>
        <v/>
      </c>
      <c r="O16">
        <f>h_col*((M16+N16)/2)/(1-(M16+N16)/2)</f>
        <v/>
      </c>
      <c r="P16">
        <f>(f_cd*b_col*((3*MIN(O16,h_col)/7)+(4*MIN(O16,h_col)/7)*(1-((4*MIN(O16,h_col)/7)/(O16-(3*MIN(O16,h_col)/7)))^2/3))+$D16/2*((MAX(-f_yd,MIN(f_yd,200000*IF(O16&lt;=h_col,0.0035*(O16-d_2)/O16,0.002*(O16-d_2)/(O16-3*h_col/7))))-f_cd*(1-(1-MAX(0,MIN(1,IF(O16&lt;=h_col,0.0035*(O16-d_2)/O16,0.002*(O16-d_2)/(O16-3*h_col/7))/0.002)))^2))+(MAX(-f_yd,MIN(f_yd,200000*IF(O16&lt;=h_col,0.0035*(O16-(h_col-d_2))/O16,0.002*(O16-(h_col-d_2))/(O16-3*h_col/7))))-f_cd*(1-(1-MAX(0,MIN(1,IF(O16&lt;=h_col,0.0035*(O16-(h_col-d_2))/O16,0.002*(O16-(h_col-d_2))/(O16-3*h_col/7))/0.002)))^2))))/1000</f>
        <v/>
      </c>
      <c r="Q16">
        <f>IF($P16&lt;N_Ed-1E-9*MAX(1,N_Ed),(M16+N16)/2,M16)</f>
        <v/>
      </c>
      <c r="R16">
        <f>IF($P16&lt;N_Ed-1E-9*MAX(1,N_Ed),N16,(M16+N16)/2)</f>
        <v/>
      </c>
      <c r="S16">
        <f>h_col*((Q16+R16)/2)/(1-(Q16+R16)/2)</f>
        <v/>
      </c>
      <c r="T16">
        <f>(f_cd*b_col*((3*MIN(S16,h_col)/7)+(4*MIN(S16,h_col)/7)*(1-((4*MIN(S16,h_col)/7)/(S16-(3*MIN(S16,h_col)/7)))^2/3))+$D16/2*((MAX(-f_yd,MIN(f_yd,200000*IF(S16&lt;=h_col,0.0035*(S16-d_2)/S16,0.002*(S16-d_2)/(S16-3*h_col/7))))-f_cd*(1-(1-MAX(0,MIN(1,IF(S16&lt;=h_col,0.0035*(S16-d_2)/S16,0.002*(S16-d_2)/(S16-3*h_col/7))/0.002)))^2))+(MAX(-f_yd,MIN(f_yd,200000*IF(S16&lt;=h_col,0.0035*(S16-(h_col-d_2))/S16,0.002*(S16-(h_col-d_2))/(S16-3*h_col/7))))-f_cd*(1-(1-MAX(0,MIN(1,IF(S16&lt;=h_col,0.0035*(S16-(h_col-d_2))/S16,0.002*(S16-(h_col-d_2))/(S16-3*h_col/7))/0.002)))^2))))/1000</f>
        <v/>
      </c>
      <c r="U16">
        <f>IF($T16&lt;N_Ed-1E-9*MAX(1,N_Ed),(Q16+R16)/2,Q16)</f>
        <v/>
      </c>
      <c r="V16">
        <f>IF($T16&lt;N_Ed-1E-9*MAX(1,N_Ed),R16,(Q16+R16)/2)</f>
        <v/>
      </c>
      <c r="W16">
        <f>h_col*((U16+V16)/2)/(1-(U16+V16)/2)</f>
        <v/>
      </c>
      <c r="X16">
        <f>(f_cd*b_col*((3*MIN(W16,h_col)/7)+(4*MIN(W16,h_col)/7)*(1-((4*MIN(W16,h_col)/7)/(W16-(3*MIN(W16,h_col)/7)))^2/3))+$D16/2*((MAX(-f_yd,MIN(f_yd,200000*IF(W16&lt;=h_col,0.0035*(W16-d_2)/W16,0.002*(W16-d_2)/(W16-3*h_col/7))))-f_cd*(1-(1-MAX(0,MIN(1,IF(W16&lt;=h_col,0.0035*(W16-d_2)/W16,0.002*(W16-d_2)/(W16-3*h_col/7))/0.002)))^2))+(MAX(-f_yd,MIN(f_yd,200000*IF(W16&lt;=h_col,0.0035*(W16-(h_col-d_2))/W16,0.002*(W16-(h_col-d_2))/(W16-3*h_col/7))))-f_cd*(1-(1-MAX(0,MIN(1,IF(W16&lt;=h_col,0.0035*(W16-(h_col-d_2))/W16,0.002*(W16-(h_col-d_2))/(W16-3*h_col/7))/0.002)))^2))))/1000</f>
        <v/>
      </c>
      <c r="Y16">
        <f>IF($X16&lt;N_Ed-1E-9*MAX(1,N_Ed),(U16+V16)/2,U16)</f>
        <v/>
      </c>
      <c r="Z16">
        <f>IF($X16&lt;N_Ed-1E-9*MAX(1,N_Ed),V16,(U16+V16)/2)</f>
        <v/>
      </c>
      <c r="AA16">
        <f>h_col*((Y16+Z16)/2)/(1-(Y16+Z16)/2)</f>
        <v/>
      </c>
      <c r="AB16">
        <f>(f_cd*b_col*((3*MIN(AA16,h_col)/7)+(4*MIN(AA16,h_col)/7)*(1-((4*MIN(AA16,h_col)/7)/(AA16-(3*MIN(AA16,h_col)/7)))^2/3))+$D16/2*((MAX(-f_yd,MIN(f_yd,200000*IF(AA16&lt;=h_col,0.0035*(AA16-d_2)/AA16,0.002*(AA16-d_2)/(AA16-3*h_col/7))))-f_cd*(1-(1-MAX(0,MIN(1,IF(AA16&lt;=h_col,0.0035*(AA16-d_2)/AA16,0.002*(AA16-d_2)/(AA16-3*h_col/7))/0.002)))^2))+(MAX(-f_yd,MIN(f_yd,200000*IF(AA16&lt;=h_col,0.0035*(AA16-(h_col-d_2))/AA16,0.002*(AA16-(h_col-d_2))/(AA16-3*h_col/7))))-f_cd*(1-(1-MAX(0,MIN(1,IF(AA16&lt;=h_col,0.0035*(AA16-(h_col-d_2))/AA16,0.002*(AA16-(h_col-d_2))/(AA16-3*h_col/7))/0.002)))^2))))/1000</f>
        <v/>
      </c>
      <c r="AC16">
        <f>IF($AB16&lt;N_Ed-1E-9*MAX(1,N_Ed),(Y16+Z16)/2,Y16)</f>
        <v/>
      </c>
      <c r="AD16">
        <f>IF($AB16&lt;N_Ed-1E-9*MAX(1,N_Ed),Z16,(Y16+Z16)/2)</f>
        <v/>
      </c>
      <c r="AE16">
        <f>h_col*((AC16+AD16)/2)/(1-(AC16+AD16)/2)</f>
        <v/>
      </c>
      <c r="AF16">
        <f>(f_cd*b_col*((3*MIN(AE16,h_col)/7)+(4*MIN(AE16,h_col)/7)*(1-((4*MIN(AE16,h_col)/7)/(AE16-(3*MIN(AE16,h_col)/7)))^2/3))+$D16/2*((MAX(-f_yd,MIN(f_yd,200000*IF(AE16&lt;=h_col,0.0035*(AE16-d_2)/AE16,0.002*(AE16-d_2)/(AE16-3*h_col/7))))-f_cd*(1-(1-MAX(0,MIN(1,IF(AE16&lt;=h_col,0.0035*(AE16-d_2)/AE16,0.002*(AE16-d_2)/(AE16-3*h_col/7))/0.002)))^2))+(MAX(-f_yd,MIN(f_yd,200000*IF(AE16&lt;=h_col,0.0035*(AE16-(h_col-d_2))/AE16,0.002*(AE16-(h_col-d_2))/(AE16-3*h_col/7))))-f_cd*(1-(1-MAX(0,MIN(1,IF(AE16&lt;=h_col,0.0035*(AE16-(h_col-d_2))/AE16,0.002*(AE16-(h_col-d_2))/(AE16-3*h_col/7))/0.002)))^2))))/1000</f>
        <v/>
      </c>
      <c r="AG16">
        <f>IF($AF16&lt;N_Ed-1E-9*MAX(1,N_Ed),(AC16+AD16)/2,AC16)</f>
        <v/>
      </c>
      <c r="AH16">
        <f>IF($AF16&lt;N_Ed-1E-9*MAX(1,N_Ed),AD16,(AC16+AD16)/2)</f>
        <v/>
      </c>
      <c r="AI16">
        <f>h_col*((AG16+AH16)/2)/(1-(AG16+AH16)/2)</f>
        <v/>
      </c>
      <c r="AJ16">
        <f>(f_cd*b_col*((3*MIN(AI16,h_col)/7)+(4*MIN(AI16,h_col)/7)*(1-((4*MIN(AI16,h_col)/7)/(AI16-(3*MIN(AI16,h_col)/7)))^2/3))+$D16/2*((MAX(-f_yd,MIN(f_yd,200000*IF(AI16&lt;=h_col,0.0035*(AI16-d_2)/AI16,0.002*(AI16-d_2)/(AI16-3*h_col/7))))-f_cd*(1-(1-MAX(0,MIN(1,IF(AI16&lt;=h_col,0.0035*(AI16-d_2)/AI16,0.002*(AI16-d_2)/(AI16-3*h_col/7))/0.002)))^2))+(MAX(-f_yd,MIN(f_yd,200000*IF(AI16&lt;=h_col,0.0035*(AI16-(h_col-d_2))/AI16,0.002*(AI16-(h_col-d_2))/(AI16-3*h_col/7))))-f_cd*(1-(1-MAX(0,MIN(1,IF(AI16&lt;=h_col,0.0035*(AI16-(h_col-d_2))/AI16,0.002*(AI16-(h_col-d_2))/(AI16-3*h_col/7))/0.002)))^2))))/1000</f>
        <v/>
      </c>
      <c r="AK16">
        <f>IF($AJ16&lt;N_Ed-1E-9*MAX(1,N_Ed),(AG16+AH16)/2,AG16)</f>
        <v/>
      </c>
      <c r="AL16">
        <f>IF($AJ16&lt;N_Ed-1E-9*MAX(1,N_Ed),AH16,(AG16+AH16)/2)</f>
        <v/>
      </c>
      <c r="AM16">
        <f>h_col*((AK16+AL16)/2)/(1-(AK16+AL16)/2)</f>
        <v/>
      </c>
      <c r="AN16">
        <f>(f_cd*b_col*((3*MIN(AM16,h_col)/7)+(4*MIN(AM16,h_col)/7)*(1-((4*MIN(AM16,h_col)/7)/(AM16-(3*MIN(AM16,h_col)/7)))^2/3))+$D16/2*((MAX(-f_yd,MIN(f_yd,200000*IF(AM16&lt;=h_col,0.0035*(AM16-d_2)/AM16,0.002*(AM16-d_2)/(AM16-3*h_col/7))))-f_cd*(1-(1-MAX(0,MIN(1,IF(AM16&lt;=h_col,0.0035*(AM16-d_2)/AM16,0.002*(AM16-d_2)/(AM16-3*h_col/7))/0.002)))^2))+(MAX(-f_yd,MIN(f_yd,200000*IF(AM16&lt;=h_col,0.0035*(AM16-(h_col-d_2))/AM16,0.002*(AM16-(h_col-d_2))/(AM16-3*h_col/7))))-f_cd*(1-(1-MAX(0,MIN(1,IF(AM16&lt;=h_col,0.0035*(AM16-(h_col-d_2))/AM16,0.002*(AM16-(h_col-d_2))/(AM16-3*h_col/7))/0.002)))^2))))/1000</f>
        <v/>
      </c>
      <c r="AO16">
        <f>IF($AN16&lt;N_Ed-1E-9*MAX(1,N_Ed),(AK16+AL16)/2,AK16)</f>
        <v/>
      </c>
      <c r="AP16">
        <f>IF($AN16&lt;N_Ed-1E-9*MAX(1,N_Ed),AL16,(AK16+AL16)/2)</f>
        <v/>
      </c>
      <c r="AQ16">
        <f>h_col*((AO16+AP16)/2)/(1-(AO16+AP16)/2)</f>
        <v/>
      </c>
      <c r="AR16">
        <f>(f_cd*b_col*((3*MIN(AQ16,h_col)/7)+(4*MIN(AQ16,h_col)/7)*(1-((4*MIN(AQ16,h_col)/7)/(AQ16-(3*MIN(AQ16,h_col)/7)))^2/3))+$D16/2*((MAX(-f_yd,MIN(f_yd,200000*IF(AQ16&lt;=h_col,0.0035*(AQ16-d_2)/AQ16,0.002*(AQ16-d_2)/(AQ16-3*h_col/7))))-f_cd*(1-(1-MAX(0,MIN(1,IF(AQ16&lt;=h_col,0.0035*(AQ16-d_2)/AQ16,0.002*(AQ16-d_2)/(AQ16-3*h_col/7))/0.002)))^2))+(MAX(-f_yd,MIN(f_yd,200000*IF(AQ16&lt;=h_col,0.0035*(AQ16-(h_col-d_2))/AQ16,0.002*(AQ16-(h_col-d_2))/(AQ16-3*h_col/7))))-f_cd*(1-(1-MAX(0,MIN(1,IF(AQ16&lt;=h_col,0.0035*(AQ16-(h_col-d_2))/AQ16,0.002*(AQ16-(h_col-d_2))/(AQ16-3*h_col/7))/0.002)))^2))))/1000</f>
        <v/>
      </c>
      <c r="AS16">
        <f>IF($AR16&lt;N_Ed-1E-9*MAX(1,N_Ed),(AO16+AP16)/2,AO16)</f>
        <v/>
      </c>
      <c r="AT16">
        <f>IF($AR16&lt;N_Ed-1E-9*MAX(1,N_Ed),AP16,(AO16+AP16)/2)</f>
        <v/>
      </c>
      <c r="AU16">
        <f>h_col*((AS16+AT16)/2)/(1-(AS16+AT16)/2)</f>
        <v/>
      </c>
      <c r="AV16">
        <f>(f_cd*b_col*((3*MIN(AU16,h_col)/7)+(4*MIN(AU16,h_col)/7)*(1-((4*MIN(AU16,h_col)/7)/(AU16-(3*MIN(AU16,h_col)/7)))^2/3))+$D16/2*((MAX(-f_yd,MIN(f_yd,200000*IF(AU16&lt;=h_col,0.0035*(AU16-d_2)/AU16,0.002*(AU16-d_2)/(AU16-3*h_col/7))))-f_cd*(1-(1-MAX(0,MIN(1,IF(AU16&lt;=h_col,0.0035*(AU16-d_2)/AU16,0.002*(AU16-d_2)/(AU16-3*h_col/7))/0.002)))^2))+(MAX(-f_yd,MIN(f_yd,200000*IF(AU16&lt;=h_col,0.0035*(AU16-(h_col-d_2))/AU16,0.002*(AU16-(h_col-d_2))/(AU16-3*h_col/7))))-f_cd*(1-(1-MAX(0,MIN(1,IF(AU16&lt;=h_col,0.0035*(AU16-(h_col-d_2))/AU16,0.002*(AU16-(h_col-d_2))/(AU16-3*h_col/7))/0.002)))^2))))/1000</f>
        <v/>
      </c>
      <c r="AW16">
        <f>IF($AV16&lt;N_Ed-1E-9*MAX(1,N_Ed),(AS16+AT16)/2,AS16)</f>
        <v/>
      </c>
      <c r="AX16">
        <f>IF($AV16&lt;N_Ed-1E-9*MAX(1,N_Ed),AT16,(AS16+AT16)/2)</f>
        <v/>
      </c>
      <c r="AY16">
        <f>h_col*((AW16+AX16)/2)/(1-(AW16+AX16)/2)</f>
        <v/>
      </c>
      <c r="AZ16">
        <f>(f_cd*b_col*((3*MIN(AY16,h_col)/7)+(4*MIN(AY16,h_col)/7)*(1-((4*MIN(AY16,h_col)/7)/(AY16-(3*MIN(AY16,h_col)/7)))^2/3))+$D16/2*((MAX(-f_yd,MIN(f_yd,200000*IF(AY16&lt;=h_col,0.0035*(AY16-d_2)/AY16,0.002*(AY16-d_2)/(AY16-3*h_col/7))))-f_cd*(1-(1-MAX(0,MIN(1,IF(AY16&lt;=h_col,0.0035*(AY16-d_2)/AY16,0.002*(AY16-d_2)/(AY16-3*h_col/7))/0.002)))^2))+(MAX(-f_yd,MIN(f_yd,200000*IF(AY16&lt;=h_col,0.0035*(AY16-(h_col-d_2))/AY16,0.002*(AY16-(h_col-d_2))/(AY16-3*h_col/7))))-f_cd*(1-(1-MAX(0,MIN(1,IF(AY16&lt;=h_col,0.0035*(AY16-(h_col-d_2))/AY16,0.002*(AY16-(h_col-d_2))/(AY16-3*h_col/7))/0.002)))^2))))/1000</f>
        <v/>
      </c>
      <c r="BA16">
        <f>IF($AZ16&lt;N_Ed-1E-9*MAX(1,N_Ed),(AW16+AX16)/2,AW16)</f>
        <v/>
      </c>
      <c r="BB16">
        <f>IF($AZ16&lt;N_Ed-1E-9*MAX(1,N_Ed),AX16,(AW16+AX16)/2)</f>
        <v/>
      </c>
      <c r="BC16">
        <f>h_col*((BA16+BB16)/2)/(1-(BA16+BB16)/2)</f>
        <v/>
      </c>
      <c r="BD16">
        <f>(f_cd*b_col*((3*MIN(BC16,h_col)/7)+(4*MIN(BC16,h_col)/7)*(1-((4*MIN(BC16,h_col)/7)/(BC16-(3*MIN(BC16,h_col)/7)))^2/3))+$D16/2*((MAX(-f_yd,MIN(f_yd,200000*IF(BC16&lt;=h_col,0.0035*(BC16-d_2)/BC16,0.002*(BC16-d_2)/(BC16-3*h_col/7))))-f_cd*(1-(1-MAX(0,MIN(1,IF(BC16&lt;=h_col,0.0035*(BC16-d_2)/BC16,0.002*(BC16-d_2)/(BC16-3*h_col/7))/0.002)))^2))+(MAX(-f_yd,MIN(f_yd,200000*IF(BC16&lt;=h_col,0.0035*(BC16-(h_col-d_2))/BC16,0.002*(BC16-(h_col-d_2))/(BC16-3*h_col/7))))-f_cd*(1-(1-MAX(0,MIN(1,IF(BC16&lt;=h_col,0.0035*(BC16-(h_col-d_2))/BC16,0.002*(BC16-(h_col-d_2))/(BC16-3*h_col/7))/0.002)))^2))))/1000</f>
        <v/>
      </c>
      <c r="BE16">
        <f>IF($BD16&lt;N_Ed-1E-9*MAX(1,N_Ed),(BA16+BB16)/2,BA16)</f>
        <v/>
      </c>
      <c r="BF16">
        <f>IF($BD16&lt;N_Ed-1E-9*MAX(1,N_Ed),BB16,(BA16+BB16)/2)</f>
        <v/>
      </c>
      <c r="BG16">
        <f>h_col*((BE16+BF16)/2)/(1-(BE16+BF16)/2)</f>
        <v/>
      </c>
      <c r="BH16">
        <f>(f_cd*b_col*((3*MIN(BG16,h_col)/7)+(4*MIN(BG16,h_col)/7)*(1-((4*MIN(BG16,h_col)/7)/(BG16-(3*MIN(BG16,h_col)/7)))^2/3))+$D16/2*((MAX(-f_yd,MIN(f_yd,200000*IF(BG16&lt;=h_col,0.0035*(BG16-d_2)/BG16,0.002*(BG16-d_2)/(BG16-3*h_col/7))))-f_cd*(1-(1-MAX(0,MIN(1,IF(BG16&lt;=h_col,0.0035*(BG16-d_2)/BG16,0.002*(BG16-d_2)/(BG16-3*h_col/7))/0.002)))^2))+(MAX(-f_yd,MIN(f_yd,200000*IF(BG16&lt;=h_col,0.0035*(BG16-(h_col-d_2))/BG16,0.002*(BG16-(h_col-d_2))/(BG16-3*h_col/7))))-f_cd*(1-(1-MAX(0,MIN(1,IF(BG16&lt;=h_col,0.0035*(BG16-(h_col-d_2))/BG16,0.002*(BG16-(h_col-d_2))/(BG16-3*h_col/7))/0.002)))^2))))/1000</f>
        <v/>
      </c>
      <c r="BI16">
        <f>IF($BH16&lt;N_Ed-1E-9*MAX(1,N_Ed),(BE16+BF16)/2,BE16)</f>
        <v/>
      </c>
      <c r="BJ16">
        <f>IF($BH16&lt;N_Ed-1E-9*MAX(1,N_Ed),BF16,(BE16+BF16)/2)</f>
        <v/>
      </c>
      <c r="BK16">
        <f>h_col*((BI16+BJ16)/2)/(1-(BI16+BJ16)/2)</f>
        <v/>
      </c>
      <c r="BL16">
        <f>(f_cd*b_col*((3*MIN(BK16,h_col)/7)+(4*MIN(BK16,h_col)/7)*(1-((4*MIN(BK16,h_col)/7)/(BK16-(3*MIN(BK16,h_col)/7)))^2/3))+$D16/2*((MAX(-f_yd,MIN(f_yd,200000*IF(BK16&lt;=h_col,0.0035*(BK16-d_2)/BK16,0.002*(BK16-d_2)/(BK16-3*h_col/7))))-f_cd*(1-(1-MAX(0,MIN(1,IF(BK16&lt;=h_col,0.0035*(BK16-d_2)/BK16,0.002*(BK16-d_2)/(BK16-3*h_col/7))/0.002)))^2))+(MAX(-f_yd,MIN(f_yd,200000*IF(BK16&lt;=h_col,0.0035*(BK16-(h_col-d_2))/BK16,0.002*(BK16-(h_col-d_2))/(BK16-3*h_col/7))))-f_cd*(1-(1-MAX(0,MIN(1,IF(BK16&lt;=h_col,0.0035*(BK16-(h_col-d_2))/BK16,0.002*(BK16-(h_col-d_2))/(BK16-3*h_col/7))/0.002)))^2))))/1000</f>
        <v/>
      </c>
      <c r="BM16">
        <f>IF($BL16&lt;N_Ed-1E-9*MAX(1,N_Ed),(BI16+BJ16)/2,BI16)</f>
        <v/>
      </c>
      <c r="BN16">
        <f>IF($BL16&lt;N_Ed-1E-9*MAX(1,N_Ed),BJ16,(BI16+BJ16)/2)</f>
        <v/>
      </c>
      <c r="BO16">
        <f>h_col*((BM16+BN16)/2)/(1-(BM16+BN16)/2)</f>
        <v/>
      </c>
      <c r="BP16">
        <f>(f_cd*b_col*((3*MIN(BO16,h_col)/7)+(4*MIN(BO16,h_col)/7)*(1-((4*MIN(BO16,h_col)/7)/(BO16-(3*MIN(BO16,h_col)/7)))^2/3))+$D16/2*((MAX(-f_yd,MIN(f_yd,200000*IF(BO16&lt;=h_col,0.0035*(BO16-d_2)/BO16,0.002*(BO16-d_2)/(BO16-3*h_col/7))))-f_cd*(1-(1-MAX(0,MIN(1,IF(BO16&lt;=h_col,0.0035*(BO16-d_2)/BO16,0.002*(BO16-d_2)/(BO16-3*h_col/7))/0.002)))^2))+(MAX(-f_yd,MIN(f_yd,200000*IF(BO16&lt;=h_col,0.0035*(BO16-(h_col-d_2))/BO16,0.002*(BO16-(h_col-d_2))/(BO16-3*h_col/7))))-f_cd*(1-(1-MAX(0,MIN(1,IF(BO16&lt;=h_col,0.0035*(BO16-(h_col-d_2))/BO16,0.002*(BO16-(h_col-d_2))/(BO16-3*h_col/7))/0.002)))^2))))/1000</f>
        <v/>
      </c>
      <c r="BQ16">
        <f>IF($BP16&lt;N_Ed-1E-9*MAX(1,N_Ed),(BM16+BN16)/2,BM16)</f>
        <v/>
      </c>
      <c r="BR16">
        <f>IF($BP16&lt;N_Ed-1E-9*MAX(1,N_Ed),BN16,(BM16+BN16)/2)</f>
        <v/>
      </c>
      <c r="BS16">
        <f>h_col*((BQ16+BR16)/2)/(1-(BQ16+BR16)/2)</f>
        <v/>
      </c>
      <c r="BT16">
        <f>(f_cd*b_col*((3*MIN(BS16,h_col)/7)+(4*MIN(BS16,h_col)/7)*(1-((4*MIN(BS16,h_col)/7)/(BS16-(3*MIN(BS16,h_col)/7)))^2/3))+$D16/2*((MAX(-f_yd,MIN(f_yd,200000*IF(BS16&lt;=h_col,0.0035*(BS16-d_2)/BS16,0.002*(BS16-d_2)/(BS16-3*h_col/7))))-f_cd*(1-(1-MAX(0,MIN(1,IF(BS16&lt;=h_col,0.0035*(BS16-d_2)/BS16,0.002*(BS16-d_2)/(BS16-3*h_col/7))/0.002)))^2))+(MAX(-f_yd,MIN(f_yd,200000*IF(BS16&lt;=h_col,0.0035*(BS16-(h_col-d_2))/BS16,0.002*(BS16-(h_col-d_2))/(BS16-3*h_col/7))))-f_cd*(1-(1-MAX(0,MIN(1,IF(BS16&lt;=h_col,0.0035*(BS16-(h_col-d_2))/BS16,0.002*(BS16-(h_col-d_2))/(BS16-3*h_col/7))/0.002)))^2))))/1000</f>
        <v/>
      </c>
      <c r="BU16">
        <f>IF($BT16&lt;N_Ed-1E-9*MAX(1,N_Ed),(BQ16+BR16)/2,BQ16)</f>
        <v/>
      </c>
      <c r="BV16">
        <f>IF($BT16&lt;N_Ed-1E-9*MAX(1,N_Ed),BR16,(BQ16+BR16)/2)</f>
        <v/>
      </c>
      <c r="BW16">
        <f>h_col*((BU16+BV16)/2)/(1-(BU16+BV16)/2)</f>
        <v/>
      </c>
      <c r="BX16">
        <f>(f_cd*b_col*((3*MIN(BW16,h_col)/7)+(4*MIN(BW16,h_col)/7)*(1-((4*MIN(BW16,h_col)/7)/(BW16-(3*MIN(BW16,h_col)/7)))^2/3))+$D16/2*((MAX(-f_yd,MIN(f_yd,200000*IF(BW16&lt;=h_col,0.0035*(BW16-d_2)/BW16,0.002*(BW16-d_2)/(BW16-3*h_col/7))))-f_cd*(1-(1-MAX(0,MIN(1,IF(BW16&lt;=h_col,0.0035*(BW16-d_2)/BW16,0.002*(BW16-d_2)/(BW16-3*h_col/7))/0.002)))^2))+(MAX(-f_yd,MIN(f_yd,200000*IF(BW16&lt;=h_col,0.0035*(BW16-(h_col-d_2))/BW16,0.002*(BW16-(h_col-d_2))/(BW16-3*h_col/7))))-f_cd*(1-(1-MAX(0,MIN(1,IF(BW16&lt;=h_col,0.0035*(BW16-(h_col-d_2))/BW16,0.002*(BW16-(h_col-d_2))/(BW16-3*h_col/7))/0.002)))^2))))/1000</f>
        <v/>
      </c>
      <c r="BY16">
        <f>IF($BX16&lt;N_Ed-1E-9*MAX(1,N_Ed),(BU16+BV16)/2,BU16)</f>
        <v/>
      </c>
      <c r="BZ16">
        <f>IF($BX16&lt;N_Ed-1E-9*MAX(1,N_Ed),BV16,(BU16+BV16)/2)</f>
        <v/>
      </c>
      <c r="CA16">
        <f>h_col*((BY16+BZ16)/2)/(1-(BY16+BZ16)/2)</f>
        <v/>
      </c>
      <c r="CB16">
        <f>(f_cd*b_col*((3*MIN(CA16,h_col)/7)+(4*MIN(CA16,h_col)/7)*(1-((4*MIN(CA16,h_col)/7)/(CA16-(3*MIN(CA16,h_col)/7)))^2/3))+$D16/2*((MAX(-f_yd,MIN(f_yd,200000*IF(CA16&lt;=h_col,0.0035*(CA16-d_2)/CA16,0.002*(CA16-d_2)/(CA16-3*h_col/7))))-f_cd*(1-(1-MAX(0,MIN(1,IF(CA16&lt;=h_col,0.0035*(CA16-d_2)/CA16,0.002*(CA16-d_2)/(CA16-3*h_col/7))/0.002)))^2))+(MAX(-f_yd,MIN(f_yd,200000*IF(CA16&lt;=h_col,0.0035*(CA16-(h_col-d_2))/CA16,0.002*(CA16-(h_col-d_2))/(CA16-3*h_col/7))))-f_cd*(1-(1-MAX(0,MIN(1,IF(CA16&lt;=h_col,0.0035*(CA16-(h_col-d_2))/CA16,0.002*(CA16-(h_col-d_2))/(CA16-3*h_col/7))/0.002)))^2))))/1000</f>
        <v/>
      </c>
      <c r="CC16">
        <f>IF($CB16&lt;N_Ed-1E-9*MAX(1,N_Ed),(BY16+BZ16)/2,BY16)</f>
        <v/>
      </c>
      <c r="CD16">
        <f>IF($CB16&lt;N_Ed-1E-9*MAX(1,N_Ed),BZ16,(BY16+BZ16)/2)</f>
        <v/>
      </c>
      <c r="CE16">
        <f>h_col*((CC16+CD16)/2)/(1-(CC16+CD16)/2)</f>
        <v/>
      </c>
      <c r="CF16">
        <f>(f_cd*b_col*((3*MIN(CE16,h_col)/7)+(4*MIN(CE16,h_col)/7)*(1-((4*MIN(CE16,h_col)/7)/(CE16-(3*MIN(CE16,h_col)/7)))^2/3))+$D16/2*((MAX(-f_yd,MIN(f_yd,200000*IF(CE16&lt;=h_col,0.0035*(CE16-d_2)/CE16,0.002*(CE16-d_2)/(CE16-3*h_col/7))))-f_cd*(1-(1-MAX(0,MIN(1,IF(CE16&lt;=h_col,0.0035*(CE16-d_2)/CE16,0.002*(CE16-d_2)/(CE16-3*h_col/7))/0.002)))^2))+(MAX(-f_yd,MIN(f_yd,200000*IF(CE16&lt;=h_col,0.0035*(CE16-(h_col-d_2))/CE16,0.002*(CE16-(h_col-d_2))/(CE16-3*h_col/7))))-f_cd*(1-(1-MAX(0,MIN(1,IF(CE16&lt;=h_col,0.0035*(CE16-(h_col-d_2))/CE16,0.002*(CE16-(h_col-d_2))/(CE16-3*h_col/7))/0.002)))^2))))/1000</f>
        <v/>
      </c>
      <c r="CG16">
        <f>IF($CF16&lt;N_Ed-1E-9*MAX(1,N_Ed),(CC16+CD16)/2,CC16)</f>
        <v/>
      </c>
      <c r="CH16">
        <f>IF($CF16&lt;N_Ed-1E-9*MAX(1,N_Ed),CD16,(CC16+CD16)/2)</f>
        <v/>
      </c>
      <c r="CI16">
        <f>h_col*((CG16+CH16)/2)/(1-(CG16+CH16)/2)</f>
        <v/>
      </c>
      <c r="CJ16">
        <f>(f_cd*b_col*((3*MIN(CI16,h_col)/7)+(4*MIN(CI16,h_col)/7)*(1-((4*MIN(CI16,h_col)/7)/(CI16-(3*MIN(CI16,h_col)/7)))^2/3))+$D16/2*((MAX(-f_yd,MIN(f_yd,200000*IF(CI16&lt;=h_col,0.0035*(CI16-d_2)/CI16,0.002*(CI16-d_2)/(CI16-3*h_col/7))))-f_cd*(1-(1-MAX(0,MIN(1,IF(CI16&lt;=h_col,0.0035*(CI16-d_2)/CI16,0.002*(CI16-d_2)/(CI16-3*h_col/7))/0.002)))^2))+(MAX(-f_yd,MIN(f_yd,200000*IF(CI16&lt;=h_col,0.0035*(CI16-(h_col-d_2))/CI16,0.002*(CI16-(h_col-d_2))/(CI16-3*h_col/7))))-f_cd*(1-(1-MAX(0,MIN(1,IF(CI16&lt;=h_col,0.0035*(CI16-(h_col-d_2))/CI16,0.002*(CI16-(h_col-d_2))/(CI16-3*h_col/7))/0.002)))^2))))/1000</f>
        <v/>
      </c>
      <c r="CK16">
        <f>IF($CJ16&lt;N_Ed-1E-9*MAX(1,N_Ed),(CG16+CH16)/2,CG16)</f>
        <v/>
      </c>
      <c r="CL16">
        <f>IF($CJ16&lt;N_Ed-1E-9*MAX(1,N_Ed),CH16,(CG16+CH16)/2)</f>
        <v/>
      </c>
      <c r="CM16">
        <f>h_col*((CK16+CL16)/2)/(1-(CK16+CL16)/2)</f>
        <v/>
      </c>
      <c r="CN16">
        <f>(f_cd*b_col*((3*MIN(CM16,h_col)/7)+(4*MIN(CM16,h_col)/7)*(1-((4*MIN(CM16,h_col)/7)/(CM16-(3*MIN(CM16,h_col)/7)))^2/3))+$D16/2*((MAX(-f_yd,MIN(f_yd,200000*IF(CM16&lt;=h_col,0.0035*(CM16-d_2)/CM16,0.002*(CM16-d_2)/(CM16-3*h_col/7))))-f_cd*(1-(1-MAX(0,MIN(1,IF(CM16&lt;=h_col,0.0035*(CM16-d_2)/CM16,0.002*(CM16-d_2)/(CM16-3*h_col/7))/0.002)))^2))+(MAX(-f_yd,MIN(f_yd,200000*IF(CM16&lt;=h_col,0.0035*(CM16-(h_col-d_2))/CM16,0.002*(CM16-(h_col-d_2))/(CM16-3*h_col/7))))-f_cd*(1-(1-MAX(0,MIN(1,IF(CM16&lt;=h_col,0.0035*(CM16-(h_col-d_2))/CM16,0.002*(CM16-(h_col-d_2))/(CM16-3*h_col/7))/0.002)))^2))))/1000</f>
        <v/>
      </c>
      <c r="CO16">
        <f>IF($CN16&lt;N_Ed-1E-9*MAX(1,N_Ed),(CK16+CL16)/2,CK16)</f>
        <v/>
      </c>
      <c r="CP16">
        <f>IF($CN16&lt;N_Ed-1E-9*MAX(1,N_Ed),CL16,(CK16+CL16)/2)</f>
        <v/>
      </c>
      <c r="CQ16">
        <f>h_col*((CO16+CP16)/2)/(1-(CO16+CP16)/2)</f>
        <v/>
      </c>
      <c r="CR16">
        <f>(f_cd*b_col*((3*MIN(CQ16,h_col)/7)+(4*MIN(CQ16,h_col)/7)*(1-((4*MIN(CQ16,h_col)/7)/(CQ16-(3*MIN(CQ16,h_col)/7)))^2/3))+$D16/2*((MAX(-f_yd,MIN(f_yd,200000*IF(CQ16&lt;=h_col,0.0035*(CQ16-d_2)/CQ16,0.002*(CQ16-d_2)/(CQ16-3*h_col/7))))-f_cd*(1-(1-MAX(0,MIN(1,IF(CQ16&lt;=h_col,0.0035*(CQ16-d_2)/CQ16,0.002*(CQ16-d_2)/(CQ16-3*h_col/7))/0.002)))^2))+(MAX(-f_yd,MIN(f_yd,200000*IF(CQ16&lt;=h_col,0.0035*(CQ16-(h_col-d_2))/CQ16,0.002*(CQ16-(h_col-d_2))/(CQ16-3*h_col/7))))-f_cd*(1-(1-MAX(0,MIN(1,IF(CQ16&lt;=h_col,0.0035*(CQ16-(h_col-d_2))/CQ16,0.002*(CQ16-(h_col-d_2))/(CQ16-3*h_col/7))/0.002)))^2))))/1000</f>
        <v/>
      </c>
      <c r="CS16">
        <f>IF($CR16&lt;N_Ed-1E-9*MAX(1,N_Ed),(CO16+CP16)/2,CO16)</f>
        <v/>
      </c>
      <c r="CT16">
        <f>IF($CR16&lt;N_Ed-1E-9*MAX(1,N_Ed),CP16,(CO16+CP16)/2)</f>
        <v/>
      </c>
      <c r="CU16">
        <f>h_col*((CS16+CT16)/2)/(1-(CS16+CT16)/2)</f>
        <v/>
      </c>
      <c r="CV16">
        <f>(f_cd*b_col*((3*MIN(CU16,h_col)/7)+(4*MIN(CU16,h_col)/7)*(1-((4*MIN(CU16,h_col)/7)/(CU16-(3*MIN(CU16,h_col)/7)))^2/3))+$D16/2*((MAX(-f_yd,MIN(f_yd,200000*IF(CU16&lt;=h_col,0.0035*(CU16-d_2)/CU16,0.002*(CU16-d_2)/(CU16-3*h_col/7))))-f_cd*(1-(1-MAX(0,MIN(1,IF(CU16&lt;=h_col,0.0035*(CU16-d_2)/CU16,0.002*(CU16-d_2)/(CU16-3*h_col/7))/0.002)))^2))+(MAX(-f_yd,MIN(f_yd,200000*IF(CU16&lt;=h_col,0.0035*(CU16-(h_col-d_2))/CU16,0.002*(CU16-(h_col-d_2))/(CU16-3*h_col/7))))-f_cd*(1-(1-MAX(0,MIN(1,IF(CU16&lt;=h_col,0.0035*(CU16-(h_col-d_2))/CU16,0.002*(CU16-(h_col-d_2))/(CU16-3*h_col/7))/0.002)))^2))))/1000</f>
        <v/>
      </c>
      <c r="CW16">
        <f>IF($CV16&lt;N_Ed-1E-9*MAX(1,N_Ed),(CS16+CT16)/2,CS16)</f>
        <v/>
      </c>
      <c r="CX16">
        <f>IF($CV16&lt;N_Ed-1E-9*MAX(1,N_Ed),CT16,(CS16+CT16)/2)</f>
        <v/>
      </c>
      <c r="CY16">
        <f>h_col*((CW16+CX16)/2)/(1-(CW16+CX16)/2)</f>
        <v/>
      </c>
      <c r="CZ16">
        <f>(f_cd*b_col*((3*MIN(CY16,h_col)/7)+(4*MIN(CY16,h_col)/7)*(1-((4*MIN(CY16,h_col)/7)/(CY16-(3*MIN(CY16,h_col)/7)))^2/3))+$D16/2*((MAX(-f_yd,MIN(f_yd,200000*IF(CY16&lt;=h_col,0.0035*(CY16-d_2)/CY16,0.002*(CY16-d_2)/(CY16-3*h_col/7))))-f_cd*(1-(1-MAX(0,MIN(1,IF(CY16&lt;=h_col,0.0035*(CY16-d_2)/CY16,0.002*(CY16-d_2)/(CY16-3*h_col/7))/0.002)))^2))+(MAX(-f_yd,MIN(f_yd,200000*IF(CY16&lt;=h_col,0.0035*(CY16-(h_col-d_2))/CY16,0.002*(CY16-(h_col-d_2))/(CY16-3*h_col/7))))-f_cd*(1-(1-MAX(0,MIN(1,IF(CY16&lt;=h_col,0.0035*(CY16-(h_col-d_2))/CY16,0.002*(CY16-(h_col-d_2))/(CY16-3*h_col/7))/0.002)))^2))))/1000</f>
        <v/>
      </c>
      <c r="DA16">
        <f>IF($CZ16&lt;N_Ed-1E-9*MAX(1,N_Ed),(CW16+CX16)/2,CW16)</f>
        <v/>
      </c>
      <c r="DB16">
        <f>IF($CZ16&lt;N_Ed-1E-9*MAX(1,N_Ed),CX16,(CW16+CX16)/2)</f>
        <v/>
      </c>
      <c r="DC16">
        <f>h_col*((DA16+DB16)/2)/(1-(DA16+DB16)/2)</f>
        <v/>
      </c>
      <c r="DD16">
        <f>(f_cd*b_col*((3*MIN(DC16,h_col)/7)+(4*MIN(DC16,h_col)/7)*(1-((4*MIN(DC16,h_col)/7)/(DC16-(3*MIN(DC16,h_col)/7)))^2/3))+$D16/2*((MAX(-f_yd,MIN(f_yd,200000*IF(DC16&lt;=h_col,0.0035*(DC16-d_2)/DC16,0.002*(DC16-d_2)/(DC16-3*h_col/7))))-f_cd*(1-(1-MAX(0,MIN(1,IF(DC16&lt;=h_col,0.0035*(DC16-d_2)/DC16,0.002*(DC16-d_2)/(DC16-3*h_col/7))/0.002)))^2))+(MAX(-f_yd,MIN(f_yd,200000*IF(DC16&lt;=h_col,0.0035*(DC16-(h_col-d_2))/DC16,0.002*(DC16-(h_col-d_2))/(DC16-3*h_col/7))))-f_cd*(1-(1-MAX(0,MIN(1,IF(DC16&lt;=h_col,0.0035*(DC16-(h_col-d_2))/DC16,0.002*(DC16-(h_col-d_2))/(DC16-3*h_col/7))/0.002)))^2))))/1000</f>
        <v/>
      </c>
      <c r="DE16">
        <f>IF($DD16&lt;N_Ed-1E-9*MAX(1,N_Ed),(DA16+DB16)/2,DA16)</f>
        <v/>
      </c>
      <c r="DF16">
        <f>IF($DD16&lt;N_Ed-1E-9*MAX(1,N_Ed),DB16,(DA16+DB16)/2)</f>
        <v/>
      </c>
      <c r="DG16">
        <f>h_col*((DE16+DF16)/2)/(1-(DE16+DF16)/2)</f>
        <v/>
      </c>
      <c r="DH16">
        <f>(f_cd*b_col*((3*MIN(DG16,h_col)/7)+(4*MIN(DG16,h_col)/7)*(1-((4*MIN(DG16,h_col)/7)/(DG16-(3*MIN(DG16,h_col)/7)))^2/3))+$D16/2*((MAX(-f_yd,MIN(f_yd,200000*IF(DG16&lt;=h_col,0.0035*(DG16-d_2)/DG16,0.002*(DG16-d_2)/(DG16-3*h_col/7))))-f_cd*(1-(1-MAX(0,MIN(1,IF(DG16&lt;=h_col,0.0035*(DG16-d_2)/DG16,0.002*(DG16-d_2)/(DG16-3*h_col/7))/0.002)))^2))+(MAX(-f_yd,MIN(f_yd,200000*IF(DG16&lt;=h_col,0.0035*(DG16-(h_col-d_2))/DG16,0.002*(DG16-(h_col-d_2))/(DG16-3*h_col/7))))-f_cd*(1-(1-MAX(0,MIN(1,IF(DG16&lt;=h_col,0.0035*(DG16-(h_col-d_2))/DG16,0.002*(DG16-(h_col-d_2))/(DG16-3*h_col/7))/0.002)))^2))))/1000</f>
        <v/>
      </c>
      <c r="DI16">
        <f>IF($DH16&lt;N_Ed-1E-9*MAX(1,N_Ed),(DE16+DF16)/2,DE16)</f>
        <v/>
      </c>
      <c r="DJ16">
        <f>IF($DH16&lt;N_Ed-1E-9*MAX(1,N_Ed),DF16,(DE16+DF16)/2)</f>
        <v/>
      </c>
      <c r="DK16">
        <f>h_col*((DI16+DJ16)/2)/(1-(DI16+DJ16)/2)</f>
        <v/>
      </c>
      <c r="DL16">
        <f>(f_cd*b_col*((3*MIN(DK16,h_col)/7)+(4*MIN(DK16,h_col)/7)*(1-((4*MIN(DK16,h_col)/7)/(DK16-(3*MIN(DK16,h_col)/7)))^2/3))+$D16/2*((MAX(-f_yd,MIN(f_yd,200000*IF(DK16&lt;=h_col,0.0035*(DK16-d_2)/DK16,0.002*(DK16-d_2)/(DK16-3*h_col/7))))-f_cd*(1-(1-MAX(0,MIN(1,IF(DK16&lt;=h_col,0.0035*(DK16-d_2)/DK16,0.002*(DK16-d_2)/(DK16-3*h_col/7))/0.002)))^2))+(MAX(-f_yd,MIN(f_yd,200000*IF(DK16&lt;=h_col,0.0035*(DK16-(h_col-d_2))/DK16,0.002*(DK16-(h_col-d_2))/(DK16-3*h_col/7))))-f_cd*(1-(1-MAX(0,MIN(1,IF(DK16&lt;=h_col,0.0035*(DK16-(h_col-d_2))/DK16,0.002*(DK16-(h_col-d_2))/(DK16-3*h_col/7))/0.002)))^2))))/1000</f>
        <v/>
      </c>
      <c r="DM16">
        <f>IF($DL16&lt;N_Ed-1E-9*MAX(1,N_Ed),(DI16+DJ16)/2,DI16)</f>
        <v/>
      </c>
      <c r="DN16">
        <f>IF($DL16&lt;N_Ed-1E-9*MAX(1,N_Ed),DJ16,(DI16+DJ16)/2)</f>
        <v/>
      </c>
      <c r="DO16">
        <f>h_col*((DM16+DN16)/2)/(1-(DM16+DN16)/2)</f>
        <v/>
      </c>
      <c r="DP16">
        <f>(f_cd*b_col*((3*MIN(DO16,h_col)/7)+(4*MIN(DO16,h_col)/7)*(1-((4*MIN(DO16,h_col)/7)/(DO16-(3*MIN(DO16,h_col)/7)))^2/3))+$D16/2*((MAX(-f_yd,MIN(f_yd,200000*IF(DO16&lt;=h_col,0.0035*(DO16-d_2)/DO16,0.002*(DO16-d_2)/(DO16-3*h_col/7))))-f_cd*(1-(1-MAX(0,MIN(1,IF(DO16&lt;=h_col,0.0035*(DO16-d_2)/DO16,0.002*(DO16-d_2)/(DO16-3*h_col/7))/0.002)))^2))+(MAX(-f_yd,MIN(f_yd,200000*IF(DO16&lt;=h_col,0.0035*(DO16-(h_col-d_2))/DO16,0.002*(DO16-(h_col-d_2))/(DO16-3*h_col/7))))-f_cd*(1-(1-MAX(0,MIN(1,IF(DO16&lt;=h_col,0.0035*(DO16-(h_col-d_2))/DO16,0.002*(DO16-(h_col-d_2))/(DO16-3*h_col/7))/0.002)))^2))))/1000</f>
        <v/>
      </c>
      <c r="DQ16">
        <f>IF($DP16&lt;N_Ed-1E-9*MAX(1,N_Ed),(DM16+DN16)/2,DM16)</f>
        <v/>
      </c>
      <c r="DR16">
        <f>IF($DP16&lt;N_Ed-1E-9*MAX(1,N_Ed),DN16,(DM16+DN16)/2)</f>
        <v/>
      </c>
      <c r="DS16">
        <f>h_col*((DQ16+DR16)/2)/(1-(DQ16+DR16)/2)</f>
        <v/>
      </c>
      <c r="DT16">
        <f>(f_cd*b_col*((3*MIN(DS16,h_col)/7)+(4*MIN(DS16,h_col)/7)*(1-((4*MIN(DS16,h_col)/7)/(DS16-(3*MIN(DS16,h_col)/7)))^2/3))+$D16/2*((MAX(-f_yd,MIN(f_yd,200000*IF(DS16&lt;=h_col,0.0035*(DS16-d_2)/DS16,0.002*(DS16-d_2)/(DS16-3*h_col/7))))-f_cd*(1-(1-MAX(0,MIN(1,IF(DS16&lt;=h_col,0.0035*(DS16-d_2)/DS16,0.002*(DS16-d_2)/(DS16-3*h_col/7))/0.002)))^2))+(MAX(-f_yd,MIN(f_yd,200000*IF(DS16&lt;=h_col,0.0035*(DS16-(h_col-d_2))/DS16,0.002*(DS16-(h_col-d_2))/(DS16-3*h_col/7))))-f_cd*(1-(1-MAX(0,MIN(1,IF(DS16&lt;=h_col,0.0035*(DS16-(h_col-d_2))/DS16,0.002*(DS16-(h_col-d_2))/(DS16-3*h_col/7))/0.002)))^2))))/1000</f>
        <v/>
      </c>
      <c r="DU16">
        <f>IF($DT16&lt;N_Ed-1E-9*MAX(1,N_Ed),(DQ16+DR16)/2,DQ16)</f>
        <v/>
      </c>
      <c r="DV16">
        <f>IF($DT16&lt;N_Ed-1E-9*MAX(1,N_Ed),DR16,(DQ16+DR16)/2)</f>
        <v/>
      </c>
      <c r="DW16">
        <f>h_col*((DU16+DV16)/2)/(1-(DU16+DV16)/2)</f>
        <v/>
      </c>
      <c r="DX16">
        <f>(f_cd*b_col*((3*MIN(DW16,h_col)/7)+(4*MIN(DW16,h_col)/7)*(1-((4*MIN(DW16,h_col)/7)/(DW16-(3*MIN(DW16,h_col)/7)))^2/3))+$D16/2*((MAX(-f_yd,MIN(f_yd,200000*IF(DW16&lt;=h_col,0.0035*(DW16-d_2)/DW16,0.002*(DW16-d_2)/(DW16-3*h_col/7))))-f_cd*(1-(1-MAX(0,MIN(1,IF(DW16&lt;=h_col,0.0035*(DW16-d_2)/DW16,0.002*(DW16-d_2)/(DW16-3*h_col/7))/0.002)))^2))+(MAX(-f_yd,MIN(f_yd,200000*IF(DW16&lt;=h_col,0.0035*(DW16-(h_col-d_2))/DW16,0.002*(DW16-(h_col-d_2))/(DW16-3*h_col/7))))-f_cd*(1-(1-MAX(0,MIN(1,IF(DW16&lt;=h_col,0.0035*(DW16-(h_col-d_2))/DW16,0.002*(DW16-(h_col-d_2))/(DW16-3*h_col/7))/0.002)))^2))))/1000</f>
        <v/>
      </c>
      <c r="DY16">
        <f>IF($DX16&lt;N_Ed-1E-9*MAX(1,N_Ed),(DU16+DV16)/2,DU16)</f>
        <v/>
      </c>
      <c r="DZ16">
        <f>IF($DX16&lt;N_Ed-1E-9*MAX(1,N_Ed),DV16,(DU16+DV16)/2)</f>
        <v/>
      </c>
      <c r="EA16">
        <f>h_col*((DY16+DZ16)/2)/(1-(DY16+DZ16)/2)</f>
        <v/>
      </c>
      <c r="EB16">
        <f>(f_cd*b_col*((3*MIN(EA16,h_col)/7)+(4*MIN(EA16,h_col)/7)*(1-((4*MIN(EA16,h_col)/7)/(EA16-(3*MIN(EA16,h_col)/7)))^2/3))+$D16/2*((MAX(-f_yd,MIN(f_yd,200000*IF(EA16&lt;=h_col,0.0035*(EA16-d_2)/EA16,0.002*(EA16-d_2)/(EA16-3*h_col/7))))-f_cd*(1-(1-MAX(0,MIN(1,IF(EA16&lt;=h_col,0.0035*(EA16-d_2)/EA16,0.002*(EA16-d_2)/(EA16-3*h_col/7))/0.002)))^2))+(MAX(-f_yd,MIN(f_yd,200000*IF(EA16&lt;=h_col,0.0035*(EA16-(h_col-d_2))/EA16,0.002*(EA16-(h_col-d_2))/(EA16-3*h_col/7))))-f_cd*(1-(1-MAX(0,MIN(1,IF(EA16&lt;=h_col,0.0035*(EA16-(h_col-d_2))/EA16,0.002*(EA16-(h_col-d_2))/(EA16-3*h_col/7))/0.002)))^2))))/1000</f>
        <v/>
      </c>
      <c r="EC16">
        <f>IF($EB16&lt;N_Ed-1E-9*MAX(1,N_Ed),(DY16+DZ16)/2,DY16)</f>
        <v/>
      </c>
      <c r="ED16">
        <f>IF($EB16&lt;N_Ed-1E-9*MAX(1,N_Ed),DZ16,(DY16+DZ16)/2)</f>
        <v/>
      </c>
      <c r="EE16">
        <f>h_col*((EC16+ED16)/2)/(1-(EC16+ED16)/2)</f>
        <v/>
      </c>
      <c r="EF16">
        <f>(f_cd*b_col*((3*MIN(EE16,h_col)/7)+(4*MIN(EE16,h_col)/7)*(1-((4*MIN(EE16,h_col)/7)/(EE16-(3*MIN(EE16,h_col)/7)))^2/3))+$D16/2*((MAX(-f_yd,MIN(f_yd,200000*IF(EE16&lt;=h_col,0.0035*(EE16-d_2)/EE16,0.002*(EE16-d_2)/(EE16-3*h_col/7))))-f_cd*(1-(1-MAX(0,MIN(1,IF(EE16&lt;=h_col,0.0035*(EE16-d_2)/EE16,0.002*(EE16-d_2)/(EE16-3*h_col/7))/0.002)))^2))+(MAX(-f_yd,MIN(f_yd,200000*IF(EE16&lt;=h_col,0.0035*(EE16-(h_col-d_2))/EE16,0.002*(EE16-(h_col-d_2))/(EE16-3*h_col/7))))-f_cd*(1-(1-MAX(0,MIN(1,IF(EE16&lt;=h_col,0.0035*(EE16-(h_col-d_2))/EE16,0.002*(EE16-(h_col-d_2))/(EE16-3*h_col/7))/0.002)))^2))))/1000</f>
        <v/>
      </c>
      <c r="EG16">
        <f>IF($EF16&lt;N_Ed-1E-9*MAX(1,N_Ed),(EC16+ED16)/2,EC16)</f>
        <v/>
      </c>
      <c r="EH16">
        <f>IF($EF16&lt;N_Ed-1E-9*MAX(1,N_Ed),ED16,(EC16+ED16)/2)</f>
        <v/>
      </c>
      <c r="EI16">
        <f>h_col*((EG16+EH16)/2)/(1-(EG16+EH16)/2)</f>
        <v/>
      </c>
      <c r="EJ16">
        <f>(f_cd*b_col*((3*MIN(EI16,h_col)/7)+(4*MIN(EI16,h_col)/7)*(1-((4*MIN(EI16,h_col)/7)/(EI16-(3*MIN(EI16,h_col)/7)))^2/3))+$D16/2*((MAX(-f_yd,MIN(f_yd,200000*IF(EI16&lt;=h_col,0.0035*(EI16-d_2)/EI16,0.002*(EI16-d_2)/(EI16-3*h_col/7))))-f_cd*(1-(1-MAX(0,MIN(1,IF(EI16&lt;=h_col,0.0035*(EI16-d_2)/EI16,0.002*(EI16-d_2)/(EI16-3*h_col/7))/0.002)))^2))+(MAX(-f_yd,MIN(f_yd,200000*IF(EI16&lt;=h_col,0.0035*(EI16-(h_col-d_2))/EI16,0.002*(EI16-(h_col-d_2))/(EI16-3*h_col/7))))-f_cd*(1-(1-MAX(0,MIN(1,IF(EI16&lt;=h_col,0.0035*(EI16-(h_col-d_2))/EI16,0.002*(EI16-(h_col-d_2))/(EI16-3*h_col/7))/0.002)))^2))))/1000</f>
        <v/>
      </c>
      <c r="EK16">
        <f>IF($EJ16&lt;N_Ed-1E-9*MAX(1,N_Ed),(EG16+EH16)/2,EG16)</f>
        <v/>
      </c>
      <c r="EL16">
        <f>IF($EJ16&lt;N_Ed-1E-9*MAX(1,N_Ed),EH16,(EG16+EH16)/2)</f>
        <v/>
      </c>
      <c r="EM16">
        <f>h_col*((EK16+EL16)/2)/(1-(EK16+EL16)/2)</f>
        <v/>
      </c>
      <c r="EN16">
        <f>(f_cd*b_col*((3*MIN(EM16,h_col)/7)+(4*MIN(EM16,h_col)/7)*(1-((4*MIN(EM16,h_col)/7)/(EM16-(3*MIN(EM16,h_col)/7)))^2/3))+$D16/2*((MAX(-f_yd,MIN(f_yd,200000*IF(EM16&lt;=h_col,0.0035*(EM16-d_2)/EM16,0.002*(EM16-d_2)/(EM16-3*h_col/7))))-f_cd*(1-(1-MAX(0,MIN(1,IF(EM16&lt;=h_col,0.0035*(EM16-d_2)/EM16,0.002*(EM16-d_2)/(EM16-3*h_col/7))/0.002)))^2))+(MAX(-f_yd,MIN(f_yd,200000*IF(EM16&lt;=h_col,0.0035*(EM16-(h_col-d_2))/EM16,0.002*(EM16-(h_col-d_2))/(EM16-3*h_col/7))))-f_cd*(1-(1-MAX(0,MIN(1,IF(EM16&lt;=h_col,0.0035*(EM16-(h_col-d_2))/EM16,0.002*(EM16-(h_col-d_2))/(EM16-3*h_col/7))/0.002)))^2))))/1000</f>
        <v/>
      </c>
      <c r="EO16">
        <f>IF($EN16&lt;N_Ed-1E-9*MAX(1,N_Ed),(EK16+EL16)/2,EK16)</f>
        <v/>
      </c>
      <c r="EP16">
        <f>IF($EN16&lt;N_Ed-1E-9*MAX(1,N_Ed),EL16,(EK16+EL16)/2)</f>
        <v/>
      </c>
      <c r="EQ16">
        <f>h_col*((EO16+EP16)/2)/(1-(EO16+EP16)/2)</f>
        <v/>
      </c>
      <c r="ER16">
        <f>(f_cd*b_col*((3*MIN(EQ16,h_col)/7)+(4*MIN(EQ16,h_col)/7)*(1-((4*MIN(EQ16,h_col)/7)/(EQ16-(3*MIN(EQ16,h_col)/7)))^2/3))+$D16/2*((MAX(-f_yd,MIN(f_yd,200000*IF(EQ16&lt;=h_col,0.0035*(EQ16-d_2)/EQ16,0.002*(EQ16-d_2)/(EQ16-3*h_col/7))))-f_cd*(1-(1-MAX(0,MIN(1,IF(EQ16&lt;=h_col,0.0035*(EQ16-d_2)/EQ16,0.002*(EQ16-d_2)/(EQ16-3*h_col/7))/0.002)))^2))+(MAX(-f_yd,MIN(f_yd,200000*IF(EQ16&lt;=h_col,0.0035*(EQ16-(h_col-d_2))/EQ16,0.002*(EQ16-(h_col-d_2))/(EQ16-3*h_col/7))))-f_cd*(1-(1-MAX(0,MIN(1,IF(EQ16&lt;=h_col,0.0035*(EQ16-(h_col-d_2))/EQ16,0.002*(EQ16-(h_col-d_2))/(EQ16-3*h_col/7))/0.002)))^2))))/1000</f>
        <v/>
      </c>
      <c r="ES16">
        <f>IF($ER16&lt;N_Ed-1E-9*MAX(1,N_Ed),(EO16+EP16)/2,EO16)</f>
        <v/>
      </c>
      <c r="ET16">
        <f>IF($ER16&lt;N_Ed-1E-9*MAX(1,N_Ed),EP16,(EO16+EP16)/2)</f>
        <v/>
      </c>
      <c r="EU16">
        <f>h_col*((ES16+ET16)/2)/(1-(ES16+ET16)/2)</f>
        <v/>
      </c>
      <c r="EV16">
        <f>(f_cd*b_col*((3*MIN(EU16,h_col)/7)+(4*MIN(EU16,h_col)/7)*(1-((4*MIN(EU16,h_col)/7)/(EU16-(3*MIN(EU16,h_col)/7)))^2/3))+$D16/2*((MAX(-f_yd,MIN(f_yd,200000*IF(EU16&lt;=h_col,0.0035*(EU16-d_2)/EU16,0.002*(EU16-d_2)/(EU16-3*h_col/7))))-f_cd*(1-(1-MAX(0,MIN(1,IF(EU16&lt;=h_col,0.0035*(EU16-d_2)/EU16,0.002*(EU16-d_2)/(EU16-3*h_col/7))/0.002)))^2))+(MAX(-f_yd,MIN(f_yd,200000*IF(EU16&lt;=h_col,0.0035*(EU16-(h_col-d_2))/EU16,0.002*(EU16-(h_col-d_2))/(EU16-3*h_col/7))))-f_cd*(1-(1-MAX(0,MIN(1,IF(EU16&lt;=h_col,0.0035*(EU16-(h_col-d_2))/EU16,0.002*(EU16-(h_col-d_2))/(EU16-3*h_col/7))/0.002)))^2))))/1000</f>
        <v/>
      </c>
      <c r="EW16">
        <f>IF($EV16&lt;N_Ed-1E-9*MAX(1,N_Ed),(ES16+ET16)/2,ES16)</f>
        <v/>
      </c>
      <c r="EX16">
        <f>IF($EV16&lt;N_Ed-1E-9*MAX(1,N_Ed),ET16,(ES16+ET16)/2)</f>
        <v/>
      </c>
      <c r="EY16">
        <f>h_col*((EW16+EX16)/2)/(1-(EW16+EX16)/2)</f>
        <v/>
      </c>
      <c r="EZ16">
        <f>(f_cd*b_col*((3*MIN(EY16,h_col)/7)+(4*MIN(EY16,h_col)/7)*(1-((4*MIN(EY16,h_col)/7)/(EY16-(3*MIN(EY16,h_col)/7)))^2/3))+$D16/2*((MAX(-f_yd,MIN(f_yd,200000*IF(EY16&lt;=h_col,0.0035*(EY16-d_2)/EY16,0.002*(EY16-d_2)/(EY16-3*h_col/7))))-f_cd*(1-(1-MAX(0,MIN(1,IF(EY16&lt;=h_col,0.0035*(EY16-d_2)/EY16,0.002*(EY16-d_2)/(EY16-3*h_col/7))/0.002)))^2))+(MAX(-f_yd,MIN(f_yd,200000*IF(EY16&lt;=h_col,0.0035*(EY16-(h_col-d_2))/EY16,0.002*(EY16-(h_col-d_2))/(EY16-3*h_col/7))))-f_cd*(1-(1-MAX(0,MIN(1,IF(EY16&lt;=h_col,0.0035*(EY16-(h_col-d_2))/EY16,0.002*(EY16-(h_col-d_2))/(EY16-3*h_col/7))/0.002)))^2))))/1000</f>
        <v/>
      </c>
      <c r="FA16">
        <f>IF($EZ16&lt;N_Ed-1E-9*MAX(1,N_Ed),(EW16+EX16)/2,EW16)</f>
        <v/>
      </c>
      <c r="FB16">
        <f>IF($EZ16&lt;N_Ed-1E-9*MAX(1,N_Ed),EX16,(EW16+EX16)/2)</f>
        <v/>
      </c>
      <c r="FC16">
        <f>h_col*((FA16+FB16)/2)/(1-(FA16+FB16)/2)</f>
        <v/>
      </c>
      <c r="FD16">
        <f>(f_cd*b_col*((3*MIN(FC16,h_col)/7)+(4*MIN(FC16,h_col)/7)*(1-((4*MIN(FC16,h_col)/7)/(FC16-(3*MIN(FC16,h_col)/7)))^2/3))+$D16/2*((MAX(-f_yd,MIN(f_yd,200000*IF(FC16&lt;=h_col,0.0035*(FC16-d_2)/FC16,0.002*(FC16-d_2)/(FC16-3*h_col/7))))-f_cd*(1-(1-MAX(0,MIN(1,IF(FC16&lt;=h_col,0.0035*(FC16-d_2)/FC16,0.002*(FC16-d_2)/(FC16-3*h_col/7))/0.002)))^2))+(MAX(-f_yd,MIN(f_yd,200000*IF(FC16&lt;=h_col,0.0035*(FC16-(h_col-d_2))/FC16,0.002*(FC16-(h_col-d_2))/(FC16-3*h_col/7))))-f_cd*(1-(1-MAX(0,MIN(1,IF(FC16&lt;=h_col,0.0035*(FC16-(h_col-d_2))/FC16,0.002*(FC16-(h_col-d_2))/(FC16-3*h_col/7))/0.002)))^2))))/1000</f>
        <v/>
      </c>
      <c r="FE16">
        <f>IF($FD16&lt;N_Ed-1E-9*MAX(1,N_Ed),(FA16+FB16)/2,FA16)</f>
        <v/>
      </c>
      <c r="FF16">
        <f>IF($FD16&lt;N_Ed-1E-9*MAX(1,N_Ed),FB16,(FA16+FB16)/2)</f>
        <v/>
      </c>
      <c r="FG16">
        <f>h_col*((FE16+FF16)/2)/(1-(FE16+FF16)/2)</f>
        <v/>
      </c>
      <c r="FH16">
        <f>(f_cd*b_col*((3*MIN(FG16,h_col)/7)+(4*MIN(FG16,h_col)/7)*(1-((4*MIN(FG16,h_col)/7)/(FG16-(3*MIN(FG16,h_col)/7)))^2/3))+$D16/2*((MAX(-f_yd,MIN(f_yd,200000*IF(FG16&lt;=h_col,0.0035*(FG16-d_2)/FG16,0.002*(FG16-d_2)/(FG16-3*h_col/7))))-f_cd*(1-(1-MAX(0,MIN(1,IF(FG16&lt;=h_col,0.0035*(FG16-d_2)/FG16,0.002*(FG16-d_2)/(FG16-3*h_col/7))/0.002)))^2))+(MAX(-f_yd,MIN(f_yd,200000*IF(FG16&lt;=h_col,0.0035*(FG16-(h_col-d_2))/FG16,0.002*(FG16-(h_col-d_2))/(FG16-3*h_col/7))))-f_cd*(1-(1-MAX(0,MIN(1,IF(FG16&lt;=h_col,0.0035*(FG16-(h_col-d_2))/FG16,0.002*(FG16-(h_col-d_2))/(FG16-3*h_col/7))/0.002)))^2))))/1000</f>
        <v/>
      </c>
      <c r="FI16">
        <f>IF($FH16&lt;N_Ed-1E-9*MAX(1,N_Ed),(FE16+FF16)/2,FE16)</f>
        <v/>
      </c>
      <c r="FJ16">
        <f>IF($FH16&lt;N_Ed-1E-9*MAX(1,N_Ed),FF16,(FE16+FF16)/2)</f>
        <v/>
      </c>
      <c r="FK16">
        <f>h_col*((FI16+FJ16)/2)/(1-(FI16+FJ16)/2)</f>
        <v/>
      </c>
      <c r="FL16">
        <f>(f_cd*b_col*((3*MIN(FK16,h_col)/7)+(4*MIN(FK16,h_col)/7)*(1-((4*MIN(FK16,h_col)/7)/(FK16-(3*MIN(FK16,h_col)/7)))^2/3))+$D16/2*((MAX(-f_yd,MIN(f_yd,200000*IF(FK16&lt;=h_col,0.0035*(FK16-d_2)/FK16,0.002*(FK16-d_2)/(FK16-3*h_col/7))))-f_cd*(1-(1-MAX(0,MIN(1,IF(FK16&lt;=h_col,0.0035*(FK16-d_2)/FK16,0.002*(FK16-d_2)/(FK16-3*h_col/7))/0.002)))^2))+(MAX(-f_yd,MIN(f_yd,200000*IF(FK16&lt;=h_col,0.0035*(FK16-(h_col-d_2))/FK16,0.002*(FK16-(h_col-d_2))/(FK16-3*h_col/7))))-f_cd*(1-(1-MAX(0,MIN(1,IF(FK16&lt;=h_col,0.0035*(FK16-(h_col-d_2))/FK16,0.002*(FK16-(h_col-d_2))/(FK16-3*h_col/7))/0.002)))^2))))/1000</f>
        <v/>
      </c>
      <c r="FM16">
        <f>IF($FL16&lt;N_Ed-1E-9*MAX(1,N_Ed),(FI16+FJ16)/2,FI16)</f>
        <v/>
      </c>
      <c r="FN16">
        <f>IF($FL16&lt;N_Ed-1E-9*MAX(1,N_Ed),FJ16,(FI16+FJ16)/2)</f>
        <v/>
      </c>
      <c r="FO16">
        <f>h_col*((FM16+FN16)/2)/(1-(FM16+FN16)/2)</f>
        <v/>
      </c>
      <c r="FP16">
        <f>(f_cd*b_col*((3*MIN(FO16,h_col)/7)+(4*MIN(FO16,h_col)/7)*(1-((4*MIN(FO16,h_col)/7)/(FO16-(3*MIN(FO16,h_col)/7)))^2/3))+$D16/2*((MAX(-f_yd,MIN(f_yd,200000*IF(FO16&lt;=h_col,0.0035*(FO16-d_2)/FO16,0.002*(FO16-d_2)/(FO16-3*h_col/7))))-f_cd*(1-(1-MAX(0,MIN(1,IF(FO16&lt;=h_col,0.0035*(FO16-d_2)/FO16,0.002*(FO16-d_2)/(FO16-3*h_col/7))/0.002)))^2))+(MAX(-f_yd,MIN(f_yd,200000*IF(FO16&lt;=h_col,0.0035*(FO16-(h_col-d_2))/FO16,0.002*(FO16-(h_col-d_2))/(FO16-3*h_col/7))))-f_cd*(1-(1-MAX(0,MIN(1,IF(FO16&lt;=h_col,0.0035*(FO16-(h_col-d_2))/FO16,0.002*(FO16-(h_col-d_2))/(FO16-3*h_col/7))/0.002)))^2))))/1000</f>
        <v/>
      </c>
      <c r="FQ16">
        <f>IF($FP16&lt;N_Ed-1E-9*MAX(1,N_Ed),(FM16+FN16)/2,FM16)</f>
        <v/>
      </c>
      <c r="FR16">
        <f>IF($FP16&lt;N_Ed-1E-9*MAX(1,N_Ed),FN16,(FM16+FN16)/2)</f>
        <v/>
      </c>
      <c r="FS16">
        <f>h_col*((FQ16+FR16)/2)/(1-(FQ16+FR16)/2)</f>
        <v/>
      </c>
      <c r="FT16">
        <f>(f_cd*b_col*((3*MIN(FS16,h_col)/7)+(4*MIN(FS16,h_col)/7)*(1-((4*MIN(FS16,h_col)/7)/(FS16-(3*MIN(FS16,h_col)/7)))^2/3))+$D16/2*((MAX(-f_yd,MIN(f_yd,200000*IF(FS16&lt;=h_col,0.0035*(FS16-d_2)/FS16,0.002*(FS16-d_2)/(FS16-3*h_col/7))))-f_cd*(1-(1-MAX(0,MIN(1,IF(FS16&lt;=h_col,0.0035*(FS16-d_2)/FS16,0.002*(FS16-d_2)/(FS16-3*h_col/7))/0.002)))^2))+(MAX(-f_yd,MIN(f_yd,200000*IF(FS16&lt;=h_col,0.0035*(FS16-(h_col-d_2))/FS16,0.002*(FS16-(h_col-d_2))/(FS16-3*h_col/7))))-f_cd*(1-(1-MAX(0,MIN(1,IF(FS16&lt;=h_col,0.0035*(FS16-(h_col-d_2))/FS16,0.002*(FS16-(h_col-d_2))/(FS16-3*h_col/7))/0.002)))^2))))/1000</f>
        <v/>
      </c>
      <c r="FU16">
        <f>IF($FT16&lt;N_Ed-1E-9*MAX(1,N_Ed),(FQ16+FR16)/2,FQ16)</f>
        <v/>
      </c>
      <c r="FV16">
        <f>IF($FT16&lt;N_Ed-1E-9*MAX(1,N_Ed),FR16,(FQ16+FR16)/2)</f>
        <v/>
      </c>
      <c r="FW16">
        <f>h_col*((FU16+FV16)/2)/(1-(FU16+FV16)/2)</f>
        <v/>
      </c>
      <c r="FX16">
        <f>(f_cd*b_col*((3*MIN(FW16,h_col)/7)+(4*MIN(FW16,h_col)/7)*(1-((4*MIN(FW16,h_col)/7)/(FW16-(3*MIN(FW16,h_col)/7)))^2/3))+$D16/2*((MAX(-f_yd,MIN(f_yd,200000*IF(FW16&lt;=h_col,0.0035*(FW16-d_2)/FW16,0.002*(FW16-d_2)/(FW16-3*h_col/7))))-f_cd*(1-(1-MAX(0,MIN(1,IF(FW16&lt;=h_col,0.0035*(FW16-d_2)/FW16,0.002*(FW16-d_2)/(FW16-3*h_col/7))/0.002)))^2))+(MAX(-f_yd,MIN(f_yd,200000*IF(FW16&lt;=h_col,0.0035*(FW16-(h_col-d_2))/FW16,0.002*(FW16-(h_col-d_2))/(FW16-3*h_col/7))))-f_cd*(1-(1-MAX(0,MIN(1,IF(FW16&lt;=h_col,0.0035*(FW16-(h_col-d_2))/FW16,0.002*(FW16-(h_col-d_2))/(FW16-3*h_col/7))/0.002)))^2))))/1000</f>
        <v/>
      </c>
      <c r="FY16">
        <f>IF($FX16&lt;N_Ed-1E-9*MAX(1,N_Ed),(FU16+FV16)/2,FU16)</f>
        <v/>
      </c>
      <c r="FZ16">
        <f>IF($FX16&lt;N_Ed-1E-9*MAX(1,N_Ed),FV16,(FU16+FV16)/2)</f>
        <v/>
      </c>
      <c r="GA16">
        <f>h_col*((FY16+FZ16)/2)/(1-(FY16+FZ16)/2)</f>
        <v/>
      </c>
      <c r="GB16">
        <f>(f_cd*b_col*((3*MIN(GA16,h_col)/7)+(4*MIN(GA16,h_col)/7)*(1-((4*MIN(GA16,h_col)/7)/(GA16-(3*MIN(GA16,h_col)/7)))^2/3))+$D16/2*((MAX(-f_yd,MIN(f_yd,200000*IF(GA16&lt;=h_col,0.0035*(GA16-d_2)/GA16,0.002*(GA16-d_2)/(GA16-3*h_col/7))))-f_cd*(1-(1-MAX(0,MIN(1,IF(GA16&lt;=h_col,0.0035*(GA16-d_2)/GA16,0.002*(GA16-d_2)/(GA16-3*h_col/7))/0.002)))^2))+(MAX(-f_yd,MIN(f_yd,200000*IF(GA16&lt;=h_col,0.0035*(GA16-(h_col-d_2))/GA16,0.002*(GA16-(h_col-d_2))/(GA16-3*h_col/7))))-f_cd*(1-(1-MAX(0,MIN(1,IF(GA16&lt;=h_col,0.0035*(GA16-(h_col-d_2))/GA16,0.002*(GA16-(h_col-d_2))/(GA16-3*h_col/7))/0.002)))^2))))/1000</f>
        <v/>
      </c>
      <c r="GC16">
        <f>IF($GB16&lt;N_Ed-1E-9*MAX(1,N_Ed),(FY16+FZ16)/2,FY16)</f>
        <v/>
      </c>
      <c r="GD16">
        <f>IF($GB16&lt;N_Ed-1E-9*MAX(1,N_Ed),FZ16,(FY16+FZ16)/2)</f>
        <v/>
      </c>
      <c r="GE16">
        <f>h_col*((GC16+GD16)/2)/(1-(GC16+GD16)/2)</f>
        <v/>
      </c>
      <c r="GF16">
        <f>(f_cd*b_col*((3*MIN(GE16,h_col)/7)+(4*MIN(GE16,h_col)/7)*(1-((4*MIN(GE16,h_col)/7)/(GE16-(3*MIN(GE16,h_col)/7)))^2/3))+$D16/2*((MAX(-f_yd,MIN(f_yd,200000*IF(GE16&lt;=h_col,0.0035*(GE16-d_2)/GE16,0.002*(GE16-d_2)/(GE16-3*h_col/7))))-f_cd*(1-(1-MAX(0,MIN(1,IF(GE16&lt;=h_col,0.0035*(GE16-d_2)/GE16,0.002*(GE16-d_2)/(GE16-3*h_col/7))/0.002)))^2))+(MAX(-f_yd,MIN(f_yd,200000*IF(GE16&lt;=h_col,0.0035*(GE16-(h_col-d_2))/GE16,0.002*(GE16-(h_col-d_2))/(GE16-3*h_col/7))))-f_cd*(1-(1-MAX(0,MIN(1,IF(GE16&lt;=h_col,0.0035*(GE16-(h_col-d_2))/GE16,0.002*(GE16-(h_col-d_2))/(GE16-3*h_col/7))/0.002)))^2))))/1000</f>
        <v/>
      </c>
      <c r="GG16">
        <f>IF($GF16&lt;N_Ed-1E-9*MAX(1,N_Ed),(GC16+GD16)/2,GC16)</f>
        <v/>
      </c>
      <c r="GH16">
        <f>IF($GF16&lt;N_Ed-1E-9*MAX(1,N_Ed),GD16,(GC16+GD16)/2)</f>
        <v/>
      </c>
      <c r="GI16">
        <f>h_col*((GG16+GH16)/2)/(1-(GG16+GH16)/2)</f>
        <v/>
      </c>
      <c r="GJ16">
        <f>(f_cd*b_col*((3*MIN(GI16,h_col)/7)+(4*MIN(GI16,h_col)/7)*(1-((4*MIN(GI16,h_col)/7)/(GI16-(3*MIN(GI16,h_col)/7)))^2/3))+$D16/2*((MAX(-f_yd,MIN(f_yd,200000*IF(GI16&lt;=h_col,0.0035*(GI16-d_2)/GI16,0.002*(GI16-d_2)/(GI16-3*h_col/7))))-f_cd*(1-(1-MAX(0,MIN(1,IF(GI16&lt;=h_col,0.0035*(GI16-d_2)/GI16,0.002*(GI16-d_2)/(GI16-3*h_col/7))/0.002)))^2))+(MAX(-f_yd,MIN(f_yd,200000*IF(GI16&lt;=h_col,0.0035*(GI16-(h_col-d_2))/GI16,0.002*(GI16-(h_col-d_2))/(GI16-3*h_col/7))))-f_cd*(1-(1-MAX(0,MIN(1,IF(GI16&lt;=h_col,0.0035*(GI16-(h_col-d_2))/GI16,0.002*(GI16-(h_col-d_2))/(GI16-3*h_col/7))/0.002)))^2))))/1000</f>
        <v/>
      </c>
      <c r="GK16">
        <f>IF($GJ16&lt;N_Ed-1E-9*MAX(1,N_Ed),(GG16+GH16)/2,GG16)</f>
        <v/>
      </c>
      <c r="GL16">
        <f>IF($GJ16&lt;N_Ed-1E-9*MAX(1,N_Ed),GH16,(GG16+GH16)/2)</f>
        <v/>
      </c>
      <c r="GM16">
        <f>h_col*((GK16+GL16)/2)/(1-(GK16+GL16)/2)</f>
        <v/>
      </c>
      <c r="GN16">
        <f>(f_cd*b_col*((3*MIN(GM16,h_col)/7)+(4*MIN(GM16,h_col)/7)*(1-((4*MIN(GM16,h_col)/7)/(GM16-(3*MIN(GM16,h_col)/7)))^2/3))+$D16/2*((MAX(-f_yd,MIN(f_yd,200000*IF(GM16&lt;=h_col,0.0035*(GM16-d_2)/GM16,0.002*(GM16-d_2)/(GM16-3*h_col/7))))-f_cd*(1-(1-MAX(0,MIN(1,IF(GM16&lt;=h_col,0.0035*(GM16-d_2)/GM16,0.002*(GM16-d_2)/(GM16-3*h_col/7))/0.002)))^2))+(MAX(-f_yd,MIN(f_yd,200000*IF(GM16&lt;=h_col,0.0035*(GM16-(h_col-d_2))/GM16,0.002*(GM16-(h_col-d_2))/(GM16-3*h_col/7))))-f_cd*(1-(1-MAX(0,MIN(1,IF(GM16&lt;=h_col,0.0035*(GM16-(h_col-d_2))/GM16,0.002*(GM16-(h_col-d_2))/(GM16-3*h_col/7))/0.002)))^2))))/1000</f>
        <v/>
      </c>
      <c r="GO16">
        <f>IF($GN16&lt;N_Ed-1E-9*MAX(1,N_Ed),(GK16+GL16)/2,GK16)</f>
        <v/>
      </c>
      <c r="GP16">
        <f>IF($GN16&lt;N_Ed-1E-9*MAX(1,N_Ed),GL16,(GK16+GL16)/2)</f>
        <v/>
      </c>
      <c r="GQ16">
        <f>h_col*((GO16+GP16)/2)/(1-(GO16+GP16)/2)</f>
        <v/>
      </c>
      <c r="GR16">
        <f>(f_cd*b_col*((3*MIN(GQ16,h_col)/7)+(4*MIN(GQ16,h_col)/7)*(1-((4*MIN(GQ16,h_col)/7)/(GQ16-(3*MIN(GQ16,h_col)/7)))^2/3))+$D16/2*((MAX(-f_yd,MIN(f_yd,200000*IF(GQ16&lt;=h_col,0.0035*(GQ16-d_2)/GQ16,0.002*(GQ16-d_2)/(GQ16-3*h_col/7))))-f_cd*(1-(1-MAX(0,MIN(1,IF(GQ16&lt;=h_col,0.0035*(GQ16-d_2)/GQ16,0.002*(GQ16-d_2)/(GQ16-3*h_col/7))/0.002)))^2))+(MAX(-f_yd,MIN(f_yd,200000*IF(GQ16&lt;=h_col,0.0035*(GQ16-(h_col-d_2))/GQ16,0.002*(GQ16-(h_col-d_2))/(GQ16-3*h_col/7))))-f_cd*(1-(1-MAX(0,MIN(1,IF(GQ16&lt;=h_col,0.0035*(GQ16-(h_col-d_2))/GQ16,0.002*(GQ16-(h_col-d_2))/(GQ16-3*h_col/7))/0.002)))^2))))/1000</f>
        <v/>
      </c>
      <c r="GS16">
        <f>IF($GR16&lt;N_Ed-1E-9*MAX(1,N_Ed),(GO16+GP16)/2,GO16)</f>
        <v/>
      </c>
      <c r="GT16">
        <f>IF($GR16&lt;N_Ed-1E-9*MAX(1,N_Ed),GP16,(GO16+GP16)/2)</f>
        <v/>
      </c>
      <c r="GU16">
        <f>h_col*((GS16+GT16)/2)/(1-(GS16+GT16)/2)</f>
        <v/>
      </c>
      <c r="GV16">
        <f>(f_cd*b_col*((3*MIN(GU16,h_col)/7)+(4*MIN(GU16,h_col)/7)*(1-((4*MIN(GU16,h_col)/7)/(GU16-(3*MIN(GU16,h_col)/7)))^2/3))+$D16/2*((MAX(-f_yd,MIN(f_yd,200000*IF(GU16&lt;=h_col,0.0035*(GU16-d_2)/GU16,0.002*(GU16-d_2)/(GU16-3*h_col/7))))-f_cd*(1-(1-MAX(0,MIN(1,IF(GU16&lt;=h_col,0.0035*(GU16-d_2)/GU16,0.002*(GU16-d_2)/(GU16-3*h_col/7))/0.002)))^2))+(MAX(-f_yd,MIN(f_yd,200000*IF(GU16&lt;=h_col,0.0035*(GU16-(h_col-d_2))/GU16,0.002*(GU16-(h_col-d_2))/(GU16-3*h_col/7))))-f_cd*(1-(1-MAX(0,MIN(1,IF(GU16&lt;=h_col,0.0035*(GU16-(h_col-d_2))/GU16,0.002*(GU16-(h_col-d_2))/(GU16-3*h_col/7))/0.002)))^2))))/1000</f>
        <v/>
      </c>
      <c r="GW16">
        <f>GU16</f>
        <v/>
      </c>
      <c r="GX16">
        <f>(f_cd*b_col*((3*MIN(GW16,h_col)/7)+(4*MIN(GW16,h_col)/7)*(1-((4*MIN(GW16,h_col)/7)/(GW16-(3*MIN(GW16,h_col)/7)))^2/3))+$D16/2*((MAX(-f_yd,MIN(f_yd,200000*IF(GW16&lt;=h_col,0.0035*(GW16-d_2)/GW16,0.002*(GW16-d_2)/(GW16-3*h_col/7))))-f_cd*(1-(1-MAX(0,MIN(1,IF(GW16&lt;=h_col,0.0035*(GW16-d_2)/GW16,0.002*(GW16-d_2)/(GW16-3*h_col/7))/0.002)))^2))+(MAX(-f_yd,MIN(f_yd,200000*IF(GW16&lt;=h_col,0.0035*(GW16-(h_col-d_2))/GW16,0.002*(GW16-(h_col-d_2))/(GW16-3*h_col/7))))-f_cd*(1-(1-MAX(0,MIN(1,IF(GW16&lt;=h_col,0.0035*(GW16-(h_col-d_2))/GW16,0.002*(GW16-(h_col-d_2))/(GW16-3*h_col/7))/0.002)))^2))))/1000</f>
        <v/>
      </c>
      <c r="GY16">
        <f>(f_cd*b_col*((3*MIN(GW16,h_col)/7)*(h_col/2-(3*MIN(GW16,h_col)/7)/2)+(4*MIN(GW16,h_col)/7)*((h_col/2-(3*MIN(GW16,h_col)/7))*(1-((4*MIN(GW16,h_col)/7)/(GW16-(3*MIN(GW16,h_col)/7)))^2/3)-(4*MIN(GW16,h_col)/7)*(0.5-((4*MIN(GW16,h_col)/7)/(GW16-(3*MIN(GW16,h_col)/7)))^2/4)))+$D16/2*((MAX(-f_yd,MIN(f_yd,200000*IF(GW16&lt;=h_col,0.0035*(GW16-d_2)/GW16,0.002*(GW16-d_2)/(GW16-3*h_col/7))))-f_cd*(1-(1-MAX(0,MIN(1,IF(GW16&lt;=h_col,0.0035*(GW16-d_2)/GW16,0.002*(GW16-d_2)/(GW16-3*h_col/7))/0.002)))^2))-(MAX(-f_yd,MIN(f_yd,200000*IF(GW16&lt;=h_col,0.0035*(GW16-(h_col-d_2))/GW16,0.002*(GW16-(h_col-d_2))/(GW16-3*h_col/7))))-f_cd*(1-(1-MAX(0,MIN(1,IF(GW16&lt;=h_col,0.0035*(GW16-(h_col-d_2))/GW16,0.002*(GW16-(h_col-d_2))/(GW16-3*h_col/7))/0.002)))^2)))*(h_col/2-d_2))/1E6</f>
        <v/>
      </c>
      <c r="GZ16">
        <f>GX16&gt;=N_Ed-1E-6*MAX(1,N_Ed)</f>
        <v/>
      </c>
      <c r="HA16">
        <f>IF(GZ16,GY16,-1E9)</f>
        <v/>
      </c>
    </row>
    <row r="17">
      <c r="A17" t="n">
        <v>12</v>
      </c>
      <c r="B17">
        <f>IF($HA16&gt;=M_d,$B16,$D16)</f>
        <v/>
      </c>
      <c r="C17">
        <f>IF($HA16&gt;=M_d,$D16,$C16)</f>
        <v/>
      </c>
      <c r="D17">
        <f>($B17+$C17)/2</f>
        <v/>
      </c>
      <c r="E17" t="n">
        <v>0</v>
      </c>
      <c r="F17">
        <f>1-1E-12</f>
        <v/>
      </c>
      <c r="G17">
        <f>h_col*((E17+F17)/2)/(1-(E17+F17)/2)</f>
        <v/>
      </c>
      <c r="H17">
        <f>(f_cd*b_col*((3*MIN(G17,h_col)/7)+(4*MIN(G17,h_col)/7)*(1-((4*MIN(G17,h_col)/7)/(G17-(3*MIN(G17,h_col)/7)))^2/3))+$D17/2*((MAX(-f_yd,MIN(f_yd,200000*IF(G17&lt;=h_col,0.0035*(G17-d_2)/G17,0.002*(G17-d_2)/(G17-3*h_col/7))))-f_cd*(1-(1-MAX(0,MIN(1,IF(G17&lt;=h_col,0.0035*(G17-d_2)/G17,0.002*(G17-d_2)/(G17-3*h_col/7))/0.002)))^2))+(MAX(-f_yd,MIN(f_yd,200000*IF(G17&lt;=h_col,0.0035*(G17-(h_col-d_2))/G17,0.002*(G17-(h_col-d_2))/(G17-3*h_col/7))))-f_cd*(1-(1-MAX(0,MIN(1,IF(G17&lt;=h_col,0.0035*(G17-(h_col-d_2))/G17,0.002*(G17-(h_col-d_2))/(G17-3*h_col/7))/0.002)))^2))))/1000</f>
        <v/>
      </c>
      <c r="I17">
        <f>IF($H17&lt;N_Ed-1E-9*MAX(1,N_Ed),(E17+F17)/2,E17)</f>
        <v/>
      </c>
      <c r="J17">
        <f>IF($H17&lt;N_Ed-1E-9*MAX(1,N_Ed),F17,(E17+F17)/2)</f>
        <v/>
      </c>
      <c r="K17">
        <f>h_col*((I17+J17)/2)/(1-(I17+J17)/2)</f>
        <v/>
      </c>
      <c r="L17">
        <f>(f_cd*b_col*((3*MIN(K17,h_col)/7)+(4*MIN(K17,h_col)/7)*(1-((4*MIN(K17,h_col)/7)/(K17-(3*MIN(K17,h_col)/7)))^2/3))+$D17/2*((MAX(-f_yd,MIN(f_yd,200000*IF(K17&lt;=h_col,0.0035*(K17-d_2)/K17,0.002*(K17-d_2)/(K17-3*h_col/7))))-f_cd*(1-(1-MAX(0,MIN(1,IF(K17&lt;=h_col,0.0035*(K17-d_2)/K17,0.002*(K17-d_2)/(K17-3*h_col/7))/0.002)))^2))+(MAX(-f_yd,MIN(f_yd,200000*IF(K17&lt;=h_col,0.0035*(K17-(h_col-d_2))/K17,0.002*(K17-(h_col-d_2))/(K17-3*h_col/7))))-f_cd*(1-(1-MAX(0,MIN(1,IF(K17&lt;=h_col,0.0035*(K17-(h_col-d_2))/K17,0.002*(K17-(h_col-d_2))/(K17-3*h_col/7))/0.002)))^2))))/1000</f>
        <v/>
      </c>
      <c r="M17">
        <f>IF($L17&lt;N_Ed-1E-9*MAX(1,N_Ed),(I17+J17)/2,I17)</f>
        <v/>
      </c>
      <c r="N17">
        <f>IF($L17&lt;N_Ed-1E-9*MAX(1,N_Ed),J17,(I17+J17)/2)</f>
        <v/>
      </c>
      <c r="O17">
        <f>h_col*((M17+N17)/2)/(1-(M17+N17)/2)</f>
        <v/>
      </c>
      <c r="P17">
        <f>(f_cd*b_col*((3*MIN(O17,h_col)/7)+(4*MIN(O17,h_col)/7)*(1-((4*MIN(O17,h_col)/7)/(O17-(3*MIN(O17,h_col)/7)))^2/3))+$D17/2*((MAX(-f_yd,MIN(f_yd,200000*IF(O17&lt;=h_col,0.0035*(O17-d_2)/O17,0.002*(O17-d_2)/(O17-3*h_col/7))))-f_cd*(1-(1-MAX(0,MIN(1,IF(O17&lt;=h_col,0.0035*(O17-d_2)/O17,0.002*(O17-d_2)/(O17-3*h_col/7))/0.002)))^2))+(MAX(-f_yd,MIN(f_yd,200000*IF(O17&lt;=h_col,0.0035*(O17-(h_col-d_2))/O17,0.002*(O17-(h_col-d_2))/(O17-3*h_col/7))))-f_cd*(1-(1-MAX(0,MIN(1,IF(O17&lt;=h_col,0.0035*(O17-(h_col-d_2))/O17,0.002*(O17-(h_col-d_2))/(O17-3*h_col/7))/0.002)))^2))))/1000</f>
        <v/>
      </c>
      <c r="Q17">
        <f>IF($P17&lt;N_Ed-1E-9*MAX(1,N_Ed),(M17+N17)/2,M17)</f>
        <v/>
      </c>
      <c r="R17">
        <f>IF($P17&lt;N_Ed-1E-9*MAX(1,N_Ed),N17,(M17+N17)/2)</f>
        <v/>
      </c>
      <c r="S17">
        <f>h_col*((Q17+R17)/2)/(1-(Q17+R17)/2)</f>
        <v/>
      </c>
      <c r="T17">
        <f>(f_cd*b_col*((3*MIN(S17,h_col)/7)+(4*MIN(S17,h_col)/7)*(1-((4*MIN(S17,h_col)/7)/(S17-(3*MIN(S17,h_col)/7)))^2/3))+$D17/2*((MAX(-f_yd,MIN(f_yd,200000*IF(S17&lt;=h_col,0.0035*(S17-d_2)/S17,0.002*(S17-d_2)/(S17-3*h_col/7))))-f_cd*(1-(1-MAX(0,MIN(1,IF(S17&lt;=h_col,0.0035*(S17-d_2)/S17,0.002*(S17-d_2)/(S17-3*h_col/7))/0.002)))^2))+(MAX(-f_yd,MIN(f_yd,200000*IF(S17&lt;=h_col,0.0035*(S17-(h_col-d_2))/S17,0.002*(S17-(h_col-d_2))/(S17-3*h_col/7))))-f_cd*(1-(1-MAX(0,MIN(1,IF(S17&lt;=h_col,0.0035*(S17-(h_col-d_2))/S17,0.002*(S17-(h_col-d_2))/(S17-3*h_col/7))/0.002)))^2))))/1000</f>
        <v/>
      </c>
      <c r="U17">
        <f>IF($T17&lt;N_Ed-1E-9*MAX(1,N_Ed),(Q17+R17)/2,Q17)</f>
        <v/>
      </c>
      <c r="V17">
        <f>IF($T17&lt;N_Ed-1E-9*MAX(1,N_Ed),R17,(Q17+R17)/2)</f>
        <v/>
      </c>
      <c r="W17">
        <f>h_col*((U17+V17)/2)/(1-(U17+V17)/2)</f>
        <v/>
      </c>
      <c r="X17">
        <f>(f_cd*b_col*((3*MIN(W17,h_col)/7)+(4*MIN(W17,h_col)/7)*(1-((4*MIN(W17,h_col)/7)/(W17-(3*MIN(W17,h_col)/7)))^2/3))+$D17/2*((MAX(-f_yd,MIN(f_yd,200000*IF(W17&lt;=h_col,0.0035*(W17-d_2)/W17,0.002*(W17-d_2)/(W17-3*h_col/7))))-f_cd*(1-(1-MAX(0,MIN(1,IF(W17&lt;=h_col,0.0035*(W17-d_2)/W17,0.002*(W17-d_2)/(W17-3*h_col/7))/0.002)))^2))+(MAX(-f_yd,MIN(f_yd,200000*IF(W17&lt;=h_col,0.0035*(W17-(h_col-d_2))/W17,0.002*(W17-(h_col-d_2))/(W17-3*h_col/7))))-f_cd*(1-(1-MAX(0,MIN(1,IF(W17&lt;=h_col,0.0035*(W17-(h_col-d_2))/W17,0.002*(W17-(h_col-d_2))/(W17-3*h_col/7))/0.002)))^2))))/1000</f>
        <v/>
      </c>
      <c r="Y17">
        <f>IF($X17&lt;N_Ed-1E-9*MAX(1,N_Ed),(U17+V17)/2,U17)</f>
        <v/>
      </c>
      <c r="Z17">
        <f>IF($X17&lt;N_Ed-1E-9*MAX(1,N_Ed),V17,(U17+V17)/2)</f>
        <v/>
      </c>
      <c r="AA17">
        <f>h_col*((Y17+Z17)/2)/(1-(Y17+Z17)/2)</f>
        <v/>
      </c>
      <c r="AB17">
        <f>(f_cd*b_col*((3*MIN(AA17,h_col)/7)+(4*MIN(AA17,h_col)/7)*(1-((4*MIN(AA17,h_col)/7)/(AA17-(3*MIN(AA17,h_col)/7)))^2/3))+$D17/2*((MAX(-f_yd,MIN(f_yd,200000*IF(AA17&lt;=h_col,0.0035*(AA17-d_2)/AA17,0.002*(AA17-d_2)/(AA17-3*h_col/7))))-f_cd*(1-(1-MAX(0,MIN(1,IF(AA17&lt;=h_col,0.0035*(AA17-d_2)/AA17,0.002*(AA17-d_2)/(AA17-3*h_col/7))/0.002)))^2))+(MAX(-f_yd,MIN(f_yd,200000*IF(AA17&lt;=h_col,0.0035*(AA17-(h_col-d_2))/AA17,0.002*(AA17-(h_col-d_2))/(AA17-3*h_col/7))))-f_cd*(1-(1-MAX(0,MIN(1,IF(AA17&lt;=h_col,0.0035*(AA17-(h_col-d_2))/AA17,0.002*(AA17-(h_col-d_2))/(AA17-3*h_col/7))/0.002)))^2))))/1000</f>
        <v/>
      </c>
      <c r="AC17">
        <f>IF($AB17&lt;N_Ed-1E-9*MAX(1,N_Ed),(Y17+Z17)/2,Y17)</f>
        <v/>
      </c>
      <c r="AD17">
        <f>IF($AB17&lt;N_Ed-1E-9*MAX(1,N_Ed),Z17,(Y17+Z17)/2)</f>
        <v/>
      </c>
      <c r="AE17">
        <f>h_col*((AC17+AD17)/2)/(1-(AC17+AD17)/2)</f>
        <v/>
      </c>
      <c r="AF17">
        <f>(f_cd*b_col*((3*MIN(AE17,h_col)/7)+(4*MIN(AE17,h_col)/7)*(1-((4*MIN(AE17,h_col)/7)/(AE17-(3*MIN(AE17,h_col)/7)))^2/3))+$D17/2*((MAX(-f_yd,MIN(f_yd,200000*IF(AE17&lt;=h_col,0.0035*(AE17-d_2)/AE17,0.002*(AE17-d_2)/(AE17-3*h_col/7))))-f_cd*(1-(1-MAX(0,MIN(1,IF(AE17&lt;=h_col,0.0035*(AE17-d_2)/AE17,0.002*(AE17-d_2)/(AE17-3*h_col/7))/0.002)))^2))+(MAX(-f_yd,MIN(f_yd,200000*IF(AE17&lt;=h_col,0.0035*(AE17-(h_col-d_2))/AE17,0.002*(AE17-(h_col-d_2))/(AE17-3*h_col/7))))-f_cd*(1-(1-MAX(0,MIN(1,IF(AE17&lt;=h_col,0.0035*(AE17-(h_col-d_2))/AE17,0.002*(AE17-(h_col-d_2))/(AE17-3*h_col/7))/0.002)))^2))))/1000</f>
        <v/>
      </c>
      <c r="AG17">
        <f>IF($AF17&lt;N_Ed-1E-9*MAX(1,N_Ed),(AC17+AD17)/2,AC17)</f>
        <v/>
      </c>
      <c r="AH17">
        <f>IF($AF17&lt;N_Ed-1E-9*MAX(1,N_Ed),AD17,(AC17+AD17)/2)</f>
        <v/>
      </c>
      <c r="AI17">
        <f>h_col*((AG17+AH17)/2)/(1-(AG17+AH17)/2)</f>
        <v/>
      </c>
      <c r="AJ17">
        <f>(f_cd*b_col*((3*MIN(AI17,h_col)/7)+(4*MIN(AI17,h_col)/7)*(1-((4*MIN(AI17,h_col)/7)/(AI17-(3*MIN(AI17,h_col)/7)))^2/3))+$D17/2*((MAX(-f_yd,MIN(f_yd,200000*IF(AI17&lt;=h_col,0.0035*(AI17-d_2)/AI17,0.002*(AI17-d_2)/(AI17-3*h_col/7))))-f_cd*(1-(1-MAX(0,MIN(1,IF(AI17&lt;=h_col,0.0035*(AI17-d_2)/AI17,0.002*(AI17-d_2)/(AI17-3*h_col/7))/0.002)))^2))+(MAX(-f_yd,MIN(f_yd,200000*IF(AI17&lt;=h_col,0.0035*(AI17-(h_col-d_2))/AI17,0.002*(AI17-(h_col-d_2))/(AI17-3*h_col/7))))-f_cd*(1-(1-MAX(0,MIN(1,IF(AI17&lt;=h_col,0.0035*(AI17-(h_col-d_2))/AI17,0.002*(AI17-(h_col-d_2))/(AI17-3*h_col/7))/0.002)))^2))))/1000</f>
        <v/>
      </c>
      <c r="AK17">
        <f>IF($AJ17&lt;N_Ed-1E-9*MAX(1,N_Ed),(AG17+AH17)/2,AG17)</f>
        <v/>
      </c>
      <c r="AL17">
        <f>IF($AJ17&lt;N_Ed-1E-9*MAX(1,N_Ed),AH17,(AG17+AH17)/2)</f>
        <v/>
      </c>
      <c r="AM17">
        <f>h_col*((AK17+AL17)/2)/(1-(AK17+AL17)/2)</f>
        <v/>
      </c>
      <c r="AN17">
        <f>(f_cd*b_col*((3*MIN(AM17,h_col)/7)+(4*MIN(AM17,h_col)/7)*(1-((4*MIN(AM17,h_col)/7)/(AM17-(3*MIN(AM17,h_col)/7)))^2/3))+$D17/2*((MAX(-f_yd,MIN(f_yd,200000*IF(AM17&lt;=h_col,0.0035*(AM17-d_2)/AM17,0.002*(AM17-d_2)/(AM17-3*h_col/7))))-f_cd*(1-(1-MAX(0,MIN(1,IF(AM17&lt;=h_col,0.0035*(AM17-d_2)/AM17,0.002*(AM17-d_2)/(AM17-3*h_col/7))/0.002)))^2))+(MAX(-f_yd,MIN(f_yd,200000*IF(AM17&lt;=h_col,0.0035*(AM17-(h_col-d_2))/AM17,0.002*(AM17-(h_col-d_2))/(AM17-3*h_col/7))))-f_cd*(1-(1-MAX(0,MIN(1,IF(AM17&lt;=h_col,0.0035*(AM17-(h_col-d_2))/AM17,0.002*(AM17-(h_col-d_2))/(AM17-3*h_col/7))/0.002)))^2))))/1000</f>
        <v/>
      </c>
      <c r="AO17">
        <f>IF($AN17&lt;N_Ed-1E-9*MAX(1,N_Ed),(AK17+AL17)/2,AK17)</f>
        <v/>
      </c>
      <c r="AP17">
        <f>IF($AN17&lt;N_Ed-1E-9*MAX(1,N_Ed),AL17,(AK17+AL17)/2)</f>
        <v/>
      </c>
      <c r="AQ17">
        <f>h_col*((AO17+AP17)/2)/(1-(AO17+AP17)/2)</f>
        <v/>
      </c>
      <c r="AR17">
        <f>(f_cd*b_col*((3*MIN(AQ17,h_col)/7)+(4*MIN(AQ17,h_col)/7)*(1-((4*MIN(AQ17,h_col)/7)/(AQ17-(3*MIN(AQ17,h_col)/7)))^2/3))+$D17/2*((MAX(-f_yd,MIN(f_yd,200000*IF(AQ17&lt;=h_col,0.0035*(AQ17-d_2)/AQ17,0.002*(AQ17-d_2)/(AQ17-3*h_col/7))))-f_cd*(1-(1-MAX(0,MIN(1,IF(AQ17&lt;=h_col,0.0035*(AQ17-d_2)/AQ17,0.002*(AQ17-d_2)/(AQ17-3*h_col/7))/0.002)))^2))+(MAX(-f_yd,MIN(f_yd,200000*IF(AQ17&lt;=h_col,0.0035*(AQ17-(h_col-d_2))/AQ17,0.002*(AQ17-(h_col-d_2))/(AQ17-3*h_col/7))))-f_cd*(1-(1-MAX(0,MIN(1,IF(AQ17&lt;=h_col,0.0035*(AQ17-(h_col-d_2))/AQ17,0.002*(AQ17-(h_col-d_2))/(AQ17-3*h_col/7))/0.002)))^2))))/1000</f>
        <v/>
      </c>
      <c r="AS17">
        <f>IF($AR17&lt;N_Ed-1E-9*MAX(1,N_Ed),(AO17+AP17)/2,AO17)</f>
        <v/>
      </c>
      <c r="AT17">
        <f>IF($AR17&lt;N_Ed-1E-9*MAX(1,N_Ed),AP17,(AO17+AP17)/2)</f>
        <v/>
      </c>
      <c r="AU17">
        <f>h_col*((AS17+AT17)/2)/(1-(AS17+AT17)/2)</f>
        <v/>
      </c>
      <c r="AV17">
        <f>(f_cd*b_col*((3*MIN(AU17,h_col)/7)+(4*MIN(AU17,h_col)/7)*(1-((4*MIN(AU17,h_col)/7)/(AU17-(3*MIN(AU17,h_col)/7)))^2/3))+$D17/2*((MAX(-f_yd,MIN(f_yd,200000*IF(AU17&lt;=h_col,0.0035*(AU17-d_2)/AU17,0.002*(AU17-d_2)/(AU17-3*h_col/7))))-f_cd*(1-(1-MAX(0,MIN(1,IF(AU17&lt;=h_col,0.0035*(AU17-d_2)/AU17,0.002*(AU17-d_2)/(AU17-3*h_col/7))/0.002)))^2))+(MAX(-f_yd,MIN(f_yd,200000*IF(AU17&lt;=h_col,0.0035*(AU17-(h_col-d_2))/AU17,0.002*(AU17-(h_col-d_2))/(AU17-3*h_col/7))))-f_cd*(1-(1-MAX(0,MIN(1,IF(AU17&lt;=h_col,0.0035*(AU17-(h_col-d_2))/AU17,0.002*(AU17-(h_col-d_2))/(AU17-3*h_col/7))/0.002)))^2))))/1000</f>
        <v/>
      </c>
      <c r="AW17">
        <f>IF($AV17&lt;N_Ed-1E-9*MAX(1,N_Ed),(AS17+AT17)/2,AS17)</f>
        <v/>
      </c>
      <c r="AX17">
        <f>IF($AV17&lt;N_Ed-1E-9*MAX(1,N_Ed),AT17,(AS17+AT17)/2)</f>
        <v/>
      </c>
      <c r="AY17">
        <f>h_col*((AW17+AX17)/2)/(1-(AW17+AX17)/2)</f>
        <v/>
      </c>
      <c r="AZ17">
        <f>(f_cd*b_col*((3*MIN(AY17,h_col)/7)+(4*MIN(AY17,h_col)/7)*(1-((4*MIN(AY17,h_col)/7)/(AY17-(3*MIN(AY17,h_col)/7)))^2/3))+$D17/2*((MAX(-f_yd,MIN(f_yd,200000*IF(AY17&lt;=h_col,0.0035*(AY17-d_2)/AY17,0.002*(AY17-d_2)/(AY17-3*h_col/7))))-f_cd*(1-(1-MAX(0,MIN(1,IF(AY17&lt;=h_col,0.0035*(AY17-d_2)/AY17,0.002*(AY17-d_2)/(AY17-3*h_col/7))/0.002)))^2))+(MAX(-f_yd,MIN(f_yd,200000*IF(AY17&lt;=h_col,0.0035*(AY17-(h_col-d_2))/AY17,0.002*(AY17-(h_col-d_2))/(AY17-3*h_col/7))))-f_cd*(1-(1-MAX(0,MIN(1,IF(AY17&lt;=h_col,0.0035*(AY17-(h_col-d_2))/AY17,0.002*(AY17-(h_col-d_2))/(AY17-3*h_col/7))/0.002)))^2))))/1000</f>
        <v/>
      </c>
      <c r="BA17">
        <f>IF($AZ17&lt;N_Ed-1E-9*MAX(1,N_Ed),(AW17+AX17)/2,AW17)</f>
        <v/>
      </c>
      <c r="BB17">
        <f>IF($AZ17&lt;N_Ed-1E-9*MAX(1,N_Ed),AX17,(AW17+AX17)/2)</f>
        <v/>
      </c>
      <c r="BC17">
        <f>h_col*((BA17+BB17)/2)/(1-(BA17+BB17)/2)</f>
        <v/>
      </c>
      <c r="BD17">
        <f>(f_cd*b_col*((3*MIN(BC17,h_col)/7)+(4*MIN(BC17,h_col)/7)*(1-((4*MIN(BC17,h_col)/7)/(BC17-(3*MIN(BC17,h_col)/7)))^2/3))+$D17/2*((MAX(-f_yd,MIN(f_yd,200000*IF(BC17&lt;=h_col,0.0035*(BC17-d_2)/BC17,0.002*(BC17-d_2)/(BC17-3*h_col/7))))-f_cd*(1-(1-MAX(0,MIN(1,IF(BC17&lt;=h_col,0.0035*(BC17-d_2)/BC17,0.002*(BC17-d_2)/(BC17-3*h_col/7))/0.002)))^2))+(MAX(-f_yd,MIN(f_yd,200000*IF(BC17&lt;=h_col,0.0035*(BC17-(h_col-d_2))/BC17,0.002*(BC17-(h_col-d_2))/(BC17-3*h_col/7))))-f_cd*(1-(1-MAX(0,MIN(1,IF(BC17&lt;=h_col,0.0035*(BC17-(h_col-d_2))/BC17,0.002*(BC17-(h_col-d_2))/(BC17-3*h_col/7))/0.002)))^2))))/1000</f>
        <v/>
      </c>
      <c r="BE17">
        <f>IF($BD17&lt;N_Ed-1E-9*MAX(1,N_Ed),(BA17+BB17)/2,BA17)</f>
        <v/>
      </c>
      <c r="BF17">
        <f>IF($BD17&lt;N_Ed-1E-9*MAX(1,N_Ed),BB17,(BA17+BB17)/2)</f>
        <v/>
      </c>
      <c r="BG17">
        <f>h_col*((BE17+BF17)/2)/(1-(BE17+BF17)/2)</f>
        <v/>
      </c>
      <c r="BH17">
        <f>(f_cd*b_col*((3*MIN(BG17,h_col)/7)+(4*MIN(BG17,h_col)/7)*(1-((4*MIN(BG17,h_col)/7)/(BG17-(3*MIN(BG17,h_col)/7)))^2/3))+$D17/2*((MAX(-f_yd,MIN(f_yd,200000*IF(BG17&lt;=h_col,0.0035*(BG17-d_2)/BG17,0.002*(BG17-d_2)/(BG17-3*h_col/7))))-f_cd*(1-(1-MAX(0,MIN(1,IF(BG17&lt;=h_col,0.0035*(BG17-d_2)/BG17,0.002*(BG17-d_2)/(BG17-3*h_col/7))/0.002)))^2))+(MAX(-f_yd,MIN(f_yd,200000*IF(BG17&lt;=h_col,0.0035*(BG17-(h_col-d_2))/BG17,0.002*(BG17-(h_col-d_2))/(BG17-3*h_col/7))))-f_cd*(1-(1-MAX(0,MIN(1,IF(BG17&lt;=h_col,0.0035*(BG17-(h_col-d_2))/BG17,0.002*(BG17-(h_col-d_2))/(BG17-3*h_col/7))/0.002)))^2))))/1000</f>
        <v/>
      </c>
      <c r="BI17">
        <f>IF($BH17&lt;N_Ed-1E-9*MAX(1,N_Ed),(BE17+BF17)/2,BE17)</f>
        <v/>
      </c>
      <c r="BJ17">
        <f>IF($BH17&lt;N_Ed-1E-9*MAX(1,N_Ed),BF17,(BE17+BF17)/2)</f>
        <v/>
      </c>
      <c r="BK17">
        <f>h_col*((BI17+BJ17)/2)/(1-(BI17+BJ17)/2)</f>
        <v/>
      </c>
      <c r="BL17">
        <f>(f_cd*b_col*((3*MIN(BK17,h_col)/7)+(4*MIN(BK17,h_col)/7)*(1-((4*MIN(BK17,h_col)/7)/(BK17-(3*MIN(BK17,h_col)/7)))^2/3))+$D17/2*((MAX(-f_yd,MIN(f_yd,200000*IF(BK17&lt;=h_col,0.0035*(BK17-d_2)/BK17,0.002*(BK17-d_2)/(BK17-3*h_col/7))))-f_cd*(1-(1-MAX(0,MIN(1,IF(BK17&lt;=h_col,0.0035*(BK17-d_2)/BK17,0.002*(BK17-d_2)/(BK17-3*h_col/7))/0.002)))^2))+(MAX(-f_yd,MIN(f_yd,200000*IF(BK17&lt;=h_col,0.0035*(BK17-(h_col-d_2))/BK17,0.002*(BK17-(h_col-d_2))/(BK17-3*h_col/7))))-f_cd*(1-(1-MAX(0,MIN(1,IF(BK17&lt;=h_col,0.0035*(BK17-(h_col-d_2))/BK17,0.002*(BK17-(h_col-d_2))/(BK17-3*h_col/7))/0.002)))^2))))/1000</f>
        <v/>
      </c>
      <c r="BM17">
        <f>IF($BL17&lt;N_Ed-1E-9*MAX(1,N_Ed),(BI17+BJ17)/2,BI17)</f>
        <v/>
      </c>
      <c r="BN17">
        <f>IF($BL17&lt;N_Ed-1E-9*MAX(1,N_Ed),BJ17,(BI17+BJ17)/2)</f>
        <v/>
      </c>
      <c r="BO17">
        <f>h_col*((BM17+BN17)/2)/(1-(BM17+BN17)/2)</f>
        <v/>
      </c>
      <c r="BP17">
        <f>(f_cd*b_col*((3*MIN(BO17,h_col)/7)+(4*MIN(BO17,h_col)/7)*(1-((4*MIN(BO17,h_col)/7)/(BO17-(3*MIN(BO17,h_col)/7)))^2/3))+$D17/2*((MAX(-f_yd,MIN(f_yd,200000*IF(BO17&lt;=h_col,0.0035*(BO17-d_2)/BO17,0.002*(BO17-d_2)/(BO17-3*h_col/7))))-f_cd*(1-(1-MAX(0,MIN(1,IF(BO17&lt;=h_col,0.0035*(BO17-d_2)/BO17,0.002*(BO17-d_2)/(BO17-3*h_col/7))/0.002)))^2))+(MAX(-f_yd,MIN(f_yd,200000*IF(BO17&lt;=h_col,0.0035*(BO17-(h_col-d_2))/BO17,0.002*(BO17-(h_col-d_2))/(BO17-3*h_col/7))))-f_cd*(1-(1-MAX(0,MIN(1,IF(BO17&lt;=h_col,0.0035*(BO17-(h_col-d_2))/BO17,0.002*(BO17-(h_col-d_2))/(BO17-3*h_col/7))/0.002)))^2))))/1000</f>
        <v/>
      </c>
      <c r="BQ17">
        <f>IF($BP17&lt;N_Ed-1E-9*MAX(1,N_Ed),(BM17+BN17)/2,BM17)</f>
        <v/>
      </c>
      <c r="BR17">
        <f>IF($BP17&lt;N_Ed-1E-9*MAX(1,N_Ed),BN17,(BM17+BN17)/2)</f>
        <v/>
      </c>
      <c r="BS17">
        <f>h_col*((BQ17+BR17)/2)/(1-(BQ17+BR17)/2)</f>
        <v/>
      </c>
      <c r="BT17">
        <f>(f_cd*b_col*((3*MIN(BS17,h_col)/7)+(4*MIN(BS17,h_col)/7)*(1-((4*MIN(BS17,h_col)/7)/(BS17-(3*MIN(BS17,h_col)/7)))^2/3))+$D17/2*((MAX(-f_yd,MIN(f_yd,200000*IF(BS17&lt;=h_col,0.0035*(BS17-d_2)/BS17,0.002*(BS17-d_2)/(BS17-3*h_col/7))))-f_cd*(1-(1-MAX(0,MIN(1,IF(BS17&lt;=h_col,0.0035*(BS17-d_2)/BS17,0.002*(BS17-d_2)/(BS17-3*h_col/7))/0.002)))^2))+(MAX(-f_yd,MIN(f_yd,200000*IF(BS17&lt;=h_col,0.0035*(BS17-(h_col-d_2))/BS17,0.002*(BS17-(h_col-d_2))/(BS17-3*h_col/7))))-f_cd*(1-(1-MAX(0,MIN(1,IF(BS17&lt;=h_col,0.0035*(BS17-(h_col-d_2))/BS17,0.002*(BS17-(h_col-d_2))/(BS17-3*h_col/7))/0.002)))^2))))/1000</f>
        <v/>
      </c>
      <c r="BU17">
        <f>IF($BT17&lt;N_Ed-1E-9*MAX(1,N_Ed),(BQ17+BR17)/2,BQ17)</f>
        <v/>
      </c>
      <c r="BV17">
        <f>IF($BT17&lt;N_Ed-1E-9*MAX(1,N_Ed),BR17,(BQ17+BR17)/2)</f>
        <v/>
      </c>
      <c r="BW17">
        <f>h_col*((BU17+BV17)/2)/(1-(BU17+BV17)/2)</f>
        <v/>
      </c>
      <c r="BX17">
        <f>(f_cd*b_col*((3*MIN(BW17,h_col)/7)+(4*MIN(BW17,h_col)/7)*(1-((4*MIN(BW17,h_col)/7)/(BW17-(3*MIN(BW17,h_col)/7)))^2/3))+$D17/2*((MAX(-f_yd,MIN(f_yd,200000*IF(BW17&lt;=h_col,0.0035*(BW17-d_2)/BW17,0.002*(BW17-d_2)/(BW17-3*h_col/7))))-f_cd*(1-(1-MAX(0,MIN(1,IF(BW17&lt;=h_col,0.0035*(BW17-d_2)/BW17,0.002*(BW17-d_2)/(BW17-3*h_col/7))/0.002)))^2))+(MAX(-f_yd,MIN(f_yd,200000*IF(BW17&lt;=h_col,0.0035*(BW17-(h_col-d_2))/BW17,0.002*(BW17-(h_col-d_2))/(BW17-3*h_col/7))))-f_cd*(1-(1-MAX(0,MIN(1,IF(BW17&lt;=h_col,0.0035*(BW17-(h_col-d_2))/BW17,0.002*(BW17-(h_col-d_2))/(BW17-3*h_col/7))/0.002)))^2))))/1000</f>
        <v/>
      </c>
      <c r="BY17">
        <f>IF($BX17&lt;N_Ed-1E-9*MAX(1,N_Ed),(BU17+BV17)/2,BU17)</f>
        <v/>
      </c>
      <c r="BZ17">
        <f>IF($BX17&lt;N_Ed-1E-9*MAX(1,N_Ed),BV17,(BU17+BV17)/2)</f>
        <v/>
      </c>
      <c r="CA17">
        <f>h_col*((BY17+BZ17)/2)/(1-(BY17+BZ17)/2)</f>
        <v/>
      </c>
      <c r="CB17">
        <f>(f_cd*b_col*((3*MIN(CA17,h_col)/7)+(4*MIN(CA17,h_col)/7)*(1-((4*MIN(CA17,h_col)/7)/(CA17-(3*MIN(CA17,h_col)/7)))^2/3))+$D17/2*((MAX(-f_yd,MIN(f_yd,200000*IF(CA17&lt;=h_col,0.0035*(CA17-d_2)/CA17,0.002*(CA17-d_2)/(CA17-3*h_col/7))))-f_cd*(1-(1-MAX(0,MIN(1,IF(CA17&lt;=h_col,0.0035*(CA17-d_2)/CA17,0.002*(CA17-d_2)/(CA17-3*h_col/7))/0.002)))^2))+(MAX(-f_yd,MIN(f_yd,200000*IF(CA17&lt;=h_col,0.0035*(CA17-(h_col-d_2))/CA17,0.002*(CA17-(h_col-d_2))/(CA17-3*h_col/7))))-f_cd*(1-(1-MAX(0,MIN(1,IF(CA17&lt;=h_col,0.0035*(CA17-(h_col-d_2))/CA17,0.002*(CA17-(h_col-d_2))/(CA17-3*h_col/7))/0.002)))^2))))/1000</f>
        <v/>
      </c>
      <c r="CC17">
        <f>IF($CB17&lt;N_Ed-1E-9*MAX(1,N_Ed),(BY17+BZ17)/2,BY17)</f>
        <v/>
      </c>
      <c r="CD17">
        <f>IF($CB17&lt;N_Ed-1E-9*MAX(1,N_Ed),BZ17,(BY17+BZ17)/2)</f>
        <v/>
      </c>
      <c r="CE17">
        <f>h_col*((CC17+CD17)/2)/(1-(CC17+CD17)/2)</f>
        <v/>
      </c>
      <c r="CF17">
        <f>(f_cd*b_col*((3*MIN(CE17,h_col)/7)+(4*MIN(CE17,h_col)/7)*(1-((4*MIN(CE17,h_col)/7)/(CE17-(3*MIN(CE17,h_col)/7)))^2/3))+$D17/2*((MAX(-f_yd,MIN(f_yd,200000*IF(CE17&lt;=h_col,0.0035*(CE17-d_2)/CE17,0.002*(CE17-d_2)/(CE17-3*h_col/7))))-f_cd*(1-(1-MAX(0,MIN(1,IF(CE17&lt;=h_col,0.0035*(CE17-d_2)/CE17,0.002*(CE17-d_2)/(CE17-3*h_col/7))/0.002)))^2))+(MAX(-f_yd,MIN(f_yd,200000*IF(CE17&lt;=h_col,0.0035*(CE17-(h_col-d_2))/CE17,0.002*(CE17-(h_col-d_2))/(CE17-3*h_col/7))))-f_cd*(1-(1-MAX(0,MIN(1,IF(CE17&lt;=h_col,0.0035*(CE17-(h_col-d_2))/CE17,0.002*(CE17-(h_col-d_2))/(CE17-3*h_col/7))/0.002)))^2))))/1000</f>
        <v/>
      </c>
      <c r="CG17">
        <f>IF($CF17&lt;N_Ed-1E-9*MAX(1,N_Ed),(CC17+CD17)/2,CC17)</f>
        <v/>
      </c>
      <c r="CH17">
        <f>IF($CF17&lt;N_Ed-1E-9*MAX(1,N_Ed),CD17,(CC17+CD17)/2)</f>
        <v/>
      </c>
      <c r="CI17">
        <f>h_col*((CG17+CH17)/2)/(1-(CG17+CH17)/2)</f>
        <v/>
      </c>
      <c r="CJ17">
        <f>(f_cd*b_col*((3*MIN(CI17,h_col)/7)+(4*MIN(CI17,h_col)/7)*(1-((4*MIN(CI17,h_col)/7)/(CI17-(3*MIN(CI17,h_col)/7)))^2/3))+$D17/2*((MAX(-f_yd,MIN(f_yd,200000*IF(CI17&lt;=h_col,0.0035*(CI17-d_2)/CI17,0.002*(CI17-d_2)/(CI17-3*h_col/7))))-f_cd*(1-(1-MAX(0,MIN(1,IF(CI17&lt;=h_col,0.0035*(CI17-d_2)/CI17,0.002*(CI17-d_2)/(CI17-3*h_col/7))/0.002)))^2))+(MAX(-f_yd,MIN(f_yd,200000*IF(CI17&lt;=h_col,0.0035*(CI17-(h_col-d_2))/CI17,0.002*(CI17-(h_col-d_2))/(CI17-3*h_col/7))))-f_cd*(1-(1-MAX(0,MIN(1,IF(CI17&lt;=h_col,0.0035*(CI17-(h_col-d_2))/CI17,0.002*(CI17-(h_col-d_2))/(CI17-3*h_col/7))/0.002)))^2))))/1000</f>
        <v/>
      </c>
      <c r="CK17">
        <f>IF($CJ17&lt;N_Ed-1E-9*MAX(1,N_Ed),(CG17+CH17)/2,CG17)</f>
        <v/>
      </c>
      <c r="CL17">
        <f>IF($CJ17&lt;N_Ed-1E-9*MAX(1,N_Ed),CH17,(CG17+CH17)/2)</f>
        <v/>
      </c>
      <c r="CM17">
        <f>h_col*((CK17+CL17)/2)/(1-(CK17+CL17)/2)</f>
        <v/>
      </c>
      <c r="CN17">
        <f>(f_cd*b_col*((3*MIN(CM17,h_col)/7)+(4*MIN(CM17,h_col)/7)*(1-((4*MIN(CM17,h_col)/7)/(CM17-(3*MIN(CM17,h_col)/7)))^2/3))+$D17/2*((MAX(-f_yd,MIN(f_yd,200000*IF(CM17&lt;=h_col,0.0035*(CM17-d_2)/CM17,0.002*(CM17-d_2)/(CM17-3*h_col/7))))-f_cd*(1-(1-MAX(0,MIN(1,IF(CM17&lt;=h_col,0.0035*(CM17-d_2)/CM17,0.002*(CM17-d_2)/(CM17-3*h_col/7))/0.002)))^2))+(MAX(-f_yd,MIN(f_yd,200000*IF(CM17&lt;=h_col,0.0035*(CM17-(h_col-d_2))/CM17,0.002*(CM17-(h_col-d_2))/(CM17-3*h_col/7))))-f_cd*(1-(1-MAX(0,MIN(1,IF(CM17&lt;=h_col,0.0035*(CM17-(h_col-d_2))/CM17,0.002*(CM17-(h_col-d_2))/(CM17-3*h_col/7))/0.002)))^2))))/1000</f>
        <v/>
      </c>
      <c r="CO17">
        <f>IF($CN17&lt;N_Ed-1E-9*MAX(1,N_Ed),(CK17+CL17)/2,CK17)</f>
        <v/>
      </c>
      <c r="CP17">
        <f>IF($CN17&lt;N_Ed-1E-9*MAX(1,N_Ed),CL17,(CK17+CL17)/2)</f>
        <v/>
      </c>
      <c r="CQ17">
        <f>h_col*((CO17+CP17)/2)/(1-(CO17+CP17)/2)</f>
        <v/>
      </c>
      <c r="CR17">
        <f>(f_cd*b_col*((3*MIN(CQ17,h_col)/7)+(4*MIN(CQ17,h_col)/7)*(1-((4*MIN(CQ17,h_col)/7)/(CQ17-(3*MIN(CQ17,h_col)/7)))^2/3))+$D17/2*((MAX(-f_yd,MIN(f_yd,200000*IF(CQ17&lt;=h_col,0.0035*(CQ17-d_2)/CQ17,0.002*(CQ17-d_2)/(CQ17-3*h_col/7))))-f_cd*(1-(1-MAX(0,MIN(1,IF(CQ17&lt;=h_col,0.0035*(CQ17-d_2)/CQ17,0.002*(CQ17-d_2)/(CQ17-3*h_col/7))/0.002)))^2))+(MAX(-f_yd,MIN(f_yd,200000*IF(CQ17&lt;=h_col,0.0035*(CQ17-(h_col-d_2))/CQ17,0.002*(CQ17-(h_col-d_2))/(CQ17-3*h_col/7))))-f_cd*(1-(1-MAX(0,MIN(1,IF(CQ17&lt;=h_col,0.0035*(CQ17-(h_col-d_2))/CQ17,0.002*(CQ17-(h_col-d_2))/(CQ17-3*h_col/7))/0.002)))^2))))/1000</f>
        <v/>
      </c>
      <c r="CS17">
        <f>IF($CR17&lt;N_Ed-1E-9*MAX(1,N_Ed),(CO17+CP17)/2,CO17)</f>
        <v/>
      </c>
      <c r="CT17">
        <f>IF($CR17&lt;N_Ed-1E-9*MAX(1,N_Ed),CP17,(CO17+CP17)/2)</f>
        <v/>
      </c>
      <c r="CU17">
        <f>h_col*((CS17+CT17)/2)/(1-(CS17+CT17)/2)</f>
        <v/>
      </c>
      <c r="CV17">
        <f>(f_cd*b_col*((3*MIN(CU17,h_col)/7)+(4*MIN(CU17,h_col)/7)*(1-((4*MIN(CU17,h_col)/7)/(CU17-(3*MIN(CU17,h_col)/7)))^2/3))+$D17/2*((MAX(-f_yd,MIN(f_yd,200000*IF(CU17&lt;=h_col,0.0035*(CU17-d_2)/CU17,0.002*(CU17-d_2)/(CU17-3*h_col/7))))-f_cd*(1-(1-MAX(0,MIN(1,IF(CU17&lt;=h_col,0.0035*(CU17-d_2)/CU17,0.002*(CU17-d_2)/(CU17-3*h_col/7))/0.002)))^2))+(MAX(-f_yd,MIN(f_yd,200000*IF(CU17&lt;=h_col,0.0035*(CU17-(h_col-d_2))/CU17,0.002*(CU17-(h_col-d_2))/(CU17-3*h_col/7))))-f_cd*(1-(1-MAX(0,MIN(1,IF(CU17&lt;=h_col,0.0035*(CU17-(h_col-d_2))/CU17,0.002*(CU17-(h_col-d_2))/(CU17-3*h_col/7))/0.002)))^2))))/1000</f>
        <v/>
      </c>
      <c r="CW17">
        <f>IF($CV17&lt;N_Ed-1E-9*MAX(1,N_Ed),(CS17+CT17)/2,CS17)</f>
        <v/>
      </c>
      <c r="CX17">
        <f>IF($CV17&lt;N_Ed-1E-9*MAX(1,N_Ed),CT17,(CS17+CT17)/2)</f>
        <v/>
      </c>
      <c r="CY17">
        <f>h_col*((CW17+CX17)/2)/(1-(CW17+CX17)/2)</f>
        <v/>
      </c>
      <c r="CZ17">
        <f>(f_cd*b_col*((3*MIN(CY17,h_col)/7)+(4*MIN(CY17,h_col)/7)*(1-((4*MIN(CY17,h_col)/7)/(CY17-(3*MIN(CY17,h_col)/7)))^2/3))+$D17/2*((MAX(-f_yd,MIN(f_yd,200000*IF(CY17&lt;=h_col,0.0035*(CY17-d_2)/CY17,0.002*(CY17-d_2)/(CY17-3*h_col/7))))-f_cd*(1-(1-MAX(0,MIN(1,IF(CY17&lt;=h_col,0.0035*(CY17-d_2)/CY17,0.002*(CY17-d_2)/(CY17-3*h_col/7))/0.002)))^2))+(MAX(-f_yd,MIN(f_yd,200000*IF(CY17&lt;=h_col,0.0035*(CY17-(h_col-d_2))/CY17,0.002*(CY17-(h_col-d_2))/(CY17-3*h_col/7))))-f_cd*(1-(1-MAX(0,MIN(1,IF(CY17&lt;=h_col,0.0035*(CY17-(h_col-d_2))/CY17,0.002*(CY17-(h_col-d_2))/(CY17-3*h_col/7))/0.002)))^2))))/1000</f>
        <v/>
      </c>
      <c r="DA17">
        <f>IF($CZ17&lt;N_Ed-1E-9*MAX(1,N_Ed),(CW17+CX17)/2,CW17)</f>
        <v/>
      </c>
      <c r="DB17">
        <f>IF($CZ17&lt;N_Ed-1E-9*MAX(1,N_Ed),CX17,(CW17+CX17)/2)</f>
        <v/>
      </c>
      <c r="DC17">
        <f>h_col*((DA17+DB17)/2)/(1-(DA17+DB17)/2)</f>
        <v/>
      </c>
      <c r="DD17">
        <f>(f_cd*b_col*((3*MIN(DC17,h_col)/7)+(4*MIN(DC17,h_col)/7)*(1-((4*MIN(DC17,h_col)/7)/(DC17-(3*MIN(DC17,h_col)/7)))^2/3))+$D17/2*((MAX(-f_yd,MIN(f_yd,200000*IF(DC17&lt;=h_col,0.0035*(DC17-d_2)/DC17,0.002*(DC17-d_2)/(DC17-3*h_col/7))))-f_cd*(1-(1-MAX(0,MIN(1,IF(DC17&lt;=h_col,0.0035*(DC17-d_2)/DC17,0.002*(DC17-d_2)/(DC17-3*h_col/7))/0.002)))^2))+(MAX(-f_yd,MIN(f_yd,200000*IF(DC17&lt;=h_col,0.0035*(DC17-(h_col-d_2))/DC17,0.002*(DC17-(h_col-d_2))/(DC17-3*h_col/7))))-f_cd*(1-(1-MAX(0,MIN(1,IF(DC17&lt;=h_col,0.0035*(DC17-(h_col-d_2))/DC17,0.002*(DC17-(h_col-d_2))/(DC17-3*h_col/7))/0.002)))^2))))/1000</f>
        <v/>
      </c>
      <c r="DE17">
        <f>IF($DD17&lt;N_Ed-1E-9*MAX(1,N_Ed),(DA17+DB17)/2,DA17)</f>
        <v/>
      </c>
      <c r="DF17">
        <f>IF($DD17&lt;N_Ed-1E-9*MAX(1,N_Ed),DB17,(DA17+DB17)/2)</f>
        <v/>
      </c>
      <c r="DG17">
        <f>h_col*((DE17+DF17)/2)/(1-(DE17+DF17)/2)</f>
        <v/>
      </c>
      <c r="DH17">
        <f>(f_cd*b_col*((3*MIN(DG17,h_col)/7)+(4*MIN(DG17,h_col)/7)*(1-((4*MIN(DG17,h_col)/7)/(DG17-(3*MIN(DG17,h_col)/7)))^2/3))+$D17/2*((MAX(-f_yd,MIN(f_yd,200000*IF(DG17&lt;=h_col,0.0035*(DG17-d_2)/DG17,0.002*(DG17-d_2)/(DG17-3*h_col/7))))-f_cd*(1-(1-MAX(0,MIN(1,IF(DG17&lt;=h_col,0.0035*(DG17-d_2)/DG17,0.002*(DG17-d_2)/(DG17-3*h_col/7))/0.002)))^2))+(MAX(-f_yd,MIN(f_yd,200000*IF(DG17&lt;=h_col,0.0035*(DG17-(h_col-d_2))/DG17,0.002*(DG17-(h_col-d_2))/(DG17-3*h_col/7))))-f_cd*(1-(1-MAX(0,MIN(1,IF(DG17&lt;=h_col,0.0035*(DG17-(h_col-d_2))/DG17,0.002*(DG17-(h_col-d_2))/(DG17-3*h_col/7))/0.002)))^2))))/1000</f>
        <v/>
      </c>
      <c r="DI17">
        <f>IF($DH17&lt;N_Ed-1E-9*MAX(1,N_Ed),(DE17+DF17)/2,DE17)</f>
        <v/>
      </c>
      <c r="DJ17">
        <f>IF($DH17&lt;N_Ed-1E-9*MAX(1,N_Ed),DF17,(DE17+DF17)/2)</f>
        <v/>
      </c>
      <c r="DK17">
        <f>h_col*((DI17+DJ17)/2)/(1-(DI17+DJ17)/2)</f>
        <v/>
      </c>
      <c r="DL17">
        <f>(f_cd*b_col*((3*MIN(DK17,h_col)/7)+(4*MIN(DK17,h_col)/7)*(1-((4*MIN(DK17,h_col)/7)/(DK17-(3*MIN(DK17,h_col)/7)))^2/3))+$D17/2*((MAX(-f_yd,MIN(f_yd,200000*IF(DK17&lt;=h_col,0.0035*(DK17-d_2)/DK17,0.002*(DK17-d_2)/(DK17-3*h_col/7))))-f_cd*(1-(1-MAX(0,MIN(1,IF(DK17&lt;=h_col,0.0035*(DK17-d_2)/DK17,0.002*(DK17-d_2)/(DK17-3*h_col/7))/0.002)))^2))+(MAX(-f_yd,MIN(f_yd,200000*IF(DK17&lt;=h_col,0.0035*(DK17-(h_col-d_2))/DK17,0.002*(DK17-(h_col-d_2))/(DK17-3*h_col/7))))-f_cd*(1-(1-MAX(0,MIN(1,IF(DK17&lt;=h_col,0.0035*(DK17-(h_col-d_2))/DK17,0.002*(DK17-(h_col-d_2))/(DK17-3*h_col/7))/0.002)))^2))))/1000</f>
        <v/>
      </c>
      <c r="DM17">
        <f>IF($DL17&lt;N_Ed-1E-9*MAX(1,N_Ed),(DI17+DJ17)/2,DI17)</f>
        <v/>
      </c>
      <c r="DN17">
        <f>IF($DL17&lt;N_Ed-1E-9*MAX(1,N_Ed),DJ17,(DI17+DJ17)/2)</f>
        <v/>
      </c>
      <c r="DO17">
        <f>h_col*((DM17+DN17)/2)/(1-(DM17+DN17)/2)</f>
        <v/>
      </c>
      <c r="DP17">
        <f>(f_cd*b_col*((3*MIN(DO17,h_col)/7)+(4*MIN(DO17,h_col)/7)*(1-((4*MIN(DO17,h_col)/7)/(DO17-(3*MIN(DO17,h_col)/7)))^2/3))+$D17/2*((MAX(-f_yd,MIN(f_yd,200000*IF(DO17&lt;=h_col,0.0035*(DO17-d_2)/DO17,0.002*(DO17-d_2)/(DO17-3*h_col/7))))-f_cd*(1-(1-MAX(0,MIN(1,IF(DO17&lt;=h_col,0.0035*(DO17-d_2)/DO17,0.002*(DO17-d_2)/(DO17-3*h_col/7))/0.002)))^2))+(MAX(-f_yd,MIN(f_yd,200000*IF(DO17&lt;=h_col,0.0035*(DO17-(h_col-d_2))/DO17,0.002*(DO17-(h_col-d_2))/(DO17-3*h_col/7))))-f_cd*(1-(1-MAX(0,MIN(1,IF(DO17&lt;=h_col,0.0035*(DO17-(h_col-d_2))/DO17,0.002*(DO17-(h_col-d_2))/(DO17-3*h_col/7))/0.002)))^2))))/1000</f>
        <v/>
      </c>
      <c r="DQ17">
        <f>IF($DP17&lt;N_Ed-1E-9*MAX(1,N_Ed),(DM17+DN17)/2,DM17)</f>
        <v/>
      </c>
      <c r="DR17">
        <f>IF($DP17&lt;N_Ed-1E-9*MAX(1,N_Ed),DN17,(DM17+DN17)/2)</f>
        <v/>
      </c>
      <c r="DS17">
        <f>h_col*((DQ17+DR17)/2)/(1-(DQ17+DR17)/2)</f>
        <v/>
      </c>
      <c r="DT17">
        <f>(f_cd*b_col*((3*MIN(DS17,h_col)/7)+(4*MIN(DS17,h_col)/7)*(1-((4*MIN(DS17,h_col)/7)/(DS17-(3*MIN(DS17,h_col)/7)))^2/3))+$D17/2*((MAX(-f_yd,MIN(f_yd,200000*IF(DS17&lt;=h_col,0.0035*(DS17-d_2)/DS17,0.002*(DS17-d_2)/(DS17-3*h_col/7))))-f_cd*(1-(1-MAX(0,MIN(1,IF(DS17&lt;=h_col,0.0035*(DS17-d_2)/DS17,0.002*(DS17-d_2)/(DS17-3*h_col/7))/0.002)))^2))+(MAX(-f_yd,MIN(f_yd,200000*IF(DS17&lt;=h_col,0.0035*(DS17-(h_col-d_2))/DS17,0.002*(DS17-(h_col-d_2))/(DS17-3*h_col/7))))-f_cd*(1-(1-MAX(0,MIN(1,IF(DS17&lt;=h_col,0.0035*(DS17-(h_col-d_2))/DS17,0.002*(DS17-(h_col-d_2))/(DS17-3*h_col/7))/0.002)))^2))))/1000</f>
        <v/>
      </c>
      <c r="DU17">
        <f>IF($DT17&lt;N_Ed-1E-9*MAX(1,N_Ed),(DQ17+DR17)/2,DQ17)</f>
        <v/>
      </c>
      <c r="DV17">
        <f>IF($DT17&lt;N_Ed-1E-9*MAX(1,N_Ed),DR17,(DQ17+DR17)/2)</f>
        <v/>
      </c>
      <c r="DW17">
        <f>h_col*((DU17+DV17)/2)/(1-(DU17+DV17)/2)</f>
        <v/>
      </c>
      <c r="DX17">
        <f>(f_cd*b_col*((3*MIN(DW17,h_col)/7)+(4*MIN(DW17,h_col)/7)*(1-((4*MIN(DW17,h_col)/7)/(DW17-(3*MIN(DW17,h_col)/7)))^2/3))+$D17/2*((MAX(-f_yd,MIN(f_yd,200000*IF(DW17&lt;=h_col,0.0035*(DW17-d_2)/DW17,0.002*(DW17-d_2)/(DW17-3*h_col/7))))-f_cd*(1-(1-MAX(0,MIN(1,IF(DW17&lt;=h_col,0.0035*(DW17-d_2)/DW17,0.002*(DW17-d_2)/(DW17-3*h_col/7))/0.002)))^2))+(MAX(-f_yd,MIN(f_yd,200000*IF(DW17&lt;=h_col,0.0035*(DW17-(h_col-d_2))/DW17,0.002*(DW17-(h_col-d_2))/(DW17-3*h_col/7))))-f_cd*(1-(1-MAX(0,MIN(1,IF(DW17&lt;=h_col,0.0035*(DW17-(h_col-d_2))/DW17,0.002*(DW17-(h_col-d_2))/(DW17-3*h_col/7))/0.002)))^2))))/1000</f>
        <v/>
      </c>
      <c r="DY17">
        <f>IF($DX17&lt;N_Ed-1E-9*MAX(1,N_Ed),(DU17+DV17)/2,DU17)</f>
        <v/>
      </c>
      <c r="DZ17">
        <f>IF($DX17&lt;N_Ed-1E-9*MAX(1,N_Ed),DV17,(DU17+DV17)/2)</f>
        <v/>
      </c>
      <c r="EA17">
        <f>h_col*((DY17+DZ17)/2)/(1-(DY17+DZ17)/2)</f>
        <v/>
      </c>
      <c r="EB17">
        <f>(f_cd*b_col*((3*MIN(EA17,h_col)/7)+(4*MIN(EA17,h_col)/7)*(1-((4*MIN(EA17,h_col)/7)/(EA17-(3*MIN(EA17,h_col)/7)))^2/3))+$D17/2*((MAX(-f_yd,MIN(f_yd,200000*IF(EA17&lt;=h_col,0.0035*(EA17-d_2)/EA17,0.002*(EA17-d_2)/(EA17-3*h_col/7))))-f_cd*(1-(1-MAX(0,MIN(1,IF(EA17&lt;=h_col,0.0035*(EA17-d_2)/EA17,0.002*(EA17-d_2)/(EA17-3*h_col/7))/0.002)))^2))+(MAX(-f_yd,MIN(f_yd,200000*IF(EA17&lt;=h_col,0.0035*(EA17-(h_col-d_2))/EA17,0.002*(EA17-(h_col-d_2))/(EA17-3*h_col/7))))-f_cd*(1-(1-MAX(0,MIN(1,IF(EA17&lt;=h_col,0.0035*(EA17-(h_col-d_2))/EA17,0.002*(EA17-(h_col-d_2))/(EA17-3*h_col/7))/0.002)))^2))))/1000</f>
        <v/>
      </c>
      <c r="EC17">
        <f>IF($EB17&lt;N_Ed-1E-9*MAX(1,N_Ed),(DY17+DZ17)/2,DY17)</f>
        <v/>
      </c>
      <c r="ED17">
        <f>IF($EB17&lt;N_Ed-1E-9*MAX(1,N_Ed),DZ17,(DY17+DZ17)/2)</f>
        <v/>
      </c>
      <c r="EE17">
        <f>h_col*((EC17+ED17)/2)/(1-(EC17+ED17)/2)</f>
        <v/>
      </c>
      <c r="EF17">
        <f>(f_cd*b_col*((3*MIN(EE17,h_col)/7)+(4*MIN(EE17,h_col)/7)*(1-((4*MIN(EE17,h_col)/7)/(EE17-(3*MIN(EE17,h_col)/7)))^2/3))+$D17/2*((MAX(-f_yd,MIN(f_yd,200000*IF(EE17&lt;=h_col,0.0035*(EE17-d_2)/EE17,0.002*(EE17-d_2)/(EE17-3*h_col/7))))-f_cd*(1-(1-MAX(0,MIN(1,IF(EE17&lt;=h_col,0.0035*(EE17-d_2)/EE17,0.002*(EE17-d_2)/(EE17-3*h_col/7))/0.002)))^2))+(MAX(-f_yd,MIN(f_yd,200000*IF(EE17&lt;=h_col,0.0035*(EE17-(h_col-d_2))/EE17,0.002*(EE17-(h_col-d_2))/(EE17-3*h_col/7))))-f_cd*(1-(1-MAX(0,MIN(1,IF(EE17&lt;=h_col,0.0035*(EE17-(h_col-d_2))/EE17,0.002*(EE17-(h_col-d_2))/(EE17-3*h_col/7))/0.002)))^2))))/1000</f>
        <v/>
      </c>
      <c r="EG17">
        <f>IF($EF17&lt;N_Ed-1E-9*MAX(1,N_Ed),(EC17+ED17)/2,EC17)</f>
        <v/>
      </c>
      <c r="EH17">
        <f>IF($EF17&lt;N_Ed-1E-9*MAX(1,N_Ed),ED17,(EC17+ED17)/2)</f>
        <v/>
      </c>
      <c r="EI17">
        <f>h_col*((EG17+EH17)/2)/(1-(EG17+EH17)/2)</f>
        <v/>
      </c>
      <c r="EJ17">
        <f>(f_cd*b_col*((3*MIN(EI17,h_col)/7)+(4*MIN(EI17,h_col)/7)*(1-((4*MIN(EI17,h_col)/7)/(EI17-(3*MIN(EI17,h_col)/7)))^2/3))+$D17/2*((MAX(-f_yd,MIN(f_yd,200000*IF(EI17&lt;=h_col,0.0035*(EI17-d_2)/EI17,0.002*(EI17-d_2)/(EI17-3*h_col/7))))-f_cd*(1-(1-MAX(0,MIN(1,IF(EI17&lt;=h_col,0.0035*(EI17-d_2)/EI17,0.002*(EI17-d_2)/(EI17-3*h_col/7))/0.002)))^2))+(MAX(-f_yd,MIN(f_yd,200000*IF(EI17&lt;=h_col,0.0035*(EI17-(h_col-d_2))/EI17,0.002*(EI17-(h_col-d_2))/(EI17-3*h_col/7))))-f_cd*(1-(1-MAX(0,MIN(1,IF(EI17&lt;=h_col,0.0035*(EI17-(h_col-d_2))/EI17,0.002*(EI17-(h_col-d_2))/(EI17-3*h_col/7))/0.002)))^2))))/1000</f>
        <v/>
      </c>
      <c r="EK17">
        <f>IF($EJ17&lt;N_Ed-1E-9*MAX(1,N_Ed),(EG17+EH17)/2,EG17)</f>
        <v/>
      </c>
      <c r="EL17">
        <f>IF($EJ17&lt;N_Ed-1E-9*MAX(1,N_Ed),EH17,(EG17+EH17)/2)</f>
        <v/>
      </c>
      <c r="EM17">
        <f>h_col*((EK17+EL17)/2)/(1-(EK17+EL17)/2)</f>
        <v/>
      </c>
      <c r="EN17">
        <f>(f_cd*b_col*((3*MIN(EM17,h_col)/7)+(4*MIN(EM17,h_col)/7)*(1-((4*MIN(EM17,h_col)/7)/(EM17-(3*MIN(EM17,h_col)/7)))^2/3))+$D17/2*((MAX(-f_yd,MIN(f_yd,200000*IF(EM17&lt;=h_col,0.0035*(EM17-d_2)/EM17,0.002*(EM17-d_2)/(EM17-3*h_col/7))))-f_cd*(1-(1-MAX(0,MIN(1,IF(EM17&lt;=h_col,0.0035*(EM17-d_2)/EM17,0.002*(EM17-d_2)/(EM17-3*h_col/7))/0.002)))^2))+(MAX(-f_yd,MIN(f_yd,200000*IF(EM17&lt;=h_col,0.0035*(EM17-(h_col-d_2))/EM17,0.002*(EM17-(h_col-d_2))/(EM17-3*h_col/7))))-f_cd*(1-(1-MAX(0,MIN(1,IF(EM17&lt;=h_col,0.0035*(EM17-(h_col-d_2))/EM17,0.002*(EM17-(h_col-d_2))/(EM17-3*h_col/7))/0.002)))^2))))/1000</f>
        <v/>
      </c>
      <c r="EO17">
        <f>IF($EN17&lt;N_Ed-1E-9*MAX(1,N_Ed),(EK17+EL17)/2,EK17)</f>
        <v/>
      </c>
      <c r="EP17">
        <f>IF($EN17&lt;N_Ed-1E-9*MAX(1,N_Ed),EL17,(EK17+EL17)/2)</f>
        <v/>
      </c>
      <c r="EQ17">
        <f>h_col*((EO17+EP17)/2)/(1-(EO17+EP17)/2)</f>
        <v/>
      </c>
      <c r="ER17">
        <f>(f_cd*b_col*((3*MIN(EQ17,h_col)/7)+(4*MIN(EQ17,h_col)/7)*(1-((4*MIN(EQ17,h_col)/7)/(EQ17-(3*MIN(EQ17,h_col)/7)))^2/3))+$D17/2*((MAX(-f_yd,MIN(f_yd,200000*IF(EQ17&lt;=h_col,0.0035*(EQ17-d_2)/EQ17,0.002*(EQ17-d_2)/(EQ17-3*h_col/7))))-f_cd*(1-(1-MAX(0,MIN(1,IF(EQ17&lt;=h_col,0.0035*(EQ17-d_2)/EQ17,0.002*(EQ17-d_2)/(EQ17-3*h_col/7))/0.002)))^2))+(MAX(-f_yd,MIN(f_yd,200000*IF(EQ17&lt;=h_col,0.0035*(EQ17-(h_col-d_2))/EQ17,0.002*(EQ17-(h_col-d_2))/(EQ17-3*h_col/7))))-f_cd*(1-(1-MAX(0,MIN(1,IF(EQ17&lt;=h_col,0.0035*(EQ17-(h_col-d_2))/EQ17,0.002*(EQ17-(h_col-d_2))/(EQ17-3*h_col/7))/0.002)))^2))))/1000</f>
        <v/>
      </c>
      <c r="ES17">
        <f>IF($ER17&lt;N_Ed-1E-9*MAX(1,N_Ed),(EO17+EP17)/2,EO17)</f>
        <v/>
      </c>
      <c r="ET17">
        <f>IF($ER17&lt;N_Ed-1E-9*MAX(1,N_Ed),EP17,(EO17+EP17)/2)</f>
        <v/>
      </c>
      <c r="EU17">
        <f>h_col*((ES17+ET17)/2)/(1-(ES17+ET17)/2)</f>
        <v/>
      </c>
      <c r="EV17">
        <f>(f_cd*b_col*((3*MIN(EU17,h_col)/7)+(4*MIN(EU17,h_col)/7)*(1-((4*MIN(EU17,h_col)/7)/(EU17-(3*MIN(EU17,h_col)/7)))^2/3))+$D17/2*((MAX(-f_yd,MIN(f_yd,200000*IF(EU17&lt;=h_col,0.0035*(EU17-d_2)/EU17,0.002*(EU17-d_2)/(EU17-3*h_col/7))))-f_cd*(1-(1-MAX(0,MIN(1,IF(EU17&lt;=h_col,0.0035*(EU17-d_2)/EU17,0.002*(EU17-d_2)/(EU17-3*h_col/7))/0.002)))^2))+(MAX(-f_yd,MIN(f_yd,200000*IF(EU17&lt;=h_col,0.0035*(EU17-(h_col-d_2))/EU17,0.002*(EU17-(h_col-d_2))/(EU17-3*h_col/7))))-f_cd*(1-(1-MAX(0,MIN(1,IF(EU17&lt;=h_col,0.0035*(EU17-(h_col-d_2))/EU17,0.002*(EU17-(h_col-d_2))/(EU17-3*h_col/7))/0.002)))^2))))/1000</f>
        <v/>
      </c>
      <c r="EW17">
        <f>IF($EV17&lt;N_Ed-1E-9*MAX(1,N_Ed),(ES17+ET17)/2,ES17)</f>
        <v/>
      </c>
      <c r="EX17">
        <f>IF($EV17&lt;N_Ed-1E-9*MAX(1,N_Ed),ET17,(ES17+ET17)/2)</f>
        <v/>
      </c>
      <c r="EY17">
        <f>h_col*((EW17+EX17)/2)/(1-(EW17+EX17)/2)</f>
        <v/>
      </c>
      <c r="EZ17">
        <f>(f_cd*b_col*((3*MIN(EY17,h_col)/7)+(4*MIN(EY17,h_col)/7)*(1-((4*MIN(EY17,h_col)/7)/(EY17-(3*MIN(EY17,h_col)/7)))^2/3))+$D17/2*((MAX(-f_yd,MIN(f_yd,200000*IF(EY17&lt;=h_col,0.0035*(EY17-d_2)/EY17,0.002*(EY17-d_2)/(EY17-3*h_col/7))))-f_cd*(1-(1-MAX(0,MIN(1,IF(EY17&lt;=h_col,0.0035*(EY17-d_2)/EY17,0.002*(EY17-d_2)/(EY17-3*h_col/7))/0.002)))^2))+(MAX(-f_yd,MIN(f_yd,200000*IF(EY17&lt;=h_col,0.0035*(EY17-(h_col-d_2))/EY17,0.002*(EY17-(h_col-d_2))/(EY17-3*h_col/7))))-f_cd*(1-(1-MAX(0,MIN(1,IF(EY17&lt;=h_col,0.0035*(EY17-(h_col-d_2))/EY17,0.002*(EY17-(h_col-d_2))/(EY17-3*h_col/7))/0.002)))^2))))/1000</f>
        <v/>
      </c>
      <c r="FA17">
        <f>IF($EZ17&lt;N_Ed-1E-9*MAX(1,N_Ed),(EW17+EX17)/2,EW17)</f>
        <v/>
      </c>
      <c r="FB17">
        <f>IF($EZ17&lt;N_Ed-1E-9*MAX(1,N_Ed),EX17,(EW17+EX17)/2)</f>
        <v/>
      </c>
      <c r="FC17">
        <f>h_col*((FA17+FB17)/2)/(1-(FA17+FB17)/2)</f>
        <v/>
      </c>
      <c r="FD17">
        <f>(f_cd*b_col*((3*MIN(FC17,h_col)/7)+(4*MIN(FC17,h_col)/7)*(1-((4*MIN(FC17,h_col)/7)/(FC17-(3*MIN(FC17,h_col)/7)))^2/3))+$D17/2*((MAX(-f_yd,MIN(f_yd,200000*IF(FC17&lt;=h_col,0.0035*(FC17-d_2)/FC17,0.002*(FC17-d_2)/(FC17-3*h_col/7))))-f_cd*(1-(1-MAX(0,MIN(1,IF(FC17&lt;=h_col,0.0035*(FC17-d_2)/FC17,0.002*(FC17-d_2)/(FC17-3*h_col/7))/0.002)))^2))+(MAX(-f_yd,MIN(f_yd,200000*IF(FC17&lt;=h_col,0.0035*(FC17-(h_col-d_2))/FC17,0.002*(FC17-(h_col-d_2))/(FC17-3*h_col/7))))-f_cd*(1-(1-MAX(0,MIN(1,IF(FC17&lt;=h_col,0.0035*(FC17-(h_col-d_2))/FC17,0.002*(FC17-(h_col-d_2))/(FC17-3*h_col/7))/0.002)))^2))))/1000</f>
        <v/>
      </c>
      <c r="FE17">
        <f>IF($FD17&lt;N_Ed-1E-9*MAX(1,N_Ed),(FA17+FB17)/2,FA17)</f>
        <v/>
      </c>
      <c r="FF17">
        <f>IF($FD17&lt;N_Ed-1E-9*MAX(1,N_Ed),FB17,(FA17+FB17)/2)</f>
        <v/>
      </c>
      <c r="FG17">
        <f>h_col*((FE17+FF17)/2)/(1-(FE17+FF17)/2)</f>
        <v/>
      </c>
      <c r="FH17">
        <f>(f_cd*b_col*((3*MIN(FG17,h_col)/7)+(4*MIN(FG17,h_col)/7)*(1-((4*MIN(FG17,h_col)/7)/(FG17-(3*MIN(FG17,h_col)/7)))^2/3))+$D17/2*((MAX(-f_yd,MIN(f_yd,200000*IF(FG17&lt;=h_col,0.0035*(FG17-d_2)/FG17,0.002*(FG17-d_2)/(FG17-3*h_col/7))))-f_cd*(1-(1-MAX(0,MIN(1,IF(FG17&lt;=h_col,0.0035*(FG17-d_2)/FG17,0.002*(FG17-d_2)/(FG17-3*h_col/7))/0.002)))^2))+(MAX(-f_yd,MIN(f_yd,200000*IF(FG17&lt;=h_col,0.0035*(FG17-(h_col-d_2))/FG17,0.002*(FG17-(h_col-d_2))/(FG17-3*h_col/7))))-f_cd*(1-(1-MAX(0,MIN(1,IF(FG17&lt;=h_col,0.0035*(FG17-(h_col-d_2))/FG17,0.002*(FG17-(h_col-d_2))/(FG17-3*h_col/7))/0.002)))^2))))/1000</f>
        <v/>
      </c>
      <c r="FI17">
        <f>IF($FH17&lt;N_Ed-1E-9*MAX(1,N_Ed),(FE17+FF17)/2,FE17)</f>
        <v/>
      </c>
      <c r="FJ17">
        <f>IF($FH17&lt;N_Ed-1E-9*MAX(1,N_Ed),FF17,(FE17+FF17)/2)</f>
        <v/>
      </c>
      <c r="FK17">
        <f>h_col*((FI17+FJ17)/2)/(1-(FI17+FJ17)/2)</f>
        <v/>
      </c>
      <c r="FL17">
        <f>(f_cd*b_col*((3*MIN(FK17,h_col)/7)+(4*MIN(FK17,h_col)/7)*(1-((4*MIN(FK17,h_col)/7)/(FK17-(3*MIN(FK17,h_col)/7)))^2/3))+$D17/2*((MAX(-f_yd,MIN(f_yd,200000*IF(FK17&lt;=h_col,0.0035*(FK17-d_2)/FK17,0.002*(FK17-d_2)/(FK17-3*h_col/7))))-f_cd*(1-(1-MAX(0,MIN(1,IF(FK17&lt;=h_col,0.0035*(FK17-d_2)/FK17,0.002*(FK17-d_2)/(FK17-3*h_col/7))/0.002)))^2))+(MAX(-f_yd,MIN(f_yd,200000*IF(FK17&lt;=h_col,0.0035*(FK17-(h_col-d_2))/FK17,0.002*(FK17-(h_col-d_2))/(FK17-3*h_col/7))))-f_cd*(1-(1-MAX(0,MIN(1,IF(FK17&lt;=h_col,0.0035*(FK17-(h_col-d_2))/FK17,0.002*(FK17-(h_col-d_2))/(FK17-3*h_col/7))/0.002)))^2))))/1000</f>
        <v/>
      </c>
      <c r="FM17">
        <f>IF($FL17&lt;N_Ed-1E-9*MAX(1,N_Ed),(FI17+FJ17)/2,FI17)</f>
        <v/>
      </c>
      <c r="FN17">
        <f>IF($FL17&lt;N_Ed-1E-9*MAX(1,N_Ed),FJ17,(FI17+FJ17)/2)</f>
        <v/>
      </c>
      <c r="FO17">
        <f>h_col*((FM17+FN17)/2)/(1-(FM17+FN17)/2)</f>
        <v/>
      </c>
      <c r="FP17">
        <f>(f_cd*b_col*((3*MIN(FO17,h_col)/7)+(4*MIN(FO17,h_col)/7)*(1-((4*MIN(FO17,h_col)/7)/(FO17-(3*MIN(FO17,h_col)/7)))^2/3))+$D17/2*((MAX(-f_yd,MIN(f_yd,200000*IF(FO17&lt;=h_col,0.0035*(FO17-d_2)/FO17,0.002*(FO17-d_2)/(FO17-3*h_col/7))))-f_cd*(1-(1-MAX(0,MIN(1,IF(FO17&lt;=h_col,0.0035*(FO17-d_2)/FO17,0.002*(FO17-d_2)/(FO17-3*h_col/7))/0.002)))^2))+(MAX(-f_yd,MIN(f_yd,200000*IF(FO17&lt;=h_col,0.0035*(FO17-(h_col-d_2))/FO17,0.002*(FO17-(h_col-d_2))/(FO17-3*h_col/7))))-f_cd*(1-(1-MAX(0,MIN(1,IF(FO17&lt;=h_col,0.0035*(FO17-(h_col-d_2))/FO17,0.002*(FO17-(h_col-d_2))/(FO17-3*h_col/7))/0.002)))^2))))/1000</f>
        <v/>
      </c>
      <c r="FQ17">
        <f>IF($FP17&lt;N_Ed-1E-9*MAX(1,N_Ed),(FM17+FN17)/2,FM17)</f>
        <v/>
      </c>
      <c r="FR17">
        <f>IF($FP17&lt;N_Ed-1E-9*MAX(1,N_Ed),FN17,(FM17+FN17)/2)</f>
        <v/>
      </c>
      <c r="FS17">
        <f>h_col*((FQ17+FR17)/2)/(1-(FQ17+FR17)/2)</f>
        <v/>
      </c>
      <c r="FT17">
        <f>(f_cd*b_col*((3*MIN(FS17,h_col)/7)+(4*MIN(FS17,h_col)/7)*(1-((4*MIN(FS17,h_col)/7)/(FS17-(3*MIN(FS17,h_col)/7)))^2/3))+$D17/2*((MAX(-f_yd,MIN(f_yd,200000*IF(FS17&lt;=h_col,0.0035*(FS17-d_2)/FS17,0.002*(FS17-d_2)/(FS17-3*h_col/7))))-f_cd*(1-(1-MAX(0,MIN(1,IF(FS17&lt;=h_col,0.0035*(FS17-d_2)/FS17,0.002*(FS17-d_2)/(FS17-3*h_col/7))/0.002)))^2))+(MAX(-f_yd,MIN(f_yd,200000*IF(FS17&lt;=h_col,0.0035*(FS17-(h_col-d_2))/FS17,0.002*(FS17-(h_col-d_2))/(FS17-3*h_col/7))))-f_cd*(1-(1-MAX(0,MIN(1,IF(FS17&lt;=h_col,0.0035*(FS17-(h_col-d_2))/FS17,0.002*(FS17-(h_col-d_2))/(FS17-3*h_col/7))/0.002)))^2))))/1000</f>
        <v/>
      </c>
      <c r="FU17">
        <f>IF($FT17&lt;N_Ed-1E-9*MAX(1,N_Ed),(FQ17+FR17)/2,FQ17)</f>
        <v/>
      </c>
      <c r="FV17">
        <f>IF($FT17&lt;N_Ed-1E-9*MAX(1,N_Ed),FR17,(FQ17+FR17)/2)</f>
        <v/>
      </c>
      <c r="FW17">
        <f>h_col*((FU17+FV17)/2)/(1-(FU17+FV17)/2)</f>
        <v/>
      </c>
      <c r="FX17">
        <f>(f_cd*b_col*((3*MIN(FW17,h_col)/7)+(4*MIN(FW17,h_col)/7)*(1-((4*MIN(FW17,h_col)/7)/(FW17-(3*MIN(FW17,h_col)/7)))^2/3))+$D17/2*((MAX(-f_yd,MIN(f_yd,200000*IF(FW17&lt;=h_col,0.0035*(FW17-d_2)/FW17,0.002*(FW17-d_2)/(FW17-3*h_col/7))))-f_cd*(1-(1-MAX(0,MIN(1,IF(FW17&lt;=h_col,0.0035*(FW17-d_2)/FW17,0.002*(FW17-d_2)/(FW17-3*h_col/7))/0.002)))^2))+(MAX(-f_yd,MIN(f_yd,200000*IF(FW17&lt;=h_col,0.0035*(FW17-(h_col-d_2))/FW17,0.002*(FW17-(h_col-d_2))/(FW17-3*h_col/7))))-f_cd*(1-(1-MAX(0,MIN(1,IF(FW17&lt;=h_col,0.0035*(FW17-(h_col-d_2))/FW17,0.002*(FW17-(h_col-d_2))/(FW17-3*h_col/7))/0.002)))^2))))/1000</f>
        <v/>
      </c>
      <c r="FY17">
        <f>IF($FX17&lt;N_Ed-1E-9*MAX(1,N_Ed),(FU17+FV17)/2,FU17)</f>
        <v/>
      </c>
      <c r="FZ17">
        <f>IF($FX17&lt;N_Ed-1E-9*MAX(1,N_Ed),FV17,(FU17+FV17)/2)</f>
        <v/>
      </c>
      <c r="GA17">
        <f>h_col*((FY17+FZ17)/2)/(1-(FY17+FZ17)/2)</f>
        <v/>
      </c>
      <c r="GB17">
        <f>(f_cd*b_col*((3*MIN(GA17,h_col)/7)+(4*MIN(GA17,h_col)/7)*(1-((4*MIN(GA17,h_col)/7)/(GA17-(3*MIN(GA17,h_col)/7)))^2/3))+$D17/2*((MAX(-f_yd,MIN(f_yd,200000*IF(GA17&lt;=h_col,0.0035*(GA17-d_2)/GA17,0.002*(GA17-d_2)/(GA17-3*h_col/7))))-f_cd*(1-(1-MAX(0,MIN(1,IF(GA17&lt;=h_col,0.0035*(GA17-d_2)/GA17,0.002*(GA17-d_2)/(GA17-3*h_col/7))/0.002)))^2))+(MAX(-f_yd,MIN(f_yd,200000*IF(GA17&lt;=h_col,0.0035*(GA17-(h_col-d_2))/GA17,0.002*(GA17-(h_col-d_2))/(GA17-3*h_col/7))))-f_cd*(1-(1-MAX(0,MIN(1,IF(GA17&lt;=h_col,0.0035*(GA17-(h_col-d_2))/GA17,0.002*(GA17-(h_col-d_2))/(GA17-3*h_col/7))/0.002)))^2))))/1000</f>
        <v/>
      </c>
      <c r="GC17">
        <f>IF($GB17&lt;N_Ed-1E-9*MAX(1,N_Ed),(FY17+FZ17)/2,FY17)</f>
        <v/>
      </c>
      <c r="GD17">
        <f>IF($GB17&lt;N_Ed-1E-9*MAX(1,N_Ed),FZ17,(FY17+FZ17)/2)</f>
        <v/>
      </c>
      <c r="GE17">
        <f>h_col*((GC17+GD17)/2)/(1-(GC17+GD17)/2)</f>
        <v/>
      </c>
      <c r="GF17">
        <f>(f_cd*b_col*((3*MIN(GE17,h_col)/7)+(4*MIN(GE17,h_col)/7)*(1-((4*MIN(GE17,h_col)/7)/(GE17-(3*MIN(GE17,h_col)/7)))^2/3))+$D17/2*((MAX(-f_yd,MIN(f_yd,200000*IF(GE17&lt;=h_col,0.0035*(GE17-d_2)/GE17,0.002*(GE17-d_2)/(GE17-3*h_col/7))))-f_cd*(1-(1-MAX(0,MIN(1,IF(GE17&lt;=h_col,0.0035*(GE17-d_2)/GE17,0.002*(GE17-d_2)/(GE17-3*h_col/7))/0.002)))^2))+(MAX(-f_yd,MIN(f_yd,200000*IF(GE17&lt;=h_col,0.0035*(GE17-(h_col-d_2))/GE17,0.002*(GE17-(h_col-d_2))/(GE17-3*h_col/7))))-f_cd*(1-(1-MAX(0,MIN(1,IF(GE17&lt;=h_col,0.0035*(GE17-(h_col-d_2))/GE17,0.002*(GE17-(h_col-d_2))/(GE17-3*h_col/7))/0.002)))^2))))/1000</f>
        <v/>
      </c>
      <c r="GG17">
        <f>IF($GF17&lt;N_Ed-1E-9*MAX(1,N_Ed),(GC17+GD17)/2,GC17)</f>
        <v/>
      </c>
      <c r="GH17">
        <f>IF($GF17&lt;N_Ed-1E-9*MAX(1,N_Ed),GD17,(GC17+GD17)/2)</f>
        <v/>
      </c>
      <c r="GI17">
        <f>h_col*((GG17+GH17)/2)/(1-(GG17+GH17)/2)</f>
        <v/>
      </c>
      <c r="GJ17">
        <f>(f_cd*b_col*((3*MIN(GI17,h_col)/7)+(4*MIN(GI17,h_col)/7)*(1-((4*MIN(GI17,h_col)/7)/(GI17-(3*MIN(GI17,h_col)/7)))^2/3))+$D17/2*((MAX(-f_yd,MIN(f_yd,200000*IF(GI17&lt;=h_col,0.0035*(GI17-d_2)/GI17,0.002*(GI17-d_2)/(GI17-3*h_col/7))))-f_cd*(1-(1-MAX(0,MIN(1,IF(GI17&lt;=h_col,0.0035*(GI17-d_2)/GI17,0.002*(GI17-d_2)/(GI17-3*h_col/7))/0.002)))^2))+(MAX(-f_yd,MIN(f_yd,200000*IF(GI17&lt;=h_col,0.0035*(GI17-(h_col-d_2))/GI17,0.002*(GI17-(h_col-d_2))/(GI17-3*h_col/7))))-f_cd*(1-(1-MAX(0,MIN(1,IF(GI17&lt;=h_col,0.0035*(GI17-(h_col-d_2))/GI17,0.002*(GI17-(h_col-d_2))/(GI17-3*h_col/7))/0.002)))^2))))/1000</f>
        <v/>
      </c>
      <c r="GK17">
        <f>IF($GJ17&lt;N_Ed-1E-9*MAX(1,N_Ed),(GG17+GH17)/2,GG17)</f>
        <v/>
      </c>
      <c r="GL17">
        <f>IF($GJ17&lt;N_Ed-1E-9*MAX(1,N_Ed),GH17,(GG17+GH17)/2)</f>
        <v/>
      </c>
      <c r="GM17">
        <f>h_col*((GK17+GL17)/2)/(1-(GK17+GL17)/2)</f>
        <v/>
      </c>
      <c r="GN17">
        <f>(f_cd*b_col*((3*MIN(GM17,h_col)/7)+(4*MIN(GM17,h_col)/7)*(1-((4*MIN(GM17,h_col)/7)/(GM17-(3*MIN(GM17,h_col)/7)))^2/3))+$D17/2*((MAX(-f_yd,MIN(f_yd,200000*IF(GM17&lt;=h_col,0.0035*(GM17-d_2)/GM17,0.002*(GM17-d_2)/(GM17-3*h_col/7))))-f_cd*(1-(1-MAX(0,MIN(1,IF(GM17&lt;=h_col,0.0035*(GM17-d_2)/GM17,0.002*(GM17-d_2)/(GM17-3*h_col/7))/0.002)))^2))+(MAX(-f_yd,MIN(f_yd,200000*IF(GM17&lt;=h_col,0.0035*(GM17-(h_col-d_2))/GM17,0.002*(GM17-(h_col-d_2))/(GM17-3*h_col/7))))-f_cd*(1-(1-MAX(0,MIN(1,IF(GM17&lt;=h_col,0.0035*(GM17-(h_col-d_2))/GM17,0.002*(GM17-(h_col-d_2))/(GM17-3*h_col/7))/0.002)))^2))))/1000</f>
        <v/>
      </c>
      <c r="GO17">
        <f>IF($GN17&lt;N_Ed-1E-9*MAX(1,N_Ed),(GK17+GL17)/2,GK17)</f>
        <v/>
      </c>
      <c r="GP17">
        <f>IF($GN17&lt;N_Ed-1E-9*MAX(1,N_Ed),GL17,(GK17+GL17)/2)</f>
        <v/>
      </c>
      <c r="GQ17">
        <f>h_col*((GO17+GP17)/2)/(1-(GO17+GP17)/2)</f>
        <v/>
      </c>
      <c r="GR17">
        <f>(f_cd*b_col*((3*MIN(GQ17,h_col)/7)+(4*MIN(GQ17,h_col)/7)*(1-((4*MIN(GQ17,h_col)/7)/(GQ17-(3*MIN(GQ17,h_col)/7)))^2/3))+$D17/2*((MAX(-f_yd,MIN(f_yd,200000*IF(GQ17&lt;=h_col,0.0035*(GQ17-d_2)/GQ17,0.002*(GQ17-d_2)/(GQ17-3*h_col/7))))-f_cd*(1-(1-MAX(0,MIN(1,IF(GQ17&lt;=h_col,0.0035*(GQ17-d_2)/GQ17,0.002*(GQ17-d_2)/(GQ17-3*h_col/7))/0.002)))^2))+(MAX(-f_yd,MIN(f_yd,200000*IF(GQ17&lt;=h_col,0.0035*(GQ17-(h_col-d_2))/GQ17,0.002*(GQ17-(h_col-d_2))/(GQ17-3*h_col/7))))-f_cd*(1-(1-MAX(0,MIN(1,IF(GQ17&lt;=h_col,0.0035*(GQ17-(h_col-d_2))/GQ17,0.002*(GQ17-(h_col-d_2))/(GQ17-3*h_col/7))/0.002)))^2))))/1000</f>
        <v/>
      </c>
      <c r="GS17">
        <f>IF($GR17&lt;N_Ed-1E-9*MAX(1,N_Ed),(GO17+GP17)/2,GO17)</f>
        <v/>
      </c>
      <c r="GT17">
        <f>IF($GR17&lt;N_Ed-1E-9*MAX(1,N_Ed),GP17,(GO17+GP17)/2)</f>
        <v/>
      </c>
      <c r="GU17">
        <f>h_col*((GS17+GT17)/2)/(1-(GS17+GT17)/2)</f>
        <v/>
      </c>
      <c r="GV17">
        <f>(f_cd*b_col*((3*MIN(GU17,h_col)/7)+(4*MIN(GU17,h_col)/7)*(1-((4*MIN(GU17,h_col)/7)/(GU17-(3*MIN(GU17,h_col)/7)))^2/3))+$D17/2*((MAX(-f_yd,MIN(f_yd,200000*IF(GU17&lt;=h_col,0.0035*(GU17-d_2)/GU17,0.002*(GU17-d_2)/(GU17-3*h_col/7))))-f_cd*(1-(1-MAX(0,MIN(1,IF(GU17&lt;=h_col,0.0035*(GU17-d_2)/GU17,0.002*(GU17-d_2)/(GU17-3*h_col/7))/0.002)))^2))+(MAX(-f_yd,MIN(f_yd,200000*IF(GU17&lt;=h_col,0.0035*(GU17-(h_col-d_2))/GU17,0.002*(GU17-(h_col-d_2))/(GU17-3*h_col/7))))-f_cd*(1-(1-MAX(0,MIN(1,IF(GU17&lt;=h_col,0.0035*(GU17-(h_col-d_2))/GU17,0.002*(GU17-(h_col-d_2))/(GU17-3*h_col/7))/0.002)))^2))))/1000</f>
        <v/>
      </c>
      <c r="GW17">
        <f>GU17</f>
        <v/>
      </c>
      <c r="GX17">
        <f>(f_cd*b_col*((3*MIN(GW17,h_col)/7)+(4*MIN(GW17,h_col)/7)*(1-((4*MIN(GW17,h_col)/7)/(GW17-(3*MIN(GW17,h_col)/7)))^2/3))+$D17/2*((MAX(-f_yd,MIN(f_yd,200000*IF(GW17&lt;=h_col,0.0035*(GW17-d_2)/GW17,0.002*(GW17-d_2)/(GW17-3*h_col/7))))-f_cd*(1-(1-MAX(0,MIN(1,IF(GW17&lt;=h_col,0.0035*(GW17-d_2)/GW17,0.002*(GW17-d_2)/(GW17-3*h_col/7))/0.002)))^2))+(MAX(-f_yd,MIN(f_yd,200000*IF(GW17&lt;=h_col,0.0035*(GW17-(h_col-d_2))/GW17,0.002*(GW17-(h_col-d_2))/(GW17-3*h_col/7))))-f_cd*(1-(1-MAX(0,MIN(1,IF(GW17&lt;=h_col,0.0035*(GW17-(h_col-d_2))/GW17,0.002*(GW17-(h_col-d_2))/(GW17-3*h_col/7))/0.002)))^2))))/1000</f>
        <v/>
      </c>
      <c r="GY17">
        <f>(f_cd*b_col*((3*MIN(GW17,h_col)/7)*(h_col/2-(3*MIN(GW17,h_col)/7)/2)+(4*MIN(GW17,h_col)/7)*((h_col/2-(3*MIN(GW17,h_col)/7))*(1-((4*MIN(GW17,h_col)/7)/(GW17-(3*MIN(GW17,h_col)/7)))^2/3)-(4*MIN(GW17,h_col)/7)*(0.5-((4*MIN(GW17,h_col)/7)/(GW17-(3*MIN(GW17,h_col)/7)))^2/4)))+$D17/2*((MAX(-f_yd,MIN(f_yd,200000*IF(GW17&lt;=h_col,0.0035*(GW17-d_2)/GW17,0.002*(GW17-d_2)/(GW17-3*h_col/7))))-f_cd*(1-(1-MAX(0,MIN(1,IF(GW17&lt;=h_col,0.0035*(GW17-d_2)/GW17,0.002*(GW17-d_2)/(GW17-3*h_col/7))/0.002)))^2))-(MAX(-f_yd,MIN(f_yd,200000*IF(GW17&lt;=h_col,0.0035*(GW17-(h_col-d_2))/GW17,0.002*(GW17-(h_col-d_2))/(GW17-3*h_col/7))))-f_cd*(1-(1-MAX(0,MIN(1,IF(GW17&lt;=h_col,0.0035*(GW17-(h_col-d_2))/GW17,0.002*(GW17-(h_col-d_2))/(GW17-3*h_col/7))/0.002)))^2)))*(h_col/2-d_2))/1E6</f>
        <v/>
      </c>
      <c r="GZ17">
        <f>GX17&gt;=N_Ed-1E-6*MAX(1,N_Ed)</f>
        <v/>
      </c>
      <c r="HA17">
        <f>IF(GZ17,GY17,-1E9)</f>
        <v/>
      </c>
    </row>
    <row r="18">
      <c r="A18" t="n">
        <v>13</v>
      </c>
      <c r="B18">
        <f>IF($HA17&gt;=M_d,$B17,$D17)</f>
        <v/>
      </c>
      <c r="C18">
        <f>IF($HA17&gt;=M_d,$D17,$C17)</f>
        <v/>
      </c>
      <c r="D18">
        <f>($B18+$C18)/2</f>
        <v/>
      </c>
      <c r="E18" t="n">
        <v>0</v>
      </c>
      <c r="F18">
        <f>1-1E-12</f>
        <v/>
      </c>
      <c r="G18">
        <f>h_col*((E18+F18)/2)/(1-(E18+F18)/2)</f>
        <v/>
      </c>
      <c r="H18">
        <f>(f_cd*b_col*((3*MIN(G18,h_col)/7)+(4*MIN(G18,h_col)/7)*(1-((4*MIN(G18,h_col)/7)/(G18-(3*MIN(G18,h_col)/7)))^2/3))+$D18/2*((MAX(-f_yd,MIN(f_yd,200000*IF(G18&lt;=h_col,0.0035*(G18-d_2)/G18,0.002*(G18-d_2)/(G18-3*h_col/7))))-f_cd*(1-(1-MAX(0,MIN(1,IF(G18&lt;=h_col,0.0035*(G18-d_2)/G18,0.002*(G18-d_2)/(G18-3*h_col/7))/0.002)))^2))+(MAX(-f_yd,MIN(f_yd,200000*IF(G18&lt;=h_col,0.0035*(G18-(h_col-d_2))/G18,0.002*(G18-(h_col-d_2))/(G18-3*h_col/7))))-f_cd*(1-(1-MAX(0,MIN(1,IF(G18&lt;=h_col,0.0035*(G18-(h_col-d_2))/G18,0.002*(G18-(h_col-d_2))/(G18-3*h_col/7))/0.002)))^2))))/1000</f>
        <v/>
      </c>
      <c r="I18">
        <f>IF($H18&lt;N_Ed-1E-9*MAX(1,N_Ed),(E18+F18)/2,E18)</f>
        <v/>
      </c>
      <c r="J18">
        <f>IF($H18&lt;N_Ed-1E-9*MAX(1,N_Ed),F18,(E18+F18)/2)</f>
        <v/>
      </c>
      <c r="K18">
        <f>h_col*((I18+J18)/2)/(1-(I18+J18)/2)</f>
        <v/>
      </c>
      <c r="L18">
        <f>(f_cd*b_col*((3*MIN(K18,h_col)/7)+(4*MIN(K18,h_col)/7)*(1-((4*MIN(K18,h_col)/7)/(K18-(3*MIN(K18,h_col)/7)))^2/3))+$D18/2*((MAX(-f_yd,MIN(f_yd,200000*IF(K18&lt;=h_col,0.0035*(K18-d_2)/K18,0.002*(K18-d_2)/(K18-3*h_col/7))))-f_cd*(1-(1-MAX(0,MIN(1,IF(K18&lt;=h_col,0.0035*(K18-d_2)/K18,0.002*(K18-d_2)/(K18-3*h_col/7))/0.002)))^2))+(MAX(-f_yd,MIN(f_yd,200000*IF(K18&lt;=h_col,0.0035*(K18-(h_col-d_2))/K18,0.002*(K18-(h_col-d_2))/(K18-3*h_col/7))))-f_cd*(1-(1-MAX(0,MIN(1,IF(K18&lt;=h_col,0.0035*(K18-(h_col-d_2))/K18,0.002*(K18-(h_col-d_2))/(K18-3*h_col/7))/0.002)))^2))))/1000</f>
        <v/>
      </c>
      <c r="M18">
        <f>IF($L18&lt;N_Ed-1E-9*MAX(1,N_Ed),(I18+J18)/2,I18)</f>
        <v/>
      </c>
      <c r="N18">
        <f>IF($L18&lt;N_Ed-1E-9*MAX(1,N_Ed),J18,(I18+J18)/2)</f>
        <v/>
      </c>
      <c r="O18">
        <f>h_col*((M18+N18)/2)/(1-(M18+N18)/2)</f>
        <v/>
      </c>
      <c r="P18">
        <f>(f_cd*b_col*((3*MIN(O18,h_col)/7)+(4*MIN(O18,h_col)/7)*(1-((4*MIN(O18,h_col)/7)/(O18-(3*MIN(O18,h_col)/7)))^2/3))+$D18/2*((MAX(-f_yd,MIN(f_yd,200000*IF(O18&lt;=h_col,0.0035*(O18-d_2)/O18,0.002*(O18-d_2)/(O18-3*h_col/7))))-f_cd*(1-(1-MAX(0,MIN(1,IF(O18&lt;=h_col,0.0035*(O18-d_2)/O18,0.002*(O18-d_2)/(O18-3*h_col/7))/0.002)))^2))+(MAX(-f_yd,MIN(f_yd,200000*IF(O18&lt;=h_col,0.0035*(O18-(h_col-d_2))/O18,0.002*(O18-(h_col-d_2))/(O18-3*h_col/7))))-f_cd*(1-(1-MAX(0,MIN(1,IF(O18&lt;=h_col,0.0035*(O18-(h_col-d_2))/O18,0.002*(O18-(h_col-d_2))/(O18-3*h_col/7))/0.002)))^2))))/1000</f>
        <v/>
      </c>
      <c r="Q18">
        <f>IF($P18&lt;N_Ed-1E-9*MAX(1,N_Ed),(M18+N18)/2,M18)</f>
        <v/>
      </c>
      <c r="R18">
        <f>IF($P18&lt;N_Ed-1E-9*MAX(1,N_Ed),N18,(M18+N18)/2)</f>
        <v/>
      </c>
      <c r="S18">
        <f>h_col*((Q18+R18)/2)/(1-(Q18+R18)/2)</f>
        <v/>
      </c>
      <c r="T18">
        <f>(f_cd*b_col*((3*MIN(S18,h_col)/7)+(4*MIN(S18,h_col)/7)*(1-((4*MIN(S18,h_col)/7)/(S18-(3*MIN(S18,h_col)/7)))^2/3))+$D18/2*((MAX(-f_yd,MIN(f_yd,200000*IF(S18&lt;=h_col,0.0035*(S18-d_2)/S18,0.002*(S18-d_2)/(S18-3*h_col/7))))-f_cd*(1-(1-MAX(0,MIN(1,IF(S18&lt;=h_col,0.0035*(S18-d_2)/S18,0.002*(S18-d_2)/(S18-3*h_col/7))/0.002)))^2))+(MAX(-f_yd,MIN(f_yd,200000*IF(S18&lt;=h_col,0.0035*(S18-(h_col-d_2))/S18,0.002*(S18-(h_col-d_2))/(S18-3*h_col/7))))-f_cd*(1-(1-MAX(0,MIN(1,IF(S18&lt;=h_col,0.0035*(S18-(h_col-d_2))/S18,0.002*(S18-(h_col-d_2))/(S18-3*h_col/7))/0.002)))^2))))/1000</f>
        <v/>
      </c>
      <c r="U18">
        <f>IF($T18&lt;N_Ed-1E-9*MAX(1,N_Ed),(Q18+R18)/2,Q18)</f>
        <v/>
      </c>
      <c r="V18">
        <f>IF($T18&lt;N_Ed-1E-9*MAX(1,N_Ed),R18,(Q18+R18)/2)</f>
        <v/>
      </c>
      <c r="W18">
        <f>h_col*((U18+V18)/2)/(1-(U18+V18)/2)</f>
        <v/>
      </c>
      <c r="X18">
        <f>(f_cd*b_col*((3*MIN(W18,h_col)/7)+(4*MIN(W18,h_col)/7)*(1-((4*MIN(W18,h_col)/7)/(W18-(3*MIN(W18,h_col)/7)))^2/3))+$D18/2*((MAX(-f_yd,MIN(f_yd,200000*IF(W18&lt;=h_col,0.0035*(W18-d_2)/W18,0.002*(W18-d_2)/(W18-3*h_col/7))))-f_cd*(1-(1-MAX(0,MIN(1,IF(W18&lt;=h_col,0.0035*(W18-d_2)/W18,0.002*(W18-d_2)/(W18-3*h_col/7))/0.002)))^2))+(MAX(-f_yd,MIN(f_yd,200000*IF(W18&lt;=h_col,0.0035*(W18-(h_col-d_2))/W18,0.002*(W18-(h_col-d_2))/(W18-3*h_col/7))))-f_cd*(1-(1-MAX(0,MIN(1,IF(W18&lt;=h_col,0.0035*(W18-(h_col-d_2))/W18,0.002*(W18-(h_col-d_2))/(W18-3*h_col/7))/0.002)))^2))))/1000</f>
        <v/>
      </c>
      <c r="Y18">
        <f>IF($X18&lt;N_Ed-1E-9*MAX(1,N_Ed),(U18+V18)/2,U18)</f>
        <v/>
      </c>
      <c r="Z18">
        <f>IF($X18&lt;N_Ed-1E-9*MAX(1,N_Ed),V18,(U18+V18)/2)</f>
        <v/>
      </c>
      <c r="AA18">
        <f>h_col*((Y18+Z18)/2)/(1-(Y18+Z18)/2)</f>
        <v/>
      </c>
      <c r="AB18">
        <f>(f_cd*b_col*((3*MIN(AA18,h_col)/7)+(4*MIN(AA18,h_col)/7)*(1-((4*MIN(AA18,h_col)/7)/(AA18-(3*MIN(AA18,h_col)/7)))^2/3))+$D18/2*((MAX(-f_yd,MIN(f_yd,200000*IF(AA18&lt;=h_col,0.0035*(AA18-d_2)/AA18,0.002*(AA18-d_2)/(AA18-3*h_col/7))))-f_cd*(1-(1-MAX(0,MIN(1,IF(AA18&lt;=h_col,0.0035*(AA18-d_2)/AA18,0.002*(AA18-d_2)/(AA18-3*h_col/7))/0.002)))^2))+(MAX(-f_yd,MIN(f_yd,200000*IF(AA18&lt;=h_col,0.0035*(AA18-(h_col-d_2))/AA18,0.002*(AA18-(h_col-d_2))/(AA18-3*h_col/7))))-f_cd*(1-(1-MAX(0,MIN(1,IF(AA18&lt;=h_col,0.0035*(AA18-(h_col-d_2))/AA18,0.002*(AA18-(h_col-d_2))/(AA18-3*h_col/7))/0.002)))^2))))/1000</f>
        <v/>
      </c>
      <c r="AC18">
        <f>IF($AB18&lt;N_Ed-1E-9*MAX(1,N_Ed),(Y18+Z18)/2,Y18)</f>
        <v/>
      </c>
      <c r="AD18">
        <f>IF($AB18&lt;N_Ed-1E-9*MAX(1,N_Ed),Z18,(Y18+Z18)/2)</f>
        <v/>
      </c>
      <c r="AE18">
        <f>h_col*((AC18+AD18)/2)/(1-(AC18+AD18)/2)</f>
        <v/>
      </c>
      <c r="AF18">
        <f>(f_cd*b_col*((3*MIN(AE18,h_col)/7)+(4*MIN(AE18,h_col)/7)*(1-((4*MIN(AE18,h_col)/7)/(AE18-(3*MIN(AE18,h_col)/7)))^2/3))+$D18/2*((MAX(-f_yd,MIN(f_yd,200000*IF(AE18&lt;=h_col,0.0035*(AE18-d_2)/AE18,0.002*(AE18-d_2)/(AE18-3*h_col/7))))-f_cd*(1-(1-MAX(0,MIN(1,IF(AE18&lt;=h_col,0.0035*(AE18-d_2)/AE18,0.002*(AE18-d_2)/(AE18-3*h_col/7))/0.002)))^2))+(MAX(-f_yd,MIN(f_yd,200000*IF(AE18&lt;=h_col,0.0035*(AE18-(h_col-d_2))/AE18,0.002*(AE18-(h_col-d_2))/(AE18-3*h_col/7))))-f_cd*(1-(1-MAX(0,MIN(1,IF(AE18&lt;=h_col,0.0035*(AE18-(h_col-d_2))/AE18,0.002*(AE18-(h_col-d_2))/(AE18-3*h_col/7))/0.002)))^2))))/1000</f>
        <v/>
      </c>
      <c r="AG18">
        <f>IF($AF18&lt;N_Ed-1E-9*MAX(1,N_Ed),(AC18+AD18)/2,AC18)</f>
        <v/>
      </c>
      <c r="AH18">
        <f>IF($AF18&lt;N_Ed-1E-9*MAX(1,N_Ed),AD18,(AC18+AD18)/2)</f>
        <v/>
      </c>
      <c r="AI18">
        <f>h_col*((AG18+AH18)/2)/(1-(AG18+AH18)/2)</f>
        <v/>
      </c>
      <c r="AJ18">
        <f>(f_cd*b_col*((3*MIN(AI18,h_col)/7)+(4*MIN(AI18,h_col)/7)*(1-((4*MIN(AI18,h_col)/7)/(AI18-(3*MIN(AI18,h_col)/7)))^2/3))+$D18/2*((MAX(-f_yd,MIN(f_yd,200000*IF(AI18&lt;=h_col,0.0035*(AI18-d_2)/AI18,0.002*(AI18-d_2)/(AI18-3*h_col/7))))-f_cd*(1-(1-MAX(0,MIN(1,IF(AI18&lt;=h_col,0.0035*(AI18-d_2)/AI18,0.002*(AI18-d_2)/(AI18-3*h_col/7))/0.002)))^2))+(MAX(-f_yd,MIN(f_yd,200000*IF(AI18&lt;=h_col,0.0035*(AI18-(h_col-d_2))/AI18,0.002*(AI18-(h_col-d_2))/(AI18-3*h_col/7))))-f_cd*(1-(1-MAX(0,MIN(1,IF(AI18&lt;=h_col,0.0035*(AI18-(h_col-d_2))/AI18,0.002*(AI18-(h_col-d_2))/(AI18-3*h_col/7))/0.002)))^2))))/1000</f>
        <v/>
      </c>
      <c r="AK18">
        <f>IF($AJ18&lt;N_Ed-1E-9*MAX(1,N_Ed),(AG18+AH18)/2,AG18)</f>
        <v/>
      </c>
      <c r="AL18">
        <f>IF($AJ18&lt;N_Ed-1E-9*MAX(1,N_Ed),AH18,(AG18+AH18)/2)</f>
        <v/>
      </c>
      <c r="AM18">
        <f>h_col*((AK18+AL18)/2)/(1-(AK18+AL18)/2)</f>
        <v/>
      </c>
      <c r="AN18">
        <f>(f_cd*b_col*((3*MIN(AM18,h_col)/7)+(4*MIN(AM18,h_col)/7)*(1-((4*MIN(AM18,h_col)/7)/(AM18-(3*MIN(AM18,h_col)/7)))^2/3))+$D18/2*((MAX(-f_yd,MIN(f_yd,200000*IF(AM18&lt;=h_col,0.0035*(AM18-d_2)/AM18,0.002*(AM18-d_2)/(AM18-3*h_col/7))))-f_cd*(1-(1-MAX(0,MIN(1,IF(AM18&lt;=h_col,0.0035*(AM18-d_2)/AM18,0.002*(AM18-d_2)/(AM18-3*h_col/7))/0.002)))^2))+(MAX(-f_yd,MIN(f_yd,200000*IF(AM18&lt;=h_col,0.0035*(AM18-(h_col-d_2))/AM18,0.002*(AM18-(h_col-d_2))/(AM18-3*h_col/7))))-f_cd*(1-(1-MAX(0,MIN(1,IF(AM18&lt;=h_col,0.0035*(AM18-(h_col-d_2))/AM18,0.002*(AM18-(h_col-d_2))/(AM18-3*h_col/7))/0.002)))^2))))/1000</f>
        <v/>
      </c>
      <c r="AO18">
        <f>IF($AN18&lt;N_Ed-1E-9*MAX(1,N_Ed),(AK18+AL18)/2,AK18)</f>
        <v/>
      </c>
      <c r="AP18">
        <f>IF($AN18&lt;N_Ed-1E-9*MAX(1,N_Ed),AL18,(AK18+AL18)/2)</f>
        <v/>
      </c>
      <c r="AQ18">
        <f>h_col*((AO18+AP18)/2)/(1-(AO18+AP18)/2)</f>
        <v/>
      </c>
      <c r="AR18">
        <f>(f_cd*b_col*((3*MIN(AQ18,h_col)/7)+(4*MIN(AQ18,h_col)/7)*(1-((4*MIN(AQ18,h_col)/7)/(AQ18-(3*MIN(AQ18,h_col)/7)))^2/3))+$D18/2*((MAX(-f_yd,MIN(f_yd,200000*IF(AQ18&lt;=h_col,0.0035*(AQ18-d_2)/AQ18,0.002*(AQ18-d_2)/(AQ18-3*h_col/7))))-f_cd*(1-(1-MAX(0,MIN(1,IF(AQ18&lt;=h_col,0.0035*(AQ18-d_2)/AQ18,0.002*(AQ18-d_2)/(AQ18-3*h_col/7))/0.002)))^2))+(MAX(-f_yd,MIN(f_yd,200000*IF(AQ18&lt;=h_col,0.0035*(AQ18-(h_col-d_2))/AQ18,0.002*(AQ18-(h_col-d_2))/(AQ18-3*h_col/7))))-f_cd*(1-(1-MAX(0,MIN(1,IF(AQ18&lt;=h_col,0.0035*(AQ18-(h_col-d_2))/AQ18,0.002*(AQ18-(h_col-d_2))/(AQ18-3*h_col/7))/0.002)))^2))))/1000</f>
        <v/>
      </c>
      <c r="AS18">
        <f>IF($AR18&lt;N_Ed-1E-9*MAX(1,N_Ed),(AO18+AP18)/2,AO18)</f>
        <v/>
      </c>
      <c r="AT18">
        <f>IF($AR18&lt;N_Ed-1E-9*MAX(1,N_Ed),AP18,(AO18+AP18)/2)</f>
        <v/>
      </c>
      <c r="AU18">
        <f>h_col*((AS18+AT18)/2)/(1-(AS18+AT18)/2)</f>
        <v/>
      </c>
      <c r="AV18">
        <f>(f_cd*b_col*((3*MIN(AU18,h_col)/7)+(4*MIN(AU18,h_col)/7)*(1-((4*MIN(AU18,h_col)/7)/(AU18-(3*MIN(AU18,h_col)/7)))^2/3))+$D18/2*((MAX(-f_yd,MIN(f_yd,200000*IF(AU18&lt;=h_col,0.0035*(AU18-d_2)/AU18,0.002*(AU18-d_2)/(AU18-3*h_col/7))))-f_cd*(1-(1-MAX(0,MIN(1,IF(AU18&lt;=h_col,0.0035*(AU18-d_2)/AU18,0.002*(AU18-d_2)/(AU18-3*h_col/7))/0.002)))^2))+(MAX(-f_yd,MIN(f_yd,200000*IF(AU18&lt;=h_col,0.0035*(AU18-(h_col-d_2))/AU18,0.002*(AU18-(h_col-d_2))/(AU18-3*h_col/7))))-f_cd*(1-(1-MAX(0,MIN(1,IF(AU18&lt;=h_col,0.0035*(AU18-(h_col-d_2))/AU18,0.002*(AU18-(h_col-d_2))/(AU18-3*h_col/7))/0.002)))^2))))/1000</f>
        <v/>
      </c>
      <c r="AW18">
        <f>IF($AV18&lt;N_Ed-1E-9*MAX(1,N_Ed),(AS18+AT18)/2,AS18)</f>
        <v/>
      </c>
      <c r="AX18">
        <f>IF($AV18&lt;N_Ed-1E-9*MAX(1,N_Ed),AT18,(AS18+AT18)/2)</f>
        <v/>
      </c>
      <c r="AY18">
        <f>h_col*((AW18+AX18)/2)/(1-(AW18+AX18)/2)</f>
        <v/>
      </c>
      <c r="AZ18">
        <f>(f_cd*b_col*((3*MIN(AY18,h_col)/7)+(4*MIN(AY18,h_col)/7)*(1-((4*MIN(AY18,h_col)/7)/(AY18-(3*MIN(AY18,h_col)/7)))^2/3))+$D18/2*((MAX(-f_yd,MIN(f_yd,200000*IF(AY18&lt;=h_col,0.0035*(AY18-d_2)/AY18,0.002*(AY18-d_2)/(AY18-3*h_col/7))))-f_cd*(1-(1-MAX(0,MIN(1,IF(AY18&lt;=h_col,0.0035*(AY18-d_2)/AY18,0.002*(AY18-d_2)/(AY18-3*h_col/7))/0.002)))^2))+(MAX(-f_yd,MIN(f_yd,200000*IF(AY18&lt;=h_col,0.0035*(AY18-(h_col-d_2))/AY18,0.002*(AY18-(h_col-d_2))/(AY18-3*h_col/7))))-f_cd*(1-(1-MAX(0,MIN(1,IF(AY18&lt;=h_col,0.0035*(AY18-(h_col-d_2))/AY18,0.002*(AY18-(h_col-d_2))/(AY18-3*h_col/7))/0.002)))^2))))/1000</f>
        <v/>
      </c>
      <c r="BA18">
        <f>IF($AZ18&lt;N_Ed-1E-9*MAX(1,N_Ed),(AW18+AX18)/2,AW18)</f>
        <v/>
      </c>
      <c r="BB18">
        <f>IF($AZ18&lt;N_Ed-1E-9*MAX(1,N_Ed),AX18,(AW18+AX18)/2)</f>
        <v/>
      </c>
      <c r="BC18">
        <f>h_col*((BA18+BB18)/2)/(1-(BA18+BB18)/2)</f>
        <v/>
      </c>
      <c r="BD18">
        <f>(f_cd*b_col*((3*MIN(BC18,h_col)/7)+(4*MIN(BC18,h_col)/7)*(1-((4*MIN(BC18,h_col)/7)/(BC18-(3*MIN(BC18,h_col)/7)))^2/3))+$D18/2*((MAX(-f_yd,MIN(f_yd,200000*IF(BC18&lt;=h_col,0.0035*(BC18-d_2)/BC18,0.002*(BC18-d_2)/(BC18-3*h_col/7))))-f_cd*(1-(1-MAX(0,MIN(1,IF(BC18&lt;=h_col,0.0035*(BC18-d_2)/BC18,0.002*(BC18-d_2)/(BC18-3*h_col/7))/0.002)))^2))+(MAX(-f_yd,MIN(f_yd,200000*IF(BC18&lt;=h_col,0.0035*(BC18-(h_col-d_2))/BC18,0.002*(BC18-(h_col-d_2))/(BC18-3*h_col/7))))-f_cd*(1-(1-MAX(0,MIN(1,IF(BC18&lt;=h_col,0.0035*(BC18-(h_col-d_2))/BC18,0.002*(BC18-(h_col-d_2))/(BC18-3*h_col/7))/0.002)))^2))))/1000</f>
        <v/>
      </c>
      <c r="BE18">
        <f>IF($BD18&lt;N_Ed-1E-9*MAX(1,N_Ed),(BA18+BB18)/2,BA18)</f>
        <v/>
      </c>
      <c r="BF18">
        <f>IF($BD18&lt;N_Ed-1E-9*MAX(1,N_Ed),BB18,(BA18+BB18)/2)</f>
        <v/>
      </c>
      <c r="BG18">
        <f>h_col*((BE18+BF18)/2)/(1-(BE18+BF18)/2)</f>
        <v/>
      </c>
      <c r="BH18">
        <f>(f_cd*b_col*((3*MIN(BG18,h_col)/7)+(4*MIN(BG18,h_col)/7)*(1-((4*MIN(BG18,h_col)/7)/(BG18-(3*MIN(BG18,h_col)/7)))^2/3))+$D18/2*((MAX(-f_yd,MIN(f_yd,200000*IF(BG18&lt;=h_col,0.0035*(BG18-d_2)/BG18,0.002*(BG18-d_2)/(BG18-3*h_col/7))))-f_cd*(1-(1-MAX(0,MIN(1,IF(BG18&lt;=h_col,0.0035*(BG18-d_2)/BG18,0.002*(BG18-d_2)/(BG18-3*h_col/7))/0.002)))^2))+(MAX(-f_yd,MIN(f_yd,200000*IF(BG18&lt;=h_col,0.0035*(BG18-(h_col-d_2))/BG18,0.002*(BG18-(h_col-d_2))/(BG18-3*h_col/7))))-f_cd*(1-(1-MAX(0,MIN(1,IF(BG18&lt;=h_col,0.0035*(BG18-(h_col-d_2))/BG18,0.002*(BG18-(h_col-d_2))/(BG18-3*h_col/7))/0.002)))^2))))/1000</f>
        <v/>
      </c>
      <c r="BI18">
        <f>IF($BH18&lt;N_Ed-1E-9*MAX(1,N_Ed),(BE18+BF18)/2,BE18)</f>
        <v/>
      </c>
      <c r="BJ18">
        <f>IF($BH18&lt;N_Ed-1E-9*MAX(1,N_Ed),BF18,(BE18+BF18)/2)</f>
        <v/>
      </c>
      <c r="BK18">
        <f>h_col*((BI18+BJ18)/2)/(1-(BI18+BJ18)/2)</f>
        <v/>
      </c>
      <c r="BL18">
        <f>(f_cd*b_col*((3*MIN(BK18,h_col)/7)+(4*MIN(BK18,h_col)/7)*(1-((4*MIN(BK18,h_col)/7)/(BK18-(3*MIN(BK18,h_col)/7)))^2/3))+$D18/2*((MAX(-f_yd,MIN(f_yd,200000*IF(BK18&lt;=h_col,0.0035*(BK18-d_2)/BK18,0.002*(BK18-d_2)/(BK18-3*h_col/7))))-f_cd*(1-(1-MAX(0,MIN(1,IF(BK18&lt;=h_col,0.0035*(BK18-d_2)/BK18,0.002*(BK18-d_2)/(BK18-3*h_col/7))/0.002)))^2))+(MAX(-f_yd,MIN(f_yd,200000*IF(BK18&lt;=h_col,0.0035*(BK18-(h_col-d_2))/BK18,0.002*(BK18-(h_col-d_2))/(BK18-3*h_col/7))))-f_cd*(1-(1-MAX(0,MIN(1,IF(BK18&lt;=h_col,0.0035*(BK18-(h_col-d_2))/BK18,0.002*(BK18-(h_col-d_2))/(BK18-3*h_col/7))/0.002)))^2))))/1000</f>
        <v/>
      </c>
      <c r="BM18">
        <f>IF($BL18&lt;N_Ed-1E-9*MAX(1,N_Ed),(BI18+BJ18)/2,BI18)</f>
        <v/>
      </c>
      <c r="BN18">
        <f>IF($BL18&lt;N_Ed-1E-9*MAX(1,N_Ed),BJ18,(BI18+BJ18)/2)</f>
        <v/>
      </c>
      <c r="BO18">
        <f>h_col*((BM18+BN18)/2)/(1-(BM18+BN18)/2)</f>
        <v/>
      </c>
      <c r="BP18">
        <f>(f_cd*b_col*((3*MIN(BO18,h_col)/7)+(4*MIN(BO18,h_col)/7)*(1-((4*MIN(BO18,h_col)/7)/(BO18-(3*MIN(BO18,h_col)/7)))^2/3))+$D18/2*((MAX(-f_yd,MIN(f_yd,200000*IF(BO18&lt;=h_col,0.0035*(BO18-d_2)/BO18,0.002*(BO18-d_2)/(BO18-3*h_col/7))))-f_cd*(1-(1-MAX(0,MIN(1,IF(BO18&lt;=h_col,0.0035*(BO18-d_2)/BO18,0.002*(BO18-d_2)/(BO18-3*h_col/7))/0.002)))^2))+(MAX(-f_yd,MIN(f_yd,200000*IF(BO18&lt;=h_col,0.0035*(BO18-(h_col-d_2))/BO18,0.002*(BO18-(h_col-d_2))/(BO18-3*h_col/7))))-f_cd*(1-(1-MAX(0,MIN(1,IF(BO18&lt;=h_col,0.0035*(BO18-(h_col-d_2))/BO18,0.002*(BO18-(h_col-d_2))/(BO18-3*h_col/7))/0.002)))^2))))/1000</f>
        <v/>
      </c>
      <c r="BQ18">
        <f>IF($BP18&lt;N_Ed-1E-9*MAX(1,N_Ed),(BM18+BN18)/2,BM18)</f>
        <v/>
      </c>
      <c r="BR18">
        <f>IF($BP18&lt;N_Ed-1E-9*MAX(1,N_Ed),BN18,(BM18+BN18)/2)</f>
        <v/>
      </c>
      <c r="BS18">
        <f>h_col*((BQ18+BR18)/2)/(1-(BQ18+BR18)/2)</f>
        <v/>
      </c>
      <c r="BT18">
        <f>(f_cd*b_col*((3*MIN(BS18,h_col)/7)+(4*MIN(BS18,h_col)/7)*(1-((4*MIN(BS18,h_col)/7)/(BS18-(3*MIN(BS18,h_col)/7)))^2/3))+$D18/2*((MAX(-f_yd,MIN(f_yd,200000*IF(BS18&lt;=h_col,0.0035*(BS18-d_2)/BS18,0.002*(BS18-d_2)/(BS18-3*h_col/7))))-f_cd*(1-(1-MAX(0,MIN(1,IF(BS18&lt;=h_col,0.0035*(BS18-d_2)/BS18,0.002*(BS18-d_2)/(BS18-3*h_col/7))/0.002)))^2))+(MAX(-f_yd,MIN(f_yd,200000*IF(BS18&lt;=h_col,0.0035*(BS18-(h_col-d_2))/BS18,0.002*(BS18-(h_col-d_2))/(BS18-3*h_col/7))))-f_cd*(1-(1-MAX(0,MIN(1,IF(BS18&lt;=h_col,0.0035*(BS18-(h_col-d_2))/BS18,0.002*(BS18-(h_col-d_2))/(BS18-3*h_col/7))/0.002)))^2))))/1000</f>
        <v/>
      </c>
      <c r="BU18">
        <f>IF($BT18&lt;N_Ed-1E-9*MAX(1,N_Ed),(BQ18+BR18)/2,BQ18)</f>
        <v/>
      </c>
      <c r="BV18">
        <f>IF($BT18&lt;N_Ed-1E-9*MAX(1,N_Ed),BR18,(BQ18+BR18)/2)</f>
        <v/>
      </c>
      <c r="BW18">
        <f>h_col*((BU18+BV18)/2)/(1-(BU18+BV18)/2)</f>
        <v/>
      </c>
      <c r="BX18">
        <f>(f_cd*b_col*((3*MIN(BW18,h_col)/7)+(4*MIN(BW18,h_col)/7)*(1-((4*MIN(BW18,h_col)/7)/(BW18-(3*MIN(BW18,h_col)/7)))^2/3))+$D18/2*((MAX(-f_yd,MIN(f_yd,200000*IF(BW18&lt;=h_col,0.0035*(BW18-d_2)/BW18,0.002*(BW18-d_2)/(BW18-3*h_col/7))))-f_cd*(1-(1-MAX(0,MIN(1,IF(BW18&lt;=h_col,0.0035*(BW18-d_2)/BW18,0.002*(BW18-d_2)/(BW18-3*h_col/7))/0.002)))^2))+(MAX(-f_yd,MIN(f_yd,200000*IF(BW18&lt;=h_col,0.0035*(BW18-(h_col-d_2))/BW18,0.002*(BW18-(h_col-d_2))/(BW18-3*h_col/7))))-f_cd*(1-(1-MAX(0,MIN(1,IF(BW18&lt;=h_col,0.0035*(BW18-(h_col-d_2))/BW18,0.002*(BW18-(h_col-d_2))/(BW18-3*h_col/7))/0.002)))^2))))/1000</f>
        <v/>
      </c>
      <c r="BY18">
        <f>IF($BX18&lt;N_Ed-1E-9*MAX(1,N_Ed),(BU18+BV18)/2,BU18)</f>
        <v/>
      </c>
      <c r="BZ18">
        <f>IF($BX18&lt;N_Ed-1E-9*MAX(1,N_Ed),BV18,(BU18+BV18)/2)</f>
        <v/>
      </c>
      <c r="CA18">
        <f>h_col*((BY18+BZ18)/2)/(1-(BY18+BZ18)/2)</f>
        <v/>
      </c>
      <c r="CB18">
        <f>(f_cd*b_col*((3*MIN(CA18,h_col)/7)+(4*MIN(CA18,h_col)/7)*(1-((4*MIN(CA18,h_col)/7)/(CA18-(3*MIN(CA18,h_col)/7)))^2/3))+$D18/2*((MAX(-f_yd,MIN(f_yd,200000*IF(CA18&lt;=h_col,0.0035*(CA18-d_2)/CA18,0.002*(CA18-d_2)/(CA18-3*h_col/7))))-f_cd*(1-(1-MAX(0,MIN(1,IF(CA18&lt;=h_col,0.0035*(CA18-d_2)/CA18,0.002*(CA18-d_2)/(CA18-3*h_col/7))/0.002)))^2))+(MAX(-f_yd,MIN(f_yd,200000*IF(CA18&lt;=h_col,0.0035*(CA18-(h_col-d_2))/CA18,0.002*(CA18-(h_col-d_2))/(CA18-3*h_col/7))))-f_cd*(1-(1-MAX(0,MIN(1,IF(CA18&lt;=h_col,0.0035*(CA18-(h_col-d_2))/CA18,0.002*(CA18-(h_col-d_2))/(CA18-3*h_col/7))/0.002)))^2))))/1000</f>
        <v/>
      </c>
      <c r="CC18">
        <f>IF($CB18&lt;N_Ed-1E-9*MAX(1,N_Ed),(BY18+BZ18)/2,BY18)</f>
        <v/>
      </c>
      <c r="CD18">
        <f>IF($CB18&lt;N_Ed-1E-9*MAX(1,N_Ed),BZ18,(BY18+BZ18)/2)</f>
        <v/>
      </c>
      <c r="CE18">
        <f>h_col*((CC18+CD18)/2)/(1-(CC18+CD18)/2)</f>
        <v/>
      </c>
      <c r="CF18">
        <f>(f_cd*b_col*((3*MIN(CE18,h_col)/7)+(4*MIN(CE18,h_col)/7)*(1-((4*MIN(CE18,h_col)/7)/(CE18-(3*MIN(CE18,h_col)/7)))^2/3))+$D18/2*((MAX(-f_yd,MIN(f_yd,200000*IF(CE18&lt;=h_col,0.0035*(CE18-d_2)/CE18,0.002*(CE18-d_2)/(CE18-3*h_col/7))))-f_cd*(1-(1-MAX(0,MIN(1,IF(CE18&lt;=h_col,0.0035*(CE18-d_2)/CE18,0.002*(CE18-d_2)/(CE18-3*h_col/7))/0.002)))^2))+(MAX(-f_yd,MIN(f_yd,200000*IF(CE18&lt;=h_col,0.0035*(CE18-(h_col-d_2))/CE18,0.002*(CE18-(h_col-d_2))/(CE18-3*h_col/7))))-f_cd*(1-(1-MAX(0,MIN(1,IF(CE18&lt;=h_col,0.0035*(CE18-(h_col-d_2))/CE18,0.002*(CE18-(h_col-d_2))/(CE18-3*h_col/7))/0.002)))^2))))/1000</f>
        <v/>
      </c>
      <c r="CG18">
        <f>IF($CF18&lt;N_Ed-1E-9*MAX(1,N_Ed),(CC18+CD18)/2,CC18)</f>
        <v/>
      </c>
      <c r="CH18">
        <f>IF($CF18&lt;N_Ed-1E-9*MAX(1,N_Ed),CD18,(CC18+CD18)/2)</f>
        <v/>
      </c>
      <c r="CI18">
        <f>h_col*((CG18+CH18)/2)/(1-(CG18+CH18)/2)</f>
        <v/>
      </c>
      <c r="CJ18">
        <f>(f_cd*b_col*((3*MIN(CI18,h_col)/7)+(4*MIN(CI18,h_col)/7)*(1-((4*MIN(CI18,h_col)/7)/(CI18-(3*MIN(CI18,h_col)/7)))^2/3))+$D18/2*((MAX(-f_yd,MIN(f_yd,200000*IF(CI18&lt;=h_col,0.0035*(CI18-d_2)/CI18,0.002*(CI18-d_2)/(CI18-3*h_col/7))))-f_cd*(1-(1-MAX(0,MIN(1,IF(CI18&lt;=h_col,0.0035*(CI18-d_2)/CI18,0.002*(CI18-d_2)/(CI18-3*h_col/7))/0.002)))^2))+(MAX(-f_yd,MIN(f_yd,200000*IF(CI18&lt;=h_col,0.0035*(CI18-(h_col-d_2))/CI18,0.002*(CI18-(h_col-d_2))/(CI18-3*h_col/7))))-f_cd*(1-(1-MAX(0,MIN(1,IF(CI18&lt;=h_col,0.0035*(CI18-(h_col-d_2))/CI18,0.002*(CI18-(h_col-d_2))/(CI18-3*h_col/7))/0.002)))^2))))/1000</f>
        <v/>
      </c>
      <c r="CK18">
        <f>IF($CJ18&lt;N_Ed-1E-9*MAX(1,N_Ed),(CG18+CH18)/2,CG18)</f>
        <v/>
      </c>
      <c r="CL18">
        <f>IF($CJ18&lt;N_Ed-1E-9*MAX(1,N_Ed),CH18,(CG18+CH18)/2)</f>
        <v/>
      </c>
      <c r="CM18">
        <f>h_col*((CK18+CL18)/2)/(1-(CK18+CL18)/2)</f>
        <v/>
      </c>
      <c r="CN18">
        <f>(f_cd*b_col*((3*MIN(CM18,h_col)/7)+(4*MIN(CM18,h_col)/7)*(1-((4*MIN(CM18,h_col)/7)/(CM18-(3*MIN(CM18,h_col)/7)))^2/3))+$D18/2*((MAX(-f_yd,MIN(f_yd,200000*IF(CM18&lt;=h_col,0.0035*(CM18-d_2)/CM18,0.002*(CM18-d_2)/(CM18-3*h_col/7))))-f_cd*(1-(1-MAX(0,MIN(1,IF(CM18&lt;=h_col,0.0035*(CM18-d_2)/CM18,0.002*(CM18-d_2)/(CM18-3*h_col/7))/0.002)))^2))+(MAX(-f_yd,MIN(f_yd,200000*IF(CM18&lt;=h_col,0.0035*(CM18-(h_col-d_2))/CM18,0.002*(CM18-(h_col-d_2))/(CM18-3*h_col/7))))-f_cd*(1-(1-MAX(0,MIN(1,IF(CM18&lt;=h_col,0.0035*(CM18-(h_col-d_2))/CM18,0.002*(CM18-(h_col-d_2))/(CM18-3*h_col/7))/0.002)))^2))))/1000</f>
        <v/>
      </c>
      <c r="CO18">
        <f>IF($CN18&lt;N_Ed-1E-9*MAX(1,N_Ed),(CK18+CL18)/2,CK18)</f>
        <v/>
      </c>
      <c r="CP18">
        <f>IF($CN18&lt;N_Ed-1E-9*MAX(1,N_Ed),CL18,(CK18+CL18)/2)</f>
        <v/>
      </c>
      <c r="CQ18">
        <f>h_col*((CO18+CP18)/2)/(1-(CO18+CP18)/2)</f>
        <v/>
      </c>
      <c r="CR18">
        <f>(f_cd*b_col*((3*MIN(CQ18,h_col)/7)+(4*MIN(CQ18,h_col)/7)*(1-((4*MIN(CQ18,h_col)/7)/(CQ18-(3*MIN(CQ18,h_col)/7)))^2/3))+$D18/2*((MAX(-f_yd,MIN(f_yd,200000*IF(CQ18&lt;=h_col,0.0035*(CQ18-d_2)/CQ18,0.002*(CQ18-d_2)/(CQ18-3*h_col/7))))-f_cd*(1-(1-MAX(0,MIN(1,IF(CQ18&lt;=h_col,0.0035*(CQ18-d_2)/CQ18,0.002*(CQ18-d_2)/(CQ18-3*h_col/7))/0.002)))^2))+(MAX(-f_yd,MIN(f_yd,200000*IF(CQ18&lt;=h_col,0.0035*(CQ18-(h_col-d_2))/CQ18,0.002*(CQ18-(h_col-d_2))/(CQ18-3*h_col/7))))-f_cd*(1-(1-MAX(0,MIN(1,IF(CQ18&lt;=h_col,0.0035*(CQ18-(h_col-d_2))/CQ18,0.002*(CQ18-(h_col-d_2))/(CQ18-3*h_col/7))/0.002)))^2))))/1000</f>
        <v/>
      </c>
      <c r="CS18">
        <f>IF($CR18&lt;N_Ed-1E-9*MAX(1,N_Ed),(CO18+CP18)/2,CO18)</f>
        <v/>
      </c>
      <c r="CT18">
        <f>IF($CR18&lt;N_Ed-1E-9*MAX(1,N_Ed),CP18,(CO18+CP18)/2)</f>
        <v/>
      </c>
      <c r="CU18">
        <f>h_col*((CS18+CT18)/2)/(1-(CS18+CT18)/2)</f>
        <v/>
      </c>
      <c r="CV18">
        <f>(f_cd*b_col*((3*MIN(CU18,h_col)/7)+(4*MIN(CU18,h_col)/7)*(1-((4*MIN(CU18,h_col)/7)/(CU18-(3*MIN(CU18,h_col)/7)))^2/3))+$D18/2*((MAX(-f_yd,MIN(f_yd,200000*IF(CU18&lt;=h_col,0.0035*(CU18-d_2)/CU18,0.002*(CU18-d_2)/(CU18-3*h_col/7))))-f_cd*(1-(1-MAX(0,MIN(1,IF(CU18&lt;=h_col,0.0035*(CU18-d_2)/CU18,0.002*(CU18-d_2)/(CU18-3*h_col/7))/0.002)))^2))+(MAX(-f_yd,MIN(f_yd,200000*IF(CU18&lt;=h_col,0.0035*(CU18-(h_col-d_2))/CU18,0.002*(CU18-(h_col-d_2))/(CU18-3*h_col/7))))-f_cd*(1-(1-MAX(0,MIN(1,IF(CU18&lt;=h_col,0.0035*(CU18-(h_col-d_2))/CU18,0.002*(CU18-(h_col-d_2))/(CU18-3*h_col/7))/0.002)))^2))))/1000</f>
        <v/>
      </c>
      <c r="CW18">
        <f>IF($CV18&lt;N_Ed-1E-9*MAX(1,N_Ed),(CS18+CT18)/2,CS18)</f>
        <v/>
      </c>
      <c r="CX18">
        <f>IF($CV18&lt;N_Ed-1E-9*MAX(1,N_Ed),CT18,(CS18+CT18)/2)</f>
        <v/>
      </c>
      <c r="CY18">
        <f>h_col*((CW18+CX18)/2)/(1-(CW18+CX18)/2)</f>
        <v/>
      </c>
      <c r="CZ18">
        <f>(f_cd*b_col*((3*MIN(CY18,h_col)/7)+(4*MIN(CY18,h_col)/7)*(1-((4*MIN(CY18,h_col)/7)/(CY18-(3*MIN(CY18,h_col)/7)))^2/3))+$D18/2*((MAX(-f_yd,MIN(f_yd,200000*IF(CY18&lt;=h_col,0.0035*(CY18-d_2)/CY18,0.002*(CY18-d_2)/(CY18-3*h_col/7))))-f_cd*(1-(1-MAX(0,MIN(1,IF(CY18&lt;=h_col,0.0035*(CY18-d_2)/CY18,0.002*(CY18-d_2)/(CY18-3*h_col/7))/0.002)))^2))+(MAX(-f_yd,MIN(f_yd,200000*IF(CY18&lt;=h_col,0.0035*(CY18-(h_col-d_2))/CY18,0.002*(CY18-(h_col-d_2))/(CY18-3*h_col/7))))-f_cd*(1-(1-MAX(0,MIN(1,IF(CY18&lt;=h_col,0.0035*(CY18-(h_col-d_2))/CY18,0.002*(CY18-(h_col-d_2))/(CY18-3*h_col/7))/0.002)))^2))))/1000</f>
        <v/>
      </c>
      <c r="DA18">
        <f>IF($CZ18&lt;N_Ed-1E-9*MAX(1,N_Ed),(CW18+CX18)/2,CW18)</f>
        <v/>
      </c>
      <c r="DB18">
        <f>IF($CZ18&lt;N_Ed-1E-9*MAX(1,N_Ed),CX18,(CW18+CX18)/2)</f>
        <v/>
      </c>
      <c r="DC18">
        <f>h_col*((DA18+DB18)/2)/(1-(DA18+DB18)/2)</f>
        <v/>
      </c>
      <c r="DD18">
        <f>(f_cd*b_col*((3*MIN(DC18,h_col)/7)+(4*MIN(DC18,h_col)/7)*(1-((4*MIN(DC18,h_col)/7)/(DC18-(3*MIN(DC18,h_col)/7)))^2/3))+$D18/2*((MAX(-f_yd,MIN(f_yd,200000*IF(DC18&lt;=h_col,0.0035*(DC18-d_2)/DC18,0.002*(DC18-d_2)/(DC18-3*h_col/7))))-f_cd*(1-(1-MAX(0,MIN(1,IF(DC18&lt;=h_col,0.0035*(DC18-d_2)/DC18,0.002*(DC18-d_2)/(DC18-3*h_col/7))/0.002)))^2))+(MAX(-f_yd,MIN(f_yd,200000*IF(DC18&lt;=h_col,0.0035*(DC18-(h_col-d_2))/DC18,0.002*(DC18-(h_col-d_2))/(DC18-3*h_col/7))))-f_cd*(1-(1-MAX(0,MIN(1,IF(DC18&lt;=h_col,0.0035*(DC18-(h_col-d_2))/DC18,0.002*(DC18-(h_col-d_2))/(DC18-3*h_col/7))/0.002)))^2))))/1000</f>
        <v/>
      </c>
      <c r="DE18">
        <f>IF($DD18&lt;N_Ed-1E-9*MAX(1,N_Ed),(DA18+DB18)/2,DA18)</f>
        <v/>
      </c>
      <c r="DF18">
        <f>IF($DD18&lt;N_Ed-1E-9*MAX(1,N_Ed),DB18,(DA18+DB18)/2)</f>
        <v/>
      </c>
      <c r="DG18">
        <f>h_col*((DE18+DF18)/2)/(1-(DE18+DF18)/2)</f>
        <v/>
      </c>
      <c r="DH18">
        <f>(f_cd*b_col*((3*MIN(DG18,h_col)/7)+(4*MIN(DG18,h_col)/7)*(1-((4*MIN(DG18,h_col)/7)/(DG18-(3*MIN(DG18,h_col)/7)))^2/3))+$D18/2*((MAX(-f_yd,MIN(f_yd,200000*IF(DG18&lt;=h_col,0.0035*(DG18-d_2)/DG18,0.002*(DG18-d_2)/(DG18-3*h_col/7))))-f_cd*(1-(1-MAX(0,MIN(1,IF(DG18&lt;=h_col,0.0035*(DG18-d_2)/DG18,0.002*(DG18-d_2)/(DG18-3*h_col/7))/0.002)))^2))+(MAX(-f_yd,MIN(f_yd,200000*IF(DG18&lt;=h_col,0.0035*(DG18-(h_col-d_2))/DG18,0.002*(DG18-(h_col-d_2))/(DG18-3*h_col/7))))-f_cd*(1-(1-MAX(0,MIN(1,IF(DG18&lt;=h_col,0.0035*(DG18-(h_col-d_2))/DG18,0.002*(DG18-(h_col-d_2))/(DG18-3*h_col/7))/0.002)))^2))))/1000</f>
        <v/>
      </c>
      <c r="DI18">
        <f>IF($DH18&lt;N_Ed-1E-9*MAX(1,N_Ed),(DE18+DF18)/2,DE18)</f>
        <v/>
      </c>
      <c r="DJ18">
        <f>IF($DH18&lt;N_Ed-1E-9*MAX(1,N_Ed),DF18,(DE18+DF18)/2)</f>
        <v/>
      </c>
      <c r="DK18">
        <f>h_col*((DI18+DJ18)/2)/(1-(DI18+DJ18)/2)</f>
        <v/>
      </c>
      <c r="DL18">
        <f>(f_cd*b_col*((3*MIN(DK18,h_col)/7)+(4*MIN(DK18,h_col)/7)*(1-((4*MIN(DK18,h_col)/7)/(DK18-(3*MIN(DK18,h_col)/7)))^2/3))+$D18/2*((MAX(-f_yd,MIN(f_yd,200000*IF(DK18&lt;=h_col,0.0035*(DK18-d_2)/DK18,0.002*(DK18-d_2)/(DK18-3*h_col/7))))-f_cd*(1-(1-MAX(0,MIN(1,IF(DK18&lt;=h_col,0.0035*(DK18-d_2)/DK18,0.002*(DK18-d_2)/(DK18-3*h_col/7))/0.002)))^2))+(MAX(-f_yd,MIN(f_yd,200000*IF(DK18&lt;=h_col,0.0035*(DK18-(h_col-d_2))/DK18,0.002*(DK18-(h_col-d_2))/(DK18-3*h_col/7))))-f_cd*(1-(1-MAX(0,MIN(1,IF(DK18&lt;=h_col,0.0035*(DK18-(h_col-d_2))/DK18,0.002*(DK18-(h_col-d_2))/(DK18-3*h_col/7))/0.002)))^2))))/1000</f>
        <v/>
      </c>
      <c r="DM18">
        <f>IF($DL18&lt;N_Ed-1E-9*MAX(1,N_Ed),(DI18+DJ18)/2,DI18)</f>
        <v/>
      </c>
      <c r="DN18">
        <f>IF($DL18&lt;N_Ed-1E-9*MAX(1,N_Ed),DJ18,(DI18+DJ18)/2)</f>
        <v/>
      </c>
      <c r="DO18">
        <f>h_col*((DM18+DN18)/2)/(1-(DM18+DN18)/2)</f>
        <v/>
      </c>
      <c r="DP18">
        <f>(f_cd*b_col*((3*MIN(DO18,h_col)/7)+(4*MIN(DO18,h_col)/7)*(1-((4*MIN(DO18,h_col)/7)/(DO18-(3*MIN(DO18,h_col)/7)))^2/3))+$D18/2*((MAX(-f_yd,MIN(f_yd,200000*IF(DO18&lt;=h_col,0.0035*(DO18-d_2)/DO18,0.002*(DO18-d_2)/(DO18-3*h_col/7))))-f_cd*(1-(1-MAX(0,MIN(1,IF(DO18&lt;=h_col,0.0035*(DO18-d_2)/DO18,0.002*(DO18-d_2)/(DO18-3*h_col/7))/0.002)))^2))+(MAX(-f_yd,MIN(f_yd,200000*IF(DO18&lt;=h_col,0.0035*(DO18-(h_col-d_2))/DO18,0.002*(DO18-(h_col-d_2))/(DO18-3*h_col/7))))-f_cd*(1-(1-MAX(0,MIN(1,IF(DO18&lt;=h_col,0.0035*(DO18-(h_col-d_2))/DO18,0.002*(DO18-(h_col-d_2))/(DO18-3*h_col/7))/0.002)))^2))))/1000</f>
        <v/>
      </c>
      <c r="DQ18">
        <f>IF($DP18&lt;N_Ed-1E-9*MAX(1,N_Ed),(DM18+DN18)/2,DM18)</f>
        <v/>
      </c>
      <c r="DR18">
        <f>IF($DP18&lt;N_Ed-1E-9*MAX(1,N_Ed),DN18,(DM18+DN18)/2)</f>
        <v/>
      </c>
      <c r="DS18">
        <f>h_col*((DQ18+DR18)/2)/(1-(DQ18+DR18)/2)</f>
        <v/>
      </c>
      <c r="DT18">
        <f>(f_cd*b_col*((3*MIN(DS18,h_col)/7)+(4*MIN(DS18,h_col)/7)*(1-((4*MIN(DS18,h_col)/7)/(DS18-(3*MIN(DS18,h_col)/7)))^2/3))+$D18/2*((MAX(-f_yd,MIN(f_yd,200000*IF(DS18&lt;=h_col,0.0035*(DS18-d_2)/DS18,0.002*(DS18-d_2)/(DS18-3*h_col/7))))-f_cd*(1-(1-MAX(0,MIN(1,IF(DS18&lt;=h_col,0.0035*(DS18-d_2)/DS18,0.002*(DS18-d_2)/(DS18-3*h_col/7))/0.002)))^2))+(MAX(-f_yd,MIN(f_yd,200000*IF(DS18&lt;=h_col,0.0035*(DS18-(h_col-d_2))/DS18,0.002*(DS18-(h_col-d_2))/(DS18-3*h_col/7))))-f_cd*(1-(1-MAX(0,MIN(1,IF(DS18&lt;=h_col,0.0035*(DS18-(h_col-d_2))/DS18,0.002*(DS18-(h_col-d_2))/(DS18-3*h_col/7))/0.002)))^2))))/1000</f>
        <v/>
      </c>
      <c r="DU18">
        <f>IF($DT18&lt;N_Ed-1E-9*MAX(1,N_Ed),(DQ18+DR18)/2,DQ18)</f>
        <v/>
      </c>
      <c r="DV18">
        <f>IF($DT18&lt;N_Ed-1E-9*MAX(1,N_Ed),DR18,(DQ18+DR18)/2)</f>
        <v/>
      </c>
      <c r="DW18">
        <f>h_col*((DU18+DV18)/2)/(1-(DU18+DV18)/2)</f>
        <v/>
      </c>
      <c r="DX18">
        <f>(f_cd*b_col*((3*MIN(DW18,h_col)/7)+(4*MIN(DW18,h_col)/7)*(1-((4*MIN(DW18,h_col)/7)/(DW18-(3*MIN(DW18,h_col)/7)))^2/3))+$D18/2*((MAX(-f_yd,MIN(f_yd,200000*IF(DW18&lt;=h_col,0.0035*(DW18-d_2)/DW18,0.002*(DW18-d_2)/(DW18-3*h_col/7))))-f_cd*(1-(1-MAX(0,MIN(1,IF(DW18&lt;=h_col,0.0035*(DW18-d_2)/DW18,0.002*(DW18-d_2)/(DW18-3*h_col/7))/0.002)))^2))+(MAX(-f_yd,MIN(f_yd,200000*IF(DW18&lt;=h_col,0.0035*(DW18-(h_col-d_2))/DW18,0.002*(DW18-(h_col-d_2))/(DW18-3*h_col/7))))-f_cd*(1-(1-MAX(0,MIN(1,IF(DW18&lt;=h_col,0.0035*(DW18-(h_col-d_2))/DW18,0.002*(DW18-(h_col-d_2))/(DW18-3*h_col/7))/0.002)))^2))))/1000</f>
        <v/>
      </c>
      <c r="DY18">
        <f>IF($DX18&lt;N_Ed-1E-9*MAX(1,N_Ed),(DU18+DV18)/2,DU18)</f>
        <v/>
      </c>
      <c r="DZ18">
        <f>IF($DX18&lt;N_Ed-1E-9*MAX(1,N_Ed),DV18,(DU18+DV18)/2)</f>
        <v/>
      </c>
      <c r="EA18">
        <f>h_col*((DY18+DZ18)/2)/(1-(DY18+DZ18)/2)</f>
        <v/>
      </c>
      <c r="EB18">
        <f>(f_cd*b_col*((3*MIN(EA18,h_col)/7)+(4*MIN(EA18,h_col)/7)*(1-((4*MIN(EA18,h_col)/7)/(EA18-(3*MIN(EA18,h_col)/7)))^2/3))+$D18/2*((MAX(-f_yd,MIN(f_yd,200000*IF(EA18&lt;=h_col,0.0035*(EA18-d_2)/EA18,0.002*(EA18-d_2)/(EA18-3*h_col/7))))-f_cd*(1-(1-MAX(0,MIN(1,IF(EA18&lt;=h_col,0.0035*(EA18-d_2)/EA18,0.002*(EA18-d_2)/(EA18-3*h_col/7))/0.002)))^2))+(MAX(-f_yd,MIN(f_yd,200000*IF(EA18&lt;=h_col,0.0035*(EA18-(h_col-d_2))/EA18,0.002*(EA18-(h_col-d_2))/(EA18-3*h_col/7))))-f_cd*(1-(1-MAX(0,MIN(1,IF(EA18&lt;=h_col,0.0035*(EA18-(h_col-d_2))/EA18,0.002*(EA18-(h_col-d_2))/(EA18-3*h_col/7))/0.002)))^2))))/1000</f>
        <v/>
      </c>
      <c r="EC18">
        <f>IF($EB18&lt;N_Ed-1E-9*MAX(1,N_Ed),(DY18+DZ18)/2,DY18)</f>
        <v/>
      </c>
      <c r="ED18">
        <f>IF($EB18&lt;N_Ed-1E-9*MAX(1,N_Ed),DZ18,(DY18+DZ18)/2)</f>
        <v/>
      </c>
      <c r="EE18">
        <f>h_col*((EC18+ED18)/2)/(1-(EC18+ED18)/2)</f>
        <v/>
      </c>
      <c r="EF18">
        <f>(f_cd*b_col*((3*MIN(EE18,h_col)/7)+(4*MIN(EE18,h_col)/7)*(1-((4*MIN(EE18,h_col)/7)/(EE18-(3*MIN(EE18,h_col)/7)))^2/3))+$D18/2*((MAX(-f_yd,MIN(f_yd,200000*IF(EE18&lt;=h_col,0.0035*(EE18-d_2)/EE18,0.002*(EE18-d_2)/(EE18-3*h_col/7))))-f_cd*(1-(1-MAX(0,MIN(1,IF(EE18&lt;=h_col,0.0035*(EE18-d_2)/EE18,0.002*(EE18-d_2)/(EE18-3*h_col/7))/0.002)))^2))+(MAX(-f_yd,MIN(f_yd,200000*IF(EE18&lt;=h_col,0.0035*(EE18-(h_col-d_2))/EE18,0.002*(EE18-(h_col-d_2))/(EE18-3*h_col/7))))-f_cd*(1-(1-MAX(0,MIN(1,IF(EE18&lt;=h_col,0.0035*(EE18-(h_col-d_2))/EE18,0.002*(EE18-(h_col-d_2))/(EE18-3*h_col/7))/0.002)))^2))))/1000</f>
        <v/>
      </c>
      <c r="EG18">
        <f>IF($EF18&lt;N_Ed-1E-9*MAX(1,N_Ed),(EC18+ED18)/2,EC18)</f>
        <v/>
      </c>
      <c r="EH18">
        <f>IF($EF18&lt;N_Ed-1E-9*MAX(1,N_Ed),ED18,(EC18+ED18)/2)</f>
        <v/>
      </c>
      <c r="EI18">
        <f>h_col*((EG18+EH18)/2)/(1-(EG18+EH18)/2)</f>
        <v/>
      </c>
      <c r="EJ18">
        <f>(f_cd*b_col*((3*MIN(EI18,h_col)/7)+(4*MIN(EI18,h_col)/7)*(1-((4*MIN(EI18,h_col)/7)/(EI18-(3*MIN(EI18,h_col)/7)))^2/3))+$D18/2*((MAX(-f_yd,MIN(f_yd,200000*IF(EI18&lt;=h_col,0.0035*(EI18-d_2)/EI18,0.002*(EI18-d_2)/(EI18-3*h_col/7))))-f_cd*(1-(1-MAX(0,MIN(1,IF(EI18&lt;=h_col,0.0035*(EI18-d_2)/EI18,0.002*(EI18-d_2)/(EI18-3*h_col/7))/0.002)))^2))+(MAX(-f_yd,MIN(f_yd,200000*IF(EI18&lt;=h_col,0.0035*(EI18-(h_col-d_2))/EI18,0.002*(EI18-(h_col-d_2))/(EI18-3*h_col/7))))-f_cd*(1-(1-MAX(0,MIN(1,IF(EI18&lt;=h_col,0.0035*(EI18-(h_col-d_2))/EI18,0.002*(EI18-(h_col-d_2))/(EI18-3*h_col/7))/0.002)))^2))))/1000</f>
        <v/>
      </c>
      <c r="EK18">
        <f>IF($EJ18&lt;N_Ed-1E-9*MAX(1,N_Ed),(EG18+EH18)/2,EG18)</f>
        <v/>
      </c>
      <c r="EL18">
        <f>IF($EJ18&lt;N_Ed-1E-9*MAX(1,N_Ed),EH18,(EG18+EH18)/2)</f>
        <v/>
      </c>
      <c r="EM18">
        <f>h_col*((EK18+EL18)/2)/(1-(EK18+EL18)/2)</f>
        <v/>
      </c>
      <c r="EN18">
        <f>(f_cd*b_col*((3*MIN(EM18,h_col)/7)+(4*MIN(EM18,h_col)/7)*(1-((4*MIN(EM18,h_col)/7)/(EM18-(3*MIN(EM18,h_col)/7)))^2/3))+$D18/2*((MAX(-f_yd,MIN(f_yd,200000*IF(EM18&lt;=h_col,0.0035*(EM18-d_2)/EM18,0.002*(EM18-d_2)/(EM18-3*h_col/7))))-f_cd*(1-(1-MAX(0,MIN(1,IF(EM18&lt;=h_col,0.0035*(EM18-d_2)/EM18,0.002*(EM18-d_2)/(EM18-3*h_col/7))/0.002)))^2))+(MAX(-f_yd,MIN(f_yd,200000*IF(EM18&lt;=h_col,0.0035*(EM18-(h_col-d_2))/EM18,0.002*(EM18-(h_col-d_2))/(EM18-3*h_col/7))))-f_cd*(1-(1-MAX(0,MIN(1,IF(EM18&lt;=h_col,0.0035*(EM18-(h_col-d_2))/EM18,0.002*(EM18-(h_col-d_2))/(EM18-3*h_col/7))/0.002)))^2))))/1000</f>
        <v/>
      </c>
      <c r="EO18">
        <f>IF($EN18&lt;N_Ed-1E-9*MAX(1,N_Ed),(EK18+EL18)/2,EK18)</f>
        <v/>
      </c>
      <c r="EP18">
        <f>IF($EN18&lt;N_Ed-1E-9*MAX(1,N_Ed),EL18,(EK18+EL18)/2)</f>
        <v/>
      </c>
      <c r="EQ18">
        <f>h_col*((EO18+EP18)/2)/(1-(EO18+EP18)/2)</f>
        <v/>
      </c>
      <c r="ER18">
        <f>(f_cd*b_col*((3*MIN(EQ18,h_col)/7)+(4*MIN(EQ18,h_col)/7)*(1-((4*MIN(EQ18,h_col)/7)/(EQ18-(3*MIN(EQ18,h_col)/7)))^2/3))+$D18/2*((MAX(-f_yd,MIN(f_yd,200000*IF(EQ18&lt;=h_col,0.0035*(EQ18-d_2)/EQ18,0.002*(EQ18-d_2)/(EQ18-3*h_col/7))))-f_cd*(1-(1-MAX(0,MIN(1,IF(EQ18&lt;=h_col,0.0035*(EQ18-d_2)/EQ18,0.002*(EQ18-d_2)/(EQ18-3*h_col/7))/0.002)))^2))+(MAX(-f_yd,MIN(f_yd,200000*IF(EQ18&lt;=h_col,0.0035*(EQ18-(h_col-d_2))/EQ18,0.002*(EQ18-(h_col-d_2))/(EQ18-3*h_col/7))))-f_cd*(1-(1-MAX(0,MIN(1,IF(EQ18&lt;=h_col,0.0035*(EQ18-(h_col-d_2))/EQ18,0.002*(EQ18-(h_col-d_2))/(EQ18-3*h_col/7))/0.002)))^2))))/1000</f>
        <v/>
      </c>
      <c r="ES18">
        <f>IF($ER18&lt;N_Ed-1E-9*MAX(1,N_Ed),(EO18+EP18)/2,EO18)</f>
        <v/>
      </c>
      <c r="ET18">
        <f>IF($ER18&lt;N_Ed-1E-9*MAX(1,N_Ed),EP18,(EO18+EP18)/2)</f>
        <v/>
      </c>
      <c r="EU18">
        <f>h_col*((ES18+ET18)/2)/(1-(ES18+ET18)/2)</f>
        <v/>
      </c>
      <c r="EV18">
        <f>(f_cd*b_col*((3*MIN(EU18,h_col)/7)+(4*MIN(EU18,h_col)/7)*(1-((4*MIN(EU18,h_col)/7)/(EU18-(3*MIN(EU18,h_col)/7)))^2/3))+$D18/2*((MAX(-f_yd,MIN(f_yd,200000*IF(EU18&lt;=h_col,0.0035*(EU18-d_2)/EU18,0.002*(EU18-d_2)/(EU18-3*h_col/7))))-f_cd*(1-(1-MAX(0,MIN(1,IF(EU18&lt;=h_col,0.0035*(EU18-d_2)/EU18,0.002*(EU18-d_2)/(EU18-3*h_col/7))/0.002)))^2))+(MAX(-f_yd,MIN(f_yd,200000*IF(EU18&lt;=h_col,0.0035*(EU18-(h_col-d_2))/EU18,0.002*(EU18-(h_col-d_2))/(EU18-3*h_col/7))))-f_cd*(1-(1-MAX(0,MIN(1,IF(EU18&lt;=h_col,0.0035*(EU18-(h_col-d_2))/EU18,0.002*(EU18-(h_col-d_2))/(EU18-3*h_col/7))/0.002)))^2))))/1000</f>
        <v/>
      </c>
      <c r="EW18">
        <f>IF($EV18&lt;N_Ed-1E-9*MAX(1,N_Ed),(ES18+ET18)/2,ES18)</f>
        <v/>
      </c>
      <c r="EX18">
        <f>IF($EV18&lt;N_Ed-1E-9*MAX(1,N_Ed),ET18,(ES18+ET18)/2)</f>
        <v/>
      </c>
      <c r="EY18">
        <f>h_col*((EW18+EX18)/2)/(1-(EW18+EX18)/2)</f>
        <v/>
      </c>
      <c r="EZ18">
        <f>(f_cd*b_col*((3*MIN(EY18,h_col)/7)+(4*MIN(EY18,h_col)/7)*(1-((4*MIN(EY18,h_col)/7)/(EY18-(3*MIN(EY18,h_col)/7)))^2/3))+$D18/2*((MAX(-f_yd,MIN(f_yd,200000*IF(EY18&lt;=h_col,0.0035*(EY18-d_2)/EY18,0.002*(EY18-d_2)/(EY18-3*h_col/7))))-f_cd*(1-(1-MAX(0,MIN(1,IF(EY18&lt;=h_col,0.0035*(EY18-d_2)/EY18,0.002*(EY18-d_2)/(EY18-3*h_col/7))/0.002)))^2))+(MAX(-f_yd,MIN(f_yd,200000*IF(EY18&lt;=h_col,0.0035*(EY18-(h_col-d_2))/EY18,0.002*(EY18-(h_col-d_2))/(EY18-3*h_col/7))))-f_cd*(1-(1-MAX(0,MIN(1,IF(EY18&lt;=h_col,0.0035*(EY18-(h_col-d_2))/EY18,0.002*(EY18-(h_col-d_2))/(EY18-3*h_col/7))/0.002)))^2))))/1000</f>
        <v/>
      </c>
      <c r="FA18">
        <f>IF($EZ18&lt;N_Ed-1E-9*MAX(1,N_Ed),(EW18+EX18)/2,EW18)</f>
        <v/>
      </c>
      <c r="FB18">
        <f>IF($EZ18&lt;N_Ed-1E-9*MAX(1,N_Ed),EX18,(EW18+EX18)/2)</f>
        <v/>
      </c>
      <c r="FC18">
        <f>h_col*((FA18+FB18)/2)/(1-(FA18+FB18)/2)</f>
        <v/>
      </c>
      <c r="FD18">
        <f>(f_cd*b_col*((3*MIN(FC18,h_col)/7)+(4*MIN(FC18,h_col)/7)*(1-((4*MIN(FC18,h_col)/7)/(FC18-(3*MIN(FC18,h_col)/7)))^2/3))+$D18/2*((MAX(-f_yd,MIN(f_yd,200000*IF(FC18&lt;=h_col,0.0035*(FC18-d_2)/FC18,0.002*(FC18-d_2)/(FC18-3*h_col/7))))-f_cd*(1-(1-MAX(0,MIN(1,IF(FC18&lt;=h_col,0.0035*(FC18-d_2)/FC18,0.002*(FC18-d_2)/(FC18-3*h_col/7))/0.002)))^2))+(MAX(-f_yd,MIN(f_yd,200000*IF(FC18&lt;=h_col,0.0035*(FC18-(h_col-d_2))/FC18,0.002*(FC18-(h_col-d_2))/(FC18-3*h_col/7))))-f_cd*(1-(1-MAX(0,MIN(1,IF(FC18&lt;=h_col,0.0035*(FC18-(h_col-d_2))/FC18,0.002*(FC18-(h_col-d_2))/(FC18-3*h_col/7))/0.002)))^2))))/1000</f>
        <v/>
      </c>
      <c r="FE18">
        <f>IF($FD18&lt;N_Ed-1E-9*MAX(1,N_Ed),(FA18+FB18)/2,FA18)</f>
        <v/>
      </c>
      <c r="FF18">
        <f>IF($FD18&lt;N_Ed-1E-9*MAX(1,N_Ed),FB18,(FA18+FB18)/2)</f>
        <v/>
      </c>
      <c r="FG18">
        <f>h_col*((FE18+FF18)/2)/(1-(FE18+FF18)/2)</f>
        <v/>
      </c>
      <c r="FH18">
        <f>(f_cd*b_col*((3*MIN(FG18,h_col)/7)+(4*MIN(FG18,h_col)/7)*(1-((4*MIN(FG18,h_col)/7)/(FG18-(3*MIN(FG18,h_col)/7)))^2/3))+$D18/2*((MAX(-f_yd,MIN(f_yd,200000*IF(FG18&lt;=h_col,0.0035*(FG18-d_2)/FG18,0.002*(FG18-d_2)/(FG18-3*h_col/7))))-f_cd*(1-(1-MAX(0,MIN(1,IF(FG18&lt;=h_col,0.0035*(FG18-d_2)/FG18,0.002*(FG18-d_2)/(FG18-3*h_col/7))/0.002)))^2))+(MAX(-f_yd,MIN(f_yd,200000*IF(FG18&lt;=h_col,0.0035*(FG18-(h_col-d_2))/FG18,0.002*(FG18-(h_col-d_2))/(FG18-3*h_col/7))))-f_cd*(1-(1-MAX(0,MIN(1,IF(FG18&lt;=h_col,0.0035*(FG18-(h_col-d_2))/FG18,0.002*(FG18-(h_col-d_2))/(FG18-3*h_col/7))/0.002)))^2))))/1000</f>
        <v/>
      </c>
      <c r="FI18">
        <f>IF($FH18&lt;N_Ed-1E-9*MAX(1,N_Ed),(FE18+FF18)/2,FE18)</f>
        <v/>
      </c>
      <c r="FJ18">
        <f>IF($FH18&lt;N_Ed-1E-9*MAX(1,N_Ed),FF18,(FE18+FF18)/2)</f>
        <v/>
      </c>
      <c r="FK18">
        <f>h_col*((FI18+FJ18)/2)/(1-(FI18+FJ18)/2)</f>
        <v/>
      </c>
      <c r="FL18">
        <f>(f_cd*b_col*((3*MIN(FK18,h_col)/7)+(4*MIN(FK18,h_col)/7)*(1-((4*MIN(FK18,h_col)/7)/(FK18-(3*MIN(FK18,h_col)/7)))^2/3))+$D18/2*((MAX(-f_yd,MIN(f_yd,200000*IF(FK18&lt;=h_col,0.0035*(FK18-d_2)/FK18,0.002*(FK18-d_2)/(FK18-3*h_col/7))))-f_cd*(1-(1-MAX(0,MIN(1,IF(FK18&lt;=h_col,0.0035*(FK18-d_2)/FK18,0.002*(FK18-d_2)/(FK18-3*h_col/7))/0.002)))^2))+(MAX(-f_yd,MIN(f_yd,200000*IF(FK18&lt;=h_col,0.0035*(FK18-(h_col-d_2))/FK18,0.002*(FK18-(h_col-d_2))/(FK18-3*h_col/7))))-f_cd*(1-(1-MAX(0,MIN(1,IF(FK18&lt;=h_col,0.0035*(FK18-(h_col-d_2))/FK18,0.002*(FK18-(h_col-d_2))/(FK18-3*h_col/7))/0.002)))^2))))/1000</f>
        <v/>
      </c>
      <c r="FM18">
        <f>IF($FL18&lt;N_Ed-1E-9*MAX(1,N_Ed),(FI18+FJ18)/2,FI18)</f>
        <v/>
      </c>
      <c r="FN18">
        <f>IF($FL18&lt;N_Ed-1E-9*MAX(1,N_Ed),FJ18,(FI18+FJ18)/2)</f>
        <v/>
      </c>
      <c r="FO18">
        <f>h_col*((FM18+FN18)/2)/(1-(FM18+FN18)/2)</f>
        <v/>
      </c>
      <c r="FP18">
        <f>(f_cd*b_col*((3*MIN(FO18,h_col)/7)+(4*MIN(FO18,h_col)/7)*(1-((4*MIN(FO18,h_col)/7)/(FO18-(3*MIN(FO18,h_col)/7)))^2/3))+$D18/2*((MAX(-f_yd,MIN(f_yd,200000*IF(FO18&lt;=h_col,0.0035*(FO18-d_2)/FO18,0.002*(FO18-d_2)/(FO18-3*h_col/7))))-f_cd*(1-(1-MAX(0,MIN(1,IF(FO18&lt;=h_col,0.0035*(FO18-d_2)/FO18,0.002*(FO18-d_2)/(FO18-3*h_col/7))/0.002)))^2))+(MAX(-f_yd,MIN(f_yd,200000*IF(FO18&lt;=h_col,0.0035*(FO18-(h_col-d_2))/FO18,0.002*(FO18-(h_col-d_2))/(FO18-3*h_col/7))))-f_cd*(1-(1-MAX(0,MIN(1,IF(FO18&lt;=h_col,0.0035*(FO18-(h_col-d_2))/FO18,0.002*(FO18-(h_col-d_2))/(FO18-3*h_col/7))/0.002)))^2))))/1000</f>
        <v/>
      </c>
      <c r="FQ18">
        <f>IF($FP18&lt;N_Ed-1E-9*MAX(1,N_Ed),(FM18+FN18)/2,FM18)</f>
        <v/>
      </c>
      <c r="FR18">
        <f>IF($FP18&lt;N_Ed-1E-9*MAX(1,N_Ed),FN18,(FM18+FN18)/2)</f>
        <v/>
      </c>
      <c r="FS18">
        <f>h_col*((FQ18+FR18)/2)/(1-(FQ18+FR18)/2)</f>
        <v/>
      </c>
      <c r="FT18">
        <f>(f_cd*b_col*((3*MIN(FS18,h_col)/7)+(4*MIN(FS18,h_col)/7)*(1-((4*MIN(FS18,h_col)/7)/(FS18-(3*MIN(FS18,h_col)/7)))^2/3))+$D18/2*((MAX(-f_yd,MIN(f_yd,200000*IF(FS18&lt;=h_col,0.0035*(FS18-d_2)/FS18,0.002*(FS18-d_2)/(FS18-3*h_col/7))))-f_cd*(1-(1-MAX(0,MIN(1,IF(FS18&lt;=h_col,0.0035*(FS18-d_2)/FS18,0.002*(FS18-d_2)/(FS18-3*h_col/7))/0.002)))^2))+(MAX(-f_yd,MIN(f_yd,200000*IF(FS18&lt;=h_col,0.0035*(FS18-(h_col-d_2))/FS18,0.002*(FS18-(h_col-d_2))/(FS18-3*h_col/7))))-f_cd*(1-(1-MAX(0,MIN(1,IF(FS18&lt;=h_col,0.0035*(FS18-(h_col-d_2))/FS18,0.002*(FS18-(h_col-d_2))/(FS18-3*h_col/7))/0.002)))^2))))/1000</f>
        <v/>
      </c>
      <c r="FU18">
        <f>IF($FT18&lt;N_Ed-1E-9*MAX(1,N_Ed),(FQ18+FR18)/2,FQ18)</f>
        <v/>
      </c>
      <c r="FV18">
        <f>IF($FT18&lt;N_Ed-1E-9*MAX(1,N_Ed),FR18,(FQ18+FR18)/2)</f>
        <v/>
      </c>
      <c r="FW18">
        <f>h_col*((FU18+FV18)/2)/(1-(FU18+FV18)/2)</f>
        <v/>
      </c>
      <c r="FX18">
        <f>(f_cd*b_col*((3*MIN(FW18,h_col)/7)+(4*MIN(FW18,h_col)/7)*(1-((4*MIN(FW18,h_col)/7)/(FW18-(3*MIN(FW18,h_col)/7)))^2/3))+$D18/2*((MAX(-f_yd,MIN(f_yd,200000*IF(FW18&lt;=h_col,0.0035*(FW18-d_2)/FW18,0.002*(FW18-d_2)/(FW18-3*h_col/7))))-f_cd*(1-(1-MAX(0,MIN(1,IF(FW18&lt;=h_col,0.0035*(FW18-d_2)/FW18,0.002*(FW18-d_2)/(FW18-3*h_col/7))/0.002)))^2))+(MAX(-f_yd,MIN(f_yd,200000*IF(FW18&lt;=h_col,0.0035*(FW18-(h_col-d_2))/FW18,0.002*(FW18-(h_col-d_2))/(FW18-3*h_col/7))))-f_cd*(1-(1-MAX(0,MIN(1,IF(FW18&lt;=h_col,0.0035*(FW18-(h_col-d_2))/FW18,0.002*(FW18-(h_col-d_2))/(FW18-3*h_col/7))/0.002)))^2))))/1000</f>
        <v/>
      </c>
      <c r="FY18">
        <f>IF($FX18&lt;N_Ed-1E-9*MAX(1,N_Ed),(FU18+FV18)/2,FU18)</f>
        <v/>
      </c>
      <c r="FZ18">
        <f>IF($FX18&lt;N_Ed-1E-9*MAX(1,N_Ed),FV18,(FU18+FV18)/2)</f>
        <v/>
      </c>
      <c r="GA18">
        <f>h_col*((FY18+FZ18)/2)/(1-(FY18+FZ18)/2)</f>
        <v/>
      </c>
      <c r="GB18">
        <f>(f_cd*b_col*((3*MIN(GA18,h_col)/7)+(4*MIN(GA18,h_col)/7)*(1-((4*MIN(GA18,h_col)/7)/(GA18-(3*MIN(GA18,h_col)/7)))^2/3))+$D18/2*((MAX(-f_yd,MIN(f_yd,200000*IF(GA18&lt;=h_col,0.0035*(GA18-d_2)/GA18,0.002*(GA18-d_2)/(GA18-3*h_col/7))))-f_cd*(1-(1-MAX(0,MIN(1,IF(GA18&lt;=h_col,0.0035*(GA18-d_2)/GA18,0.002*(GA18-d_2)/(GA18-3*h_col/7))/0.002)))^2))+(MAX(-f_yd,MIN(f_yd,200000*IF(GA18&lt;=h_col,0.0035*(GA18-(h_col-d_2))/GA18,0.002*(GA18-(h_col-d_2))/(GA18-3*h_col/7))))-f_cd*(1-(1-MAX(0,MIN(1,IF(GA18&lt;=h_col,0.0035*(GA18-(h_col-d_2))/GA18,0.002*(GA18-(h_col-d_2))/(GA18-3*h_col/7))/0.002)))^2))))/1000</f>
        <v/>
      </c>
      <c r="GC18">
        <f>IF($GB18&lt;N_Ed-1E-9*MAX(1,N_Ed),(FY18+FZ18)/2,FY18)</f>
        <v/>
      </c>
      <c r="GD18">
        <f>IF($GB18&lt;N_Ed-1E-9*MAX(1,N_Ed),FZ18,(FY18+FZ18)/2)</f>
        <v/>
      </c>
      <c r="GE18">
        <f>h_col*((GC18+GD18)/2)/(1-(GC18+GD18)/2)</f>
        <v/>
      </c>
      <c r="GF18">
        <f>(f_cd*b_col*((3*MIN(GE18,h_col)/7)+(4*MIN(GE18,h_col)/7)*(1-((4*MIN(GE18,h_col)/7)/(GE18-(3*MIN(GE18,h_col)/7)))^2/3))+$D18/2*((MAX(-f_yd,MIN(f_yd,200000*IF(GE18&lt;=h_col,0.0035*(GE18-d_2)/GE18,0.002*(GE18-d_2)/(GE18-3*h_col/7))))-f_cd*(1-(1-MAX(0,MIN(1,IF(GE18&lt;=h_col,0.0035*(GE18-d_2)/GE18,0.002*(GE18-d_2)/(GE18-3*h_col/7))/0.002)))^2))+(MAX(-f_yd,MIN(f_yd,200000*IF(GE18&lt;=h_col,0.0035*(GE18-(h_col-d_2))/GE18,0.002*(GE18-(h_col-d_2))/(GE18-3*h_col/7))))-f_cd*(1-(1-MAX(0,MIN(1,IF(GE18&lt;=h_col,0.0035*(GE18-(h_col-d_2))/GE18,0.002*(GE18-(h_col-d_2))/(GE18-3*h_col/7))/0.002)))^2))))/1000</f>
        <v/>
      </c>
      <c r="GG18">
        <f>IF($GF18&lt;N_Ed-1E-9*MAX(1,N_Ed),(GC18+GD18)/2,GC18)</f>
        <v/>
      </c>
      <c r="GH18">
        <f>IF($GF18&lt;N_Ed-1E-9*MAX(1,N_Ed),GD18,(GC18+GD18)/2)</f>
        <v/>
      </c>
      <c r="GI18">
        <f>h_col*((GG18+GH18)/2)/(1-(GG18+GH18)/2)</f>
        <v/>
      </c>
      <c r="GJ18">
        <f>(f_cd*b_col*((3*MIN(GI18,h_col)/7)+(4*MIN(GI18,h_col)/7)*(1-((4*MIN(GI18,h_col)/7)/(GI18-(3*MIN(GI18,h_col)/7)))^2/3))+$D18/2*((MAX(-f_yd,MIN(f_yd,200000*IF(GI18&lt;=h_col,0.0035*(GI18-d_2)/GI18,0.002*(GI18-d_2)/(GI18-3*h_col/7))))-f_cd*(1-(1-MAX(0,MIN(1,IF(GI18&lt;=h_col,0.0035*(GI18-d_2)/GI18,0.002*(GI18-d_2)/(GI18-3*h_col/7))/0.002)))^2))+(MAX(-f_yd,MIN(f_yd,200000*IF(GI18&lt;=h_col,0.0035*(GI18-(h_col-d_2))/GI18,0.002*(GI18-(h_col-d_2))/(GI18-3*h_col/7))))-f_cd*(1-(1-MAX(0,MIN(1,IF(GI18&lt;=h_col,0.0035*(GI18-(h_col-d_2))/GI18,0.002*(GI18-(h_col-d_2))/(GI18-3*h_col/7))/0.002)))^2))))/1000</f>
        <v/>
      </c>
      <c r="GK18">
        <f>IF($GJ18&lt;N_Ed-1E-9*MAX(1,N_Ed),(GG18+GH18)/2,GG18)</f>
        <v/>
      </c>
      <c r="GL18">
        <f>IF($GJ18&lt;N_Ed-1E-9*MAX(1,N_Ed),GH18,(GG18+GH18)/2)</f>
        <v/>
      </c>
      <c r="GM18">
        <f>h_col*((GK18+GL18)/2)/(1-(GK18+GL18)/2)</f>
        <v/>
      </c>
      <c r="GN18">
        <f>(f_cd*b_col*((3*MIN(GM18,h_col)/7)+(4*MIN(GM18,h_col)/7)*(1-((4*MIN(GM18,h_col)/7)/(GM18-(3*MIN(GM18,h_col)/7)))^2/3))+$D18/2*((MAX(-f_yd,MIN(f_yd,200000*IF(GM18&lt;=h_col,0.0035*(GM18-d_2)/GM18,0.002*(GM18-d_2)/(GM18-3*h_col/7))))-f_cd*(1-(1-MAX(0,MIN(1,IF(GM18&lt;=h_col,0.0035*(GM18-d_2)/GM18,0.002*(GM18-d_2)/(GM18-3*h_col/7))/0.002)))^2))+(MAX(-f_yd,MIN(f_yd,200000*IF(GM18&lt;=h_col,0.0035*(GM18-(h_col-d_2))/GM18,0.002*(GM18-(h_col-d_2))/(GM18-3*h_col/7))))-f_cd*(1-(1-MAX(0,MIN(1,IF(GM18&lt;=h_col,0.0035*(GM18-(h_col-d_2))/GM18,0.002*(GM18-(h_col-d_2))/(GM18-3*h_col/7))/0.002)))^2))))/1000</f>
        <v/>
      </c>
      <c r="GO18">
        <f>IF($GN18&lt;N_Ed-1E-9*MAX(1,N_Ed),(GK18+GL18)/2,GK18)</f>
        <v/>
      </c>
      <c r="GP18">
        <f>IF($GN18&lt;N_Ed-1E-9*MAX(1,N_Ed),GL18,(GK18+GL18)/2)</f>
        <v/>
      </c>
      <c r="GQ18">
        <f>h_col*((GO18+GP18)/2)/(1-(GO18+GP18)/2)</f>
        <v/>
      </c>
      <c r="GR18">
        <f>(f_cd*b_col*((3*MIN(GQ18,h_col)/7)+(4*MIN(GQ18,h_col)/7)*(1-((4*MIN(GQ18,h_col)/7)/(GQ18-(3*MIN(GQ18,h_col)/7)))^2/3))+$D18/2*((MAX(-f_yd,MIN(f_yd,200000*IF(GQ18&lt;=h_col,0.0035*(GQ18-d_2)/GQ18,0.002*(GQ18-d_2)/(GQ18-3*h_col/7))))-f_cd*(1-(1-MAX(0,MIN(1,IF(GQ18&lt;=h_col,0.0035*(GQ18-d_2)/GQ18,0.002*(GQ18-d_2)/(GQ18-3*h_col/7))/0.002)))^2))+(MAX(-f_yd,MIN(f_yd,200000*IF(GQ18&lt;=h_col,0.0035*(GQ18-(h_col-d_2))/GQ18,0.002*(GQ18-(h_col-d_2))/(GQ18-3*h_col/7))))-f_cd*(1-(1-MAX(0,MIN(1,IF(GQ18&lt;=h_col,0.0035*(GQ18-(h_col-d_2))/GQ18,0.002*(GQ18-(h_col-d_2))/(GQ18-3*h_col/7))/0.002)))^2))))/1000</f>
        <v/>
      </c>
      <c r="GS18">
        <f>IF($GR18&lt;N_Ed-1E-9*MAX(1,N_Ed),(GO18+GP18)/2,GO18)</f>
        <v/>
      </c>
      <c r="GT18">
        <f>IF($GR18&lt;N_Ed-1E-9*MAX(1,N_Ed),GP18,(GO18+GP18)/2)</f>
        <v/>
      </c>
      <c r="GU18">
        <f>h_col*((GS18+GT18)/2)/(1-(GS18+GT18)/2)</f>
        <v/>
      </c>
      <c r="GV18">
        <f>(f_cd*b_col*((3*MIN(GU18,h_col)/7)+(4*MIN(GU18,h_col)/7)*(1-((4*MIN(GU18,h_col)/7)/(GU18-(3*MIN(GU18,h_col)/7)))^2/3))+$D18/2*((MAX(-f_yd,MIN(f_yd,200000*IF(GU18&lt;=h_col,0.0035*(GU18-d_2)/GU18,0.002*(GU18-d_2)/(GU18-3*h_col/7))))-f_cd*(1-(1-MAX(0,MIN(1,IF(GU18&lt;=h_col,0.0035*(GU18-d_2)/GU18,0.002*(GU18-d_2)/(GU18-3*h_col/7))/0.002)))^2))+(MAX(-f_yd,MIN(f_yd,200000*IF(GU18&lt;=h_col,0.0035*(GU18-(h_col-d_2))/GU18,0.002*(GU18-(h_col-d_2))/(GU18-3*h_col/7))))-f_cd*(1-(1-MAX(0,MIN(1,IF(GU18&lt;=h_col,0.0035*(GU18-(h_col-d_2))/GU18,0.002*(GU18-(h_col-d_2))/(GU18-3*h_col/7))/0.002)))^2))))/1000</f>
        <v/>
      </c>
      <c r="GW18">
        <f>GU18</f>
        <v/>
      </c>
      <c r="GX18">
        <f>(f_cd*b_col*((3*MIN(GW18,h_col)/7)+(4*MIN(GW18,h_col)/7)*(1-((4*MIN(GW18,h_col)/7)/(GW18-(3*MIN(GW18,h_col)/7)))^2/3))+$D18/2*((MAX(-f_yd,MIN(f_yd,200000*IF(GW18&lt;=h_col,0.0035*(GW18-d_2)/GW18,0.002*(GW18-d_2)/(GW18-3*h_col/7))))-f_cd*(1-(1-MAX(0,MIN(1,IF(GW18&lt;=h_col,0.0035*(GW18-d_2)/GW18,0.002*(GW18-d_2)/(GW18-3*h_col/7))/0.002)))^2))+(MAX(-f_yd,MIN(f_yd,200000*IF(GW18&lt;=h_col,0.0035*(GW18-(h_col-d_2))/GW18,0.002*(GW18-(h_col-d_2))/(GW18-3*h_col/7))))-f_cd*(1-(1-MAX(0,MIN(1,IF(GW18&lt;=h_col,0.0035*(GW18-(h_col-d_2))/GW18,0.002*(GW18-(h_col-d_2))/(GW18-3*h_col/7))/0.002)))^2))))/1000</f>
        <v/>
      </c>
      <c r="GY18">
        <f>(f_cd*b_col*((3*MIN(GW18,h_col)/7)*(h_col/2-(3*MIN(GW18,h_col)/7)/2)+(4*MIN(GW18,h_col)/7)*((h_col/2-(3*MIN(GW18,h_col)/7))*(1-((4*MIN(GW18,h_col)/7)/(GW18-(3*MIN(GW18,h_col)/7)))^2/3)-(4*MIN(GW18,h_col)/7)*(0.5-((4*MIN(GW18,h_col)/7)/(GW18-(3*MIN(GW18,h_col)/7)))^2/4)))+$D18/2*((MAX(-f_yd,MIN(f_yd,200000*IF(GW18&lt;=h_col,0.0035*(GW18-d_2)/GW18,0.002*(GW18-d_2)/(GW18-3*h_col/7))))-f_cd*(1-(1-MAX(0,MIN(1,IF(GW18&lt;=h_col,0.0035*(GW18-d_2)/GW18,0.002*(GW18-d_2)/(GW18-3*h_col/7))/0.002)))^2))-(MAX(-f_yd,MIN(f_yd,200000*IF(GW18&lt;=h_col,0.0035*(GW18-(h_col-d_2))/GW18,0.002*(GW18-(h_col-d_2))/(GW18-3*h_col/7))))-f_cd*(1-(1-MAX(0,MIN(1,IF(GW18&lt;=h_col,0.0035*(GW18-(h_col-d_2))/GW18,0.002*(GW18-(h_col-d_2))/(GW18-3*h_col/7))/0.002)))^2)))*(h_col/2-d_2))/1E6</f>
        <v/>
      </c>
      <c r="GZ18">
        <f>GX18&gt;=N_Ed-1E-6*MAX(1,N_Ed)</f>
        <v/>
      </c>
      <c r="HA18">
        <f>IF(GZ18,GY18,-1E9)</f>
        <v/>
      </c>
    </row>
    <row r="19">
      <c r="A19" t="n">
        <v>14</v>
      </c>
      <c r="B19">
        <f>IF($HA18&gt;=M_d,$B18,$D18)</f>
        <v/>
      </c>
      <c r="C19">
        <f>IF($HA18&gt;=M_d,$D18,$C18)</f>
        <v/>
      </c>
      <c r="D19">
        <f>($B19+$C19)/2</f>
        <v/>
      </c>
      <c r="E19" t="n">
        <v>0</v>
      </c>
      <c r="F19">
        <f>1-1E-12</f>
        <v/>
      </c>
      <c r="G19">
        <f>h_col*((E19+F19)/2)/(1-(E19+F19)/2)</f>
        <v/>
      </c>
      <c r="H19">
        <f>(f_cd*b_col*((3*MIN(G19,h_col)/7)+(4*MIN(G19,h_col)/7)*(1-((4*MIN(G19,h_col)/7)/(G19-(3*MIN(G19,h_col)/7)))^2/3))+$D19/2*((MAX(-f_yd,MIN(f_yd,200000*IF(G19&lt;=h_col,0.0035*(G19-d_2)/G19,0.002*(G19-d_2)/(G19-3*h_col/7))))-f_cd*(1-(1-MAX(0,MIN(1,IF(G19&lt;=h_col,0.0035*(G19-d_2)/G19,0.002*(G19-d_2)/(G19-3*h_col/7))/0.002)))^2))+(MAX(-f_yd,MIN(f_yd,200000*IF(G19&lt;=h_col,0.0035*(G19-(h_col-d_2))/G19,0.002*(G19-(h_col-d_2))/(G19-3*h_col/7))))-f_cd*(1-(1-MAX(0,MIN(1,IF(G19&lt;=h_col,0.0035*(G19-(h_col-d_2))/G19,0.002*(G19-(h_col-d_2))/(G19-3*h_col/7))/0.002)))^2))))/1000</f>
        <v/>
      </c>
      <c r="I19">
        <f>IF($H19&lt;N_Ed-1E-9*MAX(1,N_Ed),(E19+F19)/2,E19)</f>
        <v/>
      </c>
      <c r="J19">
        <f>IF($H19&lt;N_Ed-1E-9*MAX(1,N_Ed),F19,(E19+F19)/2)</f>
        <v/>
      </c>
      <c r="K19">
        <f>h_col*((I19+J19)/2)/(1-(I19+J19)/2)</f>
        <v/>
      </c>
      <c r="L19">
        <f>(f_cd*b_col*((3*MIN(K19,h_col)/7)+(4*MIN(K19,h_col)/7)*(1-((4*MIN(K19,h_col)/7)/(K19-(3*MIN(K19,h_col)/7)))^2/3))+$D19/2*((MAX(-f_yd,MIN(f_yd,200000*IF(K19&lt;=h_col,0.0035*(K19-d_2)/K19,0.002*(K19-d_2)/(K19-3*h_col/7))))-f_cd*(1-(1-MAX(0,MIN(1,IF(K19&lt;=h_col,0.0035*(K19-d_2)/K19,0.002*(K19-d_2)/(K19-3*h_col/7))/0.002)))^2))+(MAX(-f_yd,MIN(f_yd,200000*IF(K19&lt;=h_col,0.0035*(K19-(h_col-d_2))/K19,0.002*(K19-(h_col-d_2))/(K19-3*h_col/7))))-f_cd*(1-(1-MAX(0,MIN(1,IF(K19&lt;=h_col,0.0035*(K19-(h_col-d_2))/K19,0.002*(K19-(h_col-d_2))/(K19-3*h_col/7))/0.002)))^2))))/1000</f>
        <v/>
      </c>
      <c r="M19">
        <f>IF($L19&lt;N_Ed-1E-9*MAX(1,N_Ed),(I19+J19)/2,I19)</f>
        <v/>
      </c>
      <c r="N19">
        <f>IF($L19&lt;N_Ed-1E-9*MAX(1,N_Ed),J19,(I19+J19)/2)</f>
        <v/>
      </c>
      <c r="O19">
        <f>h_col*((M19+N19)/2)/(1-(M19+N19)/2)</f>
        <v/>
      </c>
      <c r="P19">
        <f>(f_cd*b_col*((3*MIN(O19,h_col)/7)+(4*MIN(O19,h_col)/7)*(1-((4*MIN(O19,h_col)/7)/(O19-(3*MIN(O19,h_col)/7)))^2/3))+$D19/2*((MAX(-f_yd,MIN(f_yd,200000*IF(O19&lt;=h_col,0.0035*(O19-d_2)/O19,0.002*(O19-d_2)/(O19-3*h_col/7))))-f_cd*(1-(1-MAX(0,MIN(1,IF(O19&lt;=h_col,0.0035*(O19-d_2)/O19,0.002*(O19-d_2)/(O19-3*h_col/7))/0.002)))^2))+(MAX(-f_yd,MIN(f_yd,200000*IF(O19&lt;=h_col,0.0035*(O19-(h_col-d_2))/O19,0.002*(O19-(h_col-d_2))/(O19-3*h_col/7))))-f_cd*(1-(1-MAX(0,MIN(1,IF(O19&lt;=h_col,0.0035*(O19-(h_col-d_2))/O19,0.002*(O19-(h_col-d_2))/(O19-3*h_col/7))/0.002)))^2))))/1000</f>
        <v/>
      </c>
      <c r="Q19">
        <f>IF($P19&lt;N_Ed-1E-9*MAX(1,N_Ed),(M19+N19)/2,M19)</f>
        <v/>
      </c>
      <c r="R19">
        <f>IF($P19&lt;N_Ed-1E-9*MAX(1,N_Ed),N19,(M19+N19)/2)</f>
        <v/>
      </c>
      <c r="S19">
        <f>h_col*((Q19+R19)/2)/(1-(Q19+R19)/2)</f>
        <v/>
      </c>
      <c r="T19">
        <f>(f_cd*b_col*((3*MIN(S19,h_col)/7)+(4*MIN(S19,h_col)/7)*(1-((4*MIN(S19,h_col)/7)/(S19-(3*MIN(S19,h_col)/7)))^2/3))+$D19/2*((MAX(-f_yd,MIN(f_yd,200000*IF(S19&lt;=h_col,0.0035*(S19-d_2)/S19,0.002*(S19-d_2)/(S19-3*h_col/7))))-f_cd*(1-(1-MAX(0,MIN(1,IF(S19&lt;=h_col,0.0035*(S19-d_2)/S19,0.002*(S19-d_2)/(S19-3*h_col/7))/0.002)))^2))+(MAX(-f_yd,MIN(f_yd,200000*IF(S19&lt;=h_col,0.0035*(S19-(h_col-d_2))/S19,0.002*(S19-(h_col-d_2))/(S19-3*h_col/7))))-f_cd*(1-(1-MAX(0,MIN(1,IF(S19&lt;=h_col,0.0035*(S19-(h_col-d_2))/S19,0.002*(S19-(h_col-d_2))/(S19-3*h_col/7))/0.002)))^2))))/1000</f>
        <v/>
      </c>
      <c r="U19">
        <f>IF($T19&lt;N_Ed-1E-9*MAX(1,N_Ed),(Q19+R19)/2,Q19)</f>
        <v/>
      </c>
      <c r="V19">
        <f>IF($T19&lt;N_Ed-1E-9*MAX(1,N_Ed),R19,(Q19+R19)/2)</f>
        <v/>
      </c>
      <c r="W19">
        <f>h_col*((U19+V19)/2)/(1-(U19+V19)/2)</f>
        <v/>
      </c>
      <c r="X19">
        <f>(f_cd*b_col*((3*MIN(W19,h_col)/7)+(4*MIN(W19,h_col)/7)*(1-((4*MIN(W19,h_col)/7)/(W19-(3*MIN(W19,h_col)/7)))^2/3))+$D19/2*((MAX(-f_yd,MIN(f_yd,200000*IF(W19&lt;=h_col,0.0035*(W19-d_2)/W19,0.002*(W19-d_2)/(W19-3*h_col/7))))-f_cd*(1-(1-MAX(0,MIN(1,IF(W19&lt;=h_col,0.0035*(W19-d_2)/W19,0.002*(W19-d_2)/(W19-3*h_col/7))/0.002)))^2))+(MAX(-f_yd,MIN(f_yd,200000*IF(W19&lt;=h_col,0.0035*(W19-(h_col-d_2))/W19,0.002*(W19-(h_col-d_2))/(W19-3*h_col/7))))-f_cd*(1-(1-MAX(0,MIN(1,IF(W19&lt;=h_col,0.0035*(W19-(h_col-d_2))/W19,0.002*(W19-(h_col-d_2))/(W19-3*h_col/7))/0.002)))^2))))/1000</f>
        <v/>
      </c>
      <c r="Y19">
        <f>IF($X19&lt;N_Ed-1E-9*MAX(1,N_Ed),(U19+V19)/2,U19)</f>
        <v/>
      </c>
      <c r="Z19">
        <f>IF($X19&lt;N_Ed-1E-9*MAX(1,N_Ed),V19,(U19+V19)/2)</f>
        <v/>
      </c>
      <c r="AA19">
        <f>h_col*((Y19+Z19)/2)/(1-(Y19+Z19)/2)</f>
        <v/>
      </c>
      <c r="AB19">
        <f>(f_cd*b_col*((3*MIN(AA19,h_col)/7)+(4*MIN(AA19,h_col)/7)*(1-((4*MIN(AA19,h_col)/7)/(AA19-(3*MIN(AA19,h_col)/7)))^2/3))+$D19/2*((MAX(-f_yd,MIN(f_yd,200000*IF(AA19&lt;=h_col,0.0035*(AA19-d_2)/AA19,0.002*(AA19-d_2)/(AA19-3*h_col/7))))-f_cd*(1-(1-MAX(0,MIN(1,IF(AA19&lt;=h_col,0.0035*(AA19-d_2)/AA19,0.002*(AA19-d_2)/(AA19-3*h_col/7))/0.002)))^2))+(MAX(-f_yd,MIN(f_yd,200000*IF(AA19&lt;=h_col,0.0035*(AA19-(h_col-d_2))/AA19,0.002*(AA19-(h_col-d_2))/(AA19-3*h_col/7))))-f_cd*(1-(1-MAX(0,MIN(1,IF(AA19&lt;=h_col,0.0035*(AA19-(h_col-d_2))/AA19,0.002*(AA19-(h_col-d_2))/(AA19-3*h_col/7))/0.002)))^2))))/1000</f>
        <v/>
      </c>
      <c r="AC19">
        <f>IF($AB19&lt;N_Ed-1E-9*MAX(1,N_Ed),(Y19+Z19)/2,Y19)</f>
        <v/>
      </c>
      <c r="AD19">
        <f>IF($AB19&lt;N_Ed-1E-9*MAX(1,N_Ed),Z19,(Y19+Z19)/2)</f>
        <v/>
      </c>
      <c r="AE19">
        <f>h_col*((AC19+AD19)/2)/(1-(AC19+AD19)/2)</f>
        <v/>
      </c>
      <c r="AF19">
        <f>(f_cd*b_col*((3*MIN(AE19,h_col)/7)+(4*MIN(AE19,h_col)/7)*(1-((4*MIN(AE19,h_col)/7)/(AE19-(3*MIN(AE19,h_col)/7)))^2/3))+$D19/2*((MAX(-f_yd,MIN(f_yd,200000*IF(AE19&lt;=h_col,0.0035*(AE19-d_2)/AE19,0.002*(AE19-d_2)/(AE19-3*h_col/7))))-f_cd*(1-(1-MAX(0,MIN(1,IF(AE19&lt;=h_col,0.0035*(AE19-d_2)/AE19,0.002*(AE19-d_2)/(AE19-3*h_col/7))/0.002)))^2))+(MAX(-f_yd,MIN(f_yd,200000*IF(AE19&lt;=h_col,0.0035*(AE19-(h_col-d_2))/AE19,0.002*(AE19-(h_col-d_2))/(AE19-3*h_col/7))))-f_cd*(1-(1-MAX(0,MIN(1,IF(AE19&lt;=h_col,0.0035*(AE19-(h_col-d_2))/AE19,0.002*(AE19-(h_col-d_2))/(AE19-3*h_col/7))/0.002)))^2))))/1000</f>
        <v/>
      </c>
      <c r="AG19">
        <f>IF($AF19&lt;N_Ed-1E-9*MAX(1,N_Ed),(AC19+AD19)/2,AC19)</f>
        <v/>
      </c>
      <c r="AH19">
        <f>IF($AF19&lt;N_Ed-1E-9*MAX(1,N_Ed),AD19,(AC19+AD19)/2)</f>
        <v/>
      </c>
      <c r="AI19">
        <f>h_col*((AG19+AH19)/2)/(1-(AG19+AH19)/2)</f>
        <v/>
      </c>
      <c r="AJ19">
        <f>(f_cd*b_col*((3*MIN(AI19,h_col)/7)+(4*MIN(AI19,h_col)/7)*(1-((4*MIN(AI19,h_col)/7)/(AI19-(3*MIN(AI19,h_col)/7)))^2/3))+$D19/2*((MAX(-f_yd,MIN(f_yd,200000*IF(AI19&lt;=h_col,0.0035*(AI19-d_2)/AI19,0.002*(AI19-d_2)/(AI19-3*h_col/7))))-f_cd*(1-(1-MAX(0,MIN(1,IF(AI19&lt;=h_col,0.0035*(AI19-d_2)/AI19,0.002*(AI19-d_2)/(AI19-3*h_col/7))/0.002)))^2))+(MAX(-f_yd,MIN(f_yd,200000*IF(AI19&lt;=h_col,0.0035*(AI19-(h_col-d_2))/AI19,0.002*(AI19-(h_col-d_2))/(AI19-3*h_col/7))))-f_cd*(1-(1-MAX(0,MIN(1,IF(AI19&lt;=h_col,0.0035*(AI19-(h_col-d_2))/AI19,0.002*(AI19-(h_col-d_2))/(AI19-3*h_col/7))/0.002)))^2))))/1000</f>
        <v/>
      </c>
      <c r="AK19">
        <f>IF($AJ19&lt;N_Ed-1E-9*MAX(1,N_Ed),(AG19+AH19)/2,AG19)</f>
        <v/>
      </c>
      <c r="AL19">
        <f>IF($AJ19&lt;N_Ed-1E-9*MAX(1,N_Ed),AH19,(AG19+AH19)/2)</f>
        <v/>
      </c>
      <c r="AM19">
        <f>h_col*((AK19+AL19)/2)/(1-(AK19+AL19)/2)</f>
        <v/>
      </c>
      <c r="AN19">
        <f>(f_cd*b_col*((3*MIN(AM19,h_col)/7)+(4*MIN(AM19,h_col)/7)*(1-((4*MIN(AM19,h_col)/7)/(AM19-(3*MIN(AM19,h_col)/7)))^2/3))+$D19/2*((MAX(-f_yd,MIN(f_yd,200000*IF(AM19&lt;=h_col,0.0035*(AM19-d_2)/AM19,0.002*(AM19-d_2)/(AM19-3*h_col/7))))-f_cd*(1-(1-MAX(0,MIN(1,IF(AM19&lt;=h_col,0.0035*(AM19-d_2)/AM19,0.002*(AM19-d_2)/(AM19-3*h_col/7))/0.002)))^2))+(MAX(-f_yd,MIN(f_yd,200000*IF(AM19&lt;=h_col,0.0035*(AM19-(h_col-d_2))/AM19,0.002*(AM19-(h_col-d_2))/(AM19-3*h_col/7))))-f_cd*(1-(1-MAX(0,MIN(1,IF(AM19&lt;=h_col,0.0035*(AM19-(h_col-d_2))/AM19,0.002*(AM19-(h_col-d_2))/(AM19-3*h_col/7))/0.002)))^2))))/1000</f>
        <v/>
      </c>
      <c r="AO19">
        <f>IF($AN19&lt;N_Ed-1E-9*MAX(1,N_Ed),(AK19+AL19)/2,AK19)</f>
        <v/>
      </c>
      <c r="AP19">
        <f>IF($AN19&lt;N_Ed-1E-9*MAX(1,N_Ed),AL19,(AK19+AL19)/2)</f>
        <v/>
      </c>
      <c r="AQ19">
        <f>h_col*((AO19+AP19)/2)/(1-(AO19+AP19)/2)</f>
        <v/>
      </c>
      <c r="AR19">
        <f>(f_cd*b_col*((3*MIN(AQ19,h_col)/7)+(4*MIN(AQ19,h_col)/7)*(1-((4*MIN(AQ19,h_col)/7)/(AQ19-(3*MIN(AQ19,h_col)/7)))^2/3))+$D19/2*((MAX(-f_yd,MIN(f_yd,200000*IF(AQ19&lt;=h_col,0.0035*(AQ19-d_2)/AQ19,0.002*(AQ19-d_2)/(AQ19-3*h_col/7))))-f_cd*(1-(1-MAX(0,MIN(1,IF(AQ19&lt;=h_col,0.0035*(AQ19-d_2)/AQ19,0.002*(AQ19-d_2)/(AQ19-3*h_col/7))/0.002)))^2))+(MAX(-f_yd,MIN(f_yd,200000*IF(AQ19&lt;=h_col,0.0035*(AQ19-(h_col-d_2))/AQ19,0.002*(AQ19-(h_col-d_2))/(AQ19-3*h_col/7))))-f_cd*(1-(1-MAX(0,MIN(1,IF(AQ19&lt;=h_col,0.0035*(AQ19-(h_col-d_2))/AQ19,0.002*(AQ19-(h_col-d_2))/(AQ19-3*h_col/7))/0.002)))^2))))/1000</f>
        <v/>
      </c>
      <c r="AS19">
        <f>IF($AR19&lt;N_Ed-1E-9*MAX(1,N_Ed),(AO19+AP19)/2,AO19)</f>
        <v/>
      </c>
      <c r="AT19">
        <f>IF($AR19&lt;N_Ed-1E-9*MAX(1,N_Ed),AP19,(AO19+AP19)/2)</f>
        <v/>
      </c>
      <c r="AU19">
        <f>h_col*((AS19+AT19)/2)/(1-(AS19+AT19)/2)</f>
        <v/>
      </c>
      <c r="AV19">
        <f>(f_cd*b_col*((3*MIN(AU19,h_col)/7)+(4*MIN(AU19,h_col)/7)*(1-((4*MIN(AU19,h_col)/7)/(AU19-(3*MIN(AU19,h_col)/7)))^2/3))+$D19/2*((MAX(-f_yd,MIN(f_yd,200000*IF(AU19&lt;=h_col,0.0035*(AU19-d_2)/AU19,0.002*(AU19-d_2)/(AU19-3*h_col/7))))-f_cd*(1-(1-MAX(0,MIN(1,IF(AU19&lt;=h_col,0.0035*(AU19-d_2)/AU19,0.002*(AU19-d_2)/(AU19-3*h_col/7))/0.002)))^2))+(MAX(-f_yd,MIN(f_yd,200000*IF(AU19&lt;=h_col,0.0035*(AU19-(h_col-d_2))/AU19,0.002*(AU19-(h_col-d_2))/(AU19-3*h_col/7))))-f_cd*(1-(1-MAX(0,MIN(1,IF(AU19&lt;=h_col,0.0035*(AU19-(h_col-d_2))/AU19,0.002*(AU19-(h_col-d_2))/(AU19-3*h_col/7))/0.002)))^2))))/1000</f>
        <v/>
      </c>
      <c r="AW19">
        <f>IF($AV19&lt;N_Ed-1E-9*MAX(1,N_Ed),(AS19+AT19)/2,AS19)</f>
        <v/>
      </c>
      <c r="AX19">
        <f>IF($AV19&lt;N_Ed-1E-9*MAX(1,N_Ed),AT19,(AS19+AT19)/2)</f>
        <v/>
      </c>
      <c r="AY19">
        <f>h_col*((AW19+AX19)/2)/(1-(AW19+AX19)/2)</f>
        <v/>
      </c>
      <c r="AZ19">
        <f>(f_cd*b_col*((3*MIN(AY19,h_col)/7)+(4*MIN(AY19,h_col)/7)*(1-((4*MIN(AY19,h_col)/7)/(AY19-(3*MIN(AY19,h_col)/7)))^2/3))+$D19/2*((MAX(-f_yd,MIN(f_yd,200000*IF(AY19&lt;=h_col,0.0035*(AY19-d_2)/AY19,0.002*(AY19-d_2)/(AY19-3*h_col/7))))-f_cd*(1-(1-MAX(0,MIN(1,IF(AY19&lt;=h_col,0.0035*(AY19-d_2)/AY19,0.002*(AY19-d_2)/(AY19-3*h_col/7))/0.002)))^2))+(MAX(-f_yd,MIN(f_yd,200000*IF(AY19&lt;=h_col,0.0035*(AY19-(h_col-d_2))/AY19,0.002*(AY19-(h_col-d_2))/(AY19-3*h_col/7))))-f_cd*(1-(1-MAX(0,MIN(1,IF(AY19&lt;=h_col,0.0035*(AY19-(h_col-d_2))/AY19,0.002*(AY19-(h_col-d_2))/(AY19-3*h_col/7))/0.002)))^2))))/1000</f>
        <v/>
      </c>
      <c r="BA19">
        <f>IF($AZ19&lt;N_Ed-1E-9*MAX(1,N_Ed),(AW19+AX19)/2,AW19)</f>
        <v/>
      </c>
      <c r="BB19">
        <f>IF($AZ19&lt;N_Ed-1E-9*MAX(1,N_Ed),AX19,(AW19+AX19)/2)</f>
        <v/>
      </c>
      <c r="BC19">
        <f>h_col*((BA19+BB19)/2)/(1-(BA19+BB19)/2)</f>
        <v/>
      </c>
      <c r="BD19">
        <f>(f_cd*b_col*((3*MIN(BC19,h_col)/7)+(4*MIN(BC19,h_col)/7)*(1-((4*MIN(BC19,h_col)/7)/(BC19-(3*MIN(BC19,h_col)/7)))^2/3))+$D19/2*((MAX(-f_yd,MIN(f_yd,200000*IF(BC19&lt;=h_col,0.0035*(BC19-d_2)/BC19,0.002*(BC19-d_2)/(BC19-3*h_col/7))))-f_cd*(1-(1-MAX(0,MIN(1,IF(BC19&lt;=h_col,0.0035*(BC19-d_2)/BC19,0.002*(BC19-d_2)/(BC19-3*h_col/7))/0.002)))^2))+(MAX(-f_yd,MIN(f_yd,200000*IF(BC19&lt;=h_col,0.0035*(BC19-(h_col-d_2))/BC19,0.002*(BC19-(h_col-d_2))/(BC19-3*h_col/7))))-f_cd*(1-(1-MAX(0,MIN(1,IF(BC19&lt;=h_col,0.0035*(BC19-(h_col-d_2))/BC19,0.002*(BC19-(h_col-d_2))/(BC19-3*h_col/7))/0.002)))^2))))/1000</f>
        <v/>
      </c>
      <c r="BE19">
        <f>IF($BD19&lt;N_Ed-1E-9*MAX(1,N_Ed),(BA19+BB19)/2,BA19)</f>
        <v/>
      </c>
      <c r="BF19">
        <f>IF($BD19&lt;N_Ed-1E-9*MAX(1,N_Ed),BB19,(BA19+BB19)/2)</f>
        <v/>
      </c>
      <c r="BG19">
        <f>h_col*((BE19+BF19)/2)/(1-(BE19+BF19)/2)</f>
        <v/>
      </c>
      <c r="BH19">
        <f>(f_cd*b_col*((3*MIN(BG19,h_col)/7)+(4*MIN(BG19,h_col)/7)*(1-((4*MIN(BG19,h_col)/7)/(BG19-(3*MIN(BG19,h_col)/7)))^2/3))+$D19/2*((MAX(-f_yd,MIN(f_yd,200000*IF(BG19&lt;=h_col,0.0035*(BG19-d_2)/BG19,0.002*(BG19-d_2)/(BG19-3*h_col/7))))-f_cd*(1-(1-MAX(0,MIN(1,IF(BG19&lt;=h_col,0.0035*(BG19-d_2)/BG19,0.002*(BG19-d_2)/(BG19-3*h_col/7))/0.002)))^2))+(MAX(-f_yd,MIN(f_yd,200000*IF(BG19&lt;=h_col,0.0035*(BG19-(h_col-d_2))/BG19,0.002*(BG19-(h_col-d_2))/(BG19-3*h_col/7))))-f_cd*(1-(1-MAX(0,MIN(1,IF(BG19&lt;=h_col,0.0035*(BG19-(h_col-d_2))/BG19,0.002*(BG19-(h_col-d_2))/(BG19-3*h_col/7))/0.002)))^2))))/1000</f>
        <v/>
      </c>
      <c r="BI19">
        <f>IF($BH19&lt;N_Ed-1E-9*MAX(1,N_Ed),(BE19+BF19)/2,BE19)</f>
        <v/>
      </c>
      <c r="BJ19">
        <f>IF($BH19&lt;N_Ed-1E-9*MAX(1,N_Ed),BF19,(BE19+BF19)/2)</f>
        <v/>
      </c>
      <c r="BK19">
        <f>h_col*((BI19+BJ19)/2)/(1-(BI19+BJ19)/2)</f>
        <v/>
      </c>
      <c r="BL19">
        <f>(f_cd*b_col*((3*MIN(BK19,h_col)/7)+(4*MIN(BK19,h_col)/7)*(1-((4*MIN(BK19,h_col)/7)/(BK19-(3*MIN(BK19,h_col)/7)))^2/3))+$D19/2*((MAX(-f_yd,MIN(f_yd,200000*IF(BK19&lt;=h_col,0.0035*(BK19-d_2)/BK19,0.002*(BK19-d_2)/(BK19-3*h_col/7))))-f_cd*(1-(1-MAX(0,MIN(1,IF(BK19&lt;=h_col,0.0035*(BK19-d_2)/BK19,0.002*(BK19-d_2)/(BK19-3*h_col/7))/0.002)))^2))+(MAX(-f_yd,MIN(f_yd,200000*IF(BK19&lt;=h_col,0.0035*(BK19-(h_col-d_2))/BK19,0.002*(BK19-(h_col-d_2))/(BK19-3*h_col/7))))-f_cd*(1-(1-MAX(0,MIN(1,IF(BK19&lt;=h_col,0.0035*(BK19-(h_col-d_2))/BK19,0.002*(BK19-(h_col-d_2))/(BK19-3*h_col/7))/0.002)))^2))))/1000</f>
        <v/>
      </c>
      <c r="BM19">
        <f>IF($BL19&lt;N_Ed-1E-9*MAX(1,N_Ed),(BI19+BJ19)/2,BI19)</f>
        <v/>
      </c>
      <c r="BN19">
        <f>IF($BL19&lt;N_Ed-1E-9*MAX(1,N_Ed),BJ19,(BI19+BJ19)/2)</f>
        <v/>
      </c>
      <c r="BO19">
        <f>h_col*((BM19+BN19)/2)/(1-(BM19+BN19)/2)</f>
        <v/>
      </c>
      <c r="BP19">
        <f>(f_cd*b_col*((3*MIN(BO19,h_col)/7)+(4*MIN(BO19,h_col)/7)*(1-((4*MIN(BO19,h_col)/7)/(BO19-(3*MIN(BO19,h_col)/7)))^2/3))+$D19/2*((MAX(-f_yd,MIN(f_yd,200000*IF(BO19&lt;=h_col,0.0035*(BO19-d_2)/BO19,0.002*(BO19-d_2)/(BO19-3*h_col/7))))-f_cd*(1-(1-MAX(0,MIN(1,IF(BO19&lt;=h_col,0.0035*(BO19-d_2)/BO19,0.002*(BO19-d_2)/(BO19-3*h_col/7))/0.002)))^2))+(MAX(-f_yd,MIN(f_yd,200000*IF(BO19&lt;=h_col,0.0035*(BO19-(h_col-d_2))/BO19,0.002*(BO19-(h_col-d_2))/(BO19-3*h_col/7))))-f_cd*(1-(1-MAX(0,MIN(1,IF(BO19&lt;=h_col,0.0035*(BO19-(h_col-d_2))/BO19,0.002*(BO19-(h_col-d_2))/(BO19-3*h_col/7))/0.002)))^2))))/1000</f>
        <v/>
      </c>
      <c r="BQ19">
        <f>IF($BP19&lt;N_Ed-1E-9*MAX(1,N_Ed),(BM19+BN19)/2,BM19)</f>
        <v/>
      </c>
      <c r="BR19">
        <f>IF($BP19&lt;N_Ed-1E-9*MAX(1,N_Ed),BN19,(BM19+BN19)/2)</f>
        <v/>
      </c>
      <c r="BS19">
        <f>h_col*((BQ19+BR19)/2)/(1-(BQ19+BR19)/2)</f>
        <v/>
      </c>
      <c r="BT19">
        <f>(f_cd*b_col*((3*MIN(BS19,h_col)/7)+(4*MIN(BS19,h_col)/7)*(1-((4*MIN(BS19,h_col)/7)/(BS19-(3*MIN(BS19,h_col)/7)))^2/3))+$D19/2*((MAX(-f_yd,MIN(f_yd,200000*IF(BS19&lt;=h_col,0.0035*(BS19-d_2)/BS19,0.002*(BS19-d_2)/(BS19-3*h_col/7))))-f_cd*(1-(1-MAX(0,MIN(1,IF(BS19&lt;=h_col,0.0035*(BS19-d_2)/BS19,0.002*(BS19-d_2)/(BS19-3*h_col/7))/0.002)))^2))+(MAX(-f_yd,MIN(f_yd,200000*IF(BS19&lt;=h_col,0.0035*(BS19-(h_col-d_2))/BS19,0.002*(BS19-(h_col-d_2))/(BS19-3*h_col/7))))-f_cd*(1-(1-MAX(0,MIN(1,IF(BS19&lt;=h_col,0.0035*(BS19-(h_col-d_2))/BS19,0.002*(BS19-(h_col-d_2))/(BS19-3*h_col/7))/0.002)))^2))))/1000</f>
        <v/>
      </c>
      <c r="BU19">
        <f>IF($BT19&lt;N_Ed-1E-9*MAX(1,N_Ed),(BQ19+BR19)/2,BQ19)</f>
        <v/>
      </c>
      <c r="BV19">
        <f>IF($BT19&lt;N_Ed-1E-9*MAX(1,N_Ed),BR19,(BQ19+BR19)/2)</f>
        <v/>
      </c>
      <c r="BW19">
        <f>h_col*((BU19+BV19)/2)/(1-(BU19+BV19)/2)</f>
        <v/>
      </c>
      <c r="BX19">
        <f>(f_cd*b_col*((3*MIN(BW19,h_col)/7)+(4*MIN(BW19,h_col)/7)*(1-((4*MIN(BW19,h_col)/7)/(BW19-(3*MIN(BW19,h_col)/7)))^2/3))+$D19/2*((MAX(-f_yd,MIN(f_yd,200000*IF(BW19&lt;=h_col,0.0035*(BW19-d_2)/BW19,0.002*(BW19-d_2)/(BW19-3*h_col/7))))-f_cd*(1-(1-MAX(0,MIN(1,IF(BW19&lt;=h_col,0.0035*(BW19-d_2)/BW19,0.002*(BW19-d_2)/(BW19-3*h_col/7))/0.002)))^2))+(MAX(-f_yd,MIN(f_yd,200000*IF(BW19&lt;=h_col,0.0035*(BW19-(h_col-d_2))/BW19,0.002*(BW19-(h_col-d_2))/(BW19-3*h_col/7))))-f_cd*(1-(1-MAX(0,MIN(1,IF(BW19&lt;=h_col,0.0035*(BW19-(h_col-d_2))/BW19,0.002*(BW19-(h_col-d_2))/(BW19-3*h_col/7))/0.002)))^2))))/1000</f>
        <v/>
      </c>
      <c r="BY19">
        <f>IF($BX19&lt;N_Ed-1E-9*MAX(1,N_Ed),(BU19+BV19)/2,BU19)</f>
        <v/>
      </c>
      <c r="BZ19">
        <f>IF($BX19&lt;N_Ed-1E-9*MAX(1,N_Ed),BV19,(BU19+BV19)/2)</f>
        <v/>
      </c>
      <c r="CA19">
        <f>h_col*((BY19+BZ19)/2)/(1-(BY19+BZ19)/2)</f>
        <v/>
      </c>
      <c r="CB19">
        <f>(f_cd*b_col*((3*MIN(CA19,h_col)/7)+(4*MIN(CA19,h_col)/7)*(1-((4*MIN(CA19,h_col)/7)/(CA19-(3*MIN(CA19,h_col)/7)))^2/3))+$D19/2*((MAX(-f_yd,MIN(f_yd,200000*IF(CA19&lt;=h_col,0.0035*(CA19-d_2)/CA19,0.002*(CA19-d_2)/(CA19-3*h_col/7))))-f_cd*(1-(1-MAX(0,MIN(1,IF(CA19&lt;=h_col,0.0035*(CA19-d_2)/CA19,0.002*(CA19-d_2)/(CA19-3*h_col/7))/0.002)))^2))+(MAX(-f_yd,MIN(f_yd,200000*IF(CA19&lt;=h_col,0.0035*(CA19-(h_col-d_2))/CA19,0.002*(CA19-(h_col-d_2))/(CA19-3*h_col/7))))-f_cd*(1-(1-MAX(0,MIN(1,IF(CA19&lt;=h_col,0.0035*(CA19-(h_col-d_2))/CA19,0.002*(CA19-(h_col-d_2))/(CA19-3*h_col/7))/0.002)))^2))))/1000</f>
        <v/>
      </c>
      <c r="CC19">
        <f>IF($CB19&lt;N_Ed-1E-9*MAX(1,N_Ed),(BY19+BZ19)/2,BY19)</f>
        <v/>
      </c>
      <c r="CD19">
        <f>IF($CB19&lt;N_Ed-1E-9*MAX(1,N_Ed),BZ19,(BY19+BZ19)/2)</f>
        <v/>
      </c>
      <c r="CE19">
        <f>h_col*((CC19+CD19)/2)/(1-(CC19+CD19)/2)</f>
        <v/>
      </c>
      <c r="CF19">
        <f>(f_cd*b_col*((3*MIN(CE19,h_col)/7)+(4*MIN(CE19,h_col)/7)*(1-((4*MIN(CE19,h_col)/7)/(CE19-(3*MIN(CE19,h_col)/7)))^2/3))+$D19/2*((MAX(-f_yd,MIN(f_yd,200000*IF(CE19&lt;=h_col,0.0035*(CE19-d_2)/CE19,0.002*(CE19-d_2)/(CE19-3*h_col/7))))-f_cd*(1-(1-MAX(0,MIN(1,IF(CE19&lt;=h_col,0.0035*(CE19-d_2)/CE19,0.002*(CE19-d_2)/(CE19-3*h_col/7))/0.002)))^2))+(MAX(-f_yd,MIN(f_yd,200000*IF(CE19&lt;=h_col,0.0035*(CE19-(h_col-d_2))/CE19,0.002*(CE19-(h_col-d_2))/(CE19-3*h_col/7))))-f_cd*(1-(1-MAX(0,MIN(1,IF(CE19&lt;=h_col,0.0035*(CE19-(h_col-d_2))/CE19,0.002*(CE19-(h_col-d_2))/(CE19-3*h_col/7))/0.002)))^2))))/1000</f>
        <v/>
      </c>
      <c r="CG19">
        <f>IF($CF19&lt;N_Ed-1E-9*MAX(1,N_Ed),(CC19+CD19)/2,CC19)</f>
        <v/>
      </c>
      <c r="CH19">
        <f>IF($CF19&lt;N_Ed-1E-9*MAX(1,N_Ed),CD19,(CC19+CD19)/2)</f>
        <v/>
      </c>
      <c r="CI19">
        <f>h_col*((CG19+CH19)/2)/(1-(CG19+CH19)/2)</f>
        <v/>
      </c>
      <c r="CJ19">
        <f>(f_cd*b_col*((3*MIN(CI19,h_col)/7)+(4*MIN(CI19,h_col)/7)*(1-((4*MIN(CI19,h_col)/7)/(CI19-(3*MIN(CI19,h_col)/7)))^2/3))+$D19/2*((MAX(-f_yd,MIN(f_yd,200000*IF(CI19&lt;=h_col,0.0035*(CI19-d_2)/CI19,0.002*(CI19-d_2)/(CI19-3*h_col/7))))-f_cd*(1-(1-MAX(0,MIN(1,IF(CI19&lt;=h_col,0.0035*(CI19-d_2)/CI19,0.002*(CI19-d_2)/(CI19-3*h_col/7))/0.002)))^2))+(MAX(-f_yd,MIN(f_yd,200000*IF(CI19&lt;=h_col,0.0035*(CI19-(h_col-d_2))/CI19,0.002*(CI19-(h_col-d_2))/(CI19-3*h_col/7))))-f_cd*(1-(1-MAX(0,MIN(1,IF(CI19&lt;=h_col,0.0035*(CI19-(h_col-d_2))/CI19,0.002*(CI19-(h_col-d_2))/(CI19-3*h_col/7))/0.002)))^2))))/1000</f>
        <v/>
      </c>
      <c r="CK19">
        <f>IF($CJ19&lt;N_Ed-1E-9*MAX(1,N_Ed),(CG19+CH19)/2,CG19)</f>
        <v/>
      </c>
      <c r="CL19">
        <f>IF($CJ19&lt;N_Ed-1E-9*MAX(1,N_Ed),CH19,(CG19+CH19)/2)</f>
        <v/>
      </c>
      <c r="CM19">
        <f>h_col*((CK19+CL19)/2)/(1-(CK19+CL19)/2)</f>
        <v/>
      </c>
      <c r="CN19">
        <f>(f_cd*b_col*((3*MIN(CM19,h_col)/7)+(4*MIN(CM19,h_col)/7)*(1-((4*MIN(CM19,h_col)/7)/(CM19-(3*MIN(CM19,h_col)/7)))^2/3))+$D19/2*((MAX(-f_yd,MIN(f_yd,200000*IF(CM19&lt;=h_col,0.0035*(CM19-d_2)/CM19,0.002*(CM19-d_2)/(CM19-3*h_col/7))))-f_cd*(1-(1-MAX(0,MIN(1,IF(CM19&lt;=h_col,0.0035*(CM19-d_2)/CM19,0.002*(CM19-d_2)/(CM19-3*h_col/7))/0.002)))^2))+(MAX(-f_yd,MIN(f_yd,200000*IF(CM19&lt;=h_col,0.0035*(CM19-(h_col-d_2))/CM19,0.002*(CM19-(h_col-d_2))/(CM19-3*h_col/7))))-f_cd*(1-(1-MAX(0,MIN(1,IF(CM19&lt;=h_col,0.0035*(CM19-(h_col-d_2))/CM19,0.002*(CM19-(h_col-d_2))/(CM19-3*h_col/7))/0.002)))^2))))/1000</f>
        <v/>
      </c>
      <c r="CO19">
        <f>IF($CN19&lt;N_Ed-1E-9*MAX(1,N_Ed),(CK19+CL19)/2,CK19)</f>
        <v/>
      </c>
      <c r="CP19">
        <f>IF($CN19&lt;N_Ed-1E-9*MAX(1,N_Ed),CL19,(CK19+CL19)/2)</f>
        <v/>
      </c>
      <c r="CQ19">
        <f>h_col*((CO19+CP19)/2)/(1-(CO19+CP19)/2)</f>
        <v/>
      </c>
      <c r="CR19">
        <f>(f_cd*b_col*((3*MIN(CQ19,h_col)/7)+(4*MIN(CQ19,h_col)/7)*(1-((4*MIN(CQ19,h_col)/7)/(CQ19-(3*MIN(CQ19,h_col)/7)))^2/3))+$D19/2*((MAX(-f_yd,MIN(f_yd,200000*IF(CQ19&lt;=h_col,0.0035*(CQ19-d_2)/CQ19,0.002*(CQ19-d_2)/(CQ19-3*h_col/7))))-f_cd*(1-(1-MAX(0,MIN(1,IF(CQ19&lt;=h_col,0.0035*(CQ19-d_2)/CQ19,0.002*(CQ19-d_2)/(CQ19-3*h_col/7))/0.002)))^2))+(MAX(-f_yd,MIN(f_yd,200000*IF(CQ19&lt;=h_col,0.0035*(CQ19-(h_col-d_2))/CQ19,0.002*(CQ19-(h_col-d_2))/(CQ19-3*h_col/7))))-f_cd*(1-(1-MAX(0,MIN(1,IF(CQ19&lt;=h_col,0.0035*(CQ19-(h_col-d_2))/CQ19,0.002*(CQ19-(h_col-d_2))/(CQ19-3*h_col/7))/0.002)))^2))))/1000</f>
        <v/>
      </c>
      <c r="CS19">
        <f>IF($CR19&lt;N_Ed-1E-9*MAX(1,N_Ed),(CO19+CP19)/2,CO19)</f>
        <v/>
      </c>
      <c r="CT19">
        <f>IF($CR19&lt;N_Ed-1E-9*MAX(1,N_Ed),CP19,(CO19+CP19)/2)</f>
        <v/>
      </c>
      <c r="CU19">
        <f>h_col*((CS19+CT19)/2)/(1-(CS19+CT19)/2)</f>
        <v/>
      </c>
      <c r="CV19">
        <f>(f_cd*b_col*((3*MIN(CU19,h_col)/7)+(4*MIN(CU19,h_col)/7)*(1-((4*MIN(CU19,h_col)/7)/(CU19-(3*MIN(CU19,h_col)/7)))^2/3))+$D19/2*((MAX(-f_yd,MIN(f_yd,200000*IF(CU19&lt;=h_col,0.0035*(CU19-d_2)/CU19,0.002*(CU19-d_2)/(CU19-3*h_col/7))))-f_cd*(1-(1-MAX(0,MIN(1,IF(CU19&lt;=h_col,0.0035*(CU19-d_2)/CU19,0.002*(CU19-d_2)/(CU19-3*h_col/7))/0.002)))^2))+(MAX(-f_yd,MIN(f_yd,200000*IF(CU19&lt;=h_col,0.0035*(CU19-(h_col-d_2))/CU19,0.002*(CU19-(h_col-d_2))/(CU19-3*h_col/7))))-f_cd*(1-(1-MAX(0,MIN(1,IF(CU19&lt;=h_col,0.0035*(CU19-(h_col-d_2))/CU19,0.002*(CU19-(h_col-d_2))/(CU19-3*h_col/7))/0.002)))^2))))/1000</f>
        <v/>
      </c>
      <c r="CW19">
        <f>IF($CV19&lt;N_Ed-1E-9*MAX(1,N_Ed),(CS19+CT19)/2,CS19)</f>
        <v/>
      </c>
      <c r="CX19">
        <f>IF($CV19&lt;N_Ed-1E-9*MAX(1,N_Ed),CT19,(CS19+CT19)/2)</f>
        <v/>
      </c>
      <c r="CY19">
        <f>h_col*((CW19+CX19)/2)/(1-(CW19+CX19)/2)</f>
        <v/>
      </c>
      <c r="CZ19">
        <f>(f_cd*b_col*((3*MIN(CY19,h_col)/7)+(4*MIN(CY19,h_col)/7)*(1-((4*MIN(CY19,h_col)/7)/(CY19-(3*MIN(CY19,h_col)/7)))^2/3))+$D19/2*((MAX(-f_yd,MIN(f_yd,200000*IF(CY19&lt;=h_col,0.0035*(CY19-d_2)/CY19,0.002*(CY19-d_2)/(CY19-3*h_col/7))))-f_cd*(1-(1-MAX(0,MIN(1,IF(CY19&lt;=h_col,0.0035*(CY19-d_2)/CY19,0.002*(CY19-d_2)/(CY19-3*h_col/7))/0.002)))^2))+(MAX(-f_yd,MIN(f_yd,200000*IF(CY19&lt;=h_col,0.0035*(CY19-(h_col-d_2))/CY19,0.002*(CY19-(h_col-d_2))/(CY19-3*h_col/7))))-f_cd*(1-(1-MAX(0,MIN(1,IF(CY19&lt;=h_col,0.0035*(CY19-(h_col-d_2))/CY19,0.002*(CY19-(h_col-d_2))/(CY19-3*h_col/7))/0.002)))^2))))/1000</f>
        <v/>
      </c>
      <c r="DA19">
        <f>IF($CZ19&lt;N_Ed-1E-9*MAX(1,N_Ed),(CW19+CX19)/2,CW19)</f>
        <v/>
      </c>
      <c r="DB19">
        <f>IF($CZ19&lt;N_Ed-1E-9*MAX(1,N_Ed),CX19,(CW19+CX19)/2)</f>
        <v/>
      </c>
      <c r="DC19">
        <f>h_col*((DA19+DB19)/2)/(1-(DA19+DB19)/2)</f>
        <v/>
      </c>
      <c r="DD19">
        <f>(f_cd*b_col*((3*MIN(DC19,h_col)/7)+(4*MIN(DC19,h_col)/7)*(1-((4*MIN(DC19,h_col)/7)/(DC19-(3*MIN(DC19,h_col)/7)))^2/3))+$D19/2*((MAX(-f_yd,MIN(f_yd,200000*IF(DC19&lt;=h_col,0.0035*(DC19-d_2)/DC19,0.002*(DC19-d_2)/(DC19-3*h_col/7))))-f_cd*(1-(1-MAX(0,MIN(1,IF(DC19&lt;=h_col,0.0035*(DC19-d_2)/DC19,0.002*(DC19-d_2)/(DC19-3*h_col/7))/0.002)))^2))+(MAX(-f_yd,MIN(f_yd,200000*IF(DC19&lt;=h_col,0.0035*(DC19-(h_col-d_2))/DC19,0.002*(DC19-(h_col-d_2))/(DC19-3*h_col/7))))-f_cd*(1-(1-MAX(0,MIN(1,IF(DC19&lt;=h_col,0.0035*(DC19-(h_col-d_2))/DC19,0.002*(DC19-(h_col-d_2))/(DC19-3*h_col/7))/0.002)))^2))))/1000</f>
        <v/>
      </c>
      <c r="DE19">
        <f>IF($DD19&lt;N_Ed-1E-9*MAX(1,N_Ed),(DA19+DB19)/2,DA19)</f>
        <v/>
      </c>
      <c r="DF19">
        <f>IF($DD19&lt;N_Ed-1E-9*MAX(1,N_Ed),DB19,(DA19+DB19)/2)</f>
        <v/>
      </c>
      <c r="DG19">
        <f>h_col*((DE19+DF19)/2)/(1-(DE19+DF19)/2)</f>
        <v/>
      </c>
      <c r="DH19">
        <f>(f_cd*b_col*((3*MIN(DG19,h_col)/7)+(4*MIN(DG19,h_col)/7)*(1-((4*MIN(DG19,h_col)/7)/(DG19-(3*MIN(DG19,h_col)/7)))^2/3))+$D19/2*((MAX(-f_yd,MIN(f_yd,200000*IF(DG19&lt;=h_col,0.0035*(DG19-d_2)/DG19,0.002*(DG19-d_2)/(DG19-3*h_col/7))))-f_cd*(1-(1-MAX(0,MIN(1,IF(DG19&lt;=h_col,0.0035*(DG19-d_2)/DG19,0.002*(DG19-d_2)/(DG19-3*h_col/7))/0.002)))^2))+(MAX(-f_yd,MIN(f_yd,200000*IF(DG19&lt;=h_col,0.0035*(DG19-(h_col-d_2))/DG19,0.002*(DG19-(h_col-d_2))/(DG19-3*h_col/7))))-f_cd*(1-(1-MAX(0,MIN(1,IF(DG19&lt;=h_col,0.0035*(DG19-(h_col-d_2))/DG19,0.002*(DG19-(h_col-d_2))/(DG19-3*h_col/7))/0.002)))^2))))/1000</f>
        <v/>
      </c>
      <c r="DI19">
        <f>IF($DH19&lt;N_Ed-1E-9*MAX(1,N_Ed),(DE19+DF19)/2,DE19)</f>
        <v/>
      </c>
      <c r="DJ19">
        <f>IF($DH19&lt;N_Ed-1E-9*MAX(1,N_Ed),DF19,(DE19+DF19)/2)</f>
        <v/>
      </c>
      <c r="DK19">
        <f>h_col*((DI19+DJ19)/2)/(1-(DI19+DJ19)/2)</f>
        <v/>
      </c>
      <c r="DL19">
        <f>(f_cd*b_col*((3*MIN(DK19,h_col)/7)+(4*MIN(DK19,h_col)/7)*(1-((4*MIN(DK19,h_col)/7)/(DK19-(3*MIN(DK19,h_col)/7)))^2/3))+$D19/2*((MAX(-f_yd,MIN(f_yd,200000*IF(DK19&lt;=h_col,0.0035*(DK19-d_2)/DK19,0.002*(DK19-d_2)/(DK19-3*h_col/7))))-f_cd*(1-(1-MAX(0,MIN(1,IF(DK19&lt;=h_col,0.0035*(DK19-d_2)/DK19,0.002*(DK19-d_2)/(DK19-3*h_col/7))/0.002)))^2))+(MAX(-f_yd,MIN(f_yd,200000*IF(DK19&lt;=h_col,0.0035*(DK19-(h_col-d_2))/DK19,0.002*(DK19-(h_col-d_2))/(DK19-3*h_col/7))))-f_cd*(1-(1-MAX(0,MIN(1,IF(DK19&lt;=h_col,0.0035*(DK19-(h_col-d_2))/DK19,0.002*(DK19-(h_col-d_2))/(DK19-3*h_col/7))/0.002)))^2))))/1000</f>
        <v/>
      </c>
      <c r="DM19">
        <f>IF($DL19&lt;N_Ed-1E-9*MAX(1,N_Ed),(DI19+DJ19)/2,DI19)</f>
        <v/>
      </c>
      <c r="DN19">
        <f>IF($DL19&lt;N_Ed-1E-9*MAX(1,N_Ed),DJ19,(DI19+DJ19)/2)</f>
        <v/>
      </c>
      <c r="DO19">
        <f>h_col*((DM19+DN19)/2)/(1-(DM19+DN19)/2)</f>
        <v/>
      </c>
      <c r="DP19">
        <f>(f_cd*b_col*((3*MIN(DO19,h_col)/7)+(4*MIN(DO19,h_col)/7)*(1-((4*MIN(DO19,h_col)/7)/(DO19-(3*MIN(DO19,h_col)/7)))^2/3))+$D19/2*((MAX(-f_yd,MIN(f_yd,200000*IF(DO19&lt;=h_col,0.0035*(DO19-d_2)/DO19,0.002*(DO19-d_2)/(DO19-3*h_col/7))))-f_cd*(1-(1-MAX(0,MIN(1,IF(DO19&lt;=h_col,0.0035*(DO19-d_2)/DO19,0.002*(DO19-d_2)/(DO19-3*h_col/7))/0.002)))^2))+(MAX(-f_yd,MIN(f_yd,200000*IF(DO19&lt;=h_col,0.0035*(DO19-(h_col-d_2))/DO19,0.002*(DO19-(h_col-d_2))/(DO19-3*h_col/7))))-f_cd*(1-(1-MAX(0,MIN(1,IF(DO19&lt;=h_col,0.0035*(DO19-(h_col-d_2))/DO19,0.002*(DO19-(h_col-d_2))/(DO19-3*h_col/7))/0.002)))^2))))/1000</f>
        <v/>
      </c>
      <c r="DQ19">
        <f>IF($DP19&lt;N_Ed-1E-9*MAX(1,N_Ed),(DM19+DN19)/2,DM19)</f>
        <v/>
      </c>
      <c r="DR19">
        <f>IF($DP19&lt;N_Ed-1E-9*MAX(1,N_Ed),DN19,(DM19+DN19)/2)</f>
        <v/>
      </c>
      <c r="DS19">
        <f>h_col*((DQ19+DR19)/2)/(1-(DQ19+DR19)/2)</f>
        <v/>
      </c>
      <c r="DT19">
        <f>(f_cd*b_col*((3*MIN(DS19,h_col)/7)+(4*MIN(DS19,h_col)/7)*(1-((4*MIN(DS19,h_col)/7)/(DS19-(3*MIN(DS19,h_col)/7)))^2/3))+$D19/2*((MAX(-f_yd,MIN(f_yd,200000*IF(DS19&lt;=h_col,0.0035*(DS19-d_2)/DS19,0.002*(DS19-d_2)/(DS19-3*h_col/7))))-f_cd*(1-(1-MAX(0,MIN(1,IF(DS19&lt;=h_col,0.0035*(DS19-d_2)/DS19,0.002*(DS19-d_2)/(DS19-3*h_col/7))/0.002)))^2))+(MAX(-f_yd,MIN(f_yd,200000*IF(DS19&lt;=h_col,0.0035*(DS19-(h_col-d_2))/DS19,0.002*(DS19-(h_col-d_2))/(DS19-3*h_col/7))))-f_cd*(1-(1-MAX(0,MIN(1,IF(DS19&lt;=h_col,0.0035*(DS19-(h_col-d_2))/DS19,0.002*(DS19-(h_col-d_2))/(DS19-3*h_col/7))/0.002)))^2))))/1000</f>
        <v/>
      </c>
      <c r="DU19">
        <f>IF($DT19&lt;N_Ed-1E-9*MAX(1,N_Ed),(DQ19+DR19)/2,DQ19)</f>
        <v/>
      </c>
      <c r="DV19">
        <f>IF($DT19&lt;N_Ed-1E-9*MAX(1,N_Ed),DR19,(DQ19+DR19)/2)</f>
        <v/>
      </c>
      <c r="DW19">
        <f>h_col*((DU19+DV19)/2)/(1-(DU19+DV19)/2)</f>
        <v/>
      </c>
      <c r="DX19">
        <f>(f_cd*b_col*((3*MIN(DW19,h_col)/7)+(4*MIN(DW19,h_col)/7)*(1-((4*MIN(DW19,h_col)/7)/(DW19-(3*MIN(DW19,h_col)/7)))^2/3))+$D19/2*((MAX(-f_yd,MIN(f_yd,200000*IF(DW19&lt;=h_col,0.0035*(DW19-d_2)/DW19,0.002*(DW19-d_2)/(DW19-3*h_col/7))))-f_cd*(1-(1-MAX(0,MIN(1,IF(DW19&lt;=h_col,0.0035*(DW19-d_2)/DW19,0.002*(DW19-d_2)/(DW19-3*h_col/7))/0.002)))^2))+(MAX(-f_yd,MIN(f_yd,200000*IF(DW19&lt;=h_col,0.0035*(DW19-(h_col-d_2))/DW19,0.002*(DW19-(h_col-d_2))/(DW19-3*h_col/7))))-f_cd*(1-(1-MAX(0,MIN(1,IF(DW19&lt;=h_col,0.0035*(DW19-(h_col-d_2))/DW19,0.002*(DW19-(h_col-d_2))/(DW19-3*h_col/7))/0.002)))^2))))/1000</f>
        <v/>
      </c>
      <c r="DY19">
        <f>IF($DX19&lt;N_Ed-1E-9*MAX(1,N_Ed),(DU19+DV19)/2,DU19)</f>
        <v/>
      </c>
      <c r="DZ19">
        <f>IF($DX19&lt;N_Ed-1E-9*MAX(1,N_Ed),DV19,(DU19+DV19)/2)</f>
        <v/>
      </c>
      <c r="EA19">
        <f>h_col*((DY19+DZ19)/2)/(1-(DY19+DZ19)/2)</f>
        <v/>
      </c>
      <c r="EB19">
        <f>(f_cd*b_col*((3*MIN(EA19,h_col)/7)+(4*MIN(EA19,h_col)/7)*(1-((4*MIN(EA19,h_col)/7)/(EA19-(3*MIN(EA19,h_col)/7)))^2/3))+$D19/2*((MAX(-f_yd,MIN(f_yd,200000*IF(EA19&lt;=h_col,0.0035*(EA19-d_2)/EA19,0.002*(EA19-d_2)/(EA19-3*h_col/7))))-f_cd*(1-(1-MAX(0,MIN(1,IF(EA19&lt;=h_col,0.0035*(EA19-d_2)/EA19,0.002*(EA19-d_2)/(EA19-3*h_col/7))/0.002)))^2))+(MAX(-f_yd,MIN(f_yd,200000*IF(EA19&lt;=h_col,0.0035*(EA19-(h_col-d_2))/EA19,0.002*(EA19-(h_col-d_2))/(EA19-3*h_col/7))))-f_cd*(1-(1-MAX(0,MIN(1,IF(EA19&lt;=h_col,0.0035*(EA19-(h_col-d_2))/EA19,0.002*(EA19-(h_col-d_2))/(EA19-3*h_col/7))/0.002)))^2))))/1000</f>
        <v/>
      </c>
      <c r="EC19">
        <f>IF($EB19&lt;N_Ed-1E-9*MAX(1,N_Ed),(DY19+DZ19)/2,DY19)</f>
        <v/>
      </c>
      <c r="ED19">
        <f>IF($EB19&lt;N_Ed-1E-9*MAX(1,N_Ed),DZ19,(DY19+DZ19)/2)</f>
        <v/>
      </c>
      <c r="EE19">
        <f>h_col*((EC19+ED19)/2)/(1-(EC19+ED19)/2)</f>
        <v/>
      </c>
      <c r="EF19">
        <f>(f_cd*b_col*((3*MIN(EE19,h_col)/7)+(4*MIN(EE19,h_col)/7)*(1-((4*MIN(EE19,h_col)/7)/(EE19-(3*MIN(EE19,h_col)/7)))^2/3))+$D19/2*((MAX(-f_yd,MIN(f_yd,200000*IF(EE19&lt;=h_col,0.0035*(EE19-d_2)/EE19,0.002*(EE19-d_2)/(EE19-3*h_col/7))))-f_cd*(1-(1-MAX(0,MIN(1,IF(EE19&lt;=h_col,0.0035*(EE19-d_2)/EE19,0.002*(EE19-d_2)/(EE19-3*h_col/7))/0.002)))^2))+(MAX(-f_yd,MIN(f_yd,200000*IF(EE19&lt;=h_col,0.0035*(EE19-(h_col-d_2))/EE19,0.002*(EE19-(h_col-d_2))/(EE19-3*h_col/7))))-f_cd*(1-(1-MAX(0,MIN(1,IF(EE19&lt;=h_col,0.0035*(EE19-(h_col-d_2))/EE19,0.002*(EE19-(h_col-d_2))/(EE19-3*h_col/7))/0.002)))^2))))/1000</f>
        <v/>
      </c>
      <c r="EG19">
        <f>IF($EF19&lt;N_Ed-1E-9*MAX(1,N_Ed),(EC19+ED19)/2,EC19)</f>
        <v/>
      </c>
      <c r="EH19">
        <f>IF($EF19&lt;N_Ed-1E-9*MAX(1,N_Ed),ED19,(EC19+ED19)/2)</f>
        <v/>
      </c>
      <c r="EI19">
        <f>h_col*((EG19+EH19)/2)/(1-(EG19+EH19)/2)</f>
        <v/>
      </c>
      <c r="EJ19">
        <f>(f_cd*b_col*((3*MIN(EI19,h_col)/7)+(4*MIN(EI19,h_col)/7)*(1-((4*MIN(EI19,h_col)/7)/(EI19-(3*MIN(EI19,h_col)/7)))^2/3))+$D19/2*((MAX(-f_yd,MIN(f_yd,200000*IF(EI19&lt;=h_col,0.0035*(EI19-d_2)/EI19,0.002*(EI19-d_2)/(EI19-3*h_col/7))))-f_cd*(1-(1-MAX(0,MIN(1,IF(EI19&lt;=h_col,0.0035*(EI19-d_2)/EI19,0.002*(EI19-d_2)/(EI19-3*h_col/7))/0.002)))^2))+(MAX(-f_yd,MIN(f_yd,200000*IF(EI19&lt;=h_col,0.0035*(EI19-(h_col-d_2))/EI19,0.002*(EI19-(h_col-d_2))/(EI19-3*h_col/7))))-f_cd*(1-(1-MAX(0,MIN(1,IF(EI19&lt;=h_col,0.0035*(EI19-(h_col-d_2))/EI19,0.002*(EI19-(h_col-d_2))/(EI19-3*h_col/7))/0.002)))^2))))/1000</f>
        <v/>
      </c>
      <c r="EK19">
        <f>IF($EJ19&lt;N_Ed-1E-9*MAX(1,N_Ed),(EG19+EH19)/2,EG19)</f>
        <v/>
      </c>
      <c r="EL19">
        <f>IF($EJ19&lt;N_Ed-1E-9*MAX(1,N_Ed),EH19,(EG19+EH19)/2)</f>
        <v/>
      </c>
      <c r="EM19">
        <f>h_col*((EK19+EL19)/2)/(1-(EK19+EL19)/2)</f>
        <v/>
      </c>
      <c r="EN19">
        <f>(f_cd*b_col*((3*MIN(EM19,h_col)/7)+(4*MIN(EM19,h_col)/7)*(1-((4*MIN(EM19,h_col)/7)/(EM19-(3*MIN(EM19,h_col)/7)))^2/3))+$D19/2*((MAX(-f_yd,MIN(f_yd,200000*IF(EM19&lt;=h_col,0.0035*(EM19-d_2)/EM19,0.002*(EM19-d_2)/(EM19-3*h_col/7))))-f_cd*(1-(1-MAX(0,MIN(1,IF(EM19&lt;=h_col,0.0035*(EM19-d_2)/EM19,0.002*(EM19-d_2)/(EM19-3*h_col/7))/0.002)))^2))+(MAX(-f_yd,MIN(f_yd,200000*IF(EM19&lt;=h_col,0.0035*(EM19-(h_col-d_2))/EM19,0.002*(EM19-(h_col-d_2))/(EM19-3*h_col/7))))-f_cd*(1-(1-MAX(0,MIN(1,IF(EM19&lt;=h_col,0.0035*(EM19-(h_col-d_2))/EM19,0.002*(EM19-(h_col-d_2))/(EM19-3*h_col/7))/0.002)))^2))))/1000</f>
        <v/>
      </c>
      <c r="EO19">
        <f>IF($EN19&lt;N_Ed-1E-9*MAX(1,N_Ed),(EK19+EL19)/2,EK19)</f>
        <v/>
      </c>
      <c r="EP19">
        <f>IF($EN19&lt;N_Ed-1E-9*MAX(1,N_Ed),EL19,(EK19+EL19)/2)</f>
        <v/>
      </c>
      <c r="EQ19">
        <f>h_col*((EO19+EP19)/2)/(1-(EO19+EP19)/2)</f>
        <v/>
      </c>
      <c r="ER19">
        <f>(f_cd*b_col*((3*MIN(EQ19,h_col)/7)+(4*MIN(EQ19,h_col)/7)*(1-((4*MIN(EQ19,h_col)/7)/(EQ19-(3*MIN(EQ19,h_col)/7)))^2/3))+$D19/2*((MAX(-f_yd,MIN(f_yd,200000*IF(EQ19&lt;=h_col,0.0035*(EQ19-d_2)/EQ19,0.002*(EQ19-d_2)/(EQ19-3*h_col/7))))-f_cd*(1-(1-MAX(0,MIN(1,IF(EQ19&lt;=h_col,0.0035*(EQ19-d_2)/EQ19,0.002*(EQ19-d_2)/(EQ19-3*h_col/7))/0.002)))^2))+(MAX(-f_yd,MIN(f_yd,200000*IF(EQ19&lt;=h_col,0.0035*(EQ19-(h_col-d_2))/EQ19,0.002*(EQ19-(h_col-d_2))/(EQ19-3*h_col/7))))-f_cd*(1-(1-MAX(0,MIN(1,IF(EQ19&lt;=h_col,0.0035*(EQ19-(h_col-d_2))/EQ19,0.002*(EQ19-(h_col-d_2))/(EQ19-3*h_col/7))/0.002)))^2))))/1000</f>
        <v/>
      </c>
      <c r="ES19">
        <f>IF($ER19&lt;N_Ed-1E-9*MAX(1,N_Ed),(EO19+EP19)/2,EO19)</f>
        <v/>
      </c>
      <c r="ET19">
        <f>IF($ER19&lt;N_Ed-1E-9*MAX(1,N_Ed),EP19,(EO19+EP19)/2)</f>
        <v/>
      </c>
      <c r="EU19">
        <f>h_col*((ES19+ET19)/2)/(1-(ES19+ET19)/2)</f>
        <v/>
      </c>
      <c r="EV19">
        <f>(f_cd*b_col*((3*MIN(EU19,h_col)/7)+(4*MIN(EU19,h_col)/7)*(1-((4*MIN(EU19,h_col)/7)/(EU19-(3*MIN(EU19,h_col)/7)))^2/3))+$D19/2*((MAX(-f_yd,MIN(f_yd,200000*IF(EU19&lt;=h_col,0.0035*(EU19-d_2)/EU19,0.002*(EU19-d_2)/(EU19-3*h_col/7))))-f_cd*(1-(1-MAX(0,MIN(1,IF(EU19&lt;=h_col,0.0035*(EU19-d_2)/EU19,0.002*(EU19-d_2)/(EU19-3*h_col/7))/0.002)))^2))+(MAX(-f_yd,MIN(f_yd,200000*IF(EU19&lt;=h_col,0.0035*(EU19-(h_col-d_2))/EU19,0.002*(EU19-(h_col-d_2))/(EU19-3*h_col/7))))-f_cd*(1-(1-MAX(0,MIN(1,IF(EU19&lt;=h_col,0.0035*(EU19-(h_col-d_2))/EU19,0.002*(EU19-(h_col-d_2))/(EU19-3*h_col/7))/0.002)))^2))))/1000</f>
        <v/>
      </c>
      <c r="EW19">
        <f>IF($EV19&lt;N_Ed-1E-9*MAX(1,N_Ed),(ES19+ET19)/2,ES19)</f>
        <v/>
      </c>
      <c r="EX19">
        <f>IF($EV19&lt;N_Ed-1E-9*MAX(1,N_Ed),ET19,(ES19+ET19)/2)</f>
        <v/>
      </c>
      <c r="EY19">
        <f>h_col*((EW19+EX19)/2)/(1-(EW19+EX19)/2)</f>
        <v/>
      </c>
      <c r="EZ19">
        <f>(f_cd*b_col*((3*MIN(EY19,h_col)/7)+(4*MIN(EY19,h_col)/7)*(1-((4*MIN(EY19,h_col)/7)/(EY19-(3*MIN(EY19,h_col)/7)))^2/3))+$D19/2*((MAX(-f_yd,MIN(f_yd,200000*IF(EY19&lt;=h_col,0.0035*(EY19-d_2)/EY19,0.002*(EY19-d_2)/(EY19-3*h_col/7))))-f_cd*(1-(1-MAX(0,MIN(1,IF(EY19&lt;=h_col,0.0035*(EY19-d_2)/EY19,0.002*(EY19-d_2)/(EY19-3*h_col/7))/0.002)))^2))+(MAX(-f_yd,MIN(f_yd,200000*IF(EY19&lt;=h_col,0.0035*(EY19-(h_col-d_2))/EY19,0.002*(EY19-(h_col-d_2))/(EY19-3*h_col/7))))-f_cd*(1-(1-MAX(0,MIN(1,IF(EY19&lt;=h_col,0.0035*(EY19-(h_col-d_2))/EY19,0.002*(EY19-(h_col-d_2))/(EY19-3*h_col/7))/0.002)))^2))))/1000</f>
        <v/>
      </c>
      <c r="FA19">
        <f>IF($EZ19&lt;N_Ed-1E-9*MAX(1,N_Ed),(EW19+EX19)/2,EW19)</f>
        <v/>
      </c>
      <c r="FB19">
        <f>IF($EZ19&lt;N_Ed-1E-9*MAX(1,N_Ed),EX19,(EW19+EX19)/2)</f>
        <v/>
      </c>
      <c r="FC19">
        <f>h_col*((FA19+FB19)/2)/(1-(FA19+FB19)/2)</f>
        <v/>
      </c>
      <c r="FD19">
        <f>(f_cd*b_col*((3*MIN(FC19,h_col)/7)+(4*MIN(FC19,h_col)/7)*(1-((4*MIN(FC19,h_col)/7)/(FC19-(3*MIN(FC19,h_col)/7)))^2/3))+$D19/2*((MAX(-f_yd,MIN(f_yd,200000*IF(FC19&lt;=h_col,0.0035*(FC19-d_2)/FC19,0.002*(FC19-d_2)/(FC19-3*h_col/7))))-f_cd*(1-(1-MAX(0,MIN(1,IF(FC19&lt;=h_col,0.0035*(FC19-d_2)/FC19,0.002*(FC19-d_2)/(FC19-3*h_col/7))/0.002)))^2))+(MAX(-f_yd,MIN(f_yd,200000*IF(FC19&lt;=h_col,0.0035*(FC19-(h_col-d_2))/FC19,0.002*(FC19-(h_col-d_2))/(FC19-3*h_col/7))))-f_cd*(1-(1-MAX(0,MIN(1,IF(FC19&lt;=h_col,0.0035*(FC19-(h_col-d_2))/FC19,0.002*(FC19-(h_col-d_2))/(FC19-3*h_col/7))/0.002)))^2))))/1000</f>
        <v/>
      </c>
      <c r="FE19">
        <f>IF($FD19&lt;N_Ed-1E-9*MAX(1,N_Ed),(FA19+FB19)/2,FA19)</f>
        <v/>
      </c>
      <c r="FF19">
        <f>IF($FD19&lt;N_Ed-1E-9*MAX(1,N_Ed),FB19,(FA19+FB19)/2)</f>
        <v/>
      </c>
      <c r="FG19">
        <f>h_col*((FE19+FF19)/2)/(1-(FE19+FF19)/2)</f>
        <v/>
      </c>
      <c r="FH19">
        <f>(f_cd*b_col*((3*MIN(FG19,h_col)/7)+(4*MIN(FG19,h_col)/7)*(1-((4*MIN(FG19,h_col)/7)/(FG19-(3*MIN(FG19,h_col)/7)))^2/3))+$D19/2*((MAX(-f_yd,MIN(f_yd,200000*IF(FG19&lt;=h_col,0.0035*(FG19-d_2)/FG19,0.002*(FG19-d_2)/(FG19-3*h_col/7))))-f_cd*(1-(1-MAX(0,MIN(1,IF(FG19&lt;=h_col,0.0035*(FG19-d_2)/FG19,0.002*(FG19-d_2)/(FG19-3*h_col/7))/0.002)))^2))+(MAX(-f_yd,MIN(f_yd,200000*IF(FG19&lt;=h_col,0.0035*(FG19-(h_col-d_2))/FG19,0.002*(FG19-(h_col-d_2))/(FG19-3*h_col/7))))-f_cd*(1-(1-MAX(0,MIN(1,IF(FG19&lt;=h_col,0.0035*(FG19-(h_col-d_2))/FG19,0.002*(FG19-(h_col-d_2))/(FG19-3*h_col/7))/0.002)))^2))))/1000</f>
        <v/>
      </c>
      <c r="FI19">
        <f>IF($FH19&lt;N_Ed-1E-9*MAX(1,N_Ed),(FE19+FF19)/2,FE19)</f>
        <v/>
      </c>
      <c r="FJ19">
        <f>IF($FH19&lt;N_Ed-1E-9*MAX(1,N_Ed),FF19,(FE19+FF19)/2)</f>
        <v/>
      </c>
      <c r="FK19">
        <f>h_col*((FI19+FJ19)/2)/(1-(FI19+FJ19)/2)</f>
        <v/>
      </c>
      <c r="FL19">
        <f>(f_cd*b_col*((3*MIN(FK19,h_col)/7)+(4*MIN(FK19,h_col)/7)*(1-((4*MIN(FK19,h_col)/7)/(FK19-(3*MIN(FK19,h_col)/7)))^2/3))+$D19/2*((MAX(-f_yd,MIN(f_yd,200000*IF(FK19&lt;=h_col,0.0035*(FK19-d_2)/FK19,0.002*(FK19-d_2)/(FK19-3*h_col/7))))-f_cd*(1-(1-MAX(0,MIN(1,IF(FK19&lt;=h_col,0.0035*(FK19-d_2)/FK19,0.002*(FK19-d_2)/(FK19-3*h_col/7))/0.002)))^2))+(MAX(-f_yd,MIN(f_yd,200000*IF(FK19&lt;=h_col,0.0035*(FK19-(h_col-d_2))/FK19,0.002*(FK19-(h_col-d_2))/(FK19-3*h_col/7))))-f_cd*(1-(1-MAX(0,MIN(1,IF(FK19&lt;=h_col,0.0035*(FK19-(h_col-d_2))/FK19,0.002*(FK19-(h_col-d_2))/(FK19-3*h_col/7))/0.002)))^2))))/1000</f>
        <v/>
      </c>
      <c r="FM19">
        <f>IF($FL19&lt;N_Ed-1E-9*MAX(1,N_Ed),(FI19+FJ19)/2,FI19)</f>
        <v/>
      </c>
      <c r="FN19">
        <f>IF($FL19&lt;N_Ed-1E-9*MAX(1,N_Ed),FJ19,(FI19+FJ19)/2)</f>
        <v/>
      </c>
      <c r="FO19">
        <f>h_col*((FM19+FN19)/2)/(1-(FM19+FN19)/2)</f>
        <v/>
      </c>
      <c r="FP19">
        <f>(f_cd*b_col*((3*MIN(FO19,h_col)/7)+(4*MIN(FO19,h_col)/7)*(1-((4*MIN(FO19,h_col)/7)/(FO19-(3*MIN(FO19,h_col)/7)))^2/3))+$D19/2*((MAX(-f_yd,MIN(f_yd,200000*IF(FO19&lt;=h_col,0.0035*(FO19-d_2)/FO19,0.002*(FO19-d_2)/(FO19-3*h_col/7))))-f_cd*(1-(1-MAX(0,MIN(1,IF(FO19&lt;=h_col,0.0035*(FO19-d_2)/FO19,0.002*(FO19-d_2)/(FO19-3*h_col/7))/0.002)))^2))+(MAX(-f_yd,MIN(f_yd,200000*IF(FO19&lt;=h_col,0.0035*(FO19-(h_col-d_2))/FO19,0.002*(FO19-(h_col-d_2))/(FO19-3*h_col/7))))-f_cd*(1-(1-MAX(0,MIN(1,IF(FO19&lt;=h_col,0.0035*(FO19-(h_col-d_2))/FO19,0.002*(FO19-(h_col-d_2))/(FO19-3*h_col/7))/0.002)))^2))))/1000</f>
        <v/>
      </c>
      <c r="FQ19">
        <f>IF($FP19&lt;N_Ed-1E-9*MAX(1,N_Ed),(FM19+FN19)/2,FM19)</f>
        <v/>
      </c>
      <c r="FR19">
        <f>IF($FP19&lt;N_Ed-1E-9*MAX(1,N_Ed),FN19,(FM19+FN19)/2)</f>
        <v/>
      </c>
      <c r="FS19">
        <f>h_col*((FQ19+FR19)/2)/(1-(FQ19+FR19)/2)</f>
        <v/>
      </c>
      <c r="FT19">
        <f>(f_cd*b_col*((3*MIN(FS19,h_col)/7)+(4*MIN(FS19,h_col)/7)*(1-((4*MIN(FS19,h_col)/7)/(FS19-(3*MIN(FS19,h_col)/7)))^2/3))+$D19/2*((MAX(-f_yd,MIN(f_yd,200000*IF(FS19&lt;=h_col,0.0035*(FS19-d_2)/FS19,0.002*(FS19-d_2)/(FS19-3*h_col/7))))-f_cd*(1-(1-MAX(0,MIN(1,IF(FS19&lt;=h_col,0.0035*(FS19-d_2)/FS19,0.002*(FS19-d_2)/(FS19-3*h_col/7))/0.002)))^2))+(MAX(-f_yd,MIN(f_yd,200000*IF(FS19&lt;=h_col,0.0035*(FS19-(h_col-d_2))/FS19,0.002*(FS19-(h_col-d_2))/(FS19-3*h_col/7))))-f_cd*(1-(1-MAX(0,MIN(1,IF(FS19&lt;=h_col,0.0035*(FS19-(h_col-d_2))/FS19,0.002*(FS19-(h_col-d_2))/(FS19-3*h_col/7))/0.002)))^2))))/1000</f>
        <v/>
      </c>
      <c r="FU19">
        <f>IF($FT19&lt;N_Ed-1E-9*MAX(1,N_Ed),(FQ19+FR19)/2,FQ19)</f>
        <v/>
      </c>
      <c r="FV19">
        <f>IF($FT19&lt;N_Ed-1E-9*MAX(1,N_Ed),FR19,(FQ19+FR19)/2)</f>
        <v/>
      </c>
      <c r="FW19">
        <f>h_col*((FU19+FV19)/2)/(1-(FU19+FV19)/2)</f>
        <v/>
      </c>
      <c r="FX19">
        <f>(f_cd*b_col*((3*MIN(FW19,h_col)/7)+(4*MIN(FW19,h_col)/7)*(1-((4*MIN(FW19,h_col)/7)/(FW19-(3*MIN(FW19,h_col)/7)))^2/3))+$D19/2*((MAX(-f_yd,MIN(f_yd,200000*IF(FW19&lt;=h_col,0.0035*(FW19-d_2)/FW19,0.002*(FW19-d_2)/(FW19-3*h_col/7))))-f_cd*(1-(1-MAX(0,MIN(1,IF(FW19&lt;=h_col,0.0035*(FW19-d_2)/FW19,0.002*(FW19-d_2)/(FW19-3*h_col/7))/0.002)))^2))+(MAX(-f_yd,MIN(f_yd,200000*IF(FW19&lt;=h_col,0.0035*(FW19-(h_col-d_2))/FW19,0.002*(FW19-(h_col-d_2))/(FW19-3*h_col/7))))-f_cd*(1-(1-MAX(0,MIN(1,IF(FW19&lt;=h_col,0.0035*(FW19-(h_col-d_2))/FW19,0.002*(FW19-(h_col-d_2))/(FW19-3*h_col/7))/0.002)))^2))))/1000</f>
        <v/>
      </c>
      <c r="FY19">
        <f>IF($FX19&lt;N_Ed-1E-9*MAX(1,N_Ed),(FU19+FV19)/2,FU19)</f>
        <v/>
      </c>
      <c r="FZ19">
        <f>IF($FX19&lt;N_Ed-1E-9*MAX(1,N_Ed),FV19,(FU19+FV19)/2)</f>
        <v/>
      </c>
      <c r="GA19">
        <f>h_col*((FY19+FZ19)/2)/(1-(FY19+FZ19)/2)</f>
        <v/>
      </c>
      <c r="GB19">
        <f>(f_cd*b_col*((3*MIN(GA19,h_col)/7)+(4*MIN(GA19,h_col)/7)*(1-((4*MIN(GA19,h_col)/7)/(GA19-(3*MIN(GA19,h_col)/7)))^2/3))+$D19/2*((MAX(-f_yd,MIN(f_yd,200000*IF(GA19&lt;=h_col,0.0035*(GA19-d_2)/GA19,0.002*(GA19-d_2)/(GA19-3*h_col/7))))-f_cd*(1-(1-MAX(0,MIN(1,IF(GA19&lt;=h_col,0.0035*(GA19-d_2)/GA19,0.002*(GA19-d_2)/(GA19-3*h_col/7))/0.002)))^2))+(MAX(-f_yd,MIN(f_yd,200000*IF(GA19&lt;=h_col,0.0035*(GA19-(h_col-d_2))/GA19,0.002*(GA19-(h_col-d_2))/(GA19-3*h_col/7))))-f_cd*(1-(1-MAX(0,MIN(1,IF(GA19&lt;=h_col,0.0035*(GA19-(h_col-d_2))/GA19,0.002*(GA19-(h_col-d_2))/(GA19-3*h_col/7))/0.002)))^2))))/1000</f>
        <v/>
      </c>
      <c r="GC19">
        <f>IF($GB19&lt;N_Ed-1E-9*MAX(1,N_Ed),(FY19+FZ19)/2,FY19)</f>
        <v/>
      </c>
      <c r="GD19">
        <f>IF($GB19&lt;N_Ed-1E-9*MAX(1,N_Ed),FZ19,(FY19+FZ19)/2)</f>
        <v/>
      </c>
      <c r="GE19">
        <f>h_col*((GC19+GD19)/2)/(1-(GC19+GD19)/2)</f>
        <v/>
      </c>
      <c r="GF19">
        <f>(f_cd*b_col*((3*MIN(GE19,h_col)/7)+(4*MIN(GE19,h_col)/7)*(1-((4*MIN(GE19,h_col)/7)/(GE19-(3*MIN(GE19,h_col)/7)))^2/3))+$D19/2*((MAX(-f_yd,MIN(f_yd,200000*IF(GE19&lt;=h_col,0.0035*(GE19-d_2)/GE19,0.002*(GE19-d_2)/(GE19-3*h_col/7))))-f_cd*(1-(1-MAX(0,MIN(1,IF(GE19&lt;=h_col,0.0035*(GE19-d_2)/GE19,0.002*(GE19-d_2)/(GE19-3*h_col/7))/0.002)))^2))+(MAX(-f_yd,MIN(f_yd,200000*IF(GE19&lt;=h_col,0.0035*(GE19-(h_col-d_2))/GE19,0.002*(GE19-(h_col-d_2))/(GE19-3*h_col/7))))-f_cd*(1-(1-MAX(0,MIN(1,IF(GE19&lt;=h_col,0.0035*(GE19-(h_col-d_2))/GE19,0.002*(GE19-(h_col-d_2))/(GE19-3*h_col/7))/0.002)))^2))))/1000</f>
        <v/>
      </c>
      <c r="GG19">
        <f>IF($GF19&lt;N_Ed-1E-9*MAX(1,N_Ed),(GC19+GD19)/2,GC19)</f>
        <v/>
      </c>
      <c r="GH19">
        <f>IF($GF19&lt;N_Ed-1E-9*MAX(1,N_Ed),GD19,(GC19+GD19)/2)</f>
        <v/>
      </c>
      <c r="GI19">
        <f>h_col*((GG19+GH19)/2)/(1-(GG19+GH19)/2)</f>
        <v/>
      </c>
      <c r="GJ19">
        <f>(f_cd*b_col*((3*MIN(GI19,h_col)/7)+(4*MIN(GI19,h_col)/7)*(1-((4*MIN(GI19,h_col)/7)/(GI19-(3*MIN(GI19,h_col)/7)))^2/3))+$D19/2*((MAX(-f_yd,MIN(f_yd,200000*IF(GI19&lt;=h_col,0.0035*(GI19-d_2)/GI19,0.002*(GI19-d_2)/(GI19-3*h_col/7))))-f_cd*(1-(1-MAX(0,MIN(1,IF(GI19&lt;=h_col,0.0035*(GI19-d_2)/GI19,0.002*(GI19-d_2)/(GI19-3*h_col/7))/0.002)))^2))+(MAX(-f_yd,MIN(f_yd,200000*IF(GI19&lt;=h_col,0.0035*(GI19-(h_col-d_2))/GI19,0.002*(GI19-(h_col-d_2))/(GI19-3*h_col/7))))-f_cd*(1-(1-MAX(0,MIN(1,IF(GI19&lt;=h_col,0.0035*(GI19-(h_col-d_2))/GI19,0.002*(GI19-(h_col-d_2))/(GI19-3*h_col/7))/0.002)))^2))))/1000</f>
        <v/>
      </c>
      <c r="GK19">
        <f>IF($GJ19&lt;N_Ed-1E-9*MAX(1,N_Ed),(GG19+GH19)/2,GG19)</f>
        <v/>
      </c>
      <c r="GL19">
        <f>IF($GJ19&lt;N_Ed-1E-9*MAX(1,N_Ed),GH19,(GG19+GH19)/2)</f>
        <v/>
      </c>
      <c r="GM19">
        <f>h_col*((GK19+GL19)/2)/(1-(GK19+GL19)/2)</f>
        <v/>
      </c>
      <c r="GN19">
        <f>(f_cd*b_col*((3*MIN(GM19,h_col)/7)+(4*MIN(GM19,h_col)/7)*(1-((4*MIN(GM19,h_col)/7)/(GM19-(3*MIN(GM19,h_col)/7)))^2/3))+$D19/2*((MAX(-f_yd,MIN(f_yd,200000*IF(GM19&lt;=h_col,0.0035*(GM19-d_2)/GM19,0.002*(GM19-d_2)/(GM19-3*h_col/7))))-f_cd*(1-(1-MAX(0,MIN(1,IF(GM19&lt;=h_col,0.0035*(GM19-d_2)/GM19,0.002*(GM19-d_2)/(GM19-3*h_col/7))/0.002)))^2))+(MAX(-f_yd,MIN(f_yd,200000*IF(GM19&lt;=h_col,0.0035*(GM19-(h_col-d_2))/GM19,0.002*(GM19-(h_col-d_2))/(GM19-3*h_col/7))))-f_cd*(1-(1-MAX(0,MIN(1,IF(GM19&lt;=h_col,0.0035*(GM19-(h_col-d_2))/GM19,0.002*(GM19-(h_col-d_2))/(GM19-3*h_col/7))/0.002)))^2))))/1000</f>
        <v/>
      </c>
      <c r="GO19">
        <f>IF($GN19&lt;N_Ed-1E-9*MAX(1,N_Ed),(GK19+GL19)/2,GK19)</f>
        <v/>
      </c>
      <c r="GP19">
        <f>IF($GN19&lt;N_Ed-1E-9*MAX(1,N_Ed),GL19,(GK19+GL19)/2)</f>
        <v/>
      </c>
      <c r="GQ19">
        <f>h_col*((GO19+GP19)/2)/(1-(GO19+GP19)/2)</f>
        <v/>
      </c>
      <c r="GR19">
        <f>(f_cd*b_col*((3*MIN(GQ19,h_col)/7)+(4*MIN(GQ19,h_col)/7)*(1-((4*MIN(GQ19,h_col)/7)/(GQ19-(3*MIN(GQ19,h_col)/7)))^2/3))+$D19/2*((MAX(-f_yd,MIN(f_yd,200000*IF(GQ19&lt;=h_col,0.0035*(GQ19-d_2)/GQ19,0.002*(GQ19-d_2)/(GQ19-3*h_col/7))))-f_cd*(1-(1-MAX(0,MIN(1,IF(GQ19&lt;=h_col,0.0035*(GQ19-d_2)/GQ19,0.002*(GQ19-d_2)/(GQ19-3*h_col/7))/0.002)))^2))+(MAX(-f_yd,MIN(f_yd,200000*IF(GQ19&lt;=h_col,0.0035*(GQ19-(h_col-d_2))/GQ19,0.002*(GQ19-(h_col-d_2))/(GQ19-3*h_col/7))))-f_cd*(1-(1-MAX(0,MIN(1,IF(GQ19&lt;=h_col,0.0035*(GQ19-(h_col-d_2))/GQ19,0.002*(GQ19-(h_col-d_2))/(GQ19-3*h_col/7))/0.002)))^2))))/1000</f>
        <v/>
      </c>
      <c r="GS19">
        <f>IF($GR19&lt;N_Ed-1E-9*MAX(1,N_Ed),(GO19+GP19)/2,GO19)</f>
        <v/>
      </c>
      <c r="GT19">
        <f>IF($GR19&lt;N_Ed-1E-9*MAX(1,N_Ed),GP19,(GO19+GP19)/2)</f>
        <v/>
      </c>
      <c r="GU19">
        <f>h_col*((GS19+GT19)/2)/(1-(GS19+GT19)/2)</f>
        <v/>
      </c>
      <c r="GV19">
        <f>(f_cd*b_col*((3*MIN(GU19,h_col)/7)+(4*MIN(GU19,h_col)/7)*(1-((4*MIN(GU19,h_col)/7)/(GU19-(3*MIN(GU19,h_col)/7)))^2/3))+$D19/2*((MAX(-f_yd,MIN(f_yd,200000*IF(GU19&lt;=h_col,0.0035*(GU19-d_2)/GU19,0.002*(GU19-d_2)/(GU19-3*h_col/7))))-f_cd*(1-(1-MAX(0,MIN(1,IF(GU19&lt;=h_col,0.0035*(GU19-d_2)/GU19,0.002*(GU19-d_2)/(GU19-3*h_col/7))/0.002)))^2))+(MAX(-f_yd,MIN(f_yd,200000*IF(GU19&lt;=h_col,0.0035*(GU19-(h_col-d_2))/GU19,0.002*(GU19-(h_col-d_2))/(GU19-3*h_col/7))))-f_cd*(1-(1-MAX(0,MIN(1,IF(GU19&lt;=h_col,0.0035*(GU19-(h_col-d_2))/GU19,0.002*(GU19-(h_col-d_2))/(GU19-3*h_col/7))/0.002)))^2))))/1000</f>
        <v/>
      </c>
      <c r="GW19">
        <f>GU19</f>
        <v/>
      </c>
      <c r="GX19">
        <f>(f_cd*b_col*((3*MIN(GW19,h_col)/7)+(4*MIN(GW19,h_col)/7)*(1-((4*MIN(GW19,h_col)/7)/(GW19-(3*MIN(GW19,h_col)/7)))^2/3))+$D19/2*((MAX(-f_yd,MIN(f_yd,200000*IF(GW19&lt;=h_col,0.0035*(GW19-d_2)/GW19,0.002*(GW19-d_2)/(GW19-3*h_col/7))))-f_cd*(1-(1-MAX(0,MIN(1,IF(GW19&lt;=h_col,0.0035*(GW19-d_2)/GW19,0.002*(GW19-d_2)/(GW19-3*h_col/7))/0.002)))^2))+(MAX(-f_yd,MIN(f_yd,200000*IF(GW19&lt;=h_col,0.0035*(GW19-(h_col-d_2))/GW19,0.002*(GW19-(h_col-d_2))/(GW19-3*h_col/7))))-f_cd*(1-(1-MAX(0,MIN(1,IF(GW19&lt;=h_col,0.0035*(GW19-(h_col-d_2))/GW19,0.002*(GW19-(h_col-d_2))/(GW19-3*h_col/7))/0.002)))^2))))/1000</f>
        <v/>
      </c>
      <c r="GY19">
        <f>(f_cd*b_col*((3*MIN(GW19,h_col)/7)*(h_col/2-(3*MIN(GW19,h_col)/7)/2)+(4*MIN(GW19,h_col)/7)*((h_col/2-(3*MIN(GW19,h_col)/7))*(1-((4*MIN(GW19,h_col)/7)/(GW19-(3*MIN(GW19,h_col)/7)))^2/3)-(4*MIN(GW19,h_col)/7)*(0.5-((4*MIN(GW19,h_col)/7)/(GW19-(3*MIN(GW19,h_col)/7)))^2/4)))+$D19/2*((MAX(-f_yd,MIN(f_yd,200000*IF(GW19&lt;=h_col,0.0035*(GW19-d_2)/GW19,0.002*(GW19-d_2)/(GW19-3*h_col/7))))-f_cd*(1-(1-MAX(0,MIN(1,IF(GW19&lt;=h_col,0.0035*(GW19-d_2)/GW19,0.002*(GW19-d_2)/(GW19-3*h_col/7))/0.002)))^2))-(MAX(-f_yd,MIN(f_yd,200000*IF(GW19&lt;=h_col,0.0035*(GW19-(h_col-d_2))/GW19,0.002*(GW19-(h_col-d_2))/(GW19-3*h_col/7))))-f_cd*(1-(1-MAX(0,MIN(1,IF(GW19&lt;=h_col,0.0035*(GW19-(h_col-d_2))/GW19,0.002*(GW19-(h_col-d_2))/(GW19-3*h_col/7))/0.002)))^2)))*(h_col/2-d_2))/1E6</f>
        <v/>
      </c>
      <c r="GZ19">
        <f>GX19&gt;=N_Ed-1E-6*MAX(1,N_Ed)</f>
        <v/>
      </c>
      <c r="HA19">
        <f>IF(GZ19,GY19,-1E9)</f>
        <v/>
      </c>
    </row>
    <row r="20">
      <c r="A20" t="n">
        <v>15</v>
      </c>
      <c r="B20">
        <f>IF($HA19&gt;=M_d,$B19,$D19)</f>
        <v/>
      </c>
      <c r="C20">
        <f>IF($HA19&gt;=M_d,$D19,$C19)</f>
        <v/>
      </c>
      <c r="D20">
        <f>($B20+$C20)/2</f>
        <v/>
      </c>
      <c r="E20" t="n">
        <v>0</v>
      </c>
      <c r="F20">
        <f>1-1E-12</f>
        <v/>
      </c>
      <c r="G20">
        <f>h_col*((E20+F20)/2)/(1-(E20+F20)/2)</f>
        <v/>
      </c>
      <c r="H20">
        <f>(f_cd*b_col*((3*MIN(G20,h_col)/7)+(4*MIN(G20,h_col)/7)*(1-((4*MIN(G20,h_col)/7)/(G20-(3*MIN(G20,h_col)/7)))^2/3))+$D20/2*((MAX(-f_yd,MIN(f_yd,200000*IF(G20&lt;=h_col,0.0035*(G20-d_2)/G20,0.002*(G20-d_2)/(G20-3*h_col/7))))-f_cd*(1-(1-MAX(0,MIN(1,IF(G20&lt;=h_col,0.0035*(G20-d_2)/G20,0.002*(G20-d_2)/(G20-3*h_col/7))/0.002)))^2))+(MAX(-f_yd,MIN(f_yd,200000*IF(G20&lt;=h_col,0.0035*(G20-(h_col-d_2))/G20,0.002*(G20-(h_col-d_2))/(G20-3*h_col/7))))-f_cd*(1-(1-MAX(0,MIN(1,IF(G20&lt;=h_col,0.0035*(G20-(h_col-d_2))/G20,0.002*(G20-(h_col-d_2))/(G20-3*h_col/7))/0.002)))^2))))/1000</f>
        <v/>
      </c>
      <c r="I20">
        <f>IF($H20&lt;N_Ed-1E-9*MAX(1,N_Ed),(E20+F20)/2,E20)</f>
        <v/>
      </c>
      <c r="J20">
        <f>IF($H20&lt;N_Ed-1E-9*MAX(1,N_Ed),F20,(E20+F20)/2)</f>
        <v/>
      </c>
      <c r="K20">
        <f>h_col*((I20+J20)/2)/(1-(I20+J20)/2)</f>
        <v/>
      </c>
      <c r="L20">
        <f>(f_cd*b_col*((3*MIN(K20,h_col)/7)+(4*MIN(K20,h_col)/7)*(1-((4*MIN(K20,h_col)/7)/(K20-(3*MIN(K20,h_col)/7)))^2/3))+$D20/2*((MAX(-f_yd,MIN(f_yd,200000*IF(K20&lt;=h_col,0.0035*(K20-d_2)/K20,0.002*(K20-d_2)/(K20-3*h_col/7))))-f_cd*(1-(1-MAX(0,MIN(1,IF(K20&lt;=h_col,0.0035*(K20-d_2)/K20,0.002*(K20-d_2)/(K20-3*h_col/7))/0.002)))^2))+(MAX(-f_yd,MIN(f_yd,200000*IF(K20&lt;=h_col,0.0035*(K20-(h_col-d_2))/K20,0.002*(K20-(h_col-d_2))/(K20-3*h_col/7))))-f_cd*(1-(1-MAX(0,MIN(1,IF(K20&lt;=h_col,0.0035*(K20-(h_col-d_2))/K20,0.002*(K20-(h_col-d_2))/(K20-3*h_col/7))/0.002)))^2))))/1000</f>
        <v/>
      </c>
      <c r="M20">
        <f>IF($L20&lt;N_Ed-1E-9*MAX(1,N_Ed),(I20+J20)/2,I20)</f>
        <v/>
      </c>
      <c r="N20">
        <f>IF($L20&lt;N_Ed-1E-9*MAX(1,N_Ed),J20,(I20+J20)/2)</f>
        <v/>
      </c>
      <c r="O20">
        <f>h_col*((M20+N20)/2)/(1-(M20+N20)/2)</f>
        <v/>
      </c>
      <c r="P20">
        <f>(f_cd*b_col*((3*MIN(O20,h_col)/7)+(4*MIN(O20,h_col)/7)*(1-((4*MIN(O20,h_col)/7)/(O20-(3*MIN(O20,h_col)/7)))^2/3))+$D20/2*((MAX(-f_yd,MIN(f_yd,200000*IF(O20&lt;=h_col,0.0035*(O20-d_2)/O20,0.002*(O20-d_2)/(O20-3*h_col/7))))-f_cd*(1-(1-MAX(0,MIN(1,IF(O20&lt;=h_col,0.0035*(O20-d_2)/O20,0.002*(O20-d_2)/(O20-3*h_col/7))/0.002)))^2))+(MAX(-f_yd,MIN(f_yd,200000*IF(O20&lt;=h_col,0.0035*(O20-(h_col-d_2))/O20,0.002*(O20-(h_col-d_2))/(O20-3*h_col/7))))-f_cd*(1-(1-MAX(0,MIN(1,IF(O20&lt;=h_col,0.0035*(O20-(h_col-d_2))/O20,0.002*(O20-(h_col-d_2))/(O20-3*h_col/7))/0.002)))^2))))/1000</f>
        <v/>
      </c>
      <c r="Q20">
        <f>IF($P20&lt;N_Ed-1E-9*MAX(1,N_Ed),(M20+N20)/2,M20)</f>
        <v/>
      </c>
      <c r="R20">
        <f>IF($P20&lt;N_Ed-1E-9*MAX(1,N_Ed),N20,(M20+N20)/2)</f>
        <v/>
      </c>
      <c r="S20">
        <f>h_col*((Q20+R20)/2)/(1-(Q20+R20)/2)</f>
        <v/>
      </c>
      <c r="T20">
        <f>(f_cd*b_col*((3*MIN(S20,h_col)/7)+(4*MIN(S20,h_col)/7)*(1-((4*MIN(S20,h_col)/7)/(S20-(3*MIN(S20,h_col)/7)))^2/3))+$D20/2*((MAX(-f_yd,MIN(f_yd,200000*IF(S20&lt;=h_col,0.0035*(S20-d_2)/S20,0.002*(S20-d_2)/(S20-3*h_col/7))))-f_cd*(1-(1-MAX(0,MIN(1,IF(S20&lt;=h_col,0.0035*(S20-d_2)/S20,0.002*(S20-d_2)/(S20-3*h_col/7))/0.002)))^2))+(MAX(-f_yd,MIN(f_yd,200000*IF(S20&lt;=h_col,0.0035*(S20-(h_col-d_2))/S20,0.002*(S20-(h_col-d_2))/(S20-3*h_col/7))))-f_cd*(1-(1-MAX(0,MIN(1,IF(S20&lt;=h_col,0.0035*(S20-(h_col-d_2))/S20,0.002*(S20-(h_col-d_2))/(S20-3*h_col/7))/0.002)))^2))))/1000</f>
        <v/>
      </c>
      <c r="U20">
        <f>IF($T20&lt;N_Ed-1E-9*MAX(1,N_Ed),(Q20+R20)/2,Q20)</f>
        <v/>
      </c>
      <c r="V20">
        <f>IF($T20&lt;N_Ed-1E-9*MAX(1,N_Ed),R20,(Q20+R20)/2)</f>
        <v/>
      </c>
      <c r="W20">
        <f>h_col*((U20+V20)/2)/(1-(U20+V20)/2)</f>
        <v/>
      </c>
      <c r="X20">
        <f>(f_cd*b_col*((3*MIN(W20,h_col)/7)+(4*MIN(W20,h_col)/7)*(1-((4*MIN(W20,h_col)/7)/(W20-(3*MIN(W20,h_col)/7)))^2/3))+$D20/2*((MAX(-f_yd,MIN(f_yd,200000*IF(W20&lt;=h_col,0.0035*(W20-d_2)/W20,0.002*(W20-d_2)/(W20-3*h_col/7))))-f_cd*(1-(1-MAX(0,MIN(1,IF(W20&lt;=h_col,0.0035*(W20-d_2)/W20,0.002*(W20-d_2)/(W20-3*h_col/7))/0.002)))^2))+(MAX(-f_yd,MIN(f_yd,200000*IF(W20&lt;=h_col,0.0035*(W20-(h_col-d_2))/W20,0.002*(W20-(h_col-d_2))/(W20-3*h_col/7))))-f_cd*(1-(1-MAX(0,MIN(1,IF(W20&lt;=h_col,0.0035*(W20-(h_col-d_2))/W20,0.002*(W20-(h_col-d_2))/(W20-3*h_col/7))/0.002)))^2))))/1000</f>
        <v/>
      </c>
      <c r="Y20">
        <f>IF($X20&lt;N_Ed-1E-9*MAX(1,N_Ed),(U20+V20)/2,U20)</f>
        <v/>
      </c>
      <c r="Z20">
        <f>IF($X20&lt;N_Ed-1E-9*MAX(1,N_Ed),V20,(U20+V20)/2)</f>
        <v/>
      </c>
      <c r="AA20">
        <f>h_col*((Y20+Z20)/2)/(1-(Y20+Z20)/2)</f>
        <v/>
      </c>
      <c r="AB20">
        <f>(f_cd*b_col*((3*MIN(AA20,h_col)/7)+(4*MIN(AA20,h_col)/7)*(1-((4*MIN(AA20,h_col)/7)/(AA20-(3*MIN(AA20,h_col)/7)))^2/3))+$D20/2*((MAX(-f_yd,MIN(f_yd,200000*IF(AA20&lt;=h_col,0.0035*(AA20-d_2)/AA20,0.002*(AA20-d_2)/(AA20-3*h_col/7))))-f_cd*(1-(1-MAX(0,MIN(1,IF(AA20&lt;=h_col,0.0035*(AA20-d_2)/AA20,0.002*(AA20-d_2)/(AA20-3*h_col/7))/0.002)))^2))+(MAX(-f_yd,MIN(f_yd,200000*IF(AA20&lt;=h_col,0.0035*(AA20-(h_col-d_2))/AA20,0.002*(AA20-(h_col-d_2))/(AA20-3*h_col/7))))-f_cd*(1-(1-MAX(0,MIN(1,IF(AA20&lt;=h_col,0.0035*(AA20-(h_col-d_2))/AA20,0.002*(AA20-(h_col-d_2))/(AA20-3*h_col/7))/0.002)))^2))))/1000</f>
        <v/>
      </c>
      <c r="AC20">
        <f>IF($AB20&lt;N_Ed-1E-9*MAX(1,N_Ed),(Y20+Z20)/2,Y20)</f>
        <v/>
      </c>
      <c r="AD20">
        <f>IF($AB20&lt;N_Ed-1E-9*MAX(1,N_Ed),Z20,(Y20+Z20)/2)</f>
        <v/>
      </c>
      <c r="AE20">
        <f>h_col*((AC20+AD20)/2)/(1-(AC20+AD20)/2)</f>
        <v/>
      </c>
      <c r="AF20">
        <f>(f_cd*b_col*((3*MIN(AE20,h_col)/7)+(4*MIN(AE20,h_col)/7)*(1-((4*MIN(AE20,h_col)/7)/(AE20-(3*MIN(AE20,h_col)/7)))^2/3))+$D20/2*((MAX(-f_yd,MIN(f_yd,200000*IF(AE20&lt;=h_col,0.0035*(AE20-d_2)/AE20,0.002*(AE20-d_2)/(AE20-3*h_col/7))))-f_cd*(1-(1-MAX(0,MIN(1,IF(AE20&lt;=h_col,0.0035*(AE20-d_2)/AE20,0.002*(AE20-d_2)/(AE20-3*h_col/7))/0.002)))^2))+(MAX(-f_yd,MIN(f_yd,200000*IF(AE20&lt;=h_col,0.0035*(AE20-(h_col-d_2))/AE20,0.002*(AE20-(h_col-d_2))/(AE20-3*h_col/7))))-f_cd*(1-(1-MAX(0,MIN(1,IF(AE20&lt;=h_col,0.0035*(AE20-(h_col-d_2))/AE20,0.002*(AE20-(h_col-d_2))/(AE20-3*h_col/7))/0.002)))^2))))/1000</f>
        <v/>
      </c>
      <c r="AG20">
        <f>IF($AF20&lt;N_Ed-1E-9*MAX(1,N_Ed),(AC20+AD20)/2,AC20)</f>
        <v/>
      </c>
      <c r="AH20">
        <f>IF($AF20&lt;N_Ed-1E-9*MAX(1,N_Ed),AD20,(AC20+AD20)/2)</f>
        <v/>
      </c>
      <c r="AI20">
        <f>h_col*((AG20+AH20)/2)/(1-(AG20+AH20)/2)</f>
        <v/>
      </c>
      <c r="AJ20">
        <f>(f_cd*b_col*((3*MIN(AI20,h_col)/7)+(4*MIN(AI20,h_col)/7)*(1-((4*MIN(AI20,h_col)/7)/(AI20-(3*MIN(AI20,h_col)/7)))^2/3))+$D20/2*((MAX(-f_yd,MIN(f_yd,200000*IF(AI20&lt;=h_col,0.0035*(AI20-d_2)/AI20,0.002*(AI20-d_2)/(AI20-3*h_col/7))))-f_cd*(1-(1-MAX(0,MIN(1,IF(AI20&lt;=h_col,0.0035*(AI20-d_2)/AI20,0.002*(AI20-d_2)/(AI20-3*h_col/7))/0.002)))^2))+(MAX(-f_yd,MIN(f_yd,200000*IF(AI20&lt;=h_col,0.0035*(AI20-(h_col-d_2))/AI20,0.002*(AI20-(h_col-d_2))/(AI20-3*h_col/7))))-f_cd*(1-(1-MAX(0,MIN(1,IF(AI20&lt;=h_col,0.0035*(AI20-(h_col-d_2))/AI20,0.002*(AI20-(h_col-d_2))/(AI20-3*h_col/7))/0.002)))^2))))/1000</f>
        <v/>
      </c>
      <c r="AK20">
        <f>IF($AJ20&lt;N_Ed-1E-9*MAX(1,N_Ed),(AG20+AH20)/2,AG20)</f>
        <v/>
      </c>
      <c r="AL20">
        <f>IF($AJ20&lt;N_Ed-1E-9*MAX(1,N_Ed),AH20,(AG20+AH20)/2)</f>
        <v/>
      </c>
      <c r="AM20">
        <f>h_col*((AK20+AL20)/2)/(1-(AK20+AL20)/2)</f>
        <v/>
      </c>
      <c r="AN20">
        <f>(f_cd*b_col*((3*MIN(AM20,h_col)/7)+(4*MIN(AM20,h_col)/7)*(1-((4*MIN(AM20,h_col)/7)/(AM20-(3*MIN(AM20,h_col)/7)))^2/3))+$D20/2*((MAX(-f_yd,MIN(f_yd,200000*IF(AM20&lt;=h_col,0.0035*(AM20-d_2)/AM20,0.002*(AM20-d_2)/(AM20-3*h_col/7))))-f_cd*(1-(1-MAX(0,MIN(1,IF(AM20&lt;=h_col,0.0035*(AM20-d_2)/AM20,0.002*(AM20-d_2)/(AM20-3*h_col/7))/0.002)))^2))+(MAX(-f_yd,MIN(f_yd,200000*IF(AM20&lt;=h_col,0.0035*(AM20-(h_col-d_2))/AM20,0.002*(AM20-(h_col-d_2))/(AM20-3*h_col/7))))-f_cd*(1-(1-MAX(0,MIN(1,IF(AM20&lt;=h_col,0.0035*(AM20-(h_col-d_2))/AM20,0.002*(AM20-(h_col-d_2))/(AM20-3*h_col/7))/0.002)))^2))))/1000</f>
        <v/>
      </c>
      <c r="AO20">
        <f>IF($AN20&lt;N_Ed-1E-9*MAX(1,N_Ed),(AK20+AL20)/2,AK20)</f>
        <v/>
      </c>
      <c r="AP20">
        <f>IF($AN20&lt;N_Ed-1E-9*MAX(1,N_Ed),AL20,(AK20+AL20)/2)</f>
        <v/>
      </c>
      <c r="AQ20">
        <f>h_col*((AO20+AP20)/2)/(1-(AO20+AP20)/2)</f>
        <v/>
      </c>
      <c r="AR20">
        <f>(f_cd*b_col*((3*MIN(AQ20,h_col)/7)+(4*MIN(AQ20,h_col)/7)*(1-((4*MIN(AQ20,h_col)/7)/(AQ20-(3*MIN(AQ20,h_col)/7)))^2/3))+$D20/2*((MAX(-f_yd,MIN(f_yd,200000*IF(AQ20&lt;=h_col,0.0035*(AQ20-d_2)/AQ20,0.002*(AQ20-d_2)/(AQ20-3*h_col/7))))-f_cd*(1-(1-MAX(0,MIN(1,IF(AQ20&lt;=h_col,0.0035*(AQ20-d_2)/AQ20,0.002*(AQ20-d_2)/(AQ20-3*h_col/7))/0.002)))^2))+(MAX(-f_yd,MIN(f_yd,200000*IF(AQ20&lt;=h_col,0.0035*(AQ20-(h_col-d_2))/AQ20,0.002*(AQ20-(h_col-d_2))/(AQ20-3*h_col/7))))-f_cd*(1-(1-MAX(0,MIN(1,IF(AQ20&lt;=h_col,0.0035*(AQ20-(h_col-d_2))/AQ20,0.002*(AQ20-(h_col-d_2))/(AQ20-3*h_col/7))/0.002)))^2))))/1000</f>
        <v/>
      </c>
      <c r="AS20">
        <f>IF($AR20&lt;N_Ed-1E-9*MAX(1,N_Ed),(AO20+AP20)/2,AO20)</f>
        <v/>
      </c>
      <c r="AT20">
        <f>IF($AR20&lt;N_Ed-1E-9*MAX(1,N_Ed),AP20,(AO20+AP20)/2)</f>
        <v/>
      </c>
      <c r="AU20">
        <f>h_col*((AS20+AT20)/2)/(1-(AS20+AT20)/2)</f>
        <v/>
      </c>
      <c r="AV20">
        <f>(f_cd*b_col*((3*MIN(AU20,h_col)/7)+(4*MIN(AU20,h_col)/7)*(1-((4*MIN(AU20,h_col)/7)/(AU20-(3*MIN(AU20,h_col)/7)))^2/3))+$D20/2*((MAX(-f_yd,MIN(f_yd,200000*IF(AU20&lt;=h_col,0.0035*(AU20-d_2)/AU20,0.002*(AU20-d_2)/(AU20-3*h_col/7))))-f_cd*(1-(1-MAX(0,MIN(1,IF(AU20&lt;=h_col,0.0035*(AU20-d_2)/AU20,0.002*(AU20-d_2)/(AU20-3*h_col/7))/0.002)))^2))+(MAX(-f_yd,MIN(f_yd,200000*IF(AU20&lt;=h_col,0.0035*(AU20-(h_col-d_2))/AU20,0.002*(AU20-(h_col-d_2))/(AU20-3*h_col/7))))-f_cd*(1-(1-MAX(0,MIN(1,IF(AU20&lt;=h_col,0.0035*(AU20-(h_col-d_2))/AU20,0.002*(AU20-(h_col-d_2))/(AU20-3*h_col/7))/0.002)))^2))))/1000</f>
        <v/>
      </c>
      <c r="AW20">
        <f>IF($AV20&lt;N_Ed-1E-9*MAX(1,N_Ed),(AS20+AT20)/2,AS20)</f>
        <v/>
      </c>
      <c r="AX20">
        <f>IF($AV20&lt;N_Ed-1E-9*MAX(1,N_Ed),AT20,(AS20+AT20)/2)</f>
        <v/>
      </c>
      <c r="AY20">
        <f>h_col*((AW20+AX20)/2)/(1-(AW20+AX20)/2)</f>
        <v/>
      </c>
      <c r="AZ20">
        <f>(f_cd*b_col*((3*MIN(AY20,h_col)/7)+(4*MIN(AY20,h_col)/7)*(1-((4*MIN(AY20,h_col)/7)/(AY20-(3*MIN(AY20,h_col)/7)))^2/3))+$D20/2*((MAX(-f_yd,MIN(f_yd,200000*IF(AY20&lt;=h_col,0.0035*(AY20-d_2)/AY20,0.002*(AY20-d_2)/(AY20-3*h_col/7))))-f_cd*(1-(1-MAX(0,MIN(1,IF(AY20&lt;=h_col,0.0035*(AY20-d_2)/AY20,0.002*(AY20-d_2)/(AY20-3*h_col/7))/0.002)))^2))+(MAX(-f_yd,MIN(f_yd,200000*IF(AY20&lt;=h_col,0.0035*(AY20-(h_col-d_2))/AY20,0.002*(AY20-(h_col-d_2))/(AY20-3*h_col/7))))-f_cd*(1-(1-MAX(0,MIN(1,IF(AY20&lt;=h_col,0.0035*(AY20-(h_col-d_2))/AY20,0.002*(AY20-(h_col-d_2))/(AY20-3*h_col/7))/0.002)))^2))))/1000</f>
        <v/>
      </c>
      <c r="BA20">
        <f>IF($AZ20&lt;N_Ed-1E-9*MAX(1,N_Ed),(AW20+AX20)/2,AW20)</f>
        <v/>
      </c>
      <c r="BB20">
        <f>IF($AZ20&lt;N_Ed-1E-9*MAX(1,N_Ed),AX20,(AW20+AX20)/2)</f>
        <v/>
      </c>
      <c r="BC20">
        <f>h_col*((BA20+BB20)/2)/(1-(BA20+BB20)/2)</f>
        <v/>
      </c>
      <c r="BD20">
        <f>(f_cd*b_col*((3*MIN(BC20,h_col)/7)+(4*MIN(BC20,h_col)/7)*(1-((4*MIN(BC20,h_col)/7)/(BC20-(3*MIN(BC20,h_col)/7)))^2/3))+$D20/2*((MAX(-f_yd,MIN(f_yd,200000*IF(BC20&lt;=h_col,0.0035*(BC20-d_2)/BC20,0.002*(BC20-d_2)/(BC20-3*h_col/7))))-f_cd*(1-(1-MAX(0,MIN(1,IF(BC20&lt;=h_col,0.0035*(BC20-d_2)/BC20,0.002*(BC20-d_2)/(BC20-3*h_col/7))/0.002)))^2))+(MAX(-f_yd,MIN(f_yd,200000*IF(BC20&lt;=h_col,0.0035*(BC20-(h_col-d_2))/BC20,0.002*(BC20-(h_col-d_2))/(BC20-3*h_col/7))))-f_cd*(1-(1-MAX(0,MIN(1,IF(BC20&lt;=h_col,0.0035*(BC20-(h_col-d_2))/BC20,0.002*(BC20-(h_col-d_2))/(BC20-3*h_col/7))/0.002)))^2))))/1000</f>
        <v/>
      </c>
      <c r="BE20">
        <f>IF($BD20&lt;N_Ed-1E-9*MAX(1,N_Ed),(BA20+BB20)/2,BA20)</f>
        <v/>
      </c>
      <c r="BF20">
        <f>IF($BD20&lt;N_Ed-1E-9*MAX(1,N_Ed),BB20,(BA20+BB20)/2)</f>
        <v/>
      </c>
      <c r="BG20">
        <f>h_col*((BE20+BF20)/2)/(1-(BE20+BF20)/2)</f>
        <v/>
      </c>
      <c r="BH20">
        <f>(f_cd*b_col*((3*MIN(BG20,h_col)/7)+(4*MIN(BG20,h_col)/7)*(1-((4*MIN(BG20,h_col)/7)/(BG20-(3*MIN(BG20,h_col)/7)))^2/3))+$D20/2*((MAX(-f_yd,MIN(f_yd,200000*IF(BG20&lt;=h_col,0.0035*(BG20-d_2)/BG20,0.002*(BG20-d_2)/(BG20-3*h_col/7))))-f_cd*(1-(1-MAX(0,MIN(1,IF(BG20&lt;=h_col,0.0035*(BG20-d_2)/BG20,0.002*(BG20-d_2)/(BG20-3*h_col/7))/0.002)))^2))+(MAX(-f_yd,MIN(f_yd,200000*IF(BG20&lt;=h_col,0.0035*(BG20-(h_col-d_2))/BG20,0.002*(BG20-(h_col-d_2))/(BG20-3*h_col/7))))-f_cd*(1-(1-MAX(0,MIN(1,IF(BG20&lt;=h_col,0.0035*(BG20-(h_col-d_2))/BG20,0.002*(BG20-(h_col-d_2))/(BG20-3*h_col/7))/0.002)))^2))))/1000</f>
        <v/>
      </c>
      <c r="BI20">
        <f>IF($BH20&lt;N_Ed-1E-9*MAX(1,N_Ed),(BE20+BF20)/2,BE20)</f>
        <v/>
      </c>
      <c r="BJ20">
        <f>IF($BH20&lt;N_Ed-1E-9*MAX(1,N_Ed),BF20,(BE20+BF20)/2)</f>
        <v/>
      </c>
      <c r="BK20">
        <f>h_col*((BI20+BJ20)/2)/(1-(BI20+BJ20)/2)</f>
        <v/>
      </c>
      <c r="BL20">
        <f>(f_cd*b_col*((3*MIN(BK20,h_col)/7)+(4*MIN(BK20,h_col)/7)*(1-((4*MIN(BK20,h_col)/7)/(BK20-(3*MIN(BK20,h_col)/7)))^2/3))+$D20/2*((MAX(-f_yd,MIN(f_yd,200000*IF(BK20&lt;=h_col,0.0035*(BK20-d_2)/BK20,0.002*(BK20-d_2)/(BK20-3*h_col/7))))-f_cd*(1-(1-MAX(0,MIN(1,IF(BK20&lt;=h_col,0.0035*(BK20-d_2)/BK20,0.002*(BK20-d_2)/(BK20-3*h_col/7))/0.002)))^2))+(MAX(-f_yd,MIN(f_yd,200000*IF(BK20&lt;=h_col,0.0035*(BK20-(h_col-d_2))/BK20,0.002*(BK20-(h_col-d_2))/(BK20-3*h_col/7))))-f_cd*(1-(1-MAX(0,MIN(1,IF(BK20&lt;=h_col,0.0035*(BK20-(h_col-d_2))/BK20,0.002*(BK20-(h_col-d_2))/(BK20-3*h_col/7))/0.002)))^2))))/1000</f>
        <v/>
      </c>
      <c r="BM20">
        <f>IF($BL20&lt;N_Ed-1E-9*MAX(1,N_Ed),(BI20+BJ20)/2,BI20)</f>
        <v/>
      </c>
      <c r="BN20">
        <f>IF($BL20&lt;N_Ed-1E-9*MAX(1,N_Ed),BJ20,(BI20+BJ20)/2)</f>
        <v/>
      </c>
      <c r="BO20">
        <f>h_col*((BM20+BN20)/2)/(1-(BM20+BN20)/2)</f>
        <v/>
      </c>
      <c r="BP20">
        <f>(f_cd*b_col*((3*MIN(BO20,h_col)/7)+(4*MIN(BO20,h_col)/7)*(1-((4*MIN(BO20,h_col)/7)/(BO20-(3*MIN(BO20,h_col)/7)))^2/3))+$D20/2*((MAX(-f_yd,MIN(f_yd,200000*IF(BO20&lt;=h_col,0.0035*(BO20-d_2)/BO20,0.002*(BO20-d_2)/(BO20-3*h_col/7))))-f_cd*(1-(1-MAX(0,MIN(1,IF(BO20&lt;=h_col,0.0035*(BO20-d_2)/BO20,0.002*(BO20-d_2)/(BO20-3*h_col/7))/0.002)))^2))+(MAX(-f_yd,MIN(f_yd,200000*IF(BO20&lt;=h_col,0.0035*(BO20-(h_col-d_2))/BO20,0.002*(BO20-(h_col-d_2))/(BO20-3*h_col/7))))-f_cd*(1-(1-MAX(0,MIN(1,IF(BO20&lt;=h_col,0.0035*(BO20-(h_col-d_2))/BO20,0.002*(BO20-(h_col-d_2))/(BO20-3*h_col/7))/0.002)))^2))))/1000</f>
        <v/>
      </c>
      <c r="BQ20">
        <f>IF($BP20&lt;N_Ed-1E-9*MAX(1,N_Ed),(BM20+BN20)/2,BM20)</f>
        <v/>
      </c>
      <c r="BR20">
        <f>IF($BP20&lt;N_Ed-1E-9*MAX(1,N_Ed),BN20,(BM20+BN20)/2)</f>
        <v/>
      </c>
      <c r="BS20">
        <f>h_col*((BQ20+BR20)/2)/(1-(BQ20+BR20)/2)</f>
        <v/>
      </c>
      <c r="BT20">
        <f>(f_cd*b_col*((3*MIN(BS20,h_col)/7)+(4*MIN(BS20,h_col)/7)*(1-((4*MIN(BS20,h_col)/7)/(BS20-(3*MIN(BS20,h_col)/7)))^2/3))+$D20/2*((MAX(-f_yd,MIN(f_yd,200000*IF(BS20&lt;=h_col,0.0035*(BS20-d_2)/BS20,0.002*(BS20-d_2)/(BS20-3*h_col/7))))-f_cd*(1-(1-MAX(0,MIN(1,IF(BS20&lt;=h_col,0.0035*(BS20-d_2)/BS20,0.002*(BS20-d_2)/(BS20-3*h_col/7))/0.002)))^2))+(MAX(-f_yd,MIN(f_yd,200000*IF(BS20&lt;=h_col,0.0035*(BS20-(h_col-d_2))/BS20,0.002*(BS20-(h_col-d_2))/(BS20-3*h_col/7))))-f_cd*(1-(1-MAX(0,MIN(1,IF(BS20&lt;=h_col,0.0035*(BS20-(h_col-d_2))/BS20,0.002*(BS20-(h_col-d_2))/(BS20-3*h_col/7))/0.002)))^2))))/1000</f>
        <v/>
      </c>
      <c r="BU20">
        <f>IF($BT20&lt;N_Ed-1E-9*MAX(1,N_Ed),(BQ20+BR20)/2,BQ20)</f>
        <v/>
      </c>
      <c r="BV20">
        <f>IF($BT20&lt;N_Ed-1E-9*MAX(1,N_Ed),BR20,(BQ20+BR20)/2)</f>
        <v/>
      </c>
      <c r="BW20">
        <f>h_col*((BU20+BV20)/2)/(1-(BU20+BV20)/2)</f>
        <v/>
      </c>
      <c r="BX20">
        <f>(f_cd*b_col*((3*MIN(BW20,h_col)/7)+(4*MIN(BW20,h_col)/7)*(1-((4*MIN(BW20,h_col)/7)/(BW20-(3*MIN(BW20,h_col)/7)))^2/3))+$D20/2*((MAX(-f_yd,MIN(f_yd,200000*IF(BW20&lt;=h_col,0.0035*(BW20-d_2)/BW20,0.002*(BW20-d_2)/(BW20-3*h_col/7))))-f_cd*(1-(1-MAX(0,MIN(1,IF(BW20&lt;=h_col,0.0035*(BW20-d_2)/BW20,0.002*(BW20-d_2)/(BW20-3*h_col/7))/0.002)))^2))+(MAX(-f_yd,MIN(f_yd,200000*IF(BW20&lt;=h_col,0.0035*(BW20-(h_col-d_2))/BW20,0.002*(BW20-(h_col-d_2))/(BW20-3*h_col/7))))-f_cd*(1-(1-MAX(0,MIN(1,IF(BW20&lt;=h_col,0.0035*(BW20-(h_col-d_2))/BW20,0.002*(BW20-(h_col-d_2))/(BW20-3*h_col/7))/0.002)))^2))))/1000</f>
        <v/>
      </c>
      <c r="BY20">
        <f>IF($BX20&lt;N_Ed-1E-9*MAX(1,N_Ed),(BU20+BV20)/2,BU20)</f>
        <v/>
      </c>
      <c r="BZ20">
        <f>IF($BX20&lt;N_Ed-1E-9*MAX(1,N_Ed),BV20,(BU20+BV20)/2)</f>
        <v/>
      </c>
      <c r="CA20">
        <f>h_col*((BY20+BZ20)/2)/(1-(BY20+BZ20)/2)</f>
        <v/>
      </c>
      <c r="CB20">
        <f>(f_cd*b_col*((3*MIN(CA20,h_col)/7)+(4*MIN(CA20,h_col)/7)*(1-((4*MIN(CA20,h_col)/7)/(CA20-(3*MIN(CA20,h_col)/7)))^2/3))+$D20/2*((MAX(-f_yd,MIN(f_yd,200000*IF(CA20&lt;=h_col,0.0035*(CA20-d_2)/CA20,0.002*(CA20-d_2)/(CA20-3*h_col/7))))-f_cd*(1-(1-MAX(0,MIN(1,IF(CA20&lt;=h_col,0.0035*(CA20-d_2)/CA20,0.002*(CA20-d_2)/(CA20-3*h_col/7))/0.002)))^2))+(MAX(-f_yd,MIN(f_yd,200000*IF(CA20&lt;=h_col,0.0035*(CA20-(h_col-d_2))/CA20,0.002*(CA20-(h_col-d_2))/(CA20-3*h_col/7))))-f_cd*(1-(1-MAX(0,MIN(1,IF(CA20&lt;=h_col,0.0035*(CA20-(h_col-d_2))/CA20,0.002*(CA20-(h_col-d_2))/(CA20-3*h_col/7))/0.002)))^2))))/1000</f>
        <v/>
      </c>
      <c r="CC20">
        <f>IF($CB20&lt;N_Ed-1E-9*MAX(1,N_Ed),(BY20+BZ20)/2,BY20)</f>
        <v/>
      </c>
      <c r="CD20">
        <f>IF($CB20&lt;N_Ed-1E-9*MAX(1,N_Ed),BZ20,(BY20+BZ20)/2)</f>
        <v/>
      </c>
      <c r="CE20">
        <f>h_col*((CC20+CD20)/2)/(1-(CC20+CD20)/2)</f>
        <v/>
      </c>
      <c r="CF20">
        <f>(f_cd*b_col*((3*MIN(CE20,h_col)/7)+(4*MIN(CE20,h_col)/7)*(1-((4*MIN(CE20,h_col)/7)/(CE20-(3*MIN(CE20,h_col)/7)))^2/3))+$D20/2*((MAX(-f_yd,MIN(f_yd,200000*IF(CE20&lt;=h_col,0.0035*(CE20-d_2)/CE20,0.002*(CE20-d_2)/(CE20-3*h_col/7))))-f_cd*(1-(1-MAX(0,MIN(1,IF(CE20&lt;=h_col,0.0035*(CE20-d_2)/CE20,0.002*(CE20-d_2)/(CE20-3*h_col/7))/0.002)))^2))+(MAX(-f_yd,MIN(f_yd,200000*IF(CE20&lt;=h_col,0.0035*(CE20-(h_col-d_2))/CE20,0.002*(CE20-(h_col-d_2))/(CE20-3*h_col/7))))-f_cd*(1-(1-MAX(0,MIN(1,IF(CE20&lt;=h_col,0.0035*(CE20-(h_col-d_2))/CE20,0.002*(CE20-(h_col-d_2))/(CE20-3*h_col/7))/0.002)))^2))))/1000</f>
        <v/>
      </c>
      <c r="CG20">
        <f>IF($CF20&lt;N_Ed-1E-9*MAX(1,N_Ed),(CC20+CD20)/2,CC20)</f>
        <v/>
      </c>
      <c r="CH20">
        <f>IF($CF20&lt;N_Ed-1E-9*MAX(1,N_Ed),CD20,(CC20+CD20)/2)</f>
        <v/>
      </c>
      <c r="CI20">
        <f>h_col*((CG20+CH20)/2)/(1-(CG20+CH20)/2)</f>
        <v/>
      </c>
      <c r="CJ20">
        <f>(f_cd*b_col*((3*MIN(CI20,h_col)/7)+(4*MIN(CI20,h_col)/7)*(1-((4*MIN(CI20,h_col)/7)/(CI20-(3*MIN(CI20,h_col)/7)))^2/3))+$D20/2*((MAX(-f_yd,MIN(f_yd,200000*IF(CI20&lt;=h_col,0.0035*(CI20-d_2)/CI20,0.002*(CI20-d_2)/(CI20-3*h_col/7))))-f_cd*(1-(1-MAX(0,MIN(1,IF(CI20&lt;=h_col,0.0035*(CI20-d_2)/CI20,0.002*(CI20-d_2)/(CI20-3*h_col/7))/0.002)))^2))+(MAX(-f_yd,MIN(f_yd,200000*IF(CI20&lt;=h_col,0.0035*(CI20-(h_col-d_2))/CI20,0.002*(CI20-(h_col-d_2))/(CI20-3*h_col/7))))-f_cd*(1-(1-MAX(0,MIN(1,IF(CI20&lt;=h_col,0.0035*(CI20-(h_col-d_2))/CI20,0.002*(CI20-(h_col-d_2))/(CI20-3*h_col/7))/0.002)))^2))))/1000</f>
        <v/>
      </c>
      <c r="CK20">
        <f>IF($CJ20&lt;N_Ed-1E-9*MAX(1,N_Ed),(CG20+CH20)/2,CG20)</f>
        <v/>
      </c>
      <c r="CL20">
        <f>IF($CJ20&lt;N_Ed-1E-9*MAX(1,N_Ed),CH20,(CG20+CH20)/2)</f>
        <v/>
      </c>
      <c r="CM20">
        <f>h_col*((CK20+CL20)/2)/(1-(CK20+CL20)/2)</f>
        <v/>
      </c>
      <c r="CN20">
        <f>(f_cd*b_col*((3*MIN(CM20,h_col)/7)+(4*MIN(CM20,h_col)/7)*(1-((4*MIN(CM20,h_col)/7)/(CM20-(3*MIN(CM20,h_col)/7)))^2/3))+$D20/2*((MAX(-f_yd,MIN(f_yd,200000*IF(CM20&lt;=h_col,0.0035*(CM20-d_2)/CM20,0.002*(CM20-d_2)/(CM20-3*h_col/7))))-f_cd*(1-(1-MAX(0,MIN(1,IF(CM20&lt;=h_col,0.0035*(CM20-d_2)/CM20,0.002*(CM20-d_2)/(CM20-3*h_col/7))/0.002)))^2))+(MAX(-f_yd,MIN(f_yd,200000*IF(CM20&lt;=h_col,0.0035*(CM20-(h_col-d_2))/CM20,0.002*(CM20-(h_col-d_2))/(CM20-3*h_col/7))))-f_cd*(1-(1-MAX(0,MIN(1,IF(CM20&lt;=h_col,0.0035*(CM20-(h_col-d_2))/CM20,0.002*(CM20-(h_col-d_2))/(CM20-3*h_col/7))/0.002)))^2))))/1000</f>
        <v/>
      </c>
      <c r="CO20">
        <f>IF($CN20&lt;N_Ed-1E-9*MAX(1,N_Ed),(CK20+CL20)/2,CK20)</f>
        <v/>
      </c>
      <c r="CP20">
        <f>IF($CN20&lt;N_Ed-1E-9*MAX(1,N_Ed),CL20,(CK20+CL20)/2)</f>
        <v/>
      </c>
      <c r="CQ20">
        <f>h_col*((CO20+CP20)/2)/(1-(CO20+CP20)/2)</f>
        <v/>
      </c>
      <c r="CR20">
        <f>(f_cd*b_col*((3*MIN(CQ20,h_col)/7)+(4*MIN(CQ20,h_col)/7)*(1-((4*MIN(CQ20,h_col)/7)/(CQ20-(3*MIN(CQ20,h_col)/7)))^2/3))+$D20/2*((MAX(-f_yd,MIN(f_yd,200000*IF(CQ20&lt;=h_col,0.0035*(CQ20-d_2)/CQ20,0.002*(CQ20-d_2)/(CQ20-3*h_col/7))))-f_cd*(1-(1-MAX(0,MIN(1,IF(CQ20&lt;=h_col,0.0035*(CQ20-d_2)/CQ20,0.002*(CQ20-d_2)/(CQ20-3*h_col/7))/0.002)))^2))+(MAX(-f_yd,MIN(f_yd,200000*IF(CQ20&lt;=h_col,0.0035*(CQ20-(h_col-d_2))/CQ20,0.002*(CQ20-(h_col-d_2))/(CQ20-3*h_col/7))))-f_cd*(1-(1-MAX(0,MIN(1,IF(CQ20&lt;=h_col,0.0035*(CQ20-(h_col-d_2))/CQ20,0.002*(CQ20-(h_col-d_2))/(CQ20-3*h_col/7))/0.002)))^2))))/1000</f>
        <v/>
      </c>
      <c r="CS20">
        <f>IF($CR20&lt;N_Ed-1E-9*MAX(1,N_Ed),(CO20+CP20)/2,CO20)</f>
        <v/>
      </c>
      <c r="CT20">
        <f>IF($CR20&lt;N_Ed-1E-9*MAX(1,N_Ed),CP20,(CO20+CP20)/2)</f>
        <v/>
      </c>
      <c r="CU20">
        <f>h_col*((CS20+CT20)/2)/(1-(CS20+CT20)/2)</f>
        <v/>
      </c>
      <c r="CV20">
        <f>(f_cd*b_col*((3*MIN(CU20,h_col)/7)+(4*MIN(CU20,h_col)/7)*(1-((4*MIN(CU20,h_col)/7)/(CU20-(3*MIN(CU20,h_col)/7)))^2/3))+$D20/2*((MAX(-f_yd,MIN(f_yd,200000*IF(CU20&lt;=h_col,0.0035*(CU20-d_2)/CU20,0.002*(CU20-d_2)/(CU20-3*h_col/7))))-f_cd*(1-(1-MAX(0,MIN(1,IF(CU20&lt;=h_col,0.0035*(CU20-d_2)/CU20,0.002*(CU20-d_2)/(CU20-3*h_col/7))/0.002)))^2))+(MAX(-f_yd,MIN(f_yd,200000*IF(CU20&lt;=h_col,0.0035*(CU20-(h_col-d_2))/CU20,0.002*(CU20-(h_col-d_2))/(CU20-3*h_col/7))))-f_cd*(1-(1-MAX(0,MIN(1,IF(CU20&lt;=h_col,0.0035*(CU20-(h_col-d_2))/CU20,0.002*(CU20-(h_col-d_2))/(CU20-3*h_col/7))/0.002)))^2))))/1000</f>
        <v/>
      </c>
      <c r="CW20">
        <f>IF($CV20&lt;N_Ed-1E-9*MAX(1,N_Ed),(CS20+CT20)/2,CS20)</f>
        <v/>
      </c>
      <c r="CX20">
        <f>IF($CV20&lt;N_Ed-1E-9*MAX(1,N_Ed),CT20,(CS20+CT20)/2)</f>
        <v/>
      </c>
      <c r="CY20">
        <f>h_col*((CW20+CX20)/2)/(1-(CW20+CX20)/2)</f>
        <v/>
      </c>
      <c r="CZ20">
        <f>(f_cd*b_col*((3*MIN(CY20,h_col)/7)+(4*MIN(CY20,h_col)/7)*(1-((4*MIN(CY20,h_col)/7)/(CY20-(3*MIN(CY20,h_col)/7)))^2/3))+$D20/2*((MAX(-f_yd,MIN(f_yd,200000*IF(CY20&lt;=h_col,0.0035*(CY20-d_2)/CY20,0.002*(CY20-d_2)/(CY20-3*h_col/7))))-f_cd*(1-(1-MAX(0,MIN(1,IF(CY20&lt;=h_col,0.0035*(CY20-d_2)/CY20,0.002*(CY20-d_2)/(CY20-3*h_col/7))/0.002)))^2))+(MAX(-f_yd,MIN(f_yd,200000*IF(CY20&lt;=h_col,0.0035*(CY20-(h_col-d_2))/CY20,0.002*(CY20-(h_col-d_2))/(CY20-3*h_col/7))))-f_cd*(1-(1-MAX(0,MIN(1,IF(CY20&lt;=h_col,0.0035*(CY20-(h_col-d_2))/CY20,0.002*(CY20-(h_col-d_2))/(CY20-3*h_col/7))/0.002)))^2))))/1000</f>
        <v/>
      </c>
      <c r="DA20">
        <f>IF($CZ20&lt;N_Ed-1E-9*MAX(1,N_Ed),(CW20+CX20)/2,CW20)</f>
        <v/>
      </c>
      <c r="DB20">
        <f>IF($CZ20&lt;N_Ed-1E-9*MAX(1,N_Ed),CX20,(CW20+CX20)/2)</f>
        <v/>
      </c>
      <c r="DC20">
        <f>h_col*((DA20+DB20)/2)/(1-(DA20+DB20)/2)</f>
        <v/>
      </c>
      <c r="DD20">
        <f>(f_cd*b_col*((3*MIN(DC20,h_col)/7)+(4*MIN(DC20,h_col)/7)*(1-((4*MIN(DC20,h_col)/7)/(DC20-(3*MIN(DC20,h_col)/7)))^2/3))+$D20/2*((MAX(-f_yd,MIN(f_yd,200000*IF(DC20&lt;=h_col,0.0035*(DC20-d_2)/DC20,0.002*(DC20-d_2)/(DC20-3*h_col/7))))-f_cd*(1-(1-MAX(0,MIN(1,IF(DC20&lt;=h_col,0.0035*(DC20-d_2)/DC20,0.002*(DC20-d_2)/(DC20-3*h_col/7))/0.002)))^2))+(MAX(-f_yd,MIN(f_yd,200000*IF(DC20&lt;=h_col,0.0035*(DC20-(h_col-d_2))/DC20,0.002*(DC20-(h_col-d_2))/(DC20-3*h_col/7))))-f_cd*(1-(1-MAX(0,MIN(1,IF(DC20&lt;=h_col,0.0035*(DC20-(h_col-d_2))/DC20,0.002*(DC20-(h_col-d_2))/(DC20-3*h_col/7))/0.002)))^2))))/1000</f>
        <v/>
      </c>
      <c r="DE20">
        <f>IF($DD20&lt;N_Ed-1E-9*MAX(1,N_Ed),(DA20+DB20)/2,DA20)</f>
        <v/>
      </c>
      <c r="DF20">
        <f>IF($DD20&lt;N_Ed-1E-9*MAX(1,N_Ed),DB20,(DA20+DB20)/2)</f>
        <v/>
      </c>
      <c r="DG20">
        <f>h_col*((DE20+DF20)/2)/(1-(DE20+DF20)/2)</f>
        <v/>
      </c>
      <c r="DH20">
        <f>(f_cd*b_col*((3*MIN(DG20,h_col)/7)+(4*MIN(DG20,h_col)/7)*(1-((4*MIN(DG20,h_col)/7)/(DG20-(3*MIN(DG20,h_col)/7)))^2/3))+$D20/2*((MAX(-f_yd,MIN(f_yd,200000*IF(DG20&lt;=h_col,0.0035*(DG20-d_2)/DG20,0.002*(DG20-d_2)/(DG20-3*h_col/7))))-f_cd*(1-(1-MAX(0,MIN(1,IF(DG20&lt;=h_col,0.0035*(DG20-d_2)/DG20,0.002*(DG20-d_2)/(DG20-3*h_col/7))/0.002)))^2))+(MAX(-f_yd,MIN(f_yd,200000*IF(DG20&lt;=h_col,0.0035*(DG20-(h_col-d_2))/DG20,0.002*(DG20-(h_col-d_2))/(DG20-3*h_col/7))))-f_cd*(1-(1-MAX(0,MIN(1,IF(DG20&lt;=h_col,0.0035*(DG20-(h_col-d_2))/DG20,0.002*(DG20-(h_col-d_2))/(DG20-3*h_col/7))/0.002)))^2))))/1000</f>
        <v/>
      </c>
      <c r="DI20">
        <f>IF($DH20&lt;N_Ed-1E-9*MAX(1,N_Ed),(DE20+DF20)/2,DE20)</f>
        <v/>
      </c>
      <c r="DJ20">
        <f>IF($DH20&lt;N_Ed-1E-9*MAX(1,N_Ed),DF20,(DE20+DF20)/2)</f>
        <v/>
      </c>
      <c r="DK20">
        <f>h_col*((DI20+DJ20)/2)/(1-(DI20+DJ20)/2)</f>
        <v/>
      </c>
      <c r="DL20">
        <f>(f_cd*b_col*((3*MIN(DK20,h_col)/7)+(4*MIN(DK20,h_col)/7)*(1-((4*MIN(DK20,h_col)/7)/(DK20-(3*MIN(DK20,h_col)/7)))^2/3))+$D20/2*((MAX(-f_yd,MIN(f_yd,200000*IF(DK20&lt;=h_col,0.0035*(DK20-d_2)/DK20,0.002*(DK20-d_2)/(DK20-3*h_col/7))))-f_cd*(1-(1-MAX(0,MIN(1,IF(DK20&lt;=h_col,0.0035*(DK20-d_2)/DK20,0.002*(DK20-d_2)/(DK20-3*h_col/7))/0.002)))^2))+(MAX(-f_yd,MIN(f_yd,200000*IF(DK20&lt;=h_col,0.0035*(DK20-(h_col-d_2))/DK20,0.002*(DK20-(h_col-d_2))/(DK20-3*h_col/7))))-f_cd*(1-(1-MAX(0,MIN(1,IF(DK20&lt;=h_col,0.0035*(DK20-(h_col-d_2))/DK20,0.002*(DK20-(h_col-d_2))/(DK20-3*h_col/7))/0.002)))^2))))/1000</f>
        <v/>
      </c>
      <c r="DM20">
        <f>IF($DL20&lt;N_Ed-1E-9*MAX(1,N_Ed),(DI20+DJ20)/2,DI20)</f>
        <v/>
      </c>
      <c r="DN20">
        <f>IF($DL20&lt;N_Ed-1E-9*MAX(1,N_Ed),DJ20,(DI20+DJ20)/2)</f>
        <v/>
      </c>
      <c r="DO20">
        <f>h_col*((DM20+DN20)/2)/(1-(DM20+DN20)/2)</f>
        <v/>
      </c>
      <c r="DP20">
        <f>(f_cd*b_col*((3*MIN(DO20,h_col)/7)+(4*MIN(DO20,h_col)/7)*(1-((4*MIN(DO20,h_col)/7)/(DO20-(3*MIN(DO20,h_col)/7)))^2/3))+$D20/2*((MAX(-f_yd,MIN(f_yd,200000*IF(DO20&lt;=h_col,0.0035*(DO20-d_2)/DO20,0.002*(DO20-d_2)/(DO20-3*h_col/7))))-f_cd*(1-(1-MAX(0,MIN(1,IF(DO20&lt;=h_col,0.0035*(DO20-d_2)/DO20,0.002*(DO20-d_2)/(DO20-3*h_col/7))/0.002)))^2))+(MAX(-f_yd,MIN(f_yd,200000*IF(DO20&lt;=h_col,0.0035*(DO20-(h_col-d_2))/DO20,0.002*(DO20-(h_col-d_2))/(DO20-3*h_col/7))))-f_cd*(1-(1-MAX(0,MIN(1,IF(DO20&lt;=h_col,0.0035*(DO20-(h_col-d_2))/DO20,0.002*(DO20-(h_col-d_2))/(DO20-3*h_col/7))/0.002)))^2))))/1000</f>
        <v/>
      </c>
      <c r="DQ20">
        <f>IF($DP20&lt;N_Ed-1E-9*MAX(1,N_Ed),(DM20+DN20)/2,DM20)</f>
        <v/>
      </c>
      <c r="DR20">
        <f>IF($DP20&lt;N_Ed-1E-9*MAX(1,N_Ed),DN20,(DM20+DN20)/2)</f>
        <v/>
      </c>
      <c r="DS20">
        <f>h_col*((DQ20+DR20)/2)/(1-(DQ20+DR20)/2)</f>
        <v/>
      </c>
      <c r="DT20">
        <f>(f_cd*b_col*((3*MIN(DS20,h_col)/7)+(4*MIN(DS20,h_col)/7)*(1-((4*MIN(DS20,h_col)/7)/(DS20-(3*MIN(DS20,h_col)/7)))^2/3))+$D20/2*((MAX(-f_yd,MIN(f_yd,200000*IF(DS20&lt;=h_col,0.0035*(DS20-d_2)/DS20,0.002*(DS20-d_2)/(DS20-3*h_col/7))))-f_cd*(1-(1-MAX(0,MIN(1,IF(DS20&lt;=h_col,0.0035*(DS20-d_2)/DS20,0.002*(DS20-d_2)/(DS20-3*h_col/7))/0.002)))^2))+(MAX(-f_yd,MIN(f_yd,200000*IF(DS20&lt;=h_col,0.0035*(DS20-(h_col-d_2))/DS20,0.002*(DS20-(h_col-d_2))/(DS20-3*h_col/7))))-f_cd*(1-(1-MAX(0,MIN(1,IF(DS20&lt;=h_col,0.0035*(DS20-(h_col-d_2))/DS20,0.002*(DS20-(h_col-d_2))/(DS20-3*h_col/7))/0.002)))^2))))/1000</f>
        <v/>
      </c>
      <c r="DU20">
        <f>IF($DT20&lt;N_Ed-1E-9*MAX(1,N_Ed),(DQ20+DR20)/2,DQ20)</f>
        <v/>
      </c>
      <c r="DV20">
        <f>IF($DT20&lt;N_Ed-1E-9*MAX(1,N_Ed),DR20,(DQ20+DR20)/2)</f>
        <v/>
      </c>
      <c r="DW20">
        <f>h_col*((DU20+DV20)/2)/(1-(DU20+DV20)/2)</f>
        <v/>
      </c>
      <c r="DX20">
        <f>(f_cd*b_col*((3*MIN(DW20,h_col)/7)+(4*MIN(DW20,h_col)/7)*(1-((4*MIN(DW20,h_col)/7)/(DW20-(3*MIN(DW20,h_col)/7)))^2/3))+$D20/2*((MAX(-f_yd,MIN(f_yd,200000*IF(DW20&lt;=h_col,0.0035*(DW20-d_2)/DW20,0.002*(DW20-d_2)/(DW20-3*h_col/7))))-f_cd*(1-(1-MAX(0,MIN(1,IF(DW20&lt;=h_col,0.0035*(DW20-d_2)/DW20,0.002*(DW20-d_2)/(DW20-3*h_col/7))/0.002)))^2))+(MAX(-f_yd,MIN(f_yd,200000*IF(DW20&lt;=h_col,0.0035*(DW20-(h_col-d_2))/DW20,0.002*(DW20-(h_col-d_2))/(DW20-3*h_col/7))))-f_cd*(1-(1-MAX(0,MIN(1,IF(DW20&lt;=h_col,0.0035*(DW20-(h_col-d_2))/DW20,0.002*(DW20-(h_col-d_2))/(DW20-3*h_col/7))/0.002)))^2))))/1000</f>
        <v/>
      </c>
      <c r="DY20">
        <f>IF($DX20&lt;N_Ed-1E-9*MAX(1,N_Ed),(DU20+DV20)/2,DU20)</f>
        <v/>
      </c>
      <c r="DZ20">
        <f>IF($DX20&lt;N_Ed-1E-9*MAX(1,N_Ed),DV20,(DU20+DV20)/2)</f>
        <v/>
      </c>
      <c r="EA20">
        <f>h_col*((DY20+DZ20)/2)/(1-(DY20+DZ20)/2)</f>
        <v/>
      </c>
      <c r="EB20">
        <f>(f_cd*b_col*((3*MIN(EA20,h_col)/7)+(4*MIN(EA20,h_col)/7)*(1-((4*MIN(EA20,h_col)/7)/(EA20-(3*MIN(EA20,h_col)/7)))^2/3))+$D20/2*((MAX(-f_yd,MIN(f_yd,200000*IF(EA20&lt;=h_col,0.0035*(EA20-d_2)/EA20,0.002*(EA20-d_2)/(EA20-3*h_col/7))))-f_cd*(1-(1-MAX(0,MIN(1,IF(EA20&lt;=h_col,0.0035*(EA20-d_2)/EA20,0.002*(EA20-d_2)/(EA20-3*h_col/7))/0.002)))^2))+(MAX(-f_yd,MIN(f_yd,200000*IF(EA20&lt;=h_col,0.0035*(EA20-(h_col-d_2))/EA20,0.002*(EA20-(h_col-d_2))/(EA20-3*h_col/7))))-f_cd*(1-(1-MAX(0,MIN(1,IF(EA20&lt;=h_col,0.0035*(EA20-(h_col-d_2))/EA20,0.002*(EA20-(h_col-d_2))/(EA20-3*h_col/7))/0.002)))^2))))/1000</f>
        <v/>
      </c>
      <c r="EC20">
        <f>IF($EB20&lt;N_Ed-1E-9*MAX(1,N_Ed),(DY20+DZ20)/2,DY20)</f>
        <v/>
      </c>
      <c r="ED20">
        <f>IF($EB20&lt;N_Ed-1E-9*MAX(1,N_Ed),DZ20,(DY20+DZ20)/2)</f>
        <v/>
      </c>
      <c r="EE20">
        <f>h_col*((EC20+ED20)/2)/(1-(EC20+ED20)/2)</f>
        <v/>
      </c>
      <c r="EF20">
        <f>(f_cd*b_col*((3*MIN(EE20,h_col)/7)+(4*MIN(EE20,h_col)/7)*(1-((4*MIN(EE20,h_col)/7)/(EE20-(3*MIN(EE20,h_col)/7)))^2/3))+$D20/2*((MAX(-f_yd,MIN(f_yd,200000*IF(EE20&lt;=h_col,0.0035*(EE20-d_2)/EE20,0.002*(EE20-d_2)/(EE20-3*h_col/7))))-f_cd*(1-(1-MAX(0,MIN(1,IF(EE20&lt;=h_col,0.0035*(EE20-d_2)/EE20,0.002*(EE20-d_2)/(EE20-3*h_col/7))/0.002)))^2))+(MAX(-f_yd,MIN(f_yd,200000*IF(EE20&lt;=h_col,0.0035*(EE20-(h_col-d_2))/EE20,0.002*(EE20-(h_col-d_2))/(EE20-3*h_col/7))))-f_cd*(1-(1-MAX(0,MIN(1,IF(EE20&lt;=h_col,0.0035*(EE20-(h_col-d_2))/EE20,0.002*(EE20-(h_col-d_2))/(EE20-3*h_col/7))/0.002)))^2))))/1000</f>
        <v/>
      </c>
      <c r="EG20">
        <f>IF($EF20&lt;N_Ed-1E-9*MAX(1,N_Ed),(EC20+ED20)/2,EC20)</f>
        <v/>
      </c>
      <c r="EH20">
        <f>IF($EF20&lt;N_Ed-1E-9*MAX(1,N_Ed),ED20,(EC20+ED20)/2)</f>
        <v/>
      </c>
      <c r="EI20">
        <f>h_col*((EG20+EH20)/2)/(1-(EG20+EH20)/2)</f>
        <v/>
      </c>
      <c r="EJ20">
        <f>(f_cd*b_col*((3*MIN(EI20,h_col)/7)+(4*MIN(EI20,h_col)/7)*(1-((4*MIN(EI20,h_col)/7)/(EI20-(3*MIN(EI20,h_col)/7)))^2/3))+$D20/2*((MAX(-f_yd,MIN(f_yd,200000*IF(EI20&lt;=h_col,0.0035*(EI20-d_2)/EI20,0.002*(EI20-d_2)/(EI20-3*h_col/7))))-f_cd*(1-(1-MAX(0,MIN(1,IF(EI20&lt;=h_col,0.0035*(EI20-d_2)/EI20,0.002*(EI20-d_2)/(EI20-3*h_col/7))/0.002)))^2))+(MAX(-f_yd,MIN(f_yd,200000*IF(EI20&lt;=h_col,0.0035*(EI20-(h_col-d_2))/EI20,0.002*(EI20-(h_col-d_2))/(EI20-3*h_col/7))))-f_cd*(1-(1-MAX(0,MIN(1,IF(EI20&lt;=h_col,0.0035*(EI20-(h_col-d_2))/EI20,0.002*(EI20-(h_col-d_2))/(EI20-3*h_col/7))/0.002)))^2))))/1000</f>
        <v/>
      </c>
      <c r="EK20">
        <f>IF($EJ20&lt;N_Ed-1E-9*MAX(1,N_Ed),(EG20+EH20)/2,EG20)</f>
        <v/>
      </c>
      <c r="EL20">
        <f>IF($EJ20&lt;N_Ed-1E-9*MAX(1,N_Ed),EH20,(EG20+EH20)/2)</f>
        <v/>
      </c>
      <c r="EM20">
        <f>h_col*((EK20+EL20)/2)/(1-(EK20+EL20)/2)</f>
        <v/>
      </c>
      <c r="EN20">
        <f>(f_cd*b_col*((3*MIN(EM20,h_col)/7)+(4*MIN(EM20,h_col)/7)*(1-((4*MIN(EM20,h_col)/7)/(EM20-(3*MIN(EM20,h_col)/7)))^2/3))+$D20/2*((MAX(-f_yd,MIN(f_yd,200000*IF(EM20&lt;=h_col,0.0035*(EM20-d_2)/EM20,0.002*(EM20-d_2)/(EM20-3*h_col/7))))-f_cd*(1-(1-MAX(0,MIN(1,IF(EM20&lt;=h_col,0.0035*(EM20-d_2)/EM20,0.002*(EM20-d_2)/(EM20-3*h_col/7))/0.002)))^2))+(MAX(-f_yd,MIN(f_yd,200000*IF(EM20&lt;=h_col,0.0035*(EM20-(h_col-d_2))/EM20,0.002*(EM20-(h_col-d_2))/(EM20-3*h_col/7))))-f_cd*(1-(1-MAX(0,MIN(1,IF(EM20&lt;=h_col,0.0035*(EM20-(h_col-d_2))/EM20,0.002*(EM20-(h_col-d_2))/(EM20-3*h_col/7))/0.002)))^2))))/1000</f>
        <v/>
      </c>
      <c r="EO20">
        <f>IF($EN20&lt;N_Ed-1E-9*MAX(1,N_Ed),(EK20+EL20)/2,EK20)</f>
        <v/>
      </c>
      <c r="EP20">
        <f>IF($EN20&lt;N_Ed-1E-9*MAX(1,N_Ed),EL20,(EK20+EL20)/2)</f>
        <v/>
      </c>
      <c r="EQ20">
        <f>h_col*((EO20+EP20)/2)/(1-(EO20+EP20)/2)</f>
        <v/>
      </c>
      <c r="ER20">
        <f>(f_cd*b_col*((3*MIN(EQ20,h_col)/7)+(4*MIN(EQ20,h_col)/7)*(1-((4*MIN(EQ20,h_col)/7)/(EQ20-(3*MIN(EQ20,h_col)/7)))^2/3))+$D20/2*((MAX(-f_yd,MIN(f_yd,200000*IF(EQ20&lt;=h_col,0.0035*(EQ20-d_2)/EQ20,0.002*(EQ20-d_2)/(EQ20-3*h_col/7))))-f_cd*(1-(1-MAX(0,MIN(1,IF(EQ20&lt;=h_col,0.0035*(EQ20-d_2)/EQ20,0.002*(EQ20-d_2)/(EQ20-3*h_col/7))/0.002)))^2))+(MAX(-f_yd,MIN(f_yd,200000*IF(EQ20&lt;=h_col,0.0035*(EQ20-(h_col-d_2))/EQ20,0.002*(EQ20-(h_col-d_2))/(EQ20-3*h_col/7))))-f_cd*(1-(1-MAX(0,MIN(1,IF(EQ20&lt;=h_col,0.0035*(EQ20-(h_col-d_2))/EQ20,0.002*(EQ20-(h_col-d_2))/(EQ20-3*h_col/7))/0.002)))^2))))/1000</f>
        <v/>
      </c>
      <c r="ES20">
        <f>IF($ER20&lt;N_Ed-1E-9*MAX(1,N_Ed),(EO20+EP20)/2,EO20)</f>
        <v/>
      </c>
      <c r="ET20">
        <f>IF($ER20&lt;N_Ed-1E-9*MAX(1,N_Ed),EP20,(EO20+EP20)/2)</f>
        <v/>
      </c>
      <c r="EU20">
        <f>h_col*((ES20+ET20)/2)/(1-(ES20+ET20)/2)</f>
        <v/>
      </c>
      <c r="EV20">
        <f>(f_cd*b_col*((3*MIN(EU20,h_col)/7)+(4*MIN(EU20,h_col)/7)*(1-((4*MIN(EU20,h_col)/7)/(EU20-(3*MIN(EU20,h_col)/7)))^2/3))+$D20/2*((MAX(-f_yd,MIN(f_yd,200000*IF(EU20&lt;=h_col,0.0035*(EU20-d_2)/EU20,0.002*(EU20-d_2)/(EU20-3*h_col/7))))-f_cd*(1-(1-MAX(0,MIN(1,IF(EU20&lt;=h_col,0.0035*(EU20-d_2)/EU20,0.002*(EU20-d_2)/(EU20-3*h_col/7))/0.002)))^2))+(MAX(-f_yd,MIN(f_yd,200000*IF(EU20&lt;=h_col,0.0035*(EU20-(h_col-d_2))/EU20,0.002*(EU20-(h_col-d_2))/(EU20-3*h_col/7))))-f_cd*(1-(1-MAX(0,MIN(1,IF(EU20&lt;=h_col,0.0035*(EU20-(h_col-d_2))/EU20,0.002*(EU20-(h_col-d_2))/(EU20-3*h_col/7))/0.002)))^2))))/1000</f>
        <v/>
      </c>
      <c r="EW20">
        <f>IF($EV20&lt;N_Ed-1E-9*MAX(1,N_Ed),(ES20+ET20)/2,ES20)</f>
        <v/>
      </c>
      <c r="EX20">
        <f>IF($EV20&lt;N_Ed-1E-9*MAX(1,N_Ed),ET20,(ES20+ET20)/2)</f>
        <v/>
      </c>
      <c r="EY20">
        <f>h_col*((EW20+EX20)/2)/(1-(EW20+EX20)/2)</f>
        <v/>
      </c>
      <c r="EZ20">
        <f>(f_cd*b_col*((3*MIN(EY20,h_col)/7)+(4*MIN(EY20,h_col)/7)*(1-((4*MIN(EY20,h_col)/7)/(EY20-(3*MIN(EY20,h_col)/7)))^2/3))+$D20/2*((MAX(-f_yd,MIN(f_yd,200000*IF(EY20&lt;=h_col,0.0035*(EY20-d_2)/EY20,0.002*(EY20-d_2)/(EY20-3*h_col/7))))-f_cd*(1-(1-MAX(0,MIN(1,IF(EY20&lt;=h_col,0.0035*(EY20-d_2)/EY20,0.002*(EY20-d_2)/(EY20-3*h_col/7))/0.002)))^2))+(MAX(-f_yd,MIN(f_yd,200000*IF(EY20&lt;=h_col,0.0035*(EY20-(h_col-d_2))/EY20,0.002*(EY20-(h_col-d_2))/(EY20-3*h_col/7))))-f_cd*(1-(1-MAX(0,MIN(1,IF(EY20&lt;=h_col,0.0035*(EY20-(h_col-d_2))/EY20,0.002*(EY20-(h_col-d_2))/(EY20-3*h_col/7))/0.002)))^2))))/1000</f>
        <v/>
      </c>
      <c r="FA20">
        <f>IF($EZ20&lt;N_Ed-1E-9*MAX(1,N_Ed),(EW20+EX20)/2,EW20)</f>
        <v/>
      </c>
      <c r="FB20">
        <f>IF($EZ20&lt;N_Ed-1E-9*MAX(1,N_Ed),EX20,(EW20+EX20)/2)</f>
        <v/>
      </c>
      <c r="FC20">
        <f>h_col*((FA20+FB20)/2)/(1-(FA20+FB20)/2)</f>
        <v/>
      </c>
      <c r="FD20">
        <f>(f_cd*b_col*((3*MIN(FC20,h_col)/7)+(4*MIN(FC20,h_col)/7)*(1-((4*MIN(FC20,h_col)/7)/(FC20-(3*MIN(FC20,h_col)/7)))^2/3))+$D20/2*((MAX(-f_yd,MIN(f_yd,200000*IF(FC20&lt;=h_col,0.0035*(FC20-d_2)/FC20,0.002*(FC20-d_2)/(FC20-3*h_col/7))))-f_cd*(1-(1-MAX(0,MIN(1,IF(FC20&lt;=h_col,0.0035*(FC20-d_2)/FC20,0.002*(FC20-d_2)/(FC20-3*h_col/7))/0.002)))^2))+(MAX(-f_yd,MIN(f_yd,200000*IF(FC20&lt;=h_col,0.0035*(FC20-(h_col-d_2))/FC20,0.002*(FC20-(h_col-d_2))/(FC20-3*h_col/7))))-f_cd*(1-(1-MAX(0,MIN(1,IF(FC20&lt;=h_col,0.0035*(FC20-(h_col-d_2))/FC20,0.002*(FC20-(h_col-d_2))/(FC20-3*h_col/7))/0.002)))^2))))/1000</f>
        <v/>
      </c>
      <c r="FE20">
        <f>IF($FD20&lt;N_Ed-1E-9*MAX(1,N_Ed),(FA20+FB20)/2,FA20)</f>
        <v/>
      </c>
      <c r="FF20">
        <f>IF($FD20&lt;N_Ed-1E-9*MAX(1,N_Ed),FB20,(FA20+FB20)/2)</f>
        <v/>
      </c>
      <c r="FG20">
        <f>h_col*((FE20+FF20)/2)/(1-(FE20+FF20)/2)</f>
        <v/>
      </c>
      <c r="FH20">
        <f>(f_cd*b_col*((3*MIN(FG20,h_col)/7)+(4*MIN(FG20,h_col)/7)*(1-((4*MIN(FG20,h_col)/7)/(FG20-(3*MIN(FG20,h_col)/7)))^2/3))+$D20/2*((MAX(-f_yd,MIN(f_yd,200000*IF(FG20&lt;=h_col,0.0035*(FG20-d_2)/FG20,0.002*(FG20-d_2)/(FG20-3*h_col/7))))-f_cd*(1-(1-MAX(0,MIN(1,IF(FG20&lt;=h_col,0.0035*(FG20-d_2)/FG20,0.002*(FG20-d_2)/(FG20-3*h_col/7))/0.002)))^2))+(MAX(-f_yd,MIN(f_yd,200000*IF(FG20&lt;=h_col,0.0035*(FG20-(h_col-d_2))/FG20,0.002*(FG20-(h_col-d_2))/(FG20-3*h_col/7))))-f_cd*(1-(1-MAX(0,MIN(1,IF(FG20&lt;=h_col,0.0035*(FG20-(h_col-d_2))/FG20,0.002*(FG20-(h_col-d_2))/(FG20-3*h_col/7))/0.002)))^2))))/1000</f>
        <v/>
      </c>
      <c r="FI20">
        <f>IF($FH20&lt;N_Ed-1E-9*MAX(1,N_Ed),(FE20+FF20)/2,FE20)</f>
        <v/>
      </c>
      <c r="FJ20">
        <f>IF($FH20&lt;N_Ed-1E-9*MAX(1,N_Ed),FF20,(FE20+FF20)/2)</f>
        <v/>
      </c>
      <c r="FK20">
        <f>h_col*((FI20+FJ20)/2)/(1-(FI20+FJ20)/2)</f>
        <v/>
      </c>
      <c r="FL20">
        <f>(f_cd*b_col*((3*MIN(FK20,h_col)/7)+(4*MIN(FK20,h_col)/7)*(1-((4*MIN(FK20,h_col)/7)/(FK20-(3*MIN(FK20,h_col)/7)))^2/3))+$D20/2*((MAX(-f_yd,MIN(f_yd,200000*IF(FK20&lt;=h_col,0.0035*(FK20-d_2)/FK20,0.002*(FK20-d_2)/(FK20-3*h_col/7))))-f_cd*(1-(1-MAX(0,MIN(1,IF(FK20&lt;=h_col,0.0035*(FK20-d_2)/FK20,0.002*(FK20-d_2)/(FK20-3*h_col/7))/0.002)))^2))+(MAX(-f_yd,MIN(f_yd,200000*IF(FK20&lt;=h_col,0.0035*(FK20-(h_col-d_2))/FK20,0.002*(FK20-(h_col-d_2))/(FK20-3*h_col/7))))-f_cd*(1-(1-MAX(0,MIN(1,IF(FK20&lt;=h_col,0.0035*(FK20-(h_col-d_2))/FK20,0.002*(FK20-(h_col-d_2))/(FK20-3*h_col/7))/0.002)))^2))))/1000</f>
        <v/>
      </c>
      <c r="FM20">
        <f>IF($FL20&lt;N_Ed-1E-9*MAX(1,N_Ed),(FI20+FJ20)/2,FI20)</f>
        <v/>
      </c>
      <c r="FN20">
        <f>IF($FL20&lt;N_Ed-1E-9*MAX(1,N_Ed),FJ20,(FI20+FJ20)/2)</f>
        <v/>
      </c>
      <c r="FO20">
        <f>h_col*((FM20+FN20)/2)/(1-(FM20+FN20)/2)</f>
        <v/>
      </c>
      <c r="FP20">
        <f>(f_cd*b_col*((3*MIN(FO20,h_col)/7)+(4*MIN(FO20,h_col)/7)*(1-((4*MIN(FO20,h_col)/7)/(FO20-(3*MIN(FO20,h_col)/7)))^2/3))+$D20/2*((MAX(-f_yd,MIN(f_yd,200000*IF(FO20&lt;=h_col,0.0035*(FO20-d_2)/FO20,0.002*(FO20-d_2)/(FO20-3*h_col/7))))-f_cd*(1-(1-MAX(0,MIN(1,IF(FO20&lt;=h_col,0.0035*(FO20-d_2)/FO20,0.002*(FO20-d_2)/(FO20-3*h_col/7))/0.002)))^2))+(MAX(-f_yd,MIN(f_yd,200000*IF(FO20&lt;=h_col,0.0035*(FO20-(h_col-d_2))/FO20,0.002*(FO20-(h_col-d_2))/(FO20-3*h_col/7))))-f_cd*(1-(1-MAX(0,MIN(1,IF(FO20&lt;=h_col,0.0035*(FO20-(h_col-d_2))/FO20,0.002*(FO20-(h_col-d_2))/(FO20-3*h_col/7))/0.002)))^2))))/1000</f>
        <v/>
      </c>
      <c r="FQ20">
        <f>IF($FP20&lt;N_Ed-1E-9*MAX(1,N_Ed),(FM20+FN20)/2,FM20)</f>
        <v/>
      </c>
      <c r="FR20">
        <f>IF($FP20&lt;N_Ed-1E-9*MAX(1,N_Ed),FN20,(FM20+FN20)/2)</f>
        <v/>
      </c>
      <c r="FS20">
        <f>h_col*((FQ20+FR20)/2)/(1-(FQ20+FR20)/2)</f>
        <v/>
      </c>
      <c r="FT20">
        <f>(f_cd*b_col*((3*MIN(FS20,h_col)/7)+(4*MIN(FS20,h_col)/7)*(1-((4*MIN(FS20,h_col)/7)/(FS20-(3*MIN(FS20,h_col)/7)))^2/3))+$D20/2*((MAX(-f_yd,MIN(f_yd,200000*IF(FS20&lt;=h_col,0.0035*(FS20-d_2)/FS20,0.002*(FS20-d_2)/(FS20-3*h_col/7))))-f_cd*(1-(1-MAX(0,MIN(1,IF(FS20&lt;=h_col,0.0035*(FS20-d_2)/FS20,0.002*(FS20-d_2)/(FS20-3*h_col/7))/0.002)))^2))+(MAX(-f_yd,MIN(f_yd,200000*IF(FS20&lt;=h_col,0.0035*(FS20-(h_col-d_2))/FS20,0.002*(FS20-(h_col-d_2))/(FS20-3*h_col/7))))-f_cd*(1-(1-MAX(0,MIN(1,IF(FS20&lt;=h_col,0.0035*(FS20-(h_col-d_2))/FS20,0.002*(FS20-(h_col-d_2))/(FS20-3*h_col/7))/0.002)))^2))))/1000</f>
        <v/>
      </c>
      <c r="FU20">
        <f>IF($FT20&lt;N_Ed-1E-9*MAX(1,N_Ed),(FQ20+FR20)/2,FQ20)</f>
        <v/>
      </c>
      <c r="FV20">
        <f>IF($FT20&lt;N_Ed-1E-9*MAX(1,N_Ed),FR20,(FQ20+FR20)/2)</f>
        <v/>
      </c>
      <c r="FW20">
        <f>h_col*((FU20+FV20)/2)/(1-(FU20+FV20)/2)</f>
        <v/>
      </c>
      <c r="FX20">
        <f>(f_cd*b_col*((3*MIN(FW20,h_col)/7)+(4*MIN(FW20,h_col)/7)*(1-((4*MIN(FW20,h_col)/7)/(FW20-(3*MIN(FW20,h_col)/7)))^2/3))+$D20/2*((MAX(-f_yd,MIN(f_yd,200000*IF(FW20&lt;=h_col,0.0035*(FW20-d_2)/FW20,0.002*(FW20-d_2)/(FW20-3*h_col/7))))-f_cd*(1-(1-MAX(0,MIN(1,IF(FW20&lt;=h_col,0.0035*(FW20-d_2)/FW20,0.002*(FW20-d_2)/(FW20-3*h_col/7))/0.002)))^2))+(MAX(-f_yd,MIN(f_yd,200000*IF(FW20&lt;=h_col,0.0035*(FW20-(h_col-d_2))/FW20,0.002*(FW20-(h_col-d_2))/(FW20-3*h_col/7))))-f_cd*(1-(1-MAX(0,MIN(1,IF(FW20&lt;=h_col,0.0035*(FW20-(h_col-d_2))/FW20,0.002*(FW20-(h_col-d_2))/(FW20-3*h_col/7))/0.002)))^2))))/1000</f>
        <v/>
      </c>
      <c r="FY20">
        <f>IF($FX20&lt;N_Ed-1E-9*MAX(1,N_Ed),(FU20+FV20)/2,FU20)</f>
        <v/>
      </c>
      <c r="FZ20">
        <f>IF($FX20&lt;N_Ed-1E-9*MAX(1,N_Ed),FV20,(FU20+FV20)/2)</f>
        <v/>
      </c>
      <c r="GA20">
        <f>h_col*((FY20+FZ20)/2)/(1-(FY20+FZ20)/2)</f>
        <v/>
      </c>
      <c r="GB20">
        <f>(f_cd*b_col*((3*MIN(GA20,h_col)/7)+(4*MIN(GA20,h_col)/7)*(1-((4*MIN(GA20,h_col)/7)/(GA20-(3*MIN(GA20,h_col)/7)))^2/3))+$D20/2*((MAX(-f_yd,MIN(f_yd,200000*IF(GA20&lt;=h_col,0.0035*(GA20-d_2)/GA20,0.002*(GA20-d_2)/(GA20-3*h_col/7))))-f_cd*(1-(1-MAX(0,MIN(1,IF(GA20&lt;=h_col,0.0035*(GA20-d_2)/GA20,0.002*(GA20-d_2)/(GA20-3*h_col/7))/0.002)))^2))+(MAX(-f_yd,MIN(f_yd,200000*IF(GA20&lt;=h_col,0.0035*(GA20-(h_col-d_2))/GA20,0.002*(GA20-(h_col-d_2))/(GA20-3*h_col/7))))-f_cd*(1-(1-MAX(0,MIN(1,IF(GA20&lt;=h_col,0.0035*(GA20-(h_col-d_2))/GA20,0.002*(GA20-(h_col-d_2))/(GA20-3*h_col/7))/0.002)))^2))))/1000</f>
        <v/>
      </c>
      <c r="GC20">
        <f>IF($GB20&lt;N_Ed-1E-9*MAX(1,N_Ed),(FY20+FZ20)/2,FY20)</f>
        <v/>
      </c>
      <c r="GD20">
        <f>IF($GB20&lt;N_Ed-1E-9*MAX(1,N_Ed),FZ20,(FY20+FZ20)/2)</f>
        <v/>
      </c>
      <c r="GE20">
        <f>h_col*((GC20+GD20)/2)/(1-(GC20+GD20)/2)</f>
        <v/>
      </c>
      <c r="GF20">
        <f>(f_cd*b_col*((3*MIN(GE20,h_col)/7)+(4*MIN(GE20,h_col)/7)*(1-((4*MIN(GE20,h_col)/7)/(GE20-(3*MIN(GE20,h_col)/7)))^2/3))+$D20/2*((MAX(-f_yd,MIN(f_yd,200000*IF(GE20&lt;=h_col,0.0035*(GE20-d_2)/GE20,0.002*(GE20-d_2)/(GE20-3*h_col/7))))-f_cd*(1-(1-MAX(0,MIN(1,IF(GE20&lt;=h_col,0.0035*(GE20-d_2)/GE20,0.002*(GE20-d_2)/(GE20-3*h_col/7))/0.002)))^2))+(MAX(-f_yd,MIN(f_yd,200000*IF(GE20&lt;=h_col,0.0035*(GE20-(h_col-d_2))/GE20,0.002*(GE20-(h_col-d_2))/(GE20-3*h_col/7))))-f_cd*(1-(1-MAX(0,MIN(1,IF(GE20&lt;=h_col,0.0035*(GE20-(h_col-d_2))/GE20,0.002*(GE20-(h_col-d_2))/(GE20-3*h_col/7))/0.002)))^2))))/1000</f>
        <v/>
      </c>
      <c r="GG20">
        <f>IF($GF20&lt;N_Ed-1E-9*MAX(1,N_Ed),(GC20+GD20)/2,GC20)</f>
        <v/>
      </c>
      <c r="GH20">
        <f>IF($GF20&lt;N_Ed-1E-9*MAX(1,N_Ed),GD20,(GC20+GD20)/2)</f>
        <v/>
      </c>
      <c r="GI20">
        <f>h_col*((GG20+GH20)/2)/(1-(GG20+GH20)/2)</f>
        <v/>
      </c>
      <c r="GJ20">
        <f>(f_cd*b_col*((3*MIN(GI20,h_col)/7)+(4*MIN(GI20,h_col)/7)*(1-((4*MIN(GI20,h_col)/7)/(GI20-(3*MIN(GI20,h_col)/7)))^2/3))+$D20/2*((MAX(-f_yd,MIN(f_yd,200000*IF(GI20&lt;=h_col,0.0035*(GI20-d_2)/GI20,0.002*(GI20-d_2)/(GI20-3*h_col/7))))-f_cd*(1-(1-MAX(0,MIN(1,IF(GI20&lt;=h_col,0.0035*(GI20-d_2)/GI20,0.002*(GI20-d_2)/(GI20-3*h_col/7))/0.002)))^2))+(MAX(-f_yd,MIN(f_yd,200000*IF(GI20&lt;=h_col,0.0035*(GI20-(h_col-d_2))/GI20,0.002*(GI20-(h_col-d_2))/(GI20-3*h_col/7))))-f_cd*(1-(1-MAX(0,MIN(1,IF(GI20&lt;=h_col,0.0035*(GI20-(h_col-d_2))/GI20,0.002*(GI20-(h_col-d_2))/(GI20-3*h_col/7))/0.002)))^2))))/1000</f>
        <v/>
      </c>
      <c r="GK20">
        <f>IF($GJ20&lt;N_Ed-1E-9*MAX(1,N_Ed),(GG20+GH20)/2,GG20)</f>
        <v/>
      </c>
      <c r="GL20">
        <f>IF($GJ20&lt;N_Ed-1E-9*MAX(1,N_Ed),GH20,(GG20+GH20)/2)</f>
        <v/>
      </c>
      <c r="GM20">
        <f>h_col*((GK20+GL20)/2)/(1-(GK20+GL20)/2)</f>
        <v/>
      </c>
      <c r="GN20">
        <f>(f_cd*b_col*((3*MIN(GM20,h_col)/7)+(4*MIN(GM20,h_col)/7)*(1-((4*MIN(GM20,h_col)/7)/(GM20-(3*MIN(GM20,h_col)/7)))^2/3))+$D20/2*((MAX(-f_yd,MIN(f_yd,200000*IF(GM20&lt;=h_col,0.0035*(GM20-d_2)/GM20,0.002*(GM20-d_2)/(GM20-3*h_col/7))))-f_cd*(1-(1-MAX(0,MIN(1,IF(GM20&lt;=h_col,0.0035*(GM20-d_2)/GM20,0.002*(GM20-d_2)/(GM20-3*h_col/7))/0.002)))^2))+(MAX(-f_yd,MIN(f_yd,200000*IF(GM20&lt;=h_col,0.0035*(GM20-(h_col-d_2))/GM20,0.002*(GM20-(h_col-d_2))/(GM20-3*h_col/7))))-f_cd*(1-(1-MAX(0,MIN(1,IF(GM20&lt;=h_col,0.0035*(GM20-(h_col-d_2))/GM20,0.002*(GM20-(h_col-d_2))/(GM20-3*h_col/7))/0.002)))^2))))/1000</f>
        <v/>
      </c>
      <c r="GO20">
        <f>IF($GN20&lt;N_Ed-1E-9*MAX(1,N_Ed),(GK20+GL20)/2,GK20)</f>
        <v/>
      </c>
      <c r="GP20">
        <f>IF($GN20&lt;N_Ed-1E-9*MAX(1,N_Ed),GL20,(GK20+GL20)/2)</f>
        <v/>
      </c>
      <c r="GQ20">
        <f>h_col*((GO20+GP20)/2)/(1-(GO20+GP20)/2)</f>
        <v/>
      </c>
      <c r="GR20">
        <f>(f_cd*b_col*((3*MIN(GQ20,h_col)/7)+(4*MIN(GQ20,h_col)/7)*(1-((4*MIN(GQ20,h_col)/7)/(GQ20-(3*MIN(GQ20,h_col)/7)))^2/3))+$D20/2*((MAX(-f_yd,MIN(f_yd,200000*IF(GQ20&lt;=h_col,0.0035*(GQ20-d_2)/GQ20,0.002*(GQ20-d_2)/(GQ20-3*h_col/7))))-f_cd*(1-(1-MAX(0,MIN(1,IF(GQ20&lt;=h_col,0.0035*(GQ20-d_2)/GQ20,0.002*(GQ20-d_2)/(GQ20-3*h_col/7))/0.002)))^2))+(MAX(-f_yd,MIN(f_yd,200000*IF(GQ20&lt;=h_col,0.0035*(GQ20-(h_col-d_2))/GQ20,0.002*(GQ20-(h_col-d_2))/(GQ20-3*h_col/7))))-f_cd*(1-(1-MAX(0,MIN(1,IF(GQ20&lt;=h_col,0.0035*(GQ20-(h_col-d_2))/GQ20,0.002*(GQ20-(h_col-d_2))/(GQ20-3*h_col/7))/0.002)))^2))))/1000</f>
        <v/>
      </c>
      <c r="GS20">
        <f>IF($GR20&lt;N_Ed-1E-9*MAX(1,N_Ed),(GO20+GP20)/2,GO20)</f>
        <v/>
      </c>
      <c r="GT20">
        <f>IF($GR20&lt;N_Ed-1E-9*MAX(1,N_Ed),GP20,(GO20+GP20)/2)</f>
        <v/>
      </c>
      <c r="GU20">
        <f>h_col*((GS20+GT20)/2)/(1-(GS20+GT20)/2)</f>
        <v/>
      </c>
      <c r="GV20">
        <f>(f_cd*b_col*((3*MIN(GU20,h_col)/7)+(4*MIN(GU20,h_col)/7)*(1-((4*MIN(GU20,h_col)/7)/(GU20-(3*MIN(GU20,h_col)/7)))^2/3))+$D20/2*((MAX(-f_yd,MIN(f_yd,200000*IF(GU20&lt;=h_col,0.0035*(GU20-d_2)/GU20,0.002*(GU20-d_2)/(GU20-3*h_col/7))))-f_cd*(1-(1-MAX(0,MIN(1,IF(GU20&lt;=h_col,0.0035*(GU20-d_2)/GU20,0.002*(GU20-d_2)/(GU20-3*h_col/7))/0.002)))^2))+(MAX(-f_yd,MIN(f_yd,200000*IF(GU20&lt;=h_col,0.0035*(GU20-(h_col-d_2))/GU20,0.002*(GU20-(h_col-d_2))/(GU20-3*h_col/7))))-f_cd*(1-(1-MAX(0,MIN(1,IF(GU20&lt;=h_col,0.0035*(GU20-(h_col-d_2))/GU20,0.002*(GU20-(h_col-d_2))/(GU20-3*h_col/7))/0.002)))^2))))/1000</f>
        <v/>
      </c>
      <c r="GW20">
        <f>GU20</f>
        <v/>
      </c>
      <c r="GX20">
        <f>(f_cd*b_col*((3*MIN(GW20,h_col)/7)+(4*MIN(GW20,h_col)/7)*(1-((4*MIN(GW20,h_col)/7)/(GW20-(3*MIN(GW20,h_col)/7)))^2/3))+$D20/2*((MAX(-f_yd,MIN(f_yd,200000*IF(GW20&lt;=h_col,0.0035*(GW20-d_2)/GW20,0.002*(GW20-d_2)/(GW20-3*h_col/7))))-f_cd*(1-(1-MAX(0,MIN(1,IF(GW20&lt;=h_col,0.0035*(GW20-d_2)/GW20,0.002*(GW20-d_2)/(GW20-3*h_col/7))/0.002)))^2))+(MAX(-f_yd,MIN(f_yd,200000*IF(GW20&lt;=h_col,0.0035*(GW20-(h_col-d_2))/GW20,0.002*(GW20-(h_col-d_2))/(GW20-3*h_col/7))))-f_cd*(1-(1-MAX(0,MIN(1,IF(GW20&lt;=h_col,0.0035*(GW20-(h_col-d_2))/GW20,0.002*(GW20-(h_col-d_2))/(GW20-3*h_col/7))/0.002)))^2))))/1000</f>
        <v/>
      </c>
      <c r="GY20">
        <f>(f_cd*b_col*((3*MIN(GW20,h_col)/7)*(h_col/2-(3*MIN(GW20,h_col)/7)/2)+(4*MIN(GW20,h_col)/7)*((h_col/2-(3*MIN(GW20,h_col)/7))*(1-((4*MIN(GW20,h_col)/7)/(GW20-(3*MIN(GW20,h_col)/7)))^2/3)-(4*MIN(GW20,h_col)/7)*(0.5-((4*MIN(GW20,h_col)/7)/(GW20-(3*MIN(GW20,h_col)/7)))^2/4)))+$D20/2*((MAX(-f_yd,MIN(f_yd,200000*IF(GW20&lt;=h_col,0.0035*(GW20-d_2)/GW20,0.002*(GW20-d_2)/(GW20-3*h_col/7))))-f_cd*(1-(1-MAX(0,MIN(1,IF(GW20&lt;=h_col,0.0035*(GW20-d_2)/GW20,0.002*(GW20-d_2)/(GW20-3*h_col/7))/0.002)))^2))-(MAX(-f_yd,MIN(f_yd,200000*IF(GW20&lt;=h_col,0.0035*(GW20-(h_col-d_2))/GW20,0.002*(GW20-(h_col-d_2))/(GW20-3*h_col/7))))-f_cd*(1-(1-MAX(0,MIN(1,IF(GW20&lt;=h_col,0.0035*(GW20-(h_col-d_2))/GW20,0.002*(GW20-(h_col-d_2))/(GW20-3*h_col/7))/0.002)))^2)))*(h_col/2-d_2))/1E6</f>
        <v/>
      </c>
      <c r="GZ20">
        <f>GX20&gt;=N_Ed-1E-6*MAX(1,N_Ed)</f>
        <v/>
      </c>
      <c r="HA20">
        <f>IF(GZ20,GY20,-1E9)</f>
        <v/>
      </c>
    </row>
    <row r="21">
      <c r="A21" t="n">
        <v>16</v>
      </c>
      <c r="B21">
        <f>IF($HA20&gt;=M_d,$B20,$D20)</f>
        <v/>
      </c>
      <c r="C21">
        <f>IF($HA20&gt;=M_d,$D20,$C20)</f>
        <v/>
      </c>
      <c r="D21">
        <f>($B21+$C21)/2</f>
        <v/>
      </c>
      <c r="E21" t="n">
        <v>0</v>
      </c>
      <c r="F21">
        <f>1-1E-12</f>
        <v/>
      </c>
      <c r="G21">
        <f>h_col*((E21+F21)/2)/(1-(E21+F21)/2)</f>
        <v/>
      </c>
      <c r="H21">
        <f>(f_cd*b_col*((3*MIN(G21,h_col)/7)+(4*MIN(G21,h_col)/7)*(1-((4*MIN(G21,h_col)/7)/(G21-(3*MIN(G21,h_col)/7)))^2/3))+$D21/2*((MAX(-f_yd,MIN(f_yd,200000*IF(G21&lt;=h_col,0.0035*(G21-d_2)/G21,0.002*(G21-d_2)/(G21-3*h_col/7))))-f_cd*(1-(1-MAX(0,MIN(1,IF(G21&lt;=h_col,0.0035*(G21-d_2)/G21,0.002*(G21-d_2)/(G21-3*h_col/7))/0.002)))^2))+(MAX(-f_yd,MIN(f_yd,200000*IF(G21&lt;=h_col,0.0035*(G21-(h_col-d_2))/G21,0.002*(G21-(h_col-d_2))/(G21-3*h_col/7))))-f_cd*(1-(1-MAX(0,MIN(1,IF(G21&lt;=h_col,0.0035*(G21-(h_col-d_2))/G21,0.002*(G21-(h_col-d_2))/(G21-3*h_col/7))/0.002)))^2))))/1000</f>
        <v/>
      </c>
      <c r="I21">
        <f>IF($H21&lt;N_Ed-1E-9*MAX(1,N_Ed),(E21+F21)/2,E21)</f>
        <v/>
      </c>
      <c r="J21">
        <f>IF($H21&lt;N_Ed-1E-9*MAX(1,N_Ed),F21,(E21+F21)/2)</f>
        <v/>
      </c>
      <c r="K21">
        <f>h_col*((I21+J21)/2)/(1-(I21+J21)/2)</f>
        <v/>
      </c>
      <c r="L21">
        <f>(f_cd*b_col*((3*MIN(K21,h_col)/7)+(4*MIN(K21,h_col)/7)*(1-((4*MIN(K21,h_col)/7)/(K21-(3*MIN(K21,h_col)/7)))^2/3))+$D21/2*((MAX(-f_yd,MIN(f_yd,200000*IF(K21&lt;=h_col,0.0035*(K21-d_2)/K21,0.002*(K21-d_2)/(K21-3*h_col/7))))-f_cd*(1-(1-MAX(0,MIN(1,IF(K21&lt;=h_col,0.0035*(K21-d_2)/K21,0.002*(K21-d_2)/(K21-3*h_col/7))/0.002)))^2))+(MAX(-f_yd,MIN(f_yd,200000*IF(K21&lt;=h_col,0.0035*(K21-(h_col-d_2))/K21,0.002*(K21-(h_col-d_2))/(K21-3*h_col/7))))-f_cd*(1-(1-MAX(0,MIN(1,IF(K21&lt;=h_col,0.0035*(K21-(h_col-d_2))/K21,0.002*(K21-(h_col-d_2))/(K21-3*h_col/7))/0.002)))^2))))/1000</f>
        <v/>
      </c>
      <c r="M21">
        <f>IF($L21&lt;N_Ed-1E-9*MAX(1,N_Ed),(I21+J21)/2,I21)</f>
        <v/>
      </c>
      <c r="N21">
        <f>IF($L21&lt;N_Ed-1E-9*MAX(1,N_Ed),J21,(I21+J21)/2)</f>
        <v/>
      </c>
      <c r="O21">
        <f>h_col*((M21+N21)/2)/(1-(M21+N21)/2)</f>
        <v/>
      </c>
      <c r="P21">
        <f>(f_cd*b_col*((3*MIN(O21,h_col)/7)+(4*MIN(O21,h_col)/7)*(1-((4*MIN(O21,h_col)/7)/(O21-(3*MIN(O21,h_col)/7)))^2/3))+$D21/2*((MAX(-f_yd,MIN(f_yd,200000*IF(O21&lt;=h_col,0.0035*(O21-d_2)/O21,0.002*(O21-d_2)/(O21-3*h_col/7))))-f_cd*(1-(1-MAX(0,MIN(1,IF(O21&lt;=h_col,0.0035*(O21-d_2)/O21,0.002*(O21-d_2)/(O21-3*h_col/7))/0.002)))^2))+(MAX(-f_yd,MIN(f_yd,200000*IF(O21&lt;=h_col,0.0035*(O21-(h_col-d_2))/O21,0.002*(O21-(h_col-d_2))/(O21-3*h_col/7))))-f_cd*(1-(1-MAX(0,MIN(1,IF(O21&lt;=h_col,0.0035*(O21-(h_col-d_2))/O21,0.002*(O21-(h_col-d_2))/(O21-3*h_col/7))/0.002)))^2))))/1000</f>
        <v/>
      </c>
      <c r="Q21">
        <f>IF($P21&lt;N_Ed-1E-9*MAX(1,N_Ed),(M21+N21)/2,M21)</f>
        <v/>
      </c>
      <c r="R21">
        <f>IF($P21&lt;N_Ed-1E-9*MAX(1,N_Ed),N21,(M21+N21)/2)</f>
        <v/>
      </c>
      <c r="S21">
        <f>h_col*((Q21+R21)/2)/(1-(Q21+R21)/2)</f>
        <v/>
      </c>
      <c r="T21">
        <f>(f_cd*b_col*((3*MIN(S21,h_col)/7)+(4*MIN(S21,h_col)/7)*(1-((4*MIN(S21,h_col)/7)/(S21-(3*MIN(S21,h_col)/7)))^2/3))+$D21/2*((MAX(-f_yd,MIN(f_yd,200000*IF(S21&lt;=h_col,0.0035*(S21-d_2)/S21,0.002*(S21-d_2)/(S21-3*h_col/7))))-f_cd*(1-(1-MAX(0,MIN(1,IF(S21&lt;=h_col,0.0035*(S21-d_2)/S21,0.002*(S21-d_2)/(S21-3*h_col/7))/0.002)))^2))+(MAX(-f_yd,MIN(f_yd,200000*IF(S21&lt;=h_col,0.0035*(S21-(h_col-d_2))/S21,0.002*(S21-(h_col-d_2))/(S21-3*h_col/7))))-f_cd*(1-(1-MAX(0,MIN(1,IF(S21&lt;=h_col,0.0035*(S21-(h_col-d_2))/S21,0.002*(S21-(h_col-d_2))/(S21-3*h_col/7))/0.002)))^2))))/1000</f>
        <v/>
      </c>
      <c r="U21">
        <f>IF($T21&lt;N_Ed-1E-9*MAX(1,N_Ed),(Q21+R21)/2,Q21)</f>
        <v/>
      </c>
      <c r="V21">
        <f>IF($T21&lt;N_Ed-1E-9*MAX(1,N_Ed),R21,(Q21+R21)/2)</f>
        <v/>
      </c>
      <c r="W21">
        <f>h_col*((U21+V21)/2)/(1-(U21+V21)/2)</f>
        <v/>
      </c>
      <c r="X21">
        <f>(f_cd*b_col*((3*MIN(W21,h_col)/7)+(4*MIN(W21,h_col)/7)*(1-((4*MIN(W21,h_col)/7)/(W21-(3*MIN(W21,h_col)/7)))^2/3))+$D21/2*((MAX(-f_yd,MIN(f_yd,200000*IF(W21&lt;=h_col,0.0035*(W21-d_2)/W21,0.002*(W21-d_2)/(W21-3*h_col/7))))-f_cd*(1-(1-MAX(0,MIN(1,IF(W21&lt;=h_col,0.0035*(W21-d_2)/W21,0.002*(W21-d_2)/(W21-3*h_col/7))/0.002)))^2))+(MAX(-f_yd,MIN(f_yd,200000*IF(W21&lt;=h_col,0.0035*(W21-(h_col-d_2))/W21,0.002*(W21-(h_col-d_2))/(W21-3*h_col/7))))-f_cd*(1-(1-MAX(0,MIN(1,IF(W21&lt;=h_col,0.0035*(W21-(h_col-d_2))/W21,0.002*(W21-(h_col-d_2))/(W21-3*h_col/7))/0.002)))^2))))/1000</f>
        <v/>
      </c>
      <c r="Y21">
        <f>IF($X21&lt;N_Ed-1E-9*MAX(1,N_Ed),(U21+V21)/2,U21)</f>
        <v/>
      </c>
      <c r="Z21">
        <f>IF($X21&lt;N_Ed-1E-9*MAX(1,N_Ed),V21,(U21+V21)/2)</f>
        <v/>
      </c>
      <c r="AA21">
        <f>h_col*((Y21+Z21)/2)/(1-(Y21+Z21)/2)</f>
        <v/>
      </c>
      <c r="AB21">
        <f>(f_cd*b_col*((3*MIN(AA21,h_col)/7)+(4*MIN(AA21,h_col)/7)*(1-((4*MIN(AA21,h_col)/7)/(AA21-(3*MIN(AA21,h_col)/7)))^2/3))+$D21/2*((MAX(-f_yd,MIN(f_yd,200000*IF(AA21&lt;=h_col,0.0035*(AA21-d_2)/AA21,0.002*(AA21-d_2)/(AA21-3*h_col/7))))-f_cd*(1-(1-MAX(0,MIN(1,IF(AA21&lt;=h_col,0.0035*(AA21-d_2)/AA21,0.002*(AA21-d_2)/(AA21-3*h_col/7))/0.002)))^2))+(MAX(-f_yd,MIN(f_yd,200000*IF(AA21&lt;=h_col,0.0035*(AA21-(h_col-d_2))/AA21,0.002*(AA21-(h_col-d_2))/(AA21-3*h_col/7))))-f_cd*(1-(1-MAX(0,MIN(1,IF(AA21&lt;=h_col,0.0035*(AA21-(h_col-d_2))/AA21,0.002*(AA21-(h_col-d_2))/(AA21-3*h_col/7))/0.002)))^2))))/1000</f>
        <v/>
      </c>
      <c r="AC21">
        <f>IF($AB21&lt;N_Ed-1E-9*MAX(1,N_Ed),(Y21+Z21)/2,Y21)</f>
        <v/>
      </c>
      <c r="AD21">
        <f>IF($AB21&lt;N_Ed-1E-9*MAX(1,N_Ed),Z21,(Y21+Z21)/2)</f>
        <v/>
      </c>
      <c r="AE21">
        <f>h_col*((AC21+AD21)/2)/(1-(AC21+AD21)/2)</f>
        <v/>
      </c>
      <c r="AF21">
        <f>(f_cd*b_col*((3*MIN(AE21,h_col)/7)+(4*MIN(AE21,h_col)/7)*(1-((4*MIN(AE21,h_col)/7)/(AE21-(3*MIN(AE21,h_col)/7)))^2/3))+$D21/2*((MAX(-f_yd,MIN(f_yd,200000*IF(AE21&lt;=h_col,0.0035*(AE21-d_2)/AE21,0.002*(AE21-d_2)/(AE21-3*h_col/7))))-f_cd*(1-(1-MAX(0,MIN(1,IF(AE21&lt;=h_col,0.0035*(AE21-d_2)/AE21,0.002*(AE21-d_2)/(AE21-3*h_col/7))/0.002)))^2))+(MAX(-f_yd,MIN(f_yd,200000*IF(AE21&lt;=h_col,0.0035*(AE21-(h_col-d_2))/AE21,0.002*(AE21-(h_col-d_2))/(AE21-3*h_col/7))))-f_cd*(1-(1-MAX(0,MIN(1,IF(AE21&lt;=h_col,0.0035*(AE21-(h_col-d_2))/AE21,0.002*(AE21-(h_col-d_2))/(AE21-3*h_col/7))/0.002)))^2))))/1000</f>
        <v/>
      </c>
      <c r="AG21">
        <f>IF($AF21&lt;N_Ed-1E-9*MAX(1,N_Ed),(AC21+AD21)/2,AC21)</f>
        <v/>
      </c>
      <c r="AH21">
        <f>IF($AF21&lt;N_Ed-1E-9*MAX(1,N_Ed),AD21,(AC21+AD21)/2)</f>
        <v/>
      </c>
      <c r="AI21">
        <f>h_col*((AG21+AH21)/2)/(1-(AG21+AH21)/2)</f>
        <v/>
      </c>
      <c r="AJ21">
        <f>(f_cd*b_col*((3*MIN(AI21,h_col)/7)+(4*MIN(AI21,h_col)/7)*(1-((4*MIN(AI21,h_col)/7)/(AI21-(3*MIN(AI21,h_col)/7)))^2/3))+$D21/2*((MAX(-f_yd,MIN(f_yd,200000*IF(AI21&lt;=h_col,0.0035*(AI21-d_2)/AI21,0.002*(AI21-d_2)/(AI21-3*h_col/7))))-f_cd*(1-(1-MAX(0,MIN(1,IF(AI21&lt;=h_col,0.0035*(AI21-d_2)/AI21,0.002*(AI21-d_2)/(AI21-3*h_col/7))/0.002)))^2))+(MAX(-f_yd,MIN(f_yd,200000*IF(AI21&lt;=h_col,0.0035*(AI21-(h_col-d_2))/AI21,0.002*(AI21-(h_col-d_2))/(AI21-3*h_col/7))))-f_cd*(1-(1-MAX(0,MIN(1,IF(AI21&lt;=h_col,0.0035*(AI21-(h_col-d_2))/AI21,0.002*(AI21-(h_col-d_2))/(AI21-3*h_col/7))/0.002)))^2))))/1000</f>
        <v/>
      </c>
      <c r="AK21">
        <f>IF($AJ21&lt;N_Ed-1E-9*MAX(1,N_Ed),(AG21+AH21)/2,AG21)</f>
        <v/>
      </c>
      <c r="AL21">
        <f>IF($AJ21&lt;N_Ed-1E-9*MAX(1,N_Ed),AH21,(AG21+AH21)/2)</f>
        <v/>
      </c>
      <c r="AM21">
        <f>h_col*((AK21+AL21)/2)/(1-(AK21+AL21)/2)</f>
        <v/>
      </c>
      <c r="AN21">
        <f>(f_cd*b_col*((3*MIN(AM21,h_col)/7)+(4*MIN(AM21,h_col)/7)*(1-((4*MIN(AM21,h_col)/7)/(AM21-(3*MIN(AM21,h_col)/7)))^2/3))+$D21/2*((MAX(-f_yd,MIN(f_yd,200000*IF(AM21&lt;=h_col,0.0035*(AM21-d_2)/AM21,0.002*(AM21-d_2)/(AM21-3*h_col/7))))-f_cd*(1-(1-MAX(0,MIN(1,IF(AM21&lt;=h_col,0.0035*(AM21-d_2)/AM21,0.002*(AM21-d_2)/(AM21-3*h_col/7))/0.002)))^2))+(MAX(-f_yd,MIN(f_yd,200000*IF(AM21&lt;=h_col,0.0035*(AM21-(h_col-d_2))/AM21,0.002*(AM21-(h_col-d_2))/(AM21-3*h_col/7))))-f_cd*(1-(1-MAX(0,MIN(1,IF(AM21&lt;=h_col,0.0035*(AM21-(h_col-d_2))/AM21,0.002*(AM21-(h_col-d_2))/(AM21-3*h_col/7))/0.002)))^2))))/1000</f>
        <v/>
      </c>
      <c r="AO21">
        <f>IF($AN21&lt;N_Ed-1E-9*MAX(1,N_Ed),(AK21+AL21)/2,AK21)</f>
        <v/>
      </c>
      <c r="AP21">
        <f>IF($AN21&lt;N_Ed-1E-9*MAX(1,N_Ed),AL21,(AK21+AL21)/2)</f>
        <v/>
      </c>
      <c r="AQ21">
        <f>h_col*((AO21+AP21)/2)/(1-(AO21+AP21)/2)</f>
        <v/>
      </c>
      <c r="AR21">
        <f>(f_cd*b_col*((3*MIN(AQ21,h_col)/7)+(4*MIN(AQ21,h_col)/7)*(1-((4*MIN(AQ21,h_col)/7)/(AQ21-(3*MIN(AQ21,h_col)/7)))^2/3))+$D21/2*((MAX(-f_yd,MIN(f_yd,200000*IF(AQ21&lt;=h_col,0.0035*(AQ21-d_2)/AQ21,0.002*(AQ21-d_2)/(AQ21-3*h_col/7))))-f_cd*(1-(1-MAX(0,MIN(1,IF(AQ21&lt;=h_col,0.0035*(AQ21-d_2)/AQ21,0.002*(AQ21-d_2)/(AQ21-3*h_col/7))/0.002)))^2))+(MAX(-f_yd,MIN(f_yd,200000*IF(AQ21&lt;=h_col,0.0035*(AQ21-(h_col-d_2))/AQ21,0.002*(AQ21-(h_col-d_2))/(AQ21-3*h_col/7))))-f_cd*(1-(1-MAX(0,MIN(1,IF(AQ21&lt;=h_col,0.0035*(AQ21-(h_col-d_2))/AQ21,0.002*(AQ21-(h_col-d_2))/(AQ21-3*h_col/7))/0.002)))^2))))/1000</f>
        <v/>
      </c>
      <c r="AS21">
        <f>IF($AR21&lt;N_Ed-1E-9*MAX(1,N_Ed),(AO21+AP21)/2,AO21)</f>
        <v/>
      </c>
      <c r="AT21">
        <f>IF($AR21&lt;N_Ed-1E-9*MAX(1,N_Ed),AP21,(AO21+AP21)/2)</f>
        <v/>
      </c>
      <c r="AU21">
        <f>h_col*((AS21+AT21)/2)/(1-(AS21+AT21)/2)</f>
        <v/>
      </c>
      <c r="AV21">
        <f>(f_cd*b_col*((3*MIN(AU21,h_col)/7)+(4*MIN(AU21,h_col)/7)*(1-((4*MIN(AU21,h_col)/7)/(AU21-(3*MIN(AU21,h_col)/7)))^2/3))+$D21/2*((MAX(-f_yd,MIN(f_yd,200000*IF(AU21&lt;=h_col,0.0035*(AU21-d_2)/AU21,0.002*(AU21-d_2)/(AU21-3*h_col/7))))-f_cd*(1-(1-MAX(0,MIN(1,IF(AU21&lt;=h_col,0.0035*(AU21-d_2)/AU21,0.002*(AU21-d_2)/(AU21-3*h_col/7))/0.002)))^2))+(MAX(-f_yd,MIN(f_yd,200000*IF(AU21&lt;=h_col,0.0035*(AU21-(h_col-d_2))/AU21,0.002*(AU21-(h_col-d_2))/(AU21-3*h_col/7))))-f_cd*(1-(1-MAX(0,MIN(1,IF(AU21&lt;=h_col,0.0035*(AU21-(h_col-d_2))/AU21,0.002*(AU21-(h_col-d_2))/(AU21-3*h_col/7))/0.002)))^2))))/1000</f>
        <v/>
      </c>
      <c r="AW21">
        <f>IF($AV21&lt;N_Ed-1E-9*MAX(1,N_Ed),(AS21+AT21)/2,AS21)</f>
        <v/>
      </c>
      <c r="AX21">
        <f>IF($AV21&lt;N_Ed-1E-9*MAX(1,N_Ed),AT21,(AS21+AT21)/2)</f>
        <v/>
      </c>
      <c r="AY21">
        <f>h_col*((AW21+AX21)/2)/(1-(AW21+AX21)/2)</f>
        <v/>
      </c>
      <c r="AZ21">
        <f>(f_cd*b_col*((3*MIN(AY21,h_col)/7)+(4*MIN(AY21,h_col)/7)*(1-((4*MIN(AY21,h_col)/7)/(AY21-(3*MIN(AY21,h_col)/7)))^2/3))+$D21/2*((MAX(-f_yd,MIN(f_yd,200000*IF(AY21&lt;=h_col,0.0035*(AY21-d_2)/AY21,0.002*(AY21-d_2)/(AY21-3*h_col/7))))-f_cd*(1-(1-MAX(0,MIN(1,IF(AY21&lt;=h_col,0.0035*(AY21-d_2)/AY21,0.002*(AY21-d_2)/(AY21-3*h_col/7))/0.002)))^2))+(MAX(-f_yd,MIN(f_yd,200000*IF(AY21&lt;=h_col,0.0035*(AY21-(h_col-d_2))/AY21,0.002*(AY21-(h_col-d_2))/(AY21-3*h_col/7))))-f_cd*(1-(1-MAX(0,MIN(1,IF(AY21&lt;=h_col,0.0035*(AY21-(h_col-d_2))/AY21,0.002*(AY21-(h_col-d_2))/(AY21-3*h_col/7))/0.002)))^2))))/1000</f>
        <v/>
      </c>
      <c r="BA21">
        <f>IF($AZ21&lt;N_Ed-1E-9*MAX(1,N_Ed),(AW21+AX21)/2,AW21)</f>
        <v/>
      </c>
      <c r="BB21">
        <f>IF($AZ21&lt;N_Ed-1E-9*MAX(1,N_Ed),AX21,(AW21+AX21)/2)</f>
        <v/>
      </c>
      <c r="BC21">
        <f>h_col*((BA21+BB21)/2)/(1-(BA21+BB21)/2)</f>
        <v/>
      </c>
      <c r="BD21">
        <f>(f_cd*b_col*((3*MIN(BC21,h_col)/7)+(4*MIN(BC21,h_col)/7)*(1-((4*MIN(BC21,h_col)/7)/(BC21-(3*MIN(BC21,h_col)/7)))^2/3))+$D21/2*((MAX(-f_yd,MIN(f_yd,200000*IF(BC21&lt;=h_col,0.0035*(BC21-d_2)/BC21,0.002*(BC21-d_2)/(BC21-3*h_col/7))))-f_cd*(1-(1-MAX(0,MIN(1,IF(BC21&lt;=h_col,0.0035*(BC21-d_2)/BC21,0.002*(BC21-d_2)/(BC21-3*h_col/7))/0.002)))^2))+(MAX(-f_yd,MIN(f_yd,200000*IF(BC21&lt;=h_col,0.0035*(BC21-(h_col-d_2))/BC21,0.002*(BC21-(h_col-d_2))/(BC21-3*h_col/7))))-f_cd*(1-(1-MAX(0,MIN(1,IF(BC21&lt;=h_col,0.0035*(BC21-(h_col-d_2))/BC21,0.002*(BC21-(h_col-d_2))/(BC21-3*h_col/7))/0.002)))^2))))/1000</f>
        <v/>
      </c>
      <c r="BE21">
        <f>IF($BD21&lt;N_Ed-1E-9*MAX(1,N_Ed),(BA21+BB21)/2,BA21)</f>
        <v/>
      </c>
      <c r="BF21">
        <f>IF($BD21&lt;N_Ed-1E-9*MAX(1,N_Ed),BB21,(BA21+BB21)/2)</f>
        <v/>
      </c>
      <c r="BG21">
        <f>h_col*((BE21+BF21)/2)/(1-(BE21+BF21)/2)</f>
        <v/>
      </c>
      <c r="BH21">
        <f>(f_cd*b_col*((3*MIN(BG21,h_col)/7)+(4*MIN(BG21,h_col)/7)*(1-((4*MIN(BG21,h_col)/7)/(BG21-(3*MIN(BG21,h_col)/7)))^2/3))+$D21/2*((MAX(-f_yd,MIN(f_yd,200000*IF(BG21&lt;=h_col,0.0035*(BG21-d_2)/BG21,0.002*(BG21-d_2)/(BG21-3*h_col/7))))-f_cd*(1-(1-MAX(0,MIN(1,IF(BG21&lt;=h_col,0.0035*(BG21-d_2)/BG21,0.002*(BG21-d_2)/(BG21-3*h_col/7))/0.002)))^2))+(MAX(-f_yd,MIN(f_yd,200000*IF(BG21&lt;=h_col,0.0035*(BG21-(h_col-d_2))/BG21,0.002*(BG21-(h_col-d_2))/(BG21-3*h_col/7))))-f_cd*(1-(1-MAX(0,MIN(1,IF(BG21&lt;=h_col,0.0035*(BG21-(h_col-d_2))/BG21,0.002*(BG21-(h_col-d_2))/(BG21-3*h_col/7))/0.002)))^2))))/1000</f>
        <v/>
      </c>
      <c r="BI21">
        <f>IF($BH21&lt;N_Ed-1E-9*MAX(1,N_Ed),(BE21+BF21)/2,BE21)</f>
        <v/>
      </c>
      <c r="BJ21">
        <f>IF($BH21&lt;N_Ed-1E-9*MAX(1,N_Ed),BF21,(BE21+BF21)/2)</f>
        <v/>
      </c>
      <c r="BK21">
        <f>h_col*((BI21+BJ21)/2)/(1-(BI21+BJ21)/2)</f>
        <v/>
      </c>
      <c r="BL21">
        <f>(f_cd*b_col*((3*MIN(BK21,h_col)/7)+(4*MIN(BK21,h_col)/7)*(1-((4*MIN(BK21,h_col)/7)/(BK21-(3*MIN(BK21,h_col)/7)))^2/3))+$D21/2*((MAX(-f_yd,MIN(f_yd,200000*IF(BK21&lt;=h_col,0.0035*(BK21-d_2)/BK21,0.002*(BK21-d_2)/(BK21-3*h_col/7))))-f_cd*(1-(1-MAX(0,MIN(1,IF(BK21&lt;=h_col,0.0035*(BK21-d_2)/BK21,0.002*(BK21-d_2)/(BK21-3*h_col/7))/0.002)))^2))+(MAX(-f_yd,MIN(f_yd,200000*IF(BK21&lt;=h_col,0.0035*(BK21-(h_col-d_2))/BK21,0.002*(BK21-(h_col-d_2))/(BK21-3*h_col/7))))-f_cd*(1-(1-MAX(0,MIN(1,IF(BK21&lt;=h_col,0.0035*(BK21-(h_col-d_2))/BK21,0.002*(BK21-(h_col-d_2))/(BK21-3*h_col/7))/0.002)))^2))))/1000</f>
        <v/>
      </c>
      <c r="BM21">
        <f>IF($BL21&lt;N_Ed-1E-9*MAX(1,N_Ed),(BI21+BJ21)/2,BI21)</f>
        <v/>
      </c>
      <c r="BN21">
        <f>IF($BL21&lt;N_Ed-1E-9*MAX(1,N_Ed),BJ21,(BI21+BJ21)/2)</f>
        <v/>
      </c>
      <c r="BO21">
        <f>h_col*((BM21+BN21)/2)/(1-(BM21+BN21)/2)</f>
        <v/>
      </c>
      <c r="BP21">
        <f>(f_cd*b_col*((3*MIN(BO21,h_col)/7)+(4*MIN(BO21,h_col)/7)*(1-((4*MIN(BO21,h_col)/7)/(BO21-(3*MIN(BO21,h_col)/7)))^2/3))+$D21/2*((MAX(-f_yd,MIN(f_yd,200000*IF(BO21&lt;=h_col,0.0035*(BO21-d_2)/BO21,0.002*(BO21-d_2)/(BO21-3*h_col/7))))-f_cd*(1-(1-MAX(0,MIN(1,IF(BO21&lt;=h_col,0.0035*(BO21-d_2)/BO21,0.002*(BO21-d_2)/(BO21-3*h_col/7))/0.002)))^2))+(MAX(-f_yd,MIN(f_yd,200000*IF(BO21&lt;=h_col,0.0035*(BO21-(h_col-d_2))/BO21,0.002*(BO21-(h_col-d_2))/(BO21-3*h_col/7))))-f_cd*(1-(1-MAX(0,MIN(1,IF(BO21&lt;=h_col,0.0035*(BO21-(h_col-d_2))/BO21,0.002*(BO21-(h_col-d_2))/(BO21-3*h_col/7))/0.002)))^2))))/1000</f>
        <v/>
      </c>
      <c r="BQ21">
        <f>IF($BP21&lt;N_Ed-1E-9*MAX(1,N_Ed),(BM21+BN21)/2,BM21)</f>
        <v/>
      </c>
      <c r="BR21">
        <f>IF($BP21&lt;N_Ed-1E-9*MAX(1,N_Ed),BN21,(BM21+BN21)/2)</f>
        <v/>
      </c>
      <c r="BS21">
        <f>h_col*((BQ21+BR21)/2)/(1-(BQ21+BR21)/2)</f>
        <v/>
      </c>
      <c r="BT21">
        <f>(f_cd*b_col*((3*MIN(BS21,h_col)/7)+(4*MIN(BS21,h_col)/7)*(1-((4*MIN(BS21,h_col)/7)/(BS21-(3*MIN(BS21,h_col)/7)))^2/3))+$D21/2*((MAX(-f_yd,MIN(f_yd,200000*IF(BS21&lt;=h_col,0.0035*(BS21-d_2)/BS21,0.002*(BS21-d_2)/(BS21-3*h_col/7))))-f_cd*(1-(1-MAX(0,MIN(1,IF(BS21&lt;=h_col,0.0035*(BS21-d_2)/BS21,0.002*(BS21-d_2)/(BS21-3*h_col/7))/0.002)))^2))+(MAX(-f_yd,MIN(f_yd,200000*IF(BS21&lt;=h_col,0.0035*(BS21-(h_col-d_2))/BS21,0.002*(BS21-(h_col-d_2))/(BS21-3*h_col/7))))-f_cd*(1-(1-MAX(0,MIN(1,IF(BS21&lt;=h_col,0.0035*(BS21-(h_col-d_2))/BS21,0.002*(BS21-(h_col-d_2))/(BS21-3*h_col/7))/0.002)))^2))))/1000</f>
        <v/>
      </c>
      <c r="BU21">
        <f>IF($BT21&lt;N_Ed-1E-9*MAX(1,N_Ed),(BQ21+BR21)/2,BQ21)</f>
        <v/>
      </c>
      <c r="BV21">
        <f>IF($BT21&lt;N_Ed-1E-9*MAX(1,N_Ed),BR21,(BQ21+BR21)/2)</f>
        <v/>
      </c>
      <c r="BW21">
        <f>h_col*((BU21+BV21)/2)/(1-(BU21+BV21)/2)</f>
        <v/>
      </c>
      <c r="BX21">
        <f>(f_cd*b_col*((3*MIN(BW21,h_col)/7)+(4*MIN(BW21,h_col)/7)*(1-((4*MIN(BW21,h_col)/7)/(BW21-(3*MIN(BW21,h_col)/7)))^2/3))+$D21/2*((MAX(-f_yd,MIN(f_yd,200000*IF(BW21&lt;=h_col,0.0035*(BW21-d_2)/BW21,0.002*(BW21-d_2)/(BW21-3*h_col/7))))-f_cd*(1-(1-MAX(0,MIN(1,IF(BW21&lt;=h_col,0.0035*(BW21-d_2)/BW21,0.002*(BW21-d_2)/(BW21-3*h_col/7))/0.002)))^2))+(MAX(-f_yd,MIN(f_yd,200000*IF(BW21&lt;=h_col,0.0035*(BW21-(h_col-d_2))/BW21,0.002*(BW21-(h_col-d_2))/(BW21-3*h_col/7))))-f_cd*(1-(1-MAX(0,MIN(1,IF(BW21&lt;=h_col,0.0035*(BW21-(h_col-d_2))/BW21,0.002*(BW21-(h_col-d_2))/(BW21-3*h_col/7))/0.002)))^2))))/1000</f>
        <v/>
      </c>
      <c r="BY21">
        <f>IF($BX21&lt;N_Ed-1E-9*MAX(1,N_Ed),(BU21+BV21)/2,BU21)</f>
        <v/>
      </c>
      <c r="BZ21">
        <f>IF($BX21&lt;N_Ed-1E-9*MAX(1,N_Ed),BV21,(BU21+BV21)/2)</f>
        <v/>
      </c>
      <c r="CA21">
        <f>h_col*((BY21+BZ21)/2)/(1-(BY21+BZ21)/2)</f>
        <v/>
      </c>
      <c r="CB21">
        <f>(f_cd*b_col*((3*MIN(CA21,h_col)/7)+(4*MIN(CA21,h_col)/7)*(1-((4*MIN(CA21,h_col)/7)/(CA21-(3*MIN(CA21,h_col)/7)))^2/3))+$D21/2*((MAX(-f_yd,MIN(f_yd,200000*IF(CA21&lt;=h_col,0.0035*(CA21-d_2)/CA21,0.002*(CA21-d_2)/(CA21-3*h_col/7))))-f_cd*(1-(1-MAX(0,MIN(1,IF(CA21&lt;=h_col,0.0035*(CA21-d_2)/CA21,0.002*(CA21-d_2)/(CA21-3*h_col/7))/0.002)))^2))+(MAX(-f_yd,MIN(f_yd,200000*IF(CA21&lt;=h_col,0.0035*(CA21-(h_col-d_2))/CA21,0.002*(CA21-(h_col-d_2))/(CA21-3*h_col/7))))-f_cd*(1-(1-MAX(0,MIN(1,IF(CA21&lt;=h_col,0.0035*(CA21-(h_col-d_2))/CA21,0.002*(CA21-(h_col-d_2))/(CA21-3*h_col/7))/0.002)))^2))))/1000</f>
        <v/>
      </c>
      <c r="CC21">
        <f>IF($CB21&lt;N_Ed-1E-9*MAX(1,N_Ed),(BY21+BZ21)/2,BY21)</f>
        <v/>
      </c>
      <c r="CD21">
        <f>IF($CB21&lt;N_Ed-1E-9*MAX(1,N_Ed),BZ21,(BY21+BZ21)/2)</f>
        <v/>
      </c>
      <c r="CE21">
        <f>h_col*((CC21+CD21)/2)/(1-(CC21+CD21)/2)</f>
        <v/>
      </c>
      <c r="CF21">
        <f>(f_cd*b_col*((3*MIN(CE21,h_col)/7)+(4*MIN(CE21,h_col)/7)*(1-((4*MIN(CE21,h_col)/7)/(CE21-(3*MIN(CE21,h_col)/7)))^2/3))+$D21/2*((MAX(-f_yd,MIN(f_yd,200000*IF(CE21&lt;=h_col,0.0035*(CE21-d_2)/CE21,0.002*(CE21-d_2)/(CE21-3*h_col/7))))-f_cd*(1-(1-MAX(0,MIN(1,IF(CE21&lt;=h_col,0.0035*(CE21-d_2)/CE21,0.002*(CE21-d_2)/(CE21-3*h_col/7))/0.002)))^2))+(MAX(-f_yd,MIN(f_yd,200000*IF(CE21&lt;=h_col,0.0035*(CE21-(h_col-d_2))/CE21,0.002*(CE21-(h_col-d_2))/(CE21-3*h_col/7))))-f_cd*(1-(1-MAX(0,MIN(1,IF(CE21&lt;=h_col,0.0035*(CE21-(h_col-d_2))/CE21,0.002*(CE21-(h_col-d_2))/(CE21-3*h_col/7))/0.002)))^2))))/1000</f>
        <v/>
      </c>
      <c r="CG21">
        <f>IF($CF21&lt;N_Ed-1E-9*MAX(1,N_Ed),(CC21+CD21)/2,CC21)</f>
        <v/>
      </c>
      <c r="CH21">
        <f>IF($CF21&lt;N_Ed-1E-9*MAX(1,N_Ed),CD21,(CC21+CD21)/2)</f>
        <v/>
      </c>
      <c r="CI21">
        <f>h_col*((CG21+CH21)/2)/(1-(CG21+CH21)/2)</f>
        <v/>
      </c>
      <c r="CJ21">
        <f>(f_cd*b_col*((3*MIN(CI21,h_col)/7)+(4*MIN(CI21,h_col)/7)*(1-((4*MIN(CI21,h_col)/7)/(CI21-(3*MIN(CI21,h_col)/7)))^2/3))+$D21/2*((MAX(-f_yd,MIN(f_yd,200000*IF(CI21&lt;=h_col,0.0035*(CI21-d_2)/CI21,0.002*(CI21-d_2)/(CI21-3*h_col/7))))-f_cd*(1-(1-MAX(0,MIN(1,IF(CI21&lt;=h_col,0.0035*(CI21-d_2)/CI21,0.002*(CI21-d_2)/(CI21-3*h_col/7))/0.002)))^2))+(MAX(-f_yd,MIN(f_yd,200000*IF(CI21&lt;=h_col,0.0035*(CI21-(h_col-d_2))/CI21,0.002*(CI21-(h_col-d_2))/(CI21-3*h_col/7))))-f_cd*(1-(1-MAX(0,MIN(1,IF(CI21&lt;=h_col,0.0035*(CI21-(h_col-d_2))/CI21,0.002*(CI21-(h_col-d_2))/(CI21-3*h_col/7))/0.002)))^2))))/1000</f>
        <v/>
      </c>
      <c r="CK21">
        <f>IF($CJ21&lt;N_Ed-1E-9*MAX(1,N_Ed),(CG21+CH21)/2,CG21)</f>
        <v/>
      </c>
      <c r="CL21">
        <f>IF($CJ21&lt;N_Ed-1E-9*MAX(1,N_Ed),CH21,(CG21+CH21)/2)</f>
        <v/>
      </c>
      <c r="CM21">
        <f>h_col*((CK21+CL21)/2)/(1-(CK21+CL21)/2)</f>
        <v/>
      </c>
      <c r="CN21">
        <f>(f_cd*b_col*((3*MIN(CM21,h_col)/7)+(4*MIN(CM21,h_col)/7)*(1-((4*MIN(CM21,h_col)/7)/(CM21-(3*MIN(CM21,h_col)/7)))^2/3))+$D21/2*((MAX(-f_yd,MIN(f_yd,200000*IF(CM21&lt;=h_col,0.0035*(CM21-d_2)/CM21,0.002*(CM21-d_2)/(CM21-3*h_col/7))))-f_cd*(1-(1-MAX(0,MIN(1,IF(CM21&lt;=h_col,0.0035*(CM21-d_2)/CM21,0.002*(CM21-d_2)/(CM21-3*h_col/7))/0.002)))^2))+(MAX(-f_yd,MIN(f_yd,200000*IF(CM21&lt;=h_col,0.0035*(CM21-(h_col-d_2))/CM21,0.002*(CM21-(h_col-d_2))/(CM21-3*h_col/7))))-f_cd*(1-(1-MAX(0,MIN(1,IF(CM21&lt;=h_col,0.0035*(CM21-(h_col-d_2))/CM21,0.002*(CM21-(h_col-d_2))/(CM21-3*h_col/7))/0.002)))^2))))/1000</f>
        <v/>
      </c>
      <c r="CO21">
        <f>IF($CN21&lt;N_Ed-1E-9*MAX(1,N_Ed),(CK21+CL21)/2,CK21)</f>
        <v/>
      </c>
      <c r="CP21">
        <f>IF($CN21&lt;N_Ed-1E-9*MAX(1,N_Ed),CL21,(CK21+CL21)/2)</f>
        <v/>
      </c>
      <c r="CQ21">
        <f>h_col*((CO21+CP21)/2)/(1-(CO21+CP21)/2)</f>
        <v/>
      </c>
      <c r="CR21">
        <f>(f_cd*b_col*((3*MIN(CQ21,h_col)/7)+(4*MIN(CQ21,h_col)/7)*(1-((4*MIN(CQ21,h_col)/7)/(CQ21-(3*MIN(CQ21,h_col)/7)))^2/3))+$D21/2*((MAX(-f_yd,MIN(f_yd,200000*IF(CQ21&lt;=h_col,0.0035*(CQ21-d_2)/CQ21,0.002*(CQ21-d_2)/(CQ21-3*h_col/7))))-f_cd*(1-(1-MAX(0,MIN(1,IF(CQ21&lt;=h_col,0.0035*(CQ21-d_2)/CQ21,0.002*(CQ21-d_2)/(CQ21-3*h_col/7))/0.002)))^2))+(MAX(-f_yd,MIN(f_yd,200000*IF(CQ21&lt;=h_col,0.0035*(CQ21-(h_col-d_2))/CQ21,0.002*(CQ21-(h_col-d_2))/(CQ21-3*h_col/7))))-f_cd*(1-(1-MAX(0,MIN(1,IF(CQ21&lt;=h_col,0.0035*(CQ21-(h_col-d_2))/CQ21,0.002*(CQ21-(h_col-d_2))/(CQ21-3*h_col/7))/0.002)))^2))))/1000</f>
        <v/>
      </c>
      <c r="CS21">
        <f>IF($CR21&lt;N_Ed-1E-9*MAX(1,N_Ed),(CO21+CP21)/2,CO21)</f>
        <v/>
      </c>
      <c r="CT21">
        <f>IF($CR21&lt;N_Ed-1E-9*MAX(1,N_Ed),CP21,(CO21+CP21)/2)</f>
        <v/>
      </c>
      <c r="CU21">
        <f>h_col*((CS21+CT21)/2)/(1-(CS21+CT21)/2)</f>
        <v/>
      </c>
      <c r="CV21">
        <f>(f_cd*b_col*((3*MIN(CU21,h_col)/7)+(4*MIN(CU21,h_col)/7)*(1-((4*MIN(CU21,h_col)/7)/(CU21-(3*MIN(CU21,h_col)/7)))^2/3))+$D21/2*((MAX(-f_yd,MIN(f_yd,200000*IF(CU21&lt;=h_col,0.0035*(CU21-d_2)/CU21,0.002*(CU21-d_2)/(CU21-3*h_col/7))))-f_cd*(1-(1-MAX(0,MIN(1,IF(CU21&lt;=h_col,0.0035*(CU21-d_2)/CU21,0.002*(CU21-d_2)/(CU21-3*h_col/7))/0.002)))^2))+(MAX(-f_yd,MIN(f_yd,200000*IF(CU21&lt;=h_col,0.0035*(CU21-(h_col-d_2))/CU21,0.002*(CU21-(h_col-d_2))/(CU21-3*h_col/7))))-f_cd*(1-(1-MAX(0,MIN(1,IF(CU21&lt;=h_col,0.0035*(CU21-(h_col-d_2))/CU21,0.002*(CU21-(h_col-d_2))/(CU21-3*h_col/7))/0.002)))^2))))/1000</f>
        <v/>
      </c>
      <c r="CW21">
        <f>IF($CV21&lt;N_Ed-1E-9*MAX(1,N_Ed),(CS21+CT21)/2,CS21)</f>
        <v/>
      </c>
      <c r="CX21">
        <f>IF($CV21&lt;N_Ed-1E-9*MAX(1,N_Ed),CT21,(CS21+CT21)/2)</f>
        <v/>
      </c>
      <c r="CY21">
        <f>h_col*((CW21+CX21)/2)/(1-(CW21+CX21)/2)</f>
        <v/>
      </c>
      <c r="CZ21">
        <f>(f_cd*b_col*((3*MIN(CY21,h_col)/7)+(4*MIN(CY21,h_col)/7)*(1-((4*MIN(CY21,h_col)/7)/(CY21-(3*MIN(CY21,h_col)/7)))^2/3))+$D21/2*((MAX(-f_yd,MIN(f_yd,200000*IF(CY21&lt;=h_col,0.0035*(CY21-d_2)/CY21,0.002*(CY21-d_2)/(CY21-3*h_col/7))))-f_cd*(1-(1-MAX(0,MIN(1,IF(CY21&lt;=h_col,0.0035*(CY21-d_2)/CY21,0.002*(CY21-d_2)/(CY21-3*h_col/7))/0.002)))^2))+(MAX(-f_yd,MIN(f_yd,200000*IF(CY21&lt;=h_col,0.0035*(CY21-(h_col-d_2))/CY21,0.002*(CY21-(h_col-d_2))/(CY21-3*h_col/7))))-f_cd*(1-(1-MAX(0,MIN(1,IF(CY21&lt;=h_col,0.0035*(CY21-(h_col-d_2))/CY21,0.002*(CY21-(h_col-d_2))/(CY21-3*h_col/7))/0.002)))^2))))/1000</f>
        <v/>
      </c>
      <c r="DA21">
        <f>IF($CZ21&lt;N_Ed-1E-9*MAX(1,N_Ed),(CW21+CX21)/2,CW21)</f>
        <v/>
      </c>
      <c r="DB21">
        <f>IF($CZ21&lt;N_Ed-1E-9*MAX(1,N_Ed),CX21,(CW21+CX21)/2)</f>
        <v/>
      </c>
      <c r="DC21">
        <f>h_col*((DA21+DB21)/2)/(1-(DA21+DB21)/2)</f>
        <v/>
      </c>
      <c r="DD21">
        <f>(f_cd*b_col*((3*MIN(DC21,h_col)/7)+(4*MIN(DC21,h_col)/7)*(1-((4*MIN(DC21,h_col)/7)/(DC21-(3*MIN(DC21,h_col)/7)))^2/3))+$D21/2*((MAX(-f_yd,MIN(f_yd,200000*IF(DC21&lt;=h_col,0.0035*(DC21-d_2)/DC21,0.002*(DC21-d_2)/(DC21-3*h_col/7))))-f_cd*(1-(1-MAX(0,MIN(1,IF(DC21&lt;=h_col,0.0035*(DC21-d_2)/DC21,0.002*(DC21-d_2)/(DC21-3*h_col/7))/0.002)))^2))+(MAX(-f_yd,MIN(f_yd,200000*IF(DC21&lt;=h_col,0.0035*(DC21-(h_col-d_2))/DC21,0.002*(DC21-(h_col-d_2))/(DC21-3*h_col/7))))-f_cd*(1-(1-MAX(0,MIN(1,IF(DC21&lt;=h_col,0.0035*(DC21-(h_col-d_2))/DC21,0.002*(DC21-(h_col-d_2))/(DC21-3*h_col/7))/0.002)))^2))))/1000</f>
        <v/>
      </c>
      <c r="DE21">
        <f>IF($DD21&lt;N_Ed-1E-9*MAX(1,N_Ed),(DA21+DB21)/2,DA21)</f>
        <v/>
      </c>
      <c r="DF21">
        <f>IF($DD21&lt;N_Ed-1E-9*MAX(1,N_Ed),DB21,(DA21+DB21)/2)</f>
        <v/>
      </c>
      <c r="DG21">
        <f>h_col*((DE21+DF21)/2)/(1-(DE21+DF21)/2)</f>
        <v/>
      </c>
      <c r="DH21">
        <f>(f_cd*b_col*((3*MIN(DG21,h_col)/7)+(4*MIN(DG21,h_col)/7)*(1-((4*MIN(DG21,h_col)/7)/(DG21-(3*MIN(DG21,h_col)/7)))^2/3))+$D21/2*((MAX(-f_yd,MIN(f_yd,200000*IF(DG21&lt;=h_col,0.0035*(DG21-d_2)/DG21,0.002*(DG21-d_2)/(DG21-3*h_col/7))))-f_cd*(1-(1-MAX(0,MIN(1,IF(DG21&lt;=h_col,0.0035*(DG21-d_2)/DG21,0.002*(DG21-d_2)/(DG21-3*h_col/7))/0.002)))^2))+(MAX(-f_yd,MIN(f_yd,200000*IF(DG21&lt;=h_col,0.0035*(DG21-(h_col-d_2))/DG21,0.002*(DG21-(h_col-d_2))/(DG21-3*h_col/7))))-f_cd*(1-(1-MAX(0,MIN(1,IF(DG21&lt;=h_col,0.0035*(DG21-(h_col-d_2))/DG21,0.002*(DG21-(h_col-d_2))/(DG21-3*h_col/7))/0.002)))^2))))/1000</f>
        <v/>
      </c>
      <c r="DI21">
        <f>IF($DH21&lt;N_Ed-1E-9*MAX(1,N_Ed),(DE21+DF21)/2,DE21)</f>
        <v/>
      </c>
      <c r="DJ21">
        <f>IF($DH21&lt;N_Ed-1E-9*MAX(1,N_Ed),DF21,(DE21+DF21)/2)</f>
        <v/>
      </c>
      <c r="DK21">
        <f>h_col*((DI21+DJ21)/2)/(1-(DI21+DJ21)/2)</f>
        <v/>
      </c>
      <c r="DL21">
        <f>(f_cd*b_col*((3*MIN(DK21,h_col)/7)+(4*MIN(DK21,h_col)/7)*(1-((4*MIN(DK21,h_col)/7)/(DK21-(3*MIN(DK21,h_col)/7)))^2/3))+$D21/2*((MAX(-f_yd,MIN(f_yd,200000*IF(DK21&lt;=h_col,0.0035*(DK21-d_2)/DK21,0.002*(DK21-d_2)/(DK21-3*h_col/7))))-f_cd*(1-(1-MAX(0,MIN(1,IF(DK21&lt;=h_col,0.0035*(DK21-d_2)/DK21,0.002*(DK21-d_2)/(DK21-3*h_col/7))/0.002)))^2))+(MAX(-f_yd,MIN(f_yd,200000*IF(DK21&lt;=h_col,0.0035*(DK21-(h_col-d_2))/DK21,0.002*(DK21-(h_col-d_2))/(DK21-3*h_col/7))))-f_cd*(1-(1-MAX(0,MIN(1,IF(DK21&lt;=h_col,0.0035*(DK21-(h_col-d_2))/DK21,0.002*(DK21-(h_col-d_2))/(DK21-3*h_col/7))/0.002)))^2))))/1000</f>
        <v/>
      </c>
      <c r="DM21">
        <f>IF($DL21&lt;N_Ed-1E-9*MAX(1,N_Ed),(DI21+DJ21)/2,DI21)</f>
        <v/>
      </c>
      <c r="DN21">
        <f>IF($DL21&lt;N_Ed-1E-9*MAX(1,N_Ed),DJ21,(DI21+DJ21)/2)</f>
        <v/>
      </c>
      <c r="DO21">
        <f>h_col*((DM21+DN21)/2)/(1-(DM21+DN21)/2)</f>
        <v/>
      </c>
      <c r="DP21">
        <f>(f_cd*b_col*((3*MIN(DO21,h_col)/7)+(4*MIN(DO21,h_col)/7)*(1-((4*MIN(DO21,h_col)/7)/(DO21-(3*MIN(DO21,h_col)/7)))^2/3))+$D21/2*((MAX(-f_yd,MIN(f_yd,200000*IF(DO21&lt;=h_col,0.0035*(DO21-d_2)/DO21,0.002*(DO21-d_2)/(DO21-3*h_col/7))))-f_cd*(1-(1-MAX(0,MIN(1,IF(DO21&lt;=h_col,0.0035*(DO21-d_2)/DO21,0.002*(DO21-d_2)/(DO21-3*h_col/7))/0.002)))^2))+(MAX(-f_yd,MIN(f_yd,200000*IF(DO21&lt;=h_col,0.0035*(DO21-(h_col-d_2))/DO21,0.002*(DO21-(h_col-d_2))/(DO21-3*h_col/7))))-f_cd*(1-(1-MAX(0,MIN(1,IF(DO21&lt;=h_col,0.0035*(DO21-(h_col-d_2))/DO21,0.002*(DO21-(h_col-d_2))/(DO21-3*h_col/7))/0.002)))^2))))/1000</f>
        <v/>
      </c>
      <c r="DQ21">
        <f>IF($DP21&lt;N_Ed-1E-9*MAX(1,N_Ed),(DM21+DN21)/2,DM21)</f>
        <v/>
      </c>
      <c r="DR21">
        <f>IF($DP21&lt;N_Ed-1E-9*MAX(1,N_Ed),DN21,(DM21+DN21)/2)</f>
        <v/>
      </c>
      <c r="DS21">
        <f>h_col*((DQ21+DR21)/2)/(1-(DQ21+DR21)/2)</f>
        <v/>
      </c>
      <c r="DT21">
        <f>(f_cd*b_col*((3*MIN(DS21,h_col)/7)+(4*MIN(DS21,h_col)/7)*(1-((4*MIN(DS21,h_col)/7)/(DS21-(3*MIN(DS21,h_col)/7)))^2/3))+$D21/2*((MAX(-f_yd,MIN(f_yd,200000*IF(DS21&lt;=h_col,0.0035*(DS21-d_2)/DS21,0.002*(DS21-d_2)/(DS21-3*h_col/7))))-f_cd*(1-(1-MAX(0,MIN(1,IF(DS21&lt;=h_col,0.0035*(DS21-d_2)/DS21,0.002*(DS21-d_2)/(DS21-3*h_col/7))/0.002)))^2))+(MAX(-f_yd,MIN(f_yd,200000*IF(DS21&lt;=h_col,0.0035*(DS21-(h_col-d_2))/DS21,0.002*(DS21-(h_col-d_2))/(DS21-3*h_col/7))))-f_cd*(1-(1-MAX(0,MIN(1,IF(DS21&lt;=h_col,0.0035*(DS21-(h_col-d_2))/DS21,0.002*(DS21-(h_col-d_2))/(DS21-3*h_col/7))/0.002)))^2))))/1000</f>
        <v/>
      </c>
      <c r="DU21">
        <f>IF($DT21&lt;N_Ed-1E-9*MAX(1,N_Ed),(DQ21+DR21)/2,DQ21)</f>
        <v/>
      </c>
      <c r="DV21">
        <f>IF($DT21&lt;N_Ed-1E-9*MAX(1,N_Ed),DR21,(DQ21+DR21)/2)</f>
        <v/>
      </c>
      <c r="DW21">
        <f>h_col*((DU21+DV21)/2)/(1-(DU21+DV21)/2)</f>
        <v/>
      </c>
      <c r="DX21">
        <f>(f_cd*b_col*((3*MIN(DW21,h_col)/7)+(4*MIN(DW21,h_col)/7)*(1-((4*MIN(DW21,h_col)/7)/(DW21-(3*MIN(DW21,h_col)/7)))^2/3))+$D21/2*((MAX(-f_yd,MIN(f_yd,200000*IF(DW21&lt;=h_col,0.0035*(DW21-d_2)/DW21,0.002*(DW21-d_2)/(DW21-3*h_col/7))))-f_cd*(1-(1-MAX(0,MIN(1,IF(DW21&lt;=h_col,0.0035*(DW21-d_2)/DW21,0.002*(DW21-d_2)/(DW21-3*h_col/7))/0.002)))^2))+(MAX(-f_yd,MIN(f_yd,200000*IF(DW21&lt;=h_col,0.0035*(DW21-(h_col-d_2))/DW21,0.002*(DW21-(h_col-d_2))/(DW21-3*h_col/7))))-f_cd*(1-(1-MAX(0,MIN(1,IF(DW21&lt;=h_col,0.0035*(DW21-(h_col-d_2))/DW21,0.002*(DW21-(h_col-d_2))/(DW21-3*h_col/7))/0.002)))^2))))/1000</f>
        <v/>
      </c>
      <c r="DY21">
        <f>IF($DX21&lt;N_Ed-1E-9*MAX(1,N_Ed),(DU21+DV21)/2,DU21)</f>
        <v/>
      </c>
      <c r="DZ21">
        <f>IF($DX21&lt;N_Ed-1E-9*MAX(1,N_Ed),DV21,(DU21+DV21)/2)</f>
        <v/>
      </c>
      <c r="EA21">
        <f>h_col*((DY21+DZ21)/2)/(1-(DY21+DZ21)/2)</f>
        <v/>
      </c>
      <c r="EB21">
        <f>(f_cd*b_col*((3*MIN(EA21,h_col)/7)+(4*MIN(EA21,h_col)/7)*(1-((4*MIN(EA21,h_col)/7)/(EA21-(3*MIN(EA21,h_col)/7)))^2/3))+$D21/2*((MAX(-f_yd,MIN(f_yd,200000*IF(EA21&lt;=h_col,0.0035*(EA21-d_2)/EA21,0.002*(EA21-d_2)/(EA21-3*h_col/7))))-f_cd*(1-(1-MAX(0,MIN(1,IF(EA21&lt;=h_col,0.0035*(EA21-d_2)/EA21,0.002*(EA21-d_2)/(EA21-3*h_col/7))/0.002)))^2))+(MAX(-f_yd,MIN(f_yd,200000*IF(EA21&lt;=h_col,0.0035*(EA21-(h_col-d_2))/EA21,0.002*(EA21-(h_col-d_2))/(EA21-3*h_col/7))))-f_cd*(1-(1-MAX(0,MIN(1,IF(EA21&lt;=h_col,0.0035*(EA21-(h_col-d_2))/EA21,0.002*(EA21-(h_col-d_2))/(EA21-3*h_col/7))/0.002)))^2))))/1000</f>
        <v/>
      </c>
      <c r="EC21">
        <f>IF($EB21&lt;N_Ed-1E-9*MAX(1,N_Ed),(DY21+DZ21)/2,DY21)</f>
        <v/>
      </c>
      <c r="ED21">
        <f>IF($EB21&lt;N_Ed-1E-9*MAX(1,N_Ed),DZ21,(DY21+DZ21)/2)</f>
        <v/>
      </c>
      <c r="EE21">
        <f>h_col*((EC21+ED21)/2)/(1-(EC21+ED21)/2)</f>
        <v/>
      </c>
      <c r="EF21">
        <f>(f_cd*b_col*((3*MIN(EE21,h_col)/7)+(4*MIN(EE21,h_col)/7)*(1-((4*MIN(EE21,h_col)/7)/(EE21-(3*MIN(EE21,h_col)/7)))^2/3))+$D21/2*((MAX(-f_yd,MIN(f_yd,200000*IF(EE21&lt;=h_col,0.0035*(EE21-d_2)/EE21,0.002*(EE21-d_2)/(EE21-3*h_col/7))))-f_cd*(1-(1-MAX(0,MIN(1,IF(EE21&lt;=h_col,0.0035*(EE21-d_2)/EE21,0.002*(EE21-d_2)/(EE21-3*h_col/7))/0.002)))^2))+(MAX(-f_yd,MIN(f_yd,200000*IF(EE21&lt;=h_col,0.0035*(EE21-(h_col-d_2))/EE21,0.002*(EE21-(h_col-d_2))/(EE21-3*h_col/7))))-f_cd*(1-(1-MAX(0,MIN(1,IF(EE21&lt;=h_col,0.0035*(EE21-(h_col-d_2))/EE21,0.002*(EE21-(h_col-d_2))/(EE21-3*h_col/7))/0.002)))^2))))/1000</f>
        <v/>
      </c>
      <c r="EG21">
        <f>IF($EF21&lt;N_Ed-1E-9*MAX(1,N_Ed),(EC21+ED21)/2,EC21)</f>
        <v/>
      </c>
      <c r="EH21">
        <f>IF($EF21&lt;N_Ed-1E-9*MAX(1,N_Ed),ED21,(EC21+ED21)/2)</f>
        <v/>
      </c>
      <c r="EI21">
        <f>h_col*((EG21+EH21)/2)/(1-(EG21+EH21)/2)</f>
        <v/>
      </c>
      <c r="EJ21">
        <f>(f_cd*b_col*((3*MIN(EI21,h_col)/7)+(4*MIN(EI21,h_col)/7)*(1-((4*MIN(EI21,h_col)/7)/(EI21-(3*MIN(EI21,h_col)/7)))^2/3))+$D21/2*((MAX(-f_yd,MIN(f_yd,200000*IF(EI21&lt;=h_col,0.0035*(EI21-d_2)/EI21,0.002*(EI21-d_2)/(EI21-3*h_col/7))))-f_cd*(1-(1-MAX(0,MIN(1,IF(EI21&lt;=h_col,0.0035*(EI21-d_2)/EI21,0.002*(EI21-d_2)/(EI21-3*h_col/7))/0.002)))^2))+(MAX(-f_yd,MIN(f_yd,200000*IF(EI21&lt;=h_col,0.0035*(EI21-(h_col-d_2))/EI21,0.002*(EI21-(h_col-d_2))/(EI21-3*h_col/7))))-f_cd*(1-(1-MAX(0,MIN(1,IF(EI21&lt;=h_col,0.0035*(EI21-(h_col-d_2))/EI21,0.002*(EI21-(h_col-d_2))/(EI21-3*h_col/7))/0.002)))^2))))/1000</f>
        <v/>
      </c>
      <c r="EK21">
        <f>IF($EJ21&lt;N_Ed-1E-9*MAX(1,N_Ed),(EG21+EH21)/2,EG21)</f>
        <v/>
      </c>
      <c r="EL21">
        <f>IF($EJ21&lt;N_Ed-1E-9*MAX(1,N_Ed),EH21,(EG21+EH21)/2)</f>
        <v/>
      </c>
      <c r="EM21">
        <f>h_col*((EK21+EL21)/2)/(1-(EK21+EL21)/2)</f>
        <v/>
      </c>
      <c r="EN21">
        <f>(f_cd*b_col*((3*MIN(EM21,h_col)/7)+(4*MIN(EM21,h_col)/7)*(1-((4*MIN(EM21,h_col)/7)/(EM21-(3*MIN(EM21,h_col)/7)))^2/3))+$D21/2*((MAX(-f_yd,MIN(f_yd,200000*IF(EM21&lt;=h_col,0.0035*(EM21-d_2)/EM21,0.002*(EM21-d_2)/(EM21-3*h_col/7))))-f_cd*(1-(1-MAX(0,MIN(1,IF(EM21&lt;=h_col,0.0035*(EM21-d_2)/EM21,0.002*(EM21-d_2)/(EM21-3*h_col/7))/0.002)))^2))+(MAX(-f_yd,MIN(f_yd,200000*IF(EM21&lt;=h_col,0.0035*(EM21-(h_col-d_2))/EM21,0.002*(EM21-(h_col-d_2))/(EM21-3*h_col/7))))-f_cd*(1-(1-MAX(0,MIN(1,IF(EM21&lt;=h_col,0.0035*(EM21-(h_col-d_2))/EM21,0.002*(EM21-(h_col-d_2))/(EM21-3*h_col/7))/0.002)))^2))))/1000</f>
        <v/>
      </c>
      <c r="EO21">
        <f>IF($EN21&lt;N_Ed-1E-9*MAX(1,N_Ed),(EK21+EL21)/2,EK21)</f>
        <v/>
      </c>
      <c r="EP21">
        <f>IF($EN21&lt;N_Ed-1E-9*MAX(1,N_Ed),EL21,(EK21+EL21)/2)</f>
        <v/>
      </c>
      <c r="EQ21">
        <f>h_col*((EO21+EP21)/2)/(1-(EO21+EP21)/2)</f>
        <v/>
      </c>
      <c r="ER21">
        <f>(f_cd*b_col*((3*MIN(EQ21,h_col)/7)+(4*MIN(EQ21,h_col)/7)*(1-((4*MIN(EQ21,h_col)/7)/(EQ21-(3*MIN(EQ21,h_col)/7)))^2/3))+$D21/2*((MAX(-f_yd,MIN(f_yd,200000*IF(EQ21&lt;=h_col,0.0035*(EQ21-d_2)/EQ21,0.002*(EQ21-d_2)/(EQ21-3*h_col/7))))-f_cd*(1-(1-MAX(0,MIN(1,IF(EQ21&lt;=h_col,0.0035*(EQ21-d_2)/EQ21,0.002*(EQ21-d_2)/(EQ21-3*h_col/7))/0.002)))^2))+(MAX(-f_yd,MIN(f_yd,200000*IF(EQ21&lt;=h_col,0.0035*(EQ21-(h_col-d_2))/EQ21,0.002*(EQ21-(h_col-d_2))/(EQ21-3*h_col/7))))-f_cd*(1-(1-MAX(0,MIN(1,IF(EQ21&lt;=h_col,0.0035*(EQ21-(h_col-d_2))/EQ21,0.002*(EQ21-(h_col-d_2))/(EQ21-3*h_col/7))/0.002)))^2))))/1000</f>
        <v/>
      </c>
      <c r="ES21">
        <f>IF($ER21&lt;N_Ed-1E-9*MAX(1,N_Ed),(EO21+EP21)/2,EO21)</f>
        <v/>
      </c>
      <c r="ET21">
        <f>IF($ER21&lt;N_Ed-1E-9*MAX(1,N_Ed),EP21,(EO21+EP21)/2)</f>
        <v/>
      </c>
      <c r="EU21">
        <f>h_col*((ES21+ET21)/2)/(1-(ES21+ET21)/2)</f>
        <v/>
      </c>
      <c r="EV21">
        <f>(f_cd*b_col*((3*MIN(EU21,h_col)/7)+(4*MIN(EU21,h_col)/7)*(1-((4*MIN(EU21,h_col)/7)/(EU21-(3*MIN(EU21,h_col)/7)))^2/3))+$D21/2*((MAX(-f_yd,MIN(f_yd,200000*IF(EU21&lt;=h_col,0.0035*(EU21-d_2)/EU21,0.002*(EU21-d_2)/(EU21-3*h_col/7))))-f_cd*(1-(1-MAX(0,MIN(1,IF(EU21&lt;=h_col,0.0035*(EU21-d_2)/EU21,0.002*(EU21-d_2)/(EU21-3*h_col/7))/0.002)))^2))+(MAX(-f_yd,MIN(f_yd,200000*IF(EU21&lt;=h_col,0.0035*(EU21-(h_col-d_2))/EU21,0.002*(EU21-(h_col-d_2))/(EU21-3*h_col/7))))-f_cd*(1-(1-MAX(0,MIN(1,IF(EU21&lt;=h_col,0.0035*(EU21-(h_col-d_2))/EU21,0.002*(EU21-(h_col-d_2))/(EU21-3*h_col/7))/0.002)))^2))))/1000</f>
        <v/>
      </c>
      <c r="EW21">
        <f>IF($EV21&lt;N_Ed-1E-9*MAX(1,N_Ed),(ES21+ET21)/2,ES21)</f>
        <v/>
      </c>
      <c r="EX21">
        <f>IF($EV21&lt;N_Ed-1E-9*MAX(1,N_Ed),ET21,(ES21+ET21)/2)</f>
        <v/>
      </c>
      <c r="EY21">
        <f>h_col*((EW21+EX21)/2)/(1-(EW21+EX21)/2)</f>
        <v/>
      </c>
      <c r="EZ21">
        <f>(f_cd*b_col*((3*MIN(EY21,h_col)/7)+(4*MIN(EY21,h_col)/7)*(1-((4*MIN(EY21,h_col)/7)/(EY21-(3*MIN(EY21,h_col)/7)))^2/3))+$D21/2*((MAX(-f_yd,MIN(f_yd,200000*IF(EY21&lt;=h_col,0.0035*(EY21-d_2)/EY21,0.002*(EY21-d_2)/(EY21-3*h_col/7))))-f_cd*(1-(1-MAX(0,MIN(1,IF(EY21&lt;=h_col,0.0035*(EY21-d_2)/EY21,0.002*(EY21-d_2)/(EY21-3*h_col/7))/0.002)))^2))+(MAX(-f_yd,MIN(f_yd,200000*IF(EY21&lt;=h_col,0.0035*(EY21-(h_col-d_2))/EY21,0.002*(EY21-(h_col-d_2))/(EY21-3*h_col/7))))-f_cd*(1-(1-MAX(0,MIN(1,IF(EY21&lt;=h_col,0.0035*(EY21-(h_col-d_2))/EY21,0.002*(EY21-(h_col-d_2))/(EY21-3*h_col/7))/0.002)))^2))))/1000</f>
        <v/>
      </c>
      <c r="FA21">
        <f>IF($EZ21&lt;N_Ed-1E-9*MAX(1,N_Ed),(EW21+EX21)/2,EW21)</f>
        <v/>
      </c>
      <c r="FB21">
        <f>IF($EZ21&lt;N_Ed-1E-9*MAX(1,N_Ed),EX21,(EW21+EX21)/2)</f>
        <v/>
      </c>
      <c r="FC21">
        <f>h_col*((FA21+FB21)/2)/(1-(FA21+FB21)/2)</f>
        <v/>
      </c>
      <c r="FD21">
        <f>(f_cd*b_col*((3*MIN(FC21,h_col)/7)+(4*MIN(FC21,h_col)/7)*(1-((4*MIN(FC21,h_col)/7)/(FC21-(3*MIN(FC21,h_col)/7)))^2/3))+$D21/2*((MAX(-f_yd,MIN(f_yd,200000*IF(FC21&lt;=h_col,0.0035*(FC21-d_2)/FC21,0.002*(FC21-d_2)/(FC21-3*h_col/7))))-f_cd*(1-(1-MAX(0,MIN(1,IF(FC21&lt;=h_col,0.0035*(FC21-d_2)/FC21,0.002*(FC21-d_2)/(FC21-3*h_col/7))/0.002)))^2))+(MAX(-f_yd,MIN(f_yd,200000*IF(FC21&lt;=h_col,0.0035*(FC21-(h_col-d_2))/FC21,0.002*(FC21-(h_col-d_2))/(FC21-3*h_col/7))))-f_cd*(1-(1-MAX(0,MIN(1,IF(FC21&lt;=h_col,0.0035*(FC21-(h_col-d_2))/FC21,0.002*(FC21-(h_col-d_2))/(FC21-3*h_col/7))/0.002)))^2))))/1000</f>
        <v/>
      </c>
      <c r="FE21">
        <f>IF($FD21&lt;N_Ed-1E-9*MAX(1,N_Ed),(FA21+FB21)/2,FA21)</f>
        <v/>
      </c>
      <c r="FF21">
        <f>IF($FD21&lt;N_Ed-1E-9*MAX(1,N_Ed),FB21,(FA21+FB21)/2)</f>
        <v/>
      </c>
      <c r="FG21">
        <f>h_col*((FE21+FF21)/2)/(1-(FE21+FF21)/2)</f>
        <v/>
      </c>
      <c r="FH21">
        <f>(f_cd*b_col*((3*MIN(FG21,h_col)/7)+(4*MIN(FG21,h_col)/7)*(1-((4*MIN(FG21,h_col)/7)/(FG21-(3*MIN(FG21,h_col)/7)))^2/3))+$D21/2*((MAX(-f_yd,MIN(f_yd,200000*IF(FG21&lt;=h_col,0.0035*(FG21-d_2)/FG21,0.002*(FG21-d_2)/(FG21-3*h_col/7))))-f_cd*(1-(1-MAX(0,MIN(1,IF(FG21&lt;=h_col,0.0035*(FG21-d_2)/FG21,0.002*(FG21-d_2)/(FG21-3*h_col/7))/0.002)))^2))+(MAX(-f_yd,MIN(f_yd,200000*IF(FG21&lt;=h_col,0.0035*(FG21-(h_col-d_2))/FG21,0.002*(FG21-(h_col-d_2))/(FG21-3*h_col/7))))-f_cd*(1-(1-MAX(0,MIN(1,IF(FG21&lt;=h_col,0.0035*(FG21-(h_col-d_2))/FG21,0.002*(FG21-(h_col-d_2))/(FG21-3*h_col/7))/0.002)))^2))))/1000</f>
        <v/>
      </c>
      <c r="FI21">
        <f>IF($FH21&lt;N_Ed-1E-9*MAX(1,N_Ed),(FE21+FF21)/2,FE21)</f>
        <v/>
      </c>
      <c r="FJ21">
        <f>IF($FH21&lt;N_Ed-1E-9*MAX(1,N_Ed),FF21,(FE21+FF21)/2)</f>
        <v/>
      </c>
      <c r="FK21">
        <f>h_col*((FI21+FJ21)/2)/(1-(FI21+FJ21)/2)</f>
        <v/>
      </c>
      <c r="FL21">
        <f>(f_cd*b_col*((3*MIN(FK21,h_col)/7)+(4*MIN(FK21,h_col)/7)*(1-((4*MIN(FK21,h_col)/7)/(FK21-(3*MIN(FK21,h_col)/7)))^2/3))+$D21/2*((MAX(-f_yd,MIN(f_yd,200000*IF(FK21&lt;=h_col,0.0035*(FK21-d_2)/FK21,0.002*(FK21-d_2)/(FK21-3*h_col/7))))-f_cd*(1-(1-MAX(0,MIN(1,IF(FK21&lt;=h_col,0.0035*(FK21-d_2)/FK21,0.002*(FK21-d_2)/(FK21-3*h_col/7))/0.002)))^2))+(MAX(-f_yd,MIN(f_yd,200000*IF(FK21&lt;=h_col,0.0035*(FK21-(h_col-d_2))/FK21,0.002*(FK21-(h_col-d_2))/(FK21-3*h_col/7))))-f_cd*(1-(1-MAX(0,MIN(1,IF(FK21&lt;=h_col,0.0035*(FK21-(h_col-d_2))/FK21,0.002*(FK21-(h_col-d_2))/(FK21-3*h_col/7))/0.002)))^2))))/1000</f>
        <v/>
      </c>
      <c r="FM21">
        <f>IF($FL21&lt;N_Ed-1E-9*MAX(1,N_Ed),(FI21+FJ21)/2,FI21)</f>
        <v/>
      </c>
      <c r="FN21">
        <f>IF($FL21&lt;N_Ed-1E-9*MAX(1,N_Ed),FJ21,(FI21+FJ21)/2)</f>
        <v/>
      </c>
      <c r="FO21">
        <f>h_col*((FM21+FN21)/2)/(1-(FM21+FN21)/2)</f>
        <v/>
      </c>
      <c r="FP21">
        <f>(f_cd*b_col*((3*MIN(FO21,h_col)/7)+(4*MIN(FO21,h_col)/7)*(1-((4*MIN(FO21,h_col)/7)/(FO21-(3*MIN(FO21,h_col)/7)))^2/3))+$D21/2*((MAX(-f_yd,MIN(f_yd,200000*IF(FO21&lt;=h_col,0.0035*(FO21-d_2)/FO21,0.002*(FO21-d_2)/(FO21-3*h_col/7))))-f_cd*(1-(1-MAX(0,MIN(1,IF(FO21&lt;=h_col,0.0035*(FO21-d_2)/FO21,0.002*(FO21-d_2)/(FO21-3*h_col/7))/0.002)))^2))+(MAX(-f_yd,MIN(f_yd,200000*IF(FO21&lt;=h_col,0.0035*(FO21-(h_col-d_2))/FO21,0.002*(FO21-(h_col-d_2))/(FO21-3*h_col/7))))-f_cd*(1-(1-MAX(0,MIN(1,IF(FO21&lt;=h_col,0.0035*(FO21-(h_col-d_2))/FO21,0.002*(FO21-(h_col-d_2))/(FO21-3*h_col/7))/0.002)))^2))))/1000</f>
        <v/>
      </c>
      <c r="FQ21">
        <f>IF($FP21&lt;N_Ed-1E-9*MAX(1,N_Ed),(FM21+FN21)/2,FM21)</f>
        <v/>
      </c>
      <c r="FR21">
        <f>IF($FP21&lt;N_Ed-1E-9*MAX(1,N_Ed),FN21,(FM21+FN21)/2)</f>
        <v/>
      </c>
      <c r="FS21">
        <f>h_col*((FQ21+FR21)/2)/(1-(FQ21+FR21)/2)</f>
        <v/>
      </c>
      <c r="FT21">
        <f>(f_cd*b_col*((3*MIN(FS21,h_col)/7)+(4*MIN(FS21,h_col)/7)*(1-((4*MIN(FS21,h_col)/7)/(FS21-(3*MIN(FS21,h_col)/7)))^2/3))+$D21/2*((MAX(-f_yd,MIN(f_yd,200000*IF(FS21&lt;=h_col,0.0035*(FS21-d_2)/FS21,0.002*(FS21-d_2)/(FS21-3*h_col/7))))-f_cd*(1-(1-MAX(0,MIN(1,IF(FS21&lt;=h_col,0.0035*(FS21-d_2)/FS21,0.002*(FS21-d_2)/(FS21-3*h_col/7))/0.002)))^2))+(MAX(-f_yd,MIN(f_yd,200000*IF(FS21&lt;=h_col,0.0035*(FS21-(h_col-d_2))/FS21,0.002*(FS21-(h_col-d_2))/(FS21-3*h_col/7))))-f_cd*(1-(1-MAX(0,MIN(1,IF(FS21&lt;=h_col,0.0035*(FS21-(h_col-d_2))/FS21,0.002*(FS21-(h_col-d_2))/(FS21-3*h_col/7))/0.002)))^2))))/1000</f>
        <v/>
      </c>
      <c r="FU21">
        <f>IF($FT21&lt;N_Ed-1E-9*MAX(1,N_Ed),(FQ21+FR21)/2,FQ21)</f>
        <v/>
      </c>
      <c r="FV21">
        <f>IF($FT21&lt;N_Ed-1E-9*MAX(1,N_Ed),FR21,(FQ21+FR21)/2)</f>
        <v/>
      </c>
      <c r="FW21">
        <f>h_col*((FU21+FV21)/2)/(1-(FU21+FV21)/2)</f>
        <v/>
      </c>
      <c r="FX21">
        <f>(f_cd*b_col*((3*MIN(FW21,h_col)/7)+(4*MIN(FW21,h_col)/7)*(1-((4*MIN(FW21,h_col)/7)/(FW21-(3*MIN(FW21,h_col)/7)))^2/3))+$D21/2*((MAX(-f_yd,MIN(f_yd,200000*IF(FW21&lt;=h_col,0.0035*(FW21-d_2)/FW21,0.002*(FW21-d_2)/(FW21-3*h_col/7))))-f_cd*(1-(1-MAX(0,MIN(1,IF(FW21&lt;=h_col,0.0035*(FW21-d_2)/FW21,0.002*(FW21-d_2)/(FW21-3*h_col/7))/0.002)))^2))+(MAX(-f_yd,MIN(f_yd,200000*IF(FW21&lt;=h_col,0.0035*(FW21-(h_col-d_2))/FW21,0.002*(FW21-(h_col-d_2))/(FW21-3*h_col/7))))-f_cd*(1-(1-MAX(0,MIN(1,IF(FW21&lt;=h_col,0.0035*(FW21-(h_col-d_2))/FW21,0.002*(FW21-(h_col-d_2))/(FW21-3*h_col/7))/0.002)))^2))))/1000</f>
        <v/>
      </c>
      <c r="FY21">
        <f>IF($FX21&lt;N_Ed-1E-9*MAX(1,N_Ed),(FU21+FV21)/2,FU21)</f>
        <v/>
      </c>
      <c r="FZ21">
        <f>IF($FX21&lt;N_Ed-1E-9*MAX(1,N_Ed),FV21,(FU21+FV21)/2)</f>
        <v/>
      </c>
      <c r="GA21">
        <f>h_col*((FY21+FZ21)/2)/(1-(FY21+FZ21)/2)</f>
        <v/>
      </c>
      <c r="GB21">
        <f>(f_cd*b_col*((3*MIN(GA21,h_col)/7)+(4*MIN(GA21,h_col)/7)*(1-((4*MIN(GA21,h_col)/7)/(GA21-(3*MIN(GA21,h_col)/7)))^2/3))+$D21/2*((MAX(-f_yd,MIN(f_yd,200000*IF(GA21&lt;=h_col,0.0035*(GA21-d_2)/GA21,0.002*(GA21-d_2)/(GA21-3*h_col/7))))-f_cd*(1-(1-MAX(0,MIN(1,IF(GA21&lt;=h_col,0.0035*(GA21-d_2)/GA21,0.002*(GA21-d_2)/(GA21-3*h_col/7))/0.002)))^2))+(MAX(-f_yd,MIN(f_yd,200000*IF(GA21&lt;=h_col,0.0035*(GA21-(h_col-d_2))/GA21,0.002*(GA21-(h_col-d_2))/(GA21-3*h_col/7))))-f_cd*(1-(1-MAX(0,MIN(1,IF(GA21&lt;=h_col,0.0035*(GA21-(h_col-d_2))/GA21,0.002*(GA21-(h_col-d_2))/(GA21-3*h_col/7))/0.002)))^2))))/1000</f>
        <v/>
      </c>
      <c r="GC21">
        <f>IF($GB21&lt;N_Ed-1E-9*MAX(1,N_Ed),(FY21+FZ21)/2,FY21)</f>
        <v/>
      </c>
      <c r="GD21">
        <f>IF($GB21&lt;N_Ed-1E-9*MAX(1,N_Ed),FZ21,(FY21+FZ21)/2)</f>
        <v/>
      </c>
      <c r="GE21">
        <f>h_col*((GC21+GD21)/2)/(1-(GC21+GD21)/2)</f>
        <v/>
      </c>
      <c r="GF21">
        <f>(f_cd*b_col*((3*MIN(GE21,h_col)/7)+(4*MIN(GE21,h_col)/7)*(1-((4*MIN(GE21,h_col)/7)/(GE21-(3*MIN(GE21,h_col)/7)))^2/3))+$D21/2*((MAX(-f_yd,MIN(f_yd,200000*IF(GE21&lt;=h_col,0.0035*(GE21-d_2)/GE21,0.002*(GE21-d_2)/(GE21-3*h_col/7))))-f_cd*(1-(1-MAX(0,MIN(1,IF(GE21&lt;=h_col,0.0035*(GE21-d_2)/GE21,0.002*(GE21-d_2)/(GE21-3*h_col/7))/0.002)))^2))+(MAX(-f_yd,MIN(f_yd,200000*IF(GE21&lt;=h_col,0.0035*(GE21-(h_col-d_2))/GE21,0.002*(GE21-(h_col-d_2))/(GE21-3*h_col/7))))-f_cd*(1-(1-MAX(0,MIN(1,IF(GE21&lt;=h_col,0.0035*(GE21-(h_col-d_2))/GE21,0.002*(GE21-(h_col-d_2))/(GE21-3*h_col/7))/0.002)))^2))))/1000</f>
        <v/>
      </c>
      <c r="GG21">
        <f>IF($GF21&lt;N_Ed-1E-9*MAX(1,N_Ed),(GC21+GD21)/2,GC21)</f>
        <v/>
      </c>
      <c r="GH21">
        <f>IF($GF21&lt;N_Ed-1E-9*MAX(1,N_Ed),GD21,(GC21+GD21)/2)</f>
        <v/>
      </c>
      <c r="GI21">
        <f>h_col*((GG21+GH21)/2)/(1-(GG21+GH21)/2)</f>
        <v/>
      </c>
      <c r="GJ21">
        <f>(f_cd*b_col*((3*MIN(GI21,h_col)/7)+(4*MIN(GI21,h_col)/7)*(1-((4*MIN(GI21,h_col)/7)/(GI21-(3*MIN(GI21,h_col)/7)))^2/3))+$D21/2*((MAX(-f_yd,MIN(f_yd,200000*IF(GI21&lt;=h_col,0.0035*(GI21-d_2)/GI21,0.002*(GI21-d_2)/(GI21-3*h_col/7))))-f_cd*(1-(1-MAX(0,MIN(1,IF(GI21&lt;=h_col,0.0035*(GI21-d_2)/GI21,0.002*(GI21-d_2)/(GI21-3*h_col/7))/0.002)))^2))+(MAX(-f_yd,MIN(f_yd,200000*IF(GI21&lt;=h_col,0.0035*(GI21-(h_col-d_2))/GI21,0.002*(GI21-(h_col-d_2))/(GI21-3*h_col/7))))-f_cd*(1-(1-MAX(0,MIN(1,IF(GI21&lt;=h_col,0.0035*(GI21-(h_col-d_2))/GI21,0.002*(GI21-(h_col-d_2))/(GI21-3*h_col/7))/0.002)))^2))))/1000</f>
        <v/>
      </c>
      <c r="GK21">
        <f>IF($GJ21&lt;N_Ed-1E-9*MAX(1,N_Ed),(GG21+GH21)/2,GG21)</f>
        <v/>
      </c>
      <c r="GL21">
        <f>IF($GJ21&lt;N_Ed-1E-9*MAX(1,N_Ed),GH21,(GG21+GH21)/2)</f>
        <v/>
      </c>
      <c r="GM21">
        <f>h_col*((GK21+GL21)/2)/(1-(GK21+GL21)/2)</f>
        <v/>
      </c>
      <c r="GN21">
        <f>(f_cd*b_col*((3*MIN(GM21,h_col)/7)+(4*MIN(GM21,h_col)/7)*(1-((4*MIN(GM21,h_col)/7)/(GM21-(3*MIN(GM21,h_col)/7)))^2/3))+$D21/2*((MAX(-f_yd,MIN(f_yd,200000*IF(GM21&lt;=h_col,0.0035*(GM21-d_2)/GM21,0.002*(GM21-d_2)/(GM21-3*h_col/7))))-f_cd*(1-(1-MAX(0,MIN(1,IF(GM21&lt;=h_col,0.0035*(GM21-d_2)/GM21,0.002*(GM21-d_2)/(GM21-3*h_col/7))/0.002)))^2))+(MAX(-f_yd,MIN(f_yd,200000*IF(GM21&lt;=h_col,0.0035*(GM21-(h_col-d_2))/GM21,0.002*(GM21-(h_col-d_2))/(GM21-3*h_col/7))))-f_cd*(1-(1-MAX(0,MIN(1,IF(GM21&lt;=h_col,0.0035*(GM21-(h_col-d_2))/GM21,0.002*(GM21-(h_col-d_2))/(GM21-3*h_col/7))/0.002)))^2))))/1000</f>
        <v/>
      </c>
      <c r="GO21">
        <f>IF($GN21&lt;N_Ed-1E-9*MAX(1,N_Ed),(GK21+GL21)/2,GK21)</f>
        <v/>
      </c>
      <c r="GP21">
        <f>IF($GN21&lt;N_Ed-1E-9*MAX(1,N_Ed),GL21,(GK21+GL21)/2)</f>
        <v/>
      </c>
      <c r="GQ21">
        <f>h_col*((GO21+GP21)/2)/(1-(GO21+GP21)/2)</f>
        <v/>
      </c>
      <c r="GR21">
        <f>(f_cd*b_col*((3*MIN(GQ21,h_col)/7)+(4*MIN(GQ21,h_col)/7)*(1-((4*MIN(GQ21,h_col)/7)/(GQ21-(3*MIN(GQ21,h_col)/7)))^2/3))+$D21/2*((MAX(-f_yd,MIN(f_yd,200000*IF(GQ21&lt;=h_col,0.0035*(GQ21-d_2)/GQ21,0.002*(GQ21-d_2)/(GQ21-3*h_col/7))))-f_cd*(1-(1-MAX(0,MIN(1,IF(GQ21&lt;=h_col,0.0035*(GQ21-d_2)/GQ21,0.002*(GQ21-d_2)/(GQ21-3*h_col/7))/0.002)))^2))+(MAX(-f_yd,MIN(f_yd,200000*IF(GQ21&lt;=h_col,0.0035*(GQ21-(h_col-d_2))/GQ21,0.002*(GQ21-(h_col-d_2))/(GQ21-3*h_col/7))))-f_cd*(1-(1-MAX(0,MIN(1,IF(GQ21&lt;=h_col,0.0035*(GQ21-(h_col-d_2))/GQ21,0.002*(GQ21-(h_col-d_2))/(GQ21-3*h_col/7))/0.002)))^2))))/1000</f>
        <v/>
      </c>
      <c r="GS21">
        <f>IF($GR21&lt;N_Ed-1E-9*MAX(1,N_Ed),(GO21+GP21)/2,GO21)</f>
        <v/>
      </c>
      <c r="GT21">
        <f>IF($GR21&lt;N_Ed-1E-9*MAX(1,N_Ed),GP21,(GO21+GP21)/2)</f>
        <v/>
      </c>
      <c r="GU21">
        <f>h_col*((GS21+GT21)/2)/(1-(GS21+GT21)/2)</f>
        <v/>
      </c>
      <c r="GV21">
        <f>(f_cd*b_col*((3*MIN(GU21,h_col)/7)+(4*MIN(GU21,h_col)/7)*(1-((4*MIN(GU21,h_col)/7)/(GU21-(3*MIN(GU21,h_col)/7)))^2/3))+$D21/2*((MAX(-f_yd,MIN(f_yd,200000*IF(GU21&lt;=h_col,0.0035*(GU21-d_2)/GU21,0.002*(GU21-d_2)/(GU21-3*h_col/7))))-f_cd*(1-(1-MAX(0,MIN(1,IF(GU21&lt;=h_col,0.0035*(GU21-d_2)/GU21,0.002*(GU21-d_2)/(GU21-3*h_col/7))/0.002)))^2))+(MAX(-f_yd,MIN(f_yd,200000*IF(GU21&lt;=h_col,0.0035*(GU21-(h_col-d_2))/GU21,0.002*(GU21-(h_col-d_2))/(GU21-3*h_col/7))))-f_cd*(1-(1-MAX(0,MIN(1,IF(GU21&lt;=h_col,0.0035*(GU21-(h_col-d_2))/GU21,0.002*(GU21-(h_col-d_2))/(GU21-3*h_col/7))/0.002)))^2))))/1000</f>
        <v/>
      </c>
      <c r="GW21">
        <f>GU21</f>
        <v/>
      </c>
      <c r="GX21">
        <f>(f_cd*b_col*((3*MIN(GW21,h_col)/7)+(4*MIN(GW21,h_col)/7)*(1-((4*MIN(GW21,h_col)/7)/(GW21-(3*MIN(GW21,h_col)/7)))^2/3))+$D21/2*((MAX(-f_yd,MIN(f_yd,200000*IF(GW21&lt;=h_col,0.0035*(GW21-d_2)/GW21,0.002*(GW21-d_2)/(GW21-3*h_col/7))))-f_cd*(1-(1-MAX(0,MIN(1,IF(GW21&lt;=h_col,0.0035*(GW21-d_2)/GW21,0.002*(GW21-d_2)/(GW21-3*h_col/7))/0.002)))^2))+(MAX(-f_yd,MIN(f_yd,200000*IF(GW21&lt;=h_col,0.0035*(GW21-(h_col-d_2))/GW21,0.002*(GW21-(h_col-d_2))/(GW21-3*h_col/7))))-f_cd*(1-(1-MAX(0,MIN(1,IF(GW21&lt;=h_col,0.0035*(GW21-(h_col-d_2))/GW21,0.002*(GW21-(h_col-d_2))/(GW21-3*h_col/7))/0.002)))^2))))/1000</f>
        <v/>
      </c>
      <c r="GY21">
        <f>(f_cd*b_col*((3*MIN(GW21,h_col)/7)*(h_col/2-(3*MIN(GW21,h_col)/7)/2)+(4*MIN(GW21,h_col)/7)*((h_col/2-(3*MIN(GW21,h_col)/7))*(1-((4*MIN(GW21,h_col)/7)/(GW21-(3*MIN(GW21,h_col)/7)))^2/3)-(4*MIN(GW21,h_col)/7)*(0.5-((4*MIN(GW21,h_col)/7)/(GW21-(3*MIN(GW21,h_col)/7)))^2/4)))+$D21/2*((MAX(-f_yd,MIN(f_yd,200000*IF(GW21&lt;=h_col,0.0035*(GW21-d_2)/GW21,0.002*(GW21-d_2)/(GW21-3*h_col/7))))-f_cd*(1-(1-MAX(0,MIN(1,IF(GW21&lt;=h_col,0.0035*(GW21-d_2)/GW21,0.002*(GW21-d_2)/(GW21-3*h_col/7))/0.002)))^2))-(MAX(-f_yd,MIN(f_yd,200000*IF(GW21&lt;=h_col,0.0035*(GW21-(h_col-d_2))/GW21,0.002*(GW21-(h_col-d_2))/(GW21-3*h_col/7))))-f_cd*(1-(1-MAX(0,MIN(1,IF(GW21&lt;=h_col,0.0035*(GW21-(h_col-d_2))/GW21,0.002*(GW21-(h_col-d_2))/(GW21-3*h_col/7))/0.002)))^2)))*(h_col/2-d_2))/1E6</f>
        <v/>
      </c>
      <c r="GZ21">
        <f>GX21&gt;=N_Ed-1E-6*MAX(1,N_Ed)</f>
        <v/>
      </c>
      <c r="HA21">
        <f>IF(GZ21,GY21,-1E9)</f>
        <v/>
      </c>
    </row>
    <row r="22">
      <c r="A22" t="n">
        <v>17</v>
      </c>
      <c r="B22">
        <f>IF($HA21&gt;=M_d,$B21,$D21)</f>
        <v/>
      </c>
      <c r="C22">
        <f>IF($HA21&gt;=M_d,$D21,$C21)</f>
        <v/>
      </c>
      <c r="D22">
        <f>($B22+$C22)/2</f>
        <v/>
      </c>
      <c r="E22" t="n">
        <v>0</v>
      </c>
      <c r="F22">
        <f>1-1E-12</f>
        <v/>
      </c>
      <c r="G22">
        <f>h_col*((E22+F22)/2)/(1-(E22+F22)/2)</f>
        <v/>
      </c>
      <c r="H22">
        <f>(f_cd*b_col*((3*MIN(G22,h_col)/7)+(4*MIN(G22,h_col)/7)*(1-((4*MIN(G22,h_col)/7)/(G22-(3*MIN(G22,h_col)/7)))^2/3))+$D22/2*((MAX(-f_yd,MIN(f_yd,200000*IF(G22&lt;=h_col,0.0035*(G22-d_2)/G22,0.002*(G22-d_2)/(G22-3*h_col/7))))-f_cd*(1-(1-MAX(0,MIN(1,IF(G22&lt;=h_col,0.0035*(G22-d_2)/G22,0.002*(G22-d_2)/(G22-3*h_col/7))/0.002)))^2))+(MAX(-f_yd,MIN(f_yd,200000*IF(G22&lt;=h_col,0.0035*(G22-(h_col-d_2))/G22,0.002*(G22-(h_col-d_2))/(G22-3*h_col/7))))-f_cd*(1-(1-MAX(0,MIN(1,IF(G22&lt;=h_col,0.0035*(G22-(h_col-d_2))/G22,0.002*(G22-(h_col-d_2))/(G22-3*h_col/7))/0.002)))^2))))/1000</f>
        <v/>
      </c>
      <c r="I22">
        <f>IF($H22&lt;N_Ed-1E-9*MAX(1,N_Ed),(E22+F22)/2,E22)</f>
        <v/>
      </c>
      <c r="J22">
        <f>IF($H22&lt;N_Ed-1E-9*MAX(1,N_Ed),F22,(E22+F22)/2)</f>
        <v/>
      </c>
      <c r="K22">
        <f>h_col*((I22+J22)/2)/(1-(I22+J22)/2)</f>
        <v/>
      </c>
      <c r="L22">
        <f>(f_cd*b_col*((3*MIN(K22,h_col)/7)+(4*MIN(K22,h_col)/7)*(1-((4*MIN(K22,h_col)/7)/(K22-(3*MIN(K22,h_col)/7)))^2/3))+$D22/2*((MAX(-f_yd,MIN(f_yd,200000*IF(K22&lt;=h_col,0.0035*(K22-d_2)/K22,0.002*(K22-d_2)/(K22-3*h_col/7))))-f_cd*(1-(1-MAX(0,MIN(1,IF(K22&lt;=h_col,0.0035*(K22-d_2)/K22,0.002*(K22-d_2)/(K22-3*h_col/7))/0.002)))^2))+(MAX(-f_yd,MIN(f_yd,200000*IF(K22&lt;=h_col,0.0035*(K22-(h_col-d_2))/K22,0.002*(K22-(h_col-d_2))/(K22-3*h_col/7))))-f_cd*(1-(1-MAX(0,MIN(1,IF(K22&lt;=h_col,0.0035*(K22-(h_col-d_2))/K22,0.002*(K22-(h_col-d_2))/(K22-3*h_col/7))/0.002)))^2))))/1000</f>
        <v/>
      </c>
      <c r="M22">
        <f>IF($L22&lt;N_Ed-1E-9*MAX(1,N_Ed),(I22+J22)/2,I22)</f>
        <v/>
      </c>
      <c r="N22">
        <f>IF($L22&lt;N_Ed-1E-9*MAX(1,N_Ed),J22,(I22+J22)/2)</f>
        <v/>
      </c>
      <c r="O22">
        <f>h_col*((M22+N22)/2)/(1-(M22+N22)/2)</f>
        <v/>
      </c>
      <c r="P22">
        <f>(f_cd*b_col*((3*MIN(O22,h_col)/7)+(4*MIN(O22,h_col)/7)*(1-((4*MIN(O22,h_col)/7)/(O22-(3*MIN(O22,h_col)/7)))^2/3))+$D22/2*((MAX(-f_yd,MIN(f_yd,200000*IF(O22&lt;=h_col,0.0035*(O22-d_2)/O22,0.002*(O22-d_2)/(O22-3*h_col/7))))-f_cd*(1-(1-MAX(0,MIN(1,IF(O22&lt;=h_col,0.0035*(O22-d_2)/O22,0.002*(O22-d_2)/(O22-3*h_col/7))/0.002)))^2))+(MAX(-f_yd,MIN(f_yd,200000*IF(O22&lt;=h_col,0.0035*(O22-(h_col-d_2))/O22,0.002*(O22-(h_col-d_2))/(O22-3*h_col/7))))-f_cd*(1-(1-MAX(0,MIN(1,IF(O22&lt;=h_col,0.0035*(O22-(h_col-d_2))/O22,0.002*(O22-(h_col-d_2))/(O22-3*h_col/7))/0.002)))^2))))/1000</f>
        <v/>
      </c>
      <c r="Q22">
        <f>IF($P22&lt;N_Ed-1E-9*MAX(1,N_Ed),(M22+N22)/2,M22)</f>
        <v/>
      </c>
      <c r="R22">
        <f>IF($P22&lt;N_Ed-1E-9*MAX(1,N_Ed),N22,(M22+N22)/2)</f>
        <v/>
      </c>
      <c r="S22">
        <f>h_col*((Q22+R22)/2)/(1-(Q22+R22)/2)</f>
        <v/>
      </c>
      <c r="T22">
        <f>(f_cd*b_col*((3*MIN(S22,h_col)/7)+(4*MIN(S22,h_col)/7)*(1-((4*MIN(S22,h_col)/7)/(S22-(3*MIN(S22,h_col)/7)))^2/3))+$D22/2*((MAX(-f_yd,MIN(f_yd,200000*IF(S22&lt;=h_col,0.0035*(S22-d_2)/S22,0.002*(S22-d_2)/(S22-3*h_col/7))))-f_cd*(1-(1-MAX(0,MIN(1,IF(S22&lt;=h_col,0.0035*(S22-d_2)/S22,0.002*(S22-d_2)/(S22-3*h_col/7))/0.002)))^2))+(MAX(-f_yd,MIN(f_yd,200000*IF(S22&lt;=h_col,0.0035*(S22-(h_col-d_2))/S22,0.002*(S22-(h_col-d_2))/(S22-3*h_col/7))))-f_cd*(1-(1-MAX(0,MIN(1,IF(S22&lt;=h_col,0.0035*(S22-(h_col-d_2))/S22,0.002*(S22-(h_col-d_2))/(S22-3*h_col/7))/0.002)))^2))))/1000</f>
        <v/>
      </c>
      <c r="U22">
        <f>IF($T22&lt;N_Ed-1E-9*MAX(1,N_Ed),(Q22+R22)/2,Q22)</f>
        <v/>
      </c>
      <c r="V22">
        <f>IF($T22&lt;N_Ed-1E-9*MAX(1,N_Ed),R22,(Q22+R22)/2)</f>
        <v/>
      </c>
      <c r="W22">
        <f>h_col*((U22+V22)/2)/(1-(U22+V22)/2)</f>
        <v/>
      </c>
      <c r="X22">
        <f>(f_cd*b_col*((3*MIN(W22,h_col)/7)+(4*MIN(W22,h_col)/7)*(1-((4*MIN(W22,h_col)/7)/(W22-(3*MIN(W22,h_col)/7)))^2/3))+$D22/2*((MAX(-f_yd,MIN(f_yd,200000*IF(W22&lt;=h_col,0.0035*(W22-d_2)/W22,0.002*(W22-d_2)/(W22-3*h_col/7))))-f_cd*(1-(1-MAX(0,MIN(1,IF(W22&lt;=h_col,0.0035*(W22-d_2)/W22,0.002*(W22-d_2)/(W22-3*h_col/7))/0.002)))^2))+(MAX(-f_yd,MIN(f_yd,200000*IF(W22&lt;=h_col,0.0035*(W22-(h_col-d_2))/W22,0.002*(W22-(h_col-d_2))/(W22-3*h_col/7))))-f_cd*(1-(1-MAX(0,MIN(1,IF(W22&lt;=h_col,0.0035*(W22-(h_col-d_2))/W22,0.002*(W22-(h_col-d_2))/(W22-3*h_col/7))/0.002)))^2))))/1000</f>
        <v/>
      </c>
      <c r="Y22">
        <f>IF($X22&lt;N_Ed-1E-9*MAX(1,N_Ed),(U22+V22)/2,U22)</f>
        <v/>
      </c>
      <c r="Z22">
        <f>IF($X22&lt;N_Ed-1E-9*MAX(1,N_Ed),V22,(U22+V22)/2)</f>
        <v/>
      </c>
      <c r="AA22">
        <f>h_col*((Y22+Z22)/2)/(1-(Y22+Z22)/2)</f>
        <v/>
      </c>
      <c r="AB22">
        <f>(f_cd*b_col*((3*MIN(AA22,h_col)/7)+(4*MIN(AA22,h_col)/7)*(1-((4*MIN(AA22,h_col)/7)/(AA22-(3*MIN(AA22,h_col)/7)))^2/3))+$D22/2*((MAX(-f_yd,MIN(f_yd,200000*IF(AA22&lt;=h_col,0.0035*(AA22-d_2)/AA22,0.002*(AA22-d_2)/(AA22-3*h_col/7))))-f_cd*(1-(1-MAX(0,MIN(1,IF(AA22&lt;=h_col,0.0035*(AA22-d_2)/AA22,0.002*(AA22-d_2)/(AA22-3*h_col/7))/0.002)))^2))+(MAX(-f_yd,MIN(f_yd,200000*IF(AA22&lt;=h_col,0.0035*(AA22-(h_col-d_2))/AA22,0.002*(AA22-(h_col-d_2))/(AA22-3*h_col/7))))-f_cd*(1-(1-MAX(0,MIN(1,IF(AA22&lt;=h_col,0.0035*(AA22-(h_col-d_2))/AA22,0.002*(AA22-(h_col-d_2))/(AA22-3*h_col/7))/0.002)))^2))))/1000</f>
        <v/>
      </c>
      <c r="AC22">
        <f>IF($AB22&lt;N_Ed-1E-9*MAX(1,N_Ed),(Y22+Z22)/2,Y22)</f>
        <v/>
      </c>
      <c r="AD22">
        <f>IF($AB22&lt;N_Ed-1E-9*MAX(1,N_Ed),Z22,(Y22+Z22)/2)</f>
        <v/>
      </c>
      <c r="AE22">
        <f>h_col*((AC22+AD22)/2)/(1-(AC22+AD22)/2)</f>
        <v/>
      </c>
      <c r="AF22">
        <f>(f_cd*b_col*((3*MIN(AE22,h_col)/7)+(4*MIN(AE22,h_col)/7)*(1-((4*MIN(AE22,h_col)/7)/(AE22-(3*MIN(AE22,h_col)/7)))^2/3))+$D22/2*((MAX(-f_yd,MIN(f_yd,200000*IF(AE22&lt;=h_col,0.0035*(AE22-d_2)/AE22,0.002*(AE22-d_2)/(AE22-3*h_col/7))))-f_cd*(1-(1-MAX(0,MIN(1,IF(AE22&lt;=h_col,0.0035*(AE22-d_2)/AE22,0.002*(AE22-d_2)/(AE22-3*h_col/7))/0.002)))^2))+(MAX(-f_yd,MIN(f_yd,200000*IF(AE22&lt;=h_col,0.0035*(AE22-(h_col-d_2))/AE22,0.002*(AE22-(h_col-d_2))/(AE22-3*h_col/7))))-f_cd*(1-(1-MAX(0,MIN(1,IF(AE22&lt;=h_col,0.0035*(AE22-(h_col-d_2))/AE22,0.002*(AE22-(h_col-d_2))/(AE22-3*h_col/7))/0.002)))^2))))/1000</f>
        <v/>
      </c>
      <c r="AG22">
        <f>IF($AF22&lt;N_Ed-1E-9*MAX(1,N_Ed),(AC22+AD22)/2,AC22)</f>
        <v/>
      </c>
      <c r="AH22">
        <f>IF($AF22&lt;N_Ed-1E-9*MAX(1,N_Ed),AD22,(AC22+AD22)/2)</f>
        <v/>
      </c>
      <c r="AI22">
        <f>h_col*((AG22+AH22)/2)/(1-(AG22+AH22)/2)</f>
        <v/>
      </c>
      <c r="AJ22">
        <f>(f_cd*b_col*((3*MIN(AI22,h_col)/7)+(4*MIN(AI22,h_col)/7)*(1-((4*MIN(AI22,h_col)/7)/(AI22-(3*MIN(AI22,h_col)/7)))^2/3))+$D22/2*((MAX(-f_yd,MIN(f_yd,200000*IF(AI22&lt;=h_col,0.0035*(AI22-d_2)/AI22,0.002*(AI22-d_2)/(AI22-3*h_col/7))))-f_cd*(1-(1-MAX(0,MIN(1,IF(AI22&lt;=h_col,0.0035*(AI22-d_2)/AI22,0.002*(AI22-d_2)/(AI22-3*h_col/7))/0.002)))^2))+(MAX(-f_yd,MIN(f_yd,200000*IF(AI22&lt;=h_col,0.0035*(AI22-(h_col-d_2))/AI22,0.002*(AI22-(h_col-d_2))/(AI22-3*h_col/7))))-f_cd*(1-(1-MAX(0,MIN(1,IF(AI22&lt;=h_col,0.0035*(AI22-(h_col-d_2))/AI22,0.002*(AI22-(h_col-d_2))/(AI22-3*h_col/7))/0.002)))^2))))/1000</f>
        <v/>
      </c>
      <c r="AK22">
        <f>IF($AJ22&lt;N_Ed-1E-9*MAX(1,N_Ed),(AG22+AH22)/2,AG22)</f>
        <v/>
      </c>
      <c r="AL22">
        <f>IF($AJ22&lt;N_Ed-1E-9*MAX(1,N_Ed),AH22,(AG22+AH22)/2)</f>
        <v/>
      </c>
      <c r="AM22">
        <f>h_col*((AK22+AL22)/2)/(1-(AK22+AL22)/2)</f>
        <v/>
      </c>
      <c r="AN22">
        <f>(f_cd*b_col*((3*MIN(AM22,h_col)/7)+(4*MIN(AM22,h_col)/7)*(1-((4*MIN(AM22,h_col)/7)/(AM22-(3*MIN(AM22,h_col)/7)))^2/3))+$D22/2*((MAX(-f_yd,MIN(f_yd,200000*IF(AM22&lt;=h_col,0.0035*(AM22-d_2)/AM22,0.002*(AM22-d_2)/(AM22-3*h_col/7))))-f_cd*(1-(1-MAX(0,MIN(1,IF(AM22&lt;=h_col,0.0035*(AM22-d_2)/AM22,0.002*(AM22-d_2)/(AM22-3*h_col/7))/0.002)))^2))+(MAX(-f_yd,MIN(f_yd,200000*IF(AM22&lt;=h_col,0.0035*(AM22-(h_col-d_2))/AM22,0.002*(AM22-(h_col-d_2))/(AM22-3*h_col/7))))-f_cd*(1-(1-MAX(0,MIN(1,IF(AM22&lt;=h_col,0.0035*(AM22-(h_col-d_2))/AM22,0.002*(AM22-(h_col-d_2))/(AM22-3*h_col/7))/0.002)))^2))))/1000</f>
        <v/>
      </c>
      <c r="AO22">
        <f>IF($AN22&lt;N_Ed-1E-9*MAX(1,N_Ed),(AK22+AL22)/2,AK22)</f>
        <v/>
      </c>
      <c r="AP22">
        <f>IF($AN22&lt;N_Ed-1E-9*MAX(1,N_Ed),AL22,(AK22+AL22)/2)</f>
        <v/>
      </c>
      <c r="AQ22">
        <f>h_col*((AO22+AP22)/2)/(1-(AO22+AP22)/2)</f>
        <v/>
      </c>
      <c r="AR22">
        <f>(f_cd*b_col*((3*MIN(AQ22,h_col)/7)+(4*MIN(AQ22,h_col)/7)*(1-((4*MIN(AQ22,h_col)/7)/(AQ22-(3*MIN(AQ22,h_col)/7)))^2/3))+$D22/2*((MAX(-f_yd,MIN(f_yd,200000*IF(AQ22&lt;=h_col,0.0035*(AQ22-d_2)/AQ22,0.002*(AQ22-d_2)/(AQ22-3*h_col/7))))-f_cd*(1-(1-MAX(0,MIN(1,IF(AQ22&lt;=h_col,0.0035*(AQ22-d_2)/AQ22,0.002*(AQ22-d_2)/(AQ22-3*h_col/7))/0.002)))^2))+(MAX(-f_yd,MIN(f_yd,200000*IF(AQ22&lt;=h_col,0.0035*(AQ22-(h_col-d_2))/AQ22,0.002*(AQ22-(h_col-d_2))/(AQ22-3*h_col/7))))-f_cd*(1-(1-MAX(0,MIN(1,IF(AQ22&lt;=h_col,0.0035*(AQ22-(h_col-d_2))/AQ22,0.002*(AQ22-(h_col-d_2))/(AQ22-3*h_col/7))/0.002)))^2))))/1000</f>
        <v/>
      </c>
      <c r="AS22">
        <f>IF($AR22&lt;N_Ed-1E-9*MAX(1,N_Ed),(AO22+AP22)/2,AO22)</f>
        <v/>
      </c>
      <c r="AT22">
        <f>IF($AR22&lt;N_Ed-1E-9*MAX(1,N_Ed),AP22,(AO22+AP22)/2)</f>
        <v/>
      </c>
      <c r="AU22">
        <f>h_col*((AS22+AT22)/2)/(1-(AS22+AT22)/2)</f>
        <v/>
      </c>
      <c r="AV22">
        <f>(f_cd*b_col*((3*MIN(AU22,h_col)/7)+(4*MIN(AU22,h_col)/7)*(1-((4*MIN(AU22,h_col)/7)/(AU22-(3*MIN(AU22,h_col)/7)))^2/3))+$D22/2*((MAX(-f_yd,MIN(f_yd,200000*IF(AU22&lt;=h_col,0.0035*(AU22-d_2)/AU22,0.002*(AU22-d_2)/(AU22-3*h_col/7))))-f_cd*(1-(1-MAX(0,MIN(1,IF(AU22&lt;=h_col,0.0035*(AU22-d_2)/AU22,0.002*(AU22-d_2)/(AU22-3*h_col/7))/0.002)))^2))+(MAX(-f_yd,MIN(f_yd,200000*IF(AU22&lt;=h_col,0.0035*(AU22-(h_col-d_2))/AU22,0.002*(AU22-(h_col-d_2))/(AU22-3*h_col/7))))-f_cd*(1-(1-MAX(0,MIN(1,IF(AU22&lt;=h_col,0.0035*(AU22-(h_col-d_2))/AU22,0.002*(AU22-(h_col-d_2))/(AU22-3*h_col/7))/0.002)))^2))))/1000</f>
        <v/>
      </c>
      <c r="AW22">
        <f>IF($AV22&lt;N_Ed-1E-9*MAX(1,N_Ed),(AS22+AT22)/2,AS22)</f>
        <v/>
      </c>
      <c r="AX22">
        <f>IF($AV22&lt;N_Ed-1E-9*MAX(1,N_Ed),AT22,(AS22+AT22)/2)</f>
        <v/>
      </c>
      <c r="AY22">
        <f>h_col*((AW22+AX22)/2)/(1-(AW22+AX22)/2)</f>
        <v/>
      </c>
      <c r="AZ22">
        <f>(f_cd*b_col*((3*MIN(AY22,h_col)/7)+(4*MIN(AY22,h_col)/7)*(1-((4*MIN(AY22,h_col)/7)/(AY22-(3*MIN(AY22,h_col)/7)))^2/3))+$D22/2*((MAX(-f_yd,MIN(f_yd,200000*IF(AY22&lt;=h_col,0.0035*(AY22-d_2)/AY22,0.002*(AY22-d_2)/(AY22-3*h_col/7))))-f_cd*(1-(1-MAX(0,MIN(1,IF(AY22&lt;=h_col,0.0035*(AY22-d_2)/AY22,0.002*(AY22-d_2)/(AY22-3*h_col/7))/0.002)))^2))+(MAX(-f_yd,MIN(f_yd,200000*IF(AY22&lt;=h_col,0.0035*(AY22-(h_col-d_2))/AY22,0.002*(AY22-(h_col-d_2))/(AY22-3*h_col/7))))-f_cd*(1-(1-MAX(0,MIN(1,IF(AY22&lt;=h_col,0.0035*(AY22-(h_col-d_2))/AY22,0.002*(AY22-(h_col-d_2))/(AY22-3*h_col/7))/0.002)))^2))))/1000</f>
        <v/>
      </c>
      <c r="BA22">
        <f>IF($AZ22&lt;N_Ed-1E-9*MAX(1,N_Ed),(AW22+AX22)/2,AW22)</f>
        <v/>
      </c>
      <c r="BB22">
        <f>IF($AZ22&lt;N_Ed-1E-9*MAX(1,N_Ed),AX22,(AW22+AX22)/2)</f>
        <v/>
      </c>
      <c r="BC22">
        <f>h_col*((BA22+BB22)/2)/(1-(BA22+BB22)/2)</f>
        <v/>
      </c>
      <c r="BD22">
        <f>(f_cd*b_col*((3*MIN(BC22,h_col)/7)+(4*MIN(BC22,h_col)/7)*(1-((4*MIN(BC22,h_col)/7)/(BC22-(3*MIN(BC22,h_col)/7)))^2/3))+$D22/2*((MAX(-f_yd,MIN(f_yd,200000*IF(BC22&lt;=h_col,0.0035*(BC22-d_2)/BC22,0.002*(BC22-d_2)/(BC22-3*h_col/7))))-f_cd*(1-(1-MAX(0,MIN(1,IF(BC22&lt;=h_col,0.0035*(BC22-d_2)/BC22,0.002*(BC22-d_2)/(BC22-3*h_col/7))/0.002)))^2))+(MAX(-f_yd,MIN(f_yd,200000*IF(BC22&lt;=h_col,0.0035*(BC22-(h_col-d_2))/BC22,0.002*(BC22-(h_col-d_2))/(BC22-3*h_col/7))))-f_cd*(1-(1-MAX(0,MIN(1,IF(BC22&lt;=h_col,0.0035*(BC22-(h_col-d_2))/BC22,0.002*(BC22-(h_col-d_2))/(BC22-3*h_col/7))/0.002)))^2))))/1000</f>
        <v/>
      </c>
      <c r="BE22">
        <f>IF($BD22&lt;N_Ed-1E-9*MAX(1,N_Ed),(BA22+BB22)/2,BA22)</f>
        <v/>
      </c>
      <c r="BF22">
        <f>IF($BD22&lt;N_Ed-1E-9*MAX(1,N_Ed),BB22,(BA22+BB22)/2)</f>
        <v/>
      </c>
      <c r="BG22">
        <f>h_col*((BE22+BF22)/2)/(1-(BE22+BF22)/2)</f>
        <v/>
      </c>
      <c r="BH22">
        <f>(f_cd*b_col*((3*MIN(BG22,h_col)/7)+(4*MIN(BG22,h_col)/7)*(1-((4*MIN(BG22,h_col)/7)/(BG22-(3*MIN(BG22,h_col)/7)))^2/3))+$D22/2*((MAX(-f_yd,MIN(f_yd,200000*IF(BG22&lt;=h_col,0.0035*(BG22-d_2)/BG22,0.002*(BG22-d_2)/(BG22-3*h_col/7))))-f_cd*(1-(1-MAX(0,MIN(1,IF(BG22&lt;=h_col,0.0035*(BG22-d_2)/BG22,0.002*(BG22-d_2)/(BG22-3*h_col/7))/0.002)))^2))+(MAX(-f_yd,MIN(f_yd,200000*IF(BG22&lt;=h_col,0.0035*(BG22-(h_col-d_2))/BG22,0.002*(BG22-(h_col-d_2))/(BG22-3*h_col/7))))-f_cd*(1-(1-MAX(0,MIN(1,IF(BG22&lt;=h_col,0.0035*(BG22-(h_col-d_2))/BG22,0.002*(BG22-(h_col-d_2))/(BG22-3*h_col/7))/0.002)))^2))))/1000</f>
        <v/>
      </c>
      <c r="BI22">
        <f>IF($BH22&lt;N_Ed-1E-9*MAX(1,N_Ed),(BE22+BF22)/2,BE22)</f>
        <v/>
      </c>
      <c r="BJ22">
        <f>IF($BH22&lt;N_Ed-1E-9*MAX(1,N_Ed),BF22,(BE22+BF22)/2)</f>
        <v/>
      </c>
      <c r="BK22">
        <f>h_col*((BI22+BJ22)/2)/(1-(BI22+BJ22)/2)</f>
        <v/>
      </c>
      <c r="BL22">
        <f>(f_cd*b_col*((3*MIN(BK22,h_col)/7)+(4*MIN(BK22,h_col)/7)*(1-((4*MIN(BK22,h_col)/7)/(BK22-(3*MIN(BK22,h_col)/7)))^2/3))+$D22/2*((MAX(-f_yd,MIN(f_yd,200000*IF(BK22&lt;=h_col,0.0035*(BK22-d_2)/BK22,0.002*(BK22-d_2)/(BK22-3*h_col/7))))-f_cd*(1-(1-MAX(0,MIN(1,IF(BK22&lt;=h_col,0.0035*(BK22-d_2)/BK22,0.002*(BK22-d_2)/(BK22-3*h_col/7))/0.002)))^2))+(MAX(-f_yd,MIN(f_yd,200000*IF(BK22&lt;=h_col,0.0035*(BK22-(h_col-d_2))/BK22,0.002*(BK22-(h_col-d_2))/(BK22-3*h_col/7))))-f_cd*(1-(1-MAX(0,MIN(1,IF(BK22&lt;=h_col,0.0035*(BK22-(h_col-d_2))/BK22,0.002*(BK22-(h_col-d_2))/(BK22-3*h_col/7))/0.002)))^2))))/1000</f>
        <v/>
      </c>
      <c r="BM22">
        <f>IF($BL22&lt;N_Ed-1E-9*MAX(1,N_Ed),(BI22+BJ22)/2,BI22)</f>
        <v/>
      </c>
      <c r="BN22">
        <f>IF($BL22&lt;N_Ed-1E-9*MAX(1,N_Ed),BJ22,(BI22+BJ22)/2)</f>
        <v/>
      </c>
      <c r="BO22">
        <f>h_col*((BM22+BN22)/2)/(1-(BM22+BN22)/2)</f>
        <v/>
      </c>
      <c r="BP22">
        <f>(f_cd*b_col*((3*MIN(BO22,h_col)/7)+(4*MIN(BO22,h_col)/7)*(1-((4*MIN(BO22,h_col)/7)/(BO22-(3*MIN(BO22,h_col)/7)))^2/3))+$D22/2*((MAX(-f_yd,MIN(f_yd,200000*IF(BO22&lt;=h_col,0.0035*(BO22-d_2)/BO22,0.002*(BO22-d_2)/(BO22-3*h_col/7))))-f_cd*(1-(1-MAX(0,MIN(1,IF(BO22&lt;=h_col,0.0035*(BO22-d_2)/BO22,0.002*(BO22-d_2)/(BO22-3*h_col/7))/0.002)))^2))+(MAX(-f_yd,MIN(f_yd,200000*IF(BO22&lt;=h_col,0.0035*(BO22-(h_col-d_2))/BO22,0.002*(BO22-(h_col-d_2))/(BO22-3*h_col/7))))-f_cd*(1-(1-MAX(0,MIN(1,IF(BO22&lt;=h_col,0.0035*(BO22-(h_col-d_2))/BO22,0.002*(BO22-(h_col-d_2))/(BO22-3*h_col/7))/0.002)))^2))))/1000</f>
        <v/>
      </c>
      <c r="BQ22">
        <f>IF($BP22&lt;N_Ed-1E-9*MAX(1,N_Ed),(BM22+BN22)/2,BM22)</f>
        <v/>
      </c>
      <c r="BR22">
        <f>IF($BP22&lt;N_Ed-1E-9*MAX(1,N_Ed),BN22,(BM22+BN22)/2)</f>
        <v/>
      </c>
      <c r="BS22">
        <f>h_col*((BQ22+BR22)/2)/(1-(BQ22+BR22)/2)</f>
        <v/>
      </c>
      <c r="BT22">
        <f>(f_cd*b_col*((3*MIN(BS22,h_col)/7)+(4*MIN(BS22,h_col)/7)*(1-((4*MIN(BS22,h_col)/7)/(BS22-(3*MIN(BS22,h_col)/7)))^2/3))+$D22/2*((MAX(-f_yd,MIN(f_yd,200000*IF(BS22&lt;=h_col,0.0035*(BS22-d_2)/BS22,0.002*(BS22-d_2)/(BS22-3*h_col/7))))-f_cd*(1-(1-MAX(0,MIN(1,IF(BS22&lt;=h_col,0.0035*(BS22-d_2)/BS22,0.002*(BS22-d_2)/(BS22-3*h_col/7))/0.002)))^2))+(MAX(-f_yd,MIN(f_yd,200000*IF(BS22&lt;=h_col,0.0035*(BS22-(h_col-d_2))/BS22,0.002*(BS22-(h_col-d_2))/(BS22-3*h_col/7))))-f_cd*(1-(1-MAX(0,MIN(1,IF(BS22&lt;=h_col,0.0035*(BS22-(h_col-d_2))/BS22,0.002*(BS22-(h_col-d_2))/(BS22-3*h_col/7))/0.002)))^2))))/1000</f>
        <v/>
      </c>
      <c r="BU22">
        <f>IF($BT22&lt;N_Ed-1E-9*MAX(1,N_Ed),(BQ22+BR22)/2,BQ22)</f>
        <v/>
      </c>
      <c r="BV22">
        <f>IF($BT22&lt;N_Ed-1E-9*MAX(1,N_Ed),BR22,(BQ22+BR22)/2)</f>
        <v/>
      </c>
      <c r="BW22">
        <f>h_col*((BU22+BV22)/2)/(1-(BU22+BV22)/2)</f>
        <v/>
      </c>
      <c r="BX22">
        <f>(f_cd*b_col*((3*MIN(BW22,h_col)/7)+(4*MIN(BW22,h_col)/7)*(1-((4*MIN(BW22,h_col)/7)/(BW22-(3*MIN(BW22,h_col)/7)))^2/3))+$D22/2*((MAX(-f_yd,MIN(f_yd,200000*IF(BW22&lt;=h_col,0.0035*(BW22-d_2)/BW22,0.002*(BW22-d_2)/(BW22-3*h_col/7))))-f_cd*(1-(1-MAX(0,MIN(1,IF(BW22&lt;=h_col,0.0035*(BW22-d_2)/BW22,0.002*(BW22-d_2)/(BW22-3*h_col/7))/0.002)))^2))+(MAX(-f_yd,MIN(f_yd,200000*IF(BW22&lt;=h_col,0.0035*(BW22-(h_col-d_2))/BW22,0.002*(BW22-(h_col-d_2))/(BW22-3*h_col/7))))-f_cd*(1-(1-MAX(0,MIN(1,IF(BW22&lt;=h_col,0.0035*(BW22-(h_col-d_2))/BW22,0.002*(BW22-(h_col-d_2))/(BW22-3*h_col/7))/0.002)))^2))))/1000</f>
        <v/>
      </c>
      <c r="BY22">
        <f>IF($BX22&lt;N_Ed-1E-9*MAX(1,N_Ed),(BU22+BV22)/2,BU22)</f>
        <v/>
      </c>
      <c r="BZ22">
        <f>IF($BX22&lt;N_Ed-1E-9*MAX(1,N_Ed),BV22,(BU22+BV22)/2)</f>
        <v/>
      </c>
      <c r="CA22">
        <f>h_col*((BY22+BZ22)/2)/(1-(BY22+BZ22)/2)</f>
        <v/>
      </c>
      <c r="CB22">
        <f>(f_cd*b_col*((3*MIN(CA22,h_col)/7)+(4*MIN(CA22,h_col)/7)*(1-((4*MIN(CA22,h_col)/7)/(CA22-(3*MIN(CA22,h_col)/7)))^2/3))+$D22/2*((MAX(-f_yd,MIN(f_yd,200000*IF(CA22&lt;=h_col,0.0035*(CA22-d_2)/CA22,0.002*(CA22-d_2)/(CA22-3*h_col/7))))-f_cd*(1-(1-MAX(0,MIN(1,IF(CA22&lt;=h_col,0.0035*(CA22-d_2)/CA22,0.002*(CA22-d_2)/(CA22-3*h_col/7))/0.002)))^2))+(MAX(-f_yd,MIN(f_yd,200000*IF(CA22&lt;=h_col,0.0035*(CA22-(h_col-d_2))/CA22,0.002*(CA22-(h_col-d_2))/(CA22-3*h_col/7))))-f_cd*(1-(1-MAX(0,MIN(1,IF(CA22&lt;=h_col,0.0035*(CA22-(h_col-d_2))/CA22,0.002*(CA22-(h_col-d_2))/(CA22-3*h_col/7))/0.002)))^2))))/1000</f>
        <v/>
      </c>
      <c r="CC22">
        <f>IF($CB22&lt;N_Ed-1E-9*MAX(1,N_Ed),(BY22+BZ22)/2,BY22)</f>
        <v/>
      </c>
      <c r="CD22">
        <f>IF($CB22&lt;N_Ed-1E-9*MAX(1,N_Ed),BZ22,(BY22+BZ22)/2)</f>
        <v/>
      </c>
      <c r="CE22">
        <f>h_col*((CC22+CD22)/2)/(1-(CC22+CD22)/2)</f>
        <v/>
      </c>
      <c r="CF22">
        <f>(f_cd*b_col*((3*MIN(CE22,h_col)/7)+(4*MIN(CE22,h_col)/7)*(1-((4*MIN(CE22,h_col)/7)/(CE22-(3*MIN(CE22,h_col)/7)))^2/3))+$D22/2*((MAX(-f_yd,MIN(f_yd,200000*IF(CE22&lt;=h_col,0.0035*(CE22-d_2)/CE22,0.002*(CE22-d_2)/(CE22-3*h_col/7))))-f_cd*(1-(1-MAX(0,MIN(1,IF(CE22&lt;=h_col,0.0035*(CE22-d_2)/CE22,0.002*(CE22-d_2)/(CE22-3*h_col/7))/0.002)))^2))+(MAX(-f_yd,MIN(f_yd,200000*IF(CE22&lt;=h_col,0.0035*(CE22-(h_col-d_2))/CE22,0.002*(CE22-(h_col-d_2))/(CE22-3*h_col/7))))-f_cd*(1-(1-MAX(0,MIN(1,IF(CE22&lt;=h_col,0.0035*(CE22-(h_col-d_2))/CE22,0.002*(CE22-(h_col-d_2))/(CE22-3*h_col/7))/0.002)))^2))))/1000</f>
        <v/>
      </c>
      <c r="CG22">
        <f>IF($CF22&lt;N_Ed-1E-9*MAX(1,N_Ed),(CC22+CD22)/2,CC22)</f>
        <v/>
      </c>
      <c r="CH22">
        <f>IF($CF22&lt;N_Ed-1E-9*MAX(1,N_Ed),CD22,(CC22+CD22)/2)</f>
        <v/>
      </c>
      <c r="CI22">
        <f>h_col*((CG22+CH22)/2)/(1-(CG22+CH22)/2)</f>
        <v/>
      </c>
      <c r="CJ22">
        <f>(f_cd*b_col*((3*MIN(CI22,h_col)/7)+(4*MIN(CI22,h_col)/7)*(1-((4*MIN(CI22,h_col)/7)/(CI22-(3*MIN(CI22,h_col)/7)))^2/3))+$D22/2*((MAX(-f_yd,MIN(f_yd,200000*IF(CI22&lt;=h_col,0.0035*(CI22-d_2)/CI22,0.002*(CI22-d_2)/(CI22-3*h_col/7))))-f_cd*(1-(1-MAX(0,MIN(1,IF(CI22&lt;=h_col,0.0035*(CI22-d_2)/CI22,0.002*(CI22-d_2)/(CI22-3*h_col/7))/0.002)))^2))+(MAX(-f_yd,MIN(f_yd,200000*IF(CI22&lt;=h_col,0.0035*(CI22-(h_col-d_2))/CI22,0.002*(CI22-(h_col-d_2))/(CI22-3*h_col/7))))-f_cd*(1-(1-MAX(0,MIN(1,IF(CI22&lt;=h_col,0.0035*(CI22-(h_col-d_2))/CI22,0.002*(CI22-(h_col-d_2))/(CI22-3*h_col/7))/0.002)))^2))))/1000</f>
        <v/>
      </c>
      <c r="CK22">
        <f>IF($CJ22&lt;N_Ed-1E-9*MAX(1,N_Ed),(CG22+CH22)/2,CG22)</f>
        <v/>
      </c>
      <c r="CL22">
        <f>IF($CJ22&lt;N_Ed-1E-9*MAX(1,N_Ed),CH22,(CG22+CH22)/2)</f>
        <v/>
      </c>
      <c r="CM22">
        <f>h_col*((CK22+CL22)/2)/(1-(CK22+CL22)/2)</f>
        <v/>
      </c>
      <c r="CN22">
        <f>(f_cd*b_col*((3*MIN(CM22,h_col)/7)+(4*MIN(CM22,h_col)/7)*(1-((4*MIN(CM22,h_col)/7)/(CM22-(3*MIN(CM22,h_col)/7)))^2/3))+$D22/2*((MAX(-f_yd,MIN(f_yd,200000*IF(CM22&lt;=h_col,0.0035*(CM22-d_2)/CM22,0.002*(CM22-d_2)/(CM22-3*h_col/7))))-f_cd*(1-(1-MAX(0,MIN(1,IF(CM22&lt;=h_col,0.0035*(CM22-d_2)/CM22,0.002*(CM22-d_2)/(CM22-3*h_col/7))/0.002)))^2))+(MAX(-f_yd,MIN(f_yd,200000*IF(CM22&lt;=h_col,0.0035*(CM22-(h_col-d_2))/CM22,0.002*(CM22-(h_col-d_2))/(CM22-3*h_col/7))))-f_cd*(1-(1-MAX(0,MIN(1,IF(CM22&lt;=h_col,0.0035*(CM22-(h_col-d_2))/CM22,0.002*(CM22-(h_col-d_2))/(CM22-3*h_col/7))/0.002)))^2))))/1000</f>
        <v/>
      </c>
      <c r="CO22">
        <f>IF($CN22&lt;N_Ed-1E-9*MAX(1,N_Ed),(CK22+CL22)/2,CK22)</f>
        <v/>
      </c>
      <c r="CP22">
        <f>IF($CN22&lt;N_Ed-1E-9*MAX(1,N_Ed),CL22,(CK22+CL22)/2)</f>
        <v/>
      </c>
      <c r="CQ22">
        <f>h_col*((CO22+CP22)/2)/(1-(CO22+CP22)/2)</f>
        <v/>
      </c>
      <c r="CR22">
        <f>(f_cd*b_col*((3*MIN(CQ22,h_col)/7)+(4*MIN(CQ22,h_col)/7)*(1-((4*MIN(CQ22,h_col)/7)/(CQ22-(3*MIN(CQ22,h_col)/7)))^2/3))+$D22/2*((MAX(-f_yd,MIN(f_yd,200000*IF(CQ22&lt;=h_col,0.0035*(CQ22-d_2)/CQ22,0.002*(CQ22-d_2)/(CQ22-3*h_col/7))))-f_cd*(1-(1-MAX(0,MIN(1,IF(CQ22&lt;=h_col,0.0035*(CQ22-d_2)/CQ22,0.002*(CQ22-d_2)/(CQ22-3*h_col/7))/0.002)))^2))+(MAX(-f_yd,MIN(f_yd,200000*IF(CQ22&lt;=h_col,0.0035*(CQ22-(h_col-d_2))/CQ22,0.002*(CQ22-(h_col-d_2))/(CQ22-3*h_col/7))))-f_cd*(1-(1-MAX(0,MIN(1,IF(CQ22&lt;=h_col,0.0035*(CQ22-(h_col-d_2))/CQ22,0.002*(CQ22-(h_col-d_2))/(CQ22-3*h_col/7))/0.002)))^2))))/1000</f>
        <v/>
      </c>
      <c r="CS22">
        <f>IF($CR22&lt;N_Ed-1E-9*MAX(1,N_Ed),(CO22+CP22)/2,CO22)</f>
        <v/>
      </c>
      <c r="CT22">
        <f>IF($CR22&lt;N_Ed-1E-9*MAX(1,N_Ed),CP22,(CO22+CP22)/2)</f>
        <v/>
      </c>
      <c r="CU22">
        <f>h_col*((CS22+CT22)/2)/(1-(CS22+CT22)/2)</f>
        <v/>
      </c>
      <c r="CV22">
        <f>(f_cd*b_col*((3*MIN(CU22,h_col)/7)+(4*MIN(CU22,h_col)/7)*(1-((4*MIN(CU22,h_col)/7)/(CU22-(3*MIN(CU22,h_col)/7)))^2/3))+$D22/2*((MAX(-f_yd,MIN(f_yd,200000*IF(CU22&lt;=h_col,0.0035*(CU22-d_2)/CU22,0.002*(CU22-d_2)/(CU22-3*h_col/7))))-f_cd*(1-(1-MAX(0,MIN(1,IF(CU22&lt;=h_col,0.0035*(CU22-d_2)/CU22,0.002*(CU22-d_2)/(CU22-3*h_col/7))/0.002)))^2))+(MAX(-f_yd,MIN(f_yd,200000*IF(CU22&lt;=h_col,0.0035*(CU22-(h_col-d_2))/CU22,0.002*(CU22-(h_col-d_2))/(CU22-3*h_col/7))))-f_cd*(1-(1-MAX(0,MIN(1,IF(CU22&lt;=h_col,0.0035*(CU22-(h_col-d_2))/CU22,0.002*(CU22-(h_col-d_2))/(CU22-3*h_col/7))/0.002)))^2))))/1000</f>
        <v/>
      </c>
      <c r="CW22">
        <f>IF($CV22&lt;N_Ed-1E-9*MAX(1,N_Ed),(CS22+CT22)/2,CS22)</f>
        <v/>
      </c>
      <c r="CX22">
        <f>IF($CV22&lt;N_Ed-1E-9*MAX(1,N_Ed),CT22,(CS22+CT22)/2)</f>
        <v/>
      </c>
      <c r="CY22">
        <f>h_col*((CW22+CX22)/2)/(1-(CW22+CX22)/2)</f>
        <v/>
      </c>
      <c r="CZ22">
        <f>(f_cd*b_col*((3*MIN(CY22,h_col)/7)+(4*MIN(CY22,h_col)/7)*(1-((4*MIN(CY22,h_col)/7)/(CY22-(3*MIN(CY22,h_col)/7)))^2/3))+$D22/2*((MAX(-f_yd,MIN(f_yd,200000*IF(CY22&lt;=h_col,0.0035*(CY22-d_2)/CY22,0.002*(CY22-d_2)/(CY22-3*h_col/7))))-f_cd*(1-(1-MAX(0,MIN(1,IF(CY22&lt;=h_col,0.0035*(CY22-d_2)/CY22,0.002*(CY22-d_2)/(CY22-3*h_col/7))/0.002)))^2))+(MAX(-f_yd,MIN(f_yd,200000*IF(CY22&lt;=h_col,0.0035*(CY22-(h_col-d_2))/CY22,0.002*(CY22-(h_col-d_2))/(CY22-3*h_col/7))))-f_cd*(1-(1-MAX(0,MIN(1,IF(CY22&lt;=h_col,0.0035*(CY22-(h_col-d_2))/CY22,0.002*(CY22-(h_col-d_2))/(CY22-3*h_col/7))/0.002)))^2))))/1000</f>
        <v/>
      </c>
      <c r="DA22">
        <f>IF($CZ22&lt;N_Ed-1E-9*MAX(1,N_Ed),(CW22+CX22)/2,CW22)</f>
        <v/>
      </c>
      <c r="DB22">
        <f>IF($CZ22&lt;N_Ed-1E-9*MAX(1,N_Ed),CX22,(CW22+CX22)/2)</f>
        <v/>
      </c>
      <c r="DC22">
        <f>h_col*((DA22+DB22)/2)/(1-(DA22+DB22)/2)</f>
        <v/>
      </c>
      <c r="DD22">
        <f>(f_cd*b_col*((3*MIN(DC22,h_col)/7)+(4*MIN(DC22,h_col)/7)*(1-((4*MIN(DC22,h_col)/7)/(DC22-(3*MIN(DC22,h_col)/7)))^2/3))+$D22/2*((MAX(-f_yd,MIN(f_yd,200000*IF(DC22&lt;=h_col,0.0035*(DC22-d_2)/DC22,0.002*(DC22-d_2)/(DC22-3*h_col/7))))-f_cd*(1-(1-MAX(0,MIN(1,IF(DC22&lt;=h_col,0.0035*(DC22-d_2)/DC22,0.002*(DC22-d_2)/(DC22-3*h_col/7))/0.002)))^2))+(MAX(-f_yd,MIN(f_yd,200000*IF(DC22&lt;=h_col,0.0035*(DC22-(h_col-d_2))/DC22,0.002*(DC22-(h_col-d_2))/(DC22-3*h_col/7))))-f_cd*(1-(1-MAX(0,MIN(1,IF(DC22&lt;=h_col,0.0035*(DC22-(h_col-d_2))/DC22,0.002*(DC22-(h_col-d_2))/(DC22-3*h_col/7))/0.002)))^2))))/1000</f>
        <v/>
      </c>
      <c r="DE22">
        <f>IF($DD22&lt;N_Ed-1E-9*MAX(1,N_Ed),(DA22+DB22)/2,DA22)</f>
        <v/>
      </c>
      <c r="DF22">
        <f>IF($DD22&lt;N_Ed-1E-9*MAX(1,N_Ed),DB22,(DA22+DB22)/2)</f>
        <v/>
      </c>
      <c r="DG22">
        <f>h_col*((DE22+DF22)/2)/(1-(DE22+DF22)/2)</f>
        <v/>
      </c>
      <c r="DH22">
        <f>(f_cd*b_col*((3*MIN(DG22,h_col)/7)+(4*MIN(DG22,h_col)/7)*(1-((4*MIN(DG22,h_col)/7)/(DG22-(3*MIN(DG22,h_col)/7)))^2/3))+$D22/2*((MAX(-f_yd,MIN(f_yd,200000*IF(DG22&lt;=h_col,0.0035*(DG22-d_2)/DG22,0.002*(DG22-d_2)/(DG22-3*h_col/7))))-f_cd*(1-(1-MAX(0,MIN(1,IF(DG22&lt;=h_col,0.0035*(DG22-d_2)/DG22,0.002*(DG22-d_2)/(DG22-3*h_col/7))/0.002)))^2))+(MAX(-f_yd,MIN(f_yd,200000*IF(DG22&lt;=h_col,0.0035*(DG22-(h_col-d_2))/DG22,0.002*(DG22-(h_col-d_2))/(DG22-3*h_col/7))))-f_cd*(1-(1-MAX(0,MIN(1,IF(DG22&lt;=h_col,0.0035*(DG22-(h_col-d_2))/DG22,0.002*(DG22-(h_col-d_2))/(DG22-3*h_col/7))/0.002)))^2))))/1000</f>
        <v/>
      </c>
      <c r="DI22">
        <f>IF($DH22&lt;N_Ed-1E-9*MAX(1,N_Ed),(DE22+DF22)/2,DE22)</f>
        <v/>
      </c>
      <c r="DJ22">
        <f>IF($DH22&lt;N_Ed-1E-9*MAX(1,N_Ed),DF22,(DE22+DF22)/2)</f>
        <v/>
      </c>
      <c r="DK22">
        <f>h_col*((DI22+DJ22)/2)/(1-(DI22+DJ22)/2)</f>
        <v/>
      </c>
      <c r="DL22">
        <f>(f_cd*b_col*((3*MIN(DK22,h_col)/7)+(4*MIN(DK22,h_col)/7)*(1-((4*MIN(DK22,h_col)/7)/(DK22-(3*MIN(DK22,h_col)/7)))^2/3))+$D22/2*((MAX(-f_yd,MIN(f_yd,200000*IF(DK22&lt;=h_col,0.0035*(DK22-d_2)/DK22,0.002*(DK22-d_2)/(DK22-3*h_col/7))))-f_cd*(1-(1-MAX(0,MIN(1,IF(DK22&lt;=h_col,0.0035*(DK22-d_2)/DK22,0.002*(DK22-d_2)/(DK22-3*h_col/7))/0.002)))^2))+(MAX(-f_yd,MIN(f_yd,200000*IF(DK22&lt;=h_col,0.0035*(DK22-(h_col-d_2))/DK22,0.002*(DK22-(h_col-d_2))/(DK22-3*h_col/7))))-f_cd*(1-(1-MAX(0,MIN(1,IF(DK22&lt;=h_col,0.0035*(DK22-(h_col-d_2))/DK22,0.002*(DK22-(h_col-d_2))/(DK22-3*h_col/7))/0.002)))^2))))/1000</f>
        <v/>
      </c>
      <c r="DM22">
        <f>IF($DL22&lt;N_Ed-1E-9*MAX(1,N_Ed),(DI22+DJ22)/2,DI22)</f>
        <v/>
      </c>
      <c r="DN22">
        <f>IF($DL22&lt;N_Ed-1E-9*MAX(1,N_Ed),DJ22,(DI22+DJ22)/2)</f>
        <v/>
      </c>
      <c r="DO22">
        <f>h_col*((DM22+DN22)/2)/(1-(DM22+DN22)/2)</f>
        <v/>
      </c>
      <c r="DP22">
        <f>(f_cd*b_col*((3*MIN(DO22,h_col)/7)+(4*MIN(DO22,h_col)/7)*(1-((4*MIN(DO22,h_col)/7)/(DO22-(3*MIN(DO22,h_col)/7)))^2/3))+$D22/2*((MAX(-f_yd,MIN(f_yd,200000*IF(DO22&lt;=h_col,0.0035*(DO22-d_2)/DO22,0.002*(DO22-d_2)/(DO22-3*h_col/7))))-f_cd*(1-(1-MAX(0,MIN(1,IF(DO22&lt;=h_col,0.0035*(DO22-d_2)/DO22,0.002*(DO22-d_2)/(DO22-3*h_col/7))/0.002)))^2))+(MAX(-f_yd,MIN(f_yd,200000*IF(DO22&lt;=h_col,0.0035*(DO22-(h_col-d_2))/DO22,0.002*(DO22-(h_col-d_2))/(DO22-3*h_col/7))))-f_cd*(1-(1-MAX(0,MIN(1,IF(DO22&lt;=h_col,0.0035*(DO22-(h_col-d_2))/DO22,0.002*(DO22-(h_col-d_2))/(DO22-3*h_col/7))/0.002)))^2))))/1000</f>
        <v/>
      </c>
      <c r="DQ22">
        <f>IF($DP22&lt;N_Ed-1E-9*MAX(1,N_Ed),(DM22+DN22)/2,DM22)</f>
        <v/>
      </c>
      <c r="DR22">
        <f>IF($DP22&lt;N_Ed-1E-9*MAX(1,N_Ed),DN22,(DM22+DN22)/2)</f>
        <v/>
      </c>
      <c r="DS22">
        <f>h_col*((DQ22+DR22)/2)/(1-(DQ22+DR22)/2)</f>
        <v/>
      </c>
      <c r="DT22">
        <f>(f_cd*b_col*((3*MIN(DS22,h_col)/7)+(4*MIN(DS22,h_col)/7)*(1-((4*MIN(DS22,h_col)/7)/(DS22-(3*MIN(DS22,h_col)/7)))^2/3))+$D22/2*((MAX(-f_yd,MIN(f_yd,200000*IF(DS22&lt;=h_col,0.0035*(DS22-d_2)/DS22,0.002*(DS22-d_2)/(DS22-3*h_col/7))))-f_cd*(1-(1-MAX(0,MIN(1,IF(DS22&lt;=h_col,0.0035*(DS22-d_2)/DS22,0.002*(DS22-d_2)/(DS22-3*h_col/7))/0.002)))^2))+(MAX(-f_yd,MIN(f_yd,200000*IF(DS22&lt;=h_col,0.0035*(DS22-(h_col-d_2))/DS22,0.002*(DS22-(h_col-d_2))/(DS22-3*h_col/7))))-f_cd*(1-(1-MAX(0,MIN(1,IF(DS22&lt;=h_col,0.0035*(DS22-(h_col-d_2))/DS22,0.002*(DS22-(h_col-d_2))/(DS22-3*h_col/7))/0.002)))^2))))/1000</f>
        <v/>
      </c>
      <c r="DU22">
        <f>IF($DT22&lt;N_Ed-1E-9*MAX(1,N_Ed),(DQ22+DR22)/2,DQ22)</f>
        <v/>
      </c>
      <c r="DV22">
        <f>IF($DT22&lt;N_Ed-1E-9*MAX(1,N_Ed),DR22,(DQ22+DR22)/2)</f>
        <v/>
      </c>
      <c r="DW22">
        <f>h_col*((DU22+DV22)/2)/(1-(DU22+DV22)/2)</f>
        <v/>
      </c>
      <c r="DX22">
        <f>(f_cd*b_col*((3*MIN(DW22,h_col)/7)+(4*MIN(DW22,h_col)/7)*(1-((4*MIN(DW22,h_col)/7)/(DW22-(3*MIN(DW22,h_col)/7)))^2/3))+$D22/2*((MAX(-f_yd,MIN(f_yd,200000*IF(DW22&lt;=h_col,0.0035*(DW22-d_2)/DW22,0.002*(DW22-d_2)/(DW22-3*h_col/7))))-f_cd*(1-(1-MAX(0,MIN(1,IF(DW22&lt;=h_col,0.0035*(DW22-d_2)/DW22,0.002*(DW22-d_2)/(DW22-3*h_col/7))/0.002)))^2))+(MAX(-f_yd,MIN(f_yd,200000*IF(DW22&lt;=h_col,0.0035*(DW22-(h_col-d_2))/DW22,0.002*(DW22-(h_col-d_2))/(DW22-3*h_col/7))))-f_cd*(1-(1-MAX(0,MIN(1,IF(DW22&lt;=h_col,0.0035*(DW22-(h_col-d_2))/DW22,0.002*(DW22-(h_col-d_2))/(DW22-3*h_col/7))/0.002)))^2))))/1000</f>
        <v/>
      </c>
      <c r="DY22">
        <f>IF($DX22&lt;N_Ed-1E-9*MAX(1,N_Ed),(DU22+DV22)/2,DU22)</f>
        <v/>
      </c>
      <c r="DZ22">
        <f>IF($DX22&lt;N_Ed-1E-9*MAX(1,N_Ed),DV22,(DU22+DV22)/2)</f>
        <v/>
      </c>
      <c r="EA22">
        <f>h_col*((DY22+DZ22)/2)/(1-(DY22+DZ22)/2)</f>
        <v/>
      </c>
      <c r="EB22">
        <f>(f_cd*b_col*((3*MIN(EA22,h_col)/7)+(4*MIN(EA22,h_col)/7)*(1-((4*MIN(EA22,h_col)/7)/(EA22-(3*MIN(EA22,h_col)/7)))^2/3))+$D22/2*((MAX(-f_yd,MIN(f_yd,200000*IF(EA22&lt;=h_col,0.0035*(EA22-d_2)/EA22,0.002*(EA22-d_2)/(EA22-3*h_col/7))))-f_cd*(1-(1-MAX(0,MIN(1,IF(EA22&lt;=h_col,0.0035*(EA22-d_2)/EA22,0.002*(EA22-d_2)/(EA22-3*h_col/7))/0.002)))^2))+(MAX(-f_yd,MIN(f_yd,200000*IF(EA22&lt;=h_col,0.0035*(EA22-(h_col-d_2))/EA22,0.002*(EA22-(h_col-d_2))/(EA22-3*h_col/7))))-f_cd*(1-(1-MAX(0,MIN(1,IF(EA22&lt;=h_col,0.0035*(EA22-(h_col-d_2))/EA22,0.002*(EA22-(h_col-d_2))/(EA22-3*h_col/7))/0.002)))^2))))/1000</f>
        <v/>
      </c>
      <c r="EC22">
        <f>IF($EB22&lt;N_Ed-1E-9*MAX(1,N_Ed),(DY22+DZ22)/2,DY22)</f>
        <v/>
      </c>
      <c r="ED22">
        <f>IF($EB22&lt;N_Ed-1E-9*MAX(1,N_Ed),DZ22,(DY22+DZ22)/2)</f>
        <v/>
      </c>
      <c r="EE22">
        <f>h_col*((EC22+ED22)/2)/(1-(EC22+ED22)/2)</f>
        <v/>
      </c>
      <c r="EF22">
        <f>(f_cd*b_col*((3*MIN(EE22,h_col)/7)+(4*MIN(EE22,h_col)/7)*(1-((4*MIN(EE22,h_col)/7)/(EE22-(3*MIN(EE22,h_col)/7)))^2/3))+$D22/2*((MAX(-f_yd,MIN(f_yd,200000*IF(EE22&lt;=h_col,0.0035*(EE22-d_2)/EE22,0.002*(EE22-d_2)/(EE22-3*h_col/7))))-f_cd*(1-(1-MAX(0,MIN(1,IF(EE22&lt;=h_col,0.0035*(EE22-d_2)/EE22,0.002*(EE22-d_2)/(EE22-3*h_col/7))/0.002)))^2))+(MAX(-f_yd,MIN(f_yd,200000*IF(EE22&lt;=h_col,0.0035*(EE22-(h_col-d_2))/EE22,0.002*(EE22-(h_col-d_2))/(EE22-3*h_col/7))))-f_cd*(1-(1-MAX(0,MIN(1,IF(EE22&lt;=h_col,0.0035*(EE22-(h_col-d_2))/EE22,0.002*(EE22-(h_col-d_2))/(EE22-3*h_col/7))/0.002)))^2))))/1000</f>
        <v/>
      </c>
      <c r="EG22">
        <f>IF($EF22&lt;N_Ed-1E-9*MAX(1,N_Ed),(EC22+ED22)/2,EC22)</f>
        <v/>
      </c>
      <c r="EH22">
        <f>IF($EF22&lt;N_Ed-1E-9*MAX(1,N_Ed),ED22,(EC22+ED22)/2)</f>
        <v/>
      </c>
      <c r="EI22">
        <f>h_col*((EG22+EH22)/2)/(1-(EG22+EH22)/2)</f>
        <v/>
      </c>
      <c r="EJ22">
        <f>(f_cd*b_col*((3*MIN(EI22,h_col)/7)+(4*MIN(EI22,h_col)/7)*(1-((4*MIN(EI22,h_col)/7)/(EI22-(3*MIN(EI22,h_col)/7)))^2/3))+$D22/2*((MAX(-f_yd,MIN(f_yd,200000*IF(EI22&lt;=h_col,0.0035*(EI22-d_2)/EI22,0.002*(EI22-d_2)/(EI22-3*h_col/7))))-f_cd*(1-(1-MAX(0,MIN(1,IF(EI22&lt;=h_col,0.0035*(EI22-d_2)/EI22,0.002*(EI22-d_2)/(EI22-3*h_col/7))/0.002)))^2))+(MAX(-f_yd,MIN(f_yd,200000*IF(EI22&lt;=h_col,0.0035*(EI22-(h_col-d_2))/EI22,0.002*(EI22-(h_col-d_2))/(EI22-3*h_col/7))))-f_cd*(1-(1-MAX(0,MIN(1,IF(EI22&lt;=h_col,0.0035*(EI22-(h_col-d_2))/EI22,0.002*(EI22-(h_col-d_2))/(EI22-3*h_col/7))/0.002)))^2))))/1000</f>
        <v/>
      </c>
      <c r="EK22">
        <f>IF($EJ22&lt;N_Ed-1E-9*MAX(1,N_Ed),(EG22+EH22)/2,EG22)</f>
        <v/>
      </c>
      <c r="EL22">
        <f>IF($EJ22&lt;N_Ed-1E-9*MAX(1,N_Ed),EH22,(EG22+EH22)/2)</f>
        <v/>
      </c>
      <c r="EM22">
        <f>h_col*((EK22+EL22)/2)/(1-(EK22+EL22)/2)</f>
        <v/>
      </c>
      <c r="EN22">
        <f>(f_cd*b_col*((3*MIN(EM22,h_col)/7)+(4*MIN(EM22,h_col)/7)*(1-((4*MIN(EM22,h_col)/7)/(EM22-(3*MIN(EM22,h_col)/7)))^2/3))+$D22/2*((MAX(-f_yd,MIN(f_yd,200000*IF(EM22&lt;=h_col,0.0035*(EM22-d_2)/EM22,0.002*(EM22-d_2)/(EM22-3*h_col/7))))-f_cd*(1-(1-MAX(0,MIN(1,IF(EM22&lt;=h_col,0.0035*(EM22-d_2)/EM22,0.002*(EM22-d_2)/(EM22-3*h_col/7))/0.002)))^2))+(MAX(-f_yd,MIN(f_yd,200000*IF(EM22&lt;=h_col,0.0035*(EM22-(h_col-d_2))/EM22,0.002*(EM22-(h_col-d_2))/(EM22-3*h_col/7))))-f_cd*(1-(1-MAX(0,MIN(1,IF(EM22&lt;=h_col,0.0035*(EM22-(h_col-d_2))/EM22,0.002*(EM22-(h_col-d_2))/(EM22-3*h_col/7))/0.002)))^2))))/1000</f>
        <v/>
      </c>
      <c r="EO22">
        <f>IF($EN22&lt;N_Ed-1E-9*MAX(1,N_Ed),(EK22+EL22)/2,EK22)</f>
        <v/>
      </c>
      <c r="EP22">
        <f>IF($EN22&lt;N_Ed-1E-9*MAX(1,N_Ed),EL22,(EK22+EL22)/2)</f>
        <v/>
      </c>
      <c r="EQ22">
        <f>h_col*((EO22+EP22)/2)/(1-(EO22+EP22)/2)</f>
        <v/>
      </c>
      <c r="ER22">
        <f>(f_cd*b_col*((3*MIN(EQ22,h_col)/7)+(4*MIN(EQ22,h_col)/7)*(1-((4*MIN(EQ22,h_col)/7)/(EQ22-(3*MIN(EQ22,h_col)/7)))^2/3))+$D22/2*((MAX(-f_yd,MIN(f_yd,200000*IF(EQ22&lt;=h_col,0.0035*(EQ22-d_2)/EQ22,0.002*(EQ22-d_2)/(EQ22-3*h_col/7))))-f_cd*(1-(1-MAX(0,MIN(1,IF(EQ22&lt;=h_col,0.0035*(EQ22-d_2)/EQ22,0.002*(EQ22-d_2)/(EQ22-3*h_col/7))/0.002)))^2))+(MAX(-f_yd,MIN(f_yd,200000*IF(EQ22&lt;=h_col,0.0035*(EQ22-(h_col-d_2))/EQ22,0.002*(EQ22-(h_col-d_2))/(EQ22-3*h_col/7))))-f_cd*(1-(1-MAX(0,MIN(1,IF(EQ22&lt;=h_col,0.0035*(EQ22-(h_col-d_2))/EQ22,0.002*(EQ22-(h_col-d_2))/(EQ22-3*h_col/7))/0.002)))^2))))/1000</f>
        <v/>
      </c>
      <c r="ES22">
        <f>IF($ER22&lt;N_Ed-1E-9*MAX(1,N_Ed),(EO22+EP22)/2,EO22)</f>
        <v/>
      </c>
      <c r="ET22">
        <f>IF($ER22&lt;N_Ed-1E-9*MAX(1,N_Ed),EP22,(EO22+EP22)/2)</f>
        <v/>
      </c>
      <c r="EU22">
        <f>h_col*((ES22+ET22)/2)/(1-(ES22+ET22)/2)</f>
        <v/>
      </c>
      <c r="EV22">
        <f>(f_cd*b_col*((3*MIN(EU22,h_col)/7)+(4*MIN(EU22,h_col)/7)*(1-((4*MIN(EU22,h_col)/7)/(EU22-(3*MIN(EU22,h_col)/7)))^2/3))+$D22/2*((MAX(-f_yd,MIN(f_yd,200000*IF(EU22&lt;=h_col,0.0035*(EU22-d_2)/EU22,0.002*(EU22-d_2)/(EU22-3*h_col/7))))-f_cd*(1-(1-MAX(0,MIN(1,IF(EU22&lt;=h_col,0.0035*(EU22-d_2)/EU22,0.002*(EU22-d_2)/(EU22-3*h_col/7))/0.002)))^2))+(MAX(-f_yd,MIN(f_yd,200000*IF(EU22&lt;=h_col,0.0035*(EU22-(h_col-d_2))/EU22,0.002*(EU22-(h_col-d_2))/(EU22-3*h_col/7))))-f_cd*(1-(1-MAX(0,MIN(1,IF(EU22&lt;=h_col,0.0035*(EU22-(h_col-d_2))/EU22,0.002*(EU22-(h_col-d_2))/(EU22-3*h_col/7))/0.002)))^2))))/1000</f>
        <v/>
      </c>
      <c r="EW22">
        <f>IF($EV22&lt;N_Ed-1E-9*MAX(1,N_Ed),(ES22+ET22)/2,ES22)</f>
        <v/>
      </c>
      <c r="EX22">
        <f>IF($EV22&lt;N_Ed-1E-9*MAX(1,N_Ed),ET22,(ES22+ET22)/2)</f>
        <v/>
      </c>
      <c r="EY22">
        <f>h_col*((EW22+EX22)/2)/(1-(EW22+EX22)/2)</f>
        <v/>
      </c>
      <c r="EZ22">
        <f>(f_cd*b_col*((3*MIN(EY22,h_col)/7)+(4*MIN(EY22,h_col)/7)*(1-((4*MIN(EY22,h_col)/7)/(EY22-(3*MIN(EY22,h_col)/7)))^2/3))+$D22/2*((MAX(-f_yd,MIN(f_yd,200000*IF(EY22&lt;=h_col,0.0035*(EY22-d_2)/EY22,0.002*(EY22-d_2)/(EY22-3*h_col/7))))-f_cd*(1-(1-MAX(0,MIN(1,IF(EY22&lt;=h_col,0.0035*(EY22-d_2)/EY22,0.002*(EY22-d_2)/(EY22-3*h_col/7))/0.002)))^2))+(MAX(-f_yd,MIN(f_yd,200000*IF(EY22&lt;=h_col,0.0035*(EY22-(h_col-d_2))/EY22,0.002*(EY22-(h_col-d_2))/(EY22-3*h_col/7))))-f_cd*(1-(1-MAX(0,MIN(1,IF(EY22&lt;=h_col,0.0035*(EY22-(h_col-d_2))/EY22,0.002*(EY22-(h_col-d_2))/(EY22-3*h_col/7))/0.002)))^2))))/1000</f>
        <v/>
      </c>
      <c r="FA22">
        <f>IF($EZ22&lt;N_Ed-1E-9*MAX(1,N_Ed),(EW22+EX22)/2,EW22)</f>
        <v/>
      </c>
      <c r="FB22">
        <f>IF($EZ22&lt;N_Ed-1E-9*MAX(1,N_Ed),EX22,(EW22+EX22)/2)</f>
        <v/>
      </c>
      <c r="FC22">
        <f>h_col*((FA22+FB22)/2)/(1-(FA22+FB22)/2)</f>
        <v/>
      </c>
      <c r="FD22">
        <f>(f_cd*b_col*((3*MIN(FC22,h_col)/7)+(4*MIN(FC22,h_col)/7)*(1-((4*MIN(FC22,h_col)/7)/(FC22-(3*MIN(FC22,h_col)/7)))^2/3))+$D22/2*((MAX(-f_yd,MIN(f_yd,200000*IF(FC22&lt;=h_col,0.0035*(FC22-d_2)/FC22,0.002*(FC22-d_2)/(FC22-3*h_col/7))))-f_cd*(1-(1-MAX(0,MIN(1,IF(FC22&lt;=h_col,0.0035*(FC22-d_2)/FC22,0.002*(FC22-d_2)/(FC22-3*h_col/7))/0.002)))^2))+(MAX(-f_yd,MIN(f_yd,200000*IF(FC22&lt;=h_col,0.0035*(FC22-(h_col-d_2))/FC22,0.002*(FC22-(h_col-d_2))/(FC22-3*h_col/7))))-f_cd*(1-(1-MAX(0,MIN(1,IF(FC22&lt;=h_col,0.0035*(FC22-(h_col-d_2))/FC22,0.002*(FC22-(h_col-d_2))/(FC22-3*h_col/7))/0.002)))^2))))/1000</f>
        <v/>
      </c>
      <c r="FE22">
        <f>IF($FD22&lt;N_Ed-1E-9*MAX(1,N_Ed),(FA22+FB22)/2,FA22)</f>
        <v/>
      </c>
      <c r="FF22">
        <f>IF($FD22&lt;N_Ed-1E-9*MAX(1,N_Ed),FB22,(FA22+FB22)/2)</f>
        <v/>
      </c>
      <c r="FG22">
        <f>h_col*((FE22+FF22)/2)/(1-(FE22+FF22)/2)</f>
        <v/>
      </c>
      <c r="FH22">
        <f>(f_cd*b_col*((3*MIN(FG22,h_col)/7)+(4*MIN(FG22,h_col)/7)*(1-((4*MIN(FG22,h_col)/7)/(FG22-(3*MIN(FG22,h_col)/7)))^2/3))+$D22/2*((MAX(-f_yd,MIN(f_yd,200000*IF(FG22&lt;=h_col,0.0035*(FG22-d_2)/FG22,0.002*(FG22-d_2)/(FG22-3*h_col/7))))-f_cd*(1-(1-MAX(0,MIN(1,IF(FG22&lt;=h_col,0.0035*(FG22-d_2)/FG22,0.002*(FG22-d_2)/(FG22-3*h_col/7))/0.002)))^2))+(MAX(-f_yd,MIN(f_yd,200000*IF(FG22&lt;=h_col,0.0035*(FG22-(h_col-d_2))/FG22,0.002*(FG22-(h_col-d_2))/(FG22-3*h_col/7))))-f_cd*(1-(1-MAX(0,MIN(1,IF(FG22&lt;=h_col,0.0035*(FG22-(h_col-d_2))/FG22,0.002*(FG22-(h_col-d_2))/(FG22-3*h_col/7))/0.002)))^2))))/1000</f>
        <v/>
      </c>
      <c r="FI22">
        <f>IF($FH22&lt;N_Ed-1E-9*MAX(1,N_Ed),(FE22+FF22)/2,FE22)</f>
        <v/>
      </c>
      <c r="FJ22">
        <f>IF($FH22&lt;N_Ed-1E-9*MAX(1,N_Ed),FF22,(FE22+FF22)/2)</f>
        <v/>
      </c>
      <c r="FK22">
        <f>h_col*((FI22+FJ22)/2)/(1-(FI22+FJ22)/2)</f>
        <v/>
      </c>
      <c r="FL22">
        <f>(f_cd*b_col*((3*MIN(FK22,h_col)/7)+(4*MIN(FK22,h_col)/7)*(1-((4*MIN(FK22,h_col)/7)/(FK22-(3*MIN(FK22,h_col)/7)))^2/3))+$D22/2*((MAX(-f_yd,MIN(f_yd,200000*IF(FK22&lt;=h_col,0.0035*(FK22-d_2)/FK22,0.002*(FK22-d_2)/(FK22-3*h_col/7))))-f_cd*(1-(1-MAX(0,MIN(1,IF(FK22&lt;=h_col,0.0035*(FK22-d_2)/FK22,0.002*(FK22-d_2)/(FK22-3*h_col/7))/0.002)))^2))+(MAX(-f_yd,MIN(f_yd,200000*IF(FK22&lt;=h_col,0.0035*(FK22-(h_col-d_2))/FK22,0.002*(FK22-(h_col-d_2))/(FK22-3*h_col/7))))-f_cd*(1-(1-MAX(0,MIN(1,IF(FK22&lt;=h_col,0.0035*(FK22-(h_col-d_2))/FK22,0.002*(FK22-(h_col-d_2))/(FK22-3*h_col/7))/0.002)))^2))))/1000</f>
        <v/>
      </c>
      <c r="FM22">
        <f>IF($FL22&lt;N_Ed-1E-9*MAX(1,N_Ed),(FI22+FJ22)/2,FI22)</f>
        <v/>
      </c>
      <c r="FN22">
        <f>IF($FL22&lt;N_Ed-1E-9*MAX(1,N_Ed),FJ22,(FI22+FJ22)/2)</f>
        <v/>
      </c>
      <c r="FO22">
        <f>h_col*((FM22+FN22)/2)/(1-(FM22+FN22)/2)</f>
        <v/>
      </c>
      <c r="FP22">
        <f>(f_cd*b_col*((3*MIN(FO22,h_col)/7)+(4*MIN(FO22,h_col)/7)*(1-((4*MIN(FO22,h_col)/7)/(FO22-(3*MIN(FO22,h_col)/7)))^2/3))+$D22/2*((MAX(-f_yd,MIN(f_yd,200000*IF(FO22&lt;=h_col,0.0035*(FO22-d_2)/FO22,0.002*(FO22-d_2)/(FO22-3*h_col/7))))-f_cd*(1-(1-MAX(0,MIN(1,IF(FO22&lt;=h_col,0.0035*(FO22-d_2)/FO22,0.002*(FO22-d_2)/(FO22-3*h_col/7))/0.002)))^2))+(MAX(-f_yd,MIN(f_yd,200000*IF(FO22&lt;=h_col,0.0035*(FO22-(h_col-d_2))/FO22,0.002*(FO22-(h_col-d_2))/(FO22-3*h_col/7))))-f_cd*(1-(1-MAX(0,MIN(1,IF(FO22&lt;=h_col,0.0035*(FO22-(h_col-d_2))/FO22,0.002*(FO22-(h_col-d_2))/(FO22-3*h_col/7))/0.002)))^2))))/1000</f>
        <v/>
      </c>
      <c r="FQ22">
        <f>IF($FP22&lt;N_Ed-1E-9*MAX(1,N_Ed),(FM22+FN22)/2,FM22)</f>
        <v/>
      </c>
      <c r="FR22">
        <f>IF($FP22&lt;N_Ed-1E-9*MAX(1,N_Ed),FN22,(FM22+FN22)/2)</f>
        <v/>
      </c>
      <c r="FS22">
        <f>h_col*((FQ22+FR22)/2)/(1-(FQ22+FR22)/2)</f>
        <v/>
      </c>
      <c r="FT22">
        <f>(f_cd*b_col*((3*MIN(FS22,h_col)/7)+(4*MIN(FS22,h_col)/7)*(1-((4*MIN(FS22,h_col)/7)/(FS22-(3*MIN(FS22,h_col)/7)))^2/3))+$D22/2*((MAX(-f_yd,MIN(f_yd,200000*IF(FS22&lt;=h_col,0.0035*(FS22-d_2)/FS22,0.002*(FS22-d_2)/(FS22-3*h_col/7))))-f_cd*(1-(1-MAX(0,MIN(1,IF(FS22&lt;=h_col,0.0035*(FS22-d_2)/FS22,0.002*(FS22-d_2)/(FS22-3*h_col/7))/0.002)))^2))+(MAX(-f_yd,MIN(f_yd,200000*IF(FS22&lt;=h_col,0.0035*(FS22-(h_col-d_2))/FS22,0.002*(FS22-(h_col-d_2))/(FS22-3*h_col/7))))-f_cd*(1-(1-MAX(0,MIN(1,IF(FS22&lt;=h_col,0.0035*(FS22-(h_col-d_2))/FS22,0.002*(FS22-(h_col-d_2))/(FS22-3*h_col/7))/0.002)))^2))))/1000</f>
        <v/>
      </c>
      <c r="FU22">
        <f>IF($FT22&lt;N_Ed-1E-9*MAX(1,N_Ed),(FQ22+FR22)/2,FQ22)</f>
        <v/>
      </c>
      <c r="FV22">
        <f>IF($FT22&lt;N_Ed-1E-9*MAX(1,N_Ed),FR22,(FQ22+FR22)/2)</f>
        <v/>
      </c>
      <c r="FW22">
        <f>h_col*((FU22+FV22)/2)/(1-(FU22+FV22)/2)</f>
        <v/>
      </c>
      <c r="FX22">
        <f>(f_cd*b_col*((3*MIN(FW22,h_col)/7)+(4*MIN(FW22,h_col)/7)*(1-((4*MIN(FW22,h_col)/7)/(FW22-(3*MIN(FW22,h_col)/7)))^2/3))+$D22/2*((MAX(-f_yd,MIN(f_yd,200000*IF(FW22&lt;=h_col,0.0035*(FW22-d_2)/FW22,0.002*(FW22-d_2)/(FW22-3*h_col/7))))-f_cd*(1-(1-MAX(0,MIN(1,IF(FW22&lt;=h_col,0.0035*(FW22-d_2)/FW22,0.002*(FW22-d_2)/(FW22-3*h_col/7))/0.002)))^2))+(MAX(-f_yd,MIN(f_yd,200000*IF(FW22&lt;=h_col,0.0035*(FW22-(h_col-d_2))/FW22,0.002*(FW22-(h_col-d_2))/(FW22-3*h_col/7))))-f_cd*(1-(1-MAX(0,MIN(1,IF(FW22&lt;=h_col,0.0035*(FW22-(h_col-d_2))/FW22,0.002*(FW22-(h_col-d_2))/(FW22-3*h_col/7))/0.002)))^2))))/1000</f>
        <v/>
      </c>
      <c r="FY22">
        <f>IF($FX22&lt;N_Ed-1E-9*MAX(1,N_Ed),(FU22+FV22)/2,FU22)</f>
        <v/>
      </c>
      <c r="FZ22">
        <f>IF($FX22&lt;N_Ed-1E-9*MAX(1,N_Ed),FV22,(FU22+FV22)/2)</f>
        <v/>
      </c>
      <c r="GA22">
        <f>h_col*((FY22+FZ22)/2)/(1-(FY22+FZ22)/2)</f>
        <v/>
      </c>
      <c r="GB22">
        <f>(f_cd*b_col*((3*MIN(GA22,h_col)/7)+(4*MIN(GA22,h_col)/7)*(1-((4*MIN(GA22,h_col)/7)/(GA22-(3*MIN(GA22,h_col)/7)))^2/3))+$D22/2*((MAX(-f_yd,MIN(f_yd,200000*IF(GA22&lt;=h_col,0.0035*(GA22-d_2)/GA22,0.002*(GA22-d_2)/(GA22-3*h_col/7))))-f_cd*(1-(1-MAX(0,MIN(1,IF(GA22&lt;=h_col,0.0035*(GA22-d_2)/GA22,0.002*(GA22-d_2)/(GA22-3*h_col/7))/0.002)))^2))+(MAX(-f_yd,MIN(f_yd,200000*IF(GA22&lt;=h_col,0.0035*(GA22-(h_col-d_2))/GA22,0.002*(GA22-(h_col-d_2))/(GA22-3*h_col/7))))-f_cd*(1-(1-MAX(0,MIN(1,IF(GA22&lt;=h_col,0.0035*(GA22-(h_col-d_2))/GA22,0.002*(GA22-(h_col-d_2))/(GA22-3*h_col/7))/0.002)))^2))))/1000</f>
        <v/>
      </c>
      <c r="GC22">
        <f>IF($GB22&lt;N_Ed-1E-9*MAX(1,N_Ed),(FY22+FZ22)/2,FY22)</f>
        <v/>
      </c>
      <c r="GD22">
        <f>IF($GB22&lt;N_Ed-1E-9*MAX(1,N_Ed),FZ22,(FY22+FZ22)/2)</f>
        <v/>
      </c>
      <c r="GE22">
        <f>h_col*((GC22+GD22)/2)/(1-(GC22+GD22)/2)</f>
        <v/>
      </c>
      <c r="GF22">
        <f>(f_cd*b_col*((3*MIN(GE22,h_col)/7)+(4*MIN(GE22,h_col)/7)*(1-((4*MIN(GE22,h_col)/7)/(GE22-(3*MIN(GE22,h_col)/7)))^2/3))+$D22/2*((MAX(-f_yd,MIN(f_yd,200000*IF(GE22&lt;=h_col,0.0035*(GE22-d_2)/GE22,0.002*(GE22-d_2)/(GE22-3*h_col/7))))-f_cd*(1-(1-MAX(0,MIN(1,IF(GE22&lt;=h_col,0.0035*(GE22-d_2)/GE22,0.002*(GE22-d_2)/(GE22-3*h_col/7))/0.002)))^2))+(MAX(-f_yd,MIN(f_yd,200000*IF(GE22&lt;=h_col,0.0035*(GE22-(h_col-d_2))/GE22,0.002*(GE22-(h_col-d_2))/(GE22-3*h_col/7))))-f_cd*(1-(1-MAX(0,MIN(1,IF(GE22&lt;=h_col,0.0035*(GE22-(h_col-d_2))/GE22,0.002*(GE22-(h_col-d_2))/(GE22-3*h_col/7))/0.002)))^2))))/1000</f>
        <v/>
      </c>
      <c r="GG22">
        <f>IF($GF22&lt;N_Ed-1E-9*MAX(1,N_Ed),(GC22+GD22)/2,GC22)</f>
        <v/>
      </c>
      <c r="GH22">
        <f>IF($GF22&lt;N_Ed-1E-9*MAX(1,N_Ed),GD22,(GC22+GD22)/2)</f>
        <v/>
      </c>
      <c r="GI22">
        <f>h_col*((GG22+GH22)/2)/(1-(GG22+GH22)/2)</f>
        <v/>
      </c>
      <c r="GJ22">
        <f>(f_cd*b_col*((3*MIN(GI22,h_col)/7)+(4*MIN(GI22,h_col)/7)*(1-((4*MIN(GI22,h_col)/7)/(GI22-(3*MIN(GI22,h_col)/7)))^2/3))+$D22/2*((MAX(-f_yd,MIN(f_yd,200000*IF(GI22&lt;=h_col,0.0035*(GI22-d_2)/GI22,0.002*(GI22-d_2)/(GI22-3*h_col/7))))-f_cd*(1-(1-MAX(0,MIN(1,IF(GI22&lt;=h_col,0.0035*(GI22-d_2)/GI22,0.002*(GI22-d_2)/(GI22-3*h_col/7))/0.002)))^2))+(MAX(-f_yd,MIN(f_yd,200000*IF(GI22&lt;=h_col,0.0035*(GI22-(h_col-d_2))/GI22,0.002*(GI22-(h_col-d_2))/(GI22-3*h_col/7))))-f_cd*(1-(1-MAX(0,MIN(1,IF(GI22&lt;=h_col,0.0035*(GI22-(h_col-d_2))/GI22,0.002*(GI22-(h_col-d_2))/(GI22-3*h_col/7))/0.002)))^2))))/1000</f>
        <v/>
      </c>
      <c r="GK22">
        <f>IF($GJ22&lt;N_Ed-1E-9*MAX(1,N_Ed),(GG22+GH22)/2,GG22)</f>
        <v/>
      </c>
      <c r="GL22">
        <f>IF($GJ22&lt;N_Ed-1E-9*MAX(1,N_Ed),GH22,(GG22+GH22)/2)</f>
        <v/>
      </c>
      <c r="GM22">
        <f>h_col*((GK22+GL22)/2)/(1-(GK22+GL22)/2)</f>
        <v/>
      </c>
      <c r="GN22">
        <f>(f_cd*b_col*((3*MIN(GM22,h_col)/7)+(4*MIN(GM22,h_col)/7)*(1-((4*MIN(GM22,h_col)/7)/(GM22-(3*MIN(GM22,h_col)/7)))^2/3))+$D22/2*((MAX(-f_yd,MIN(f_yd,200000*IF(GM22&lt;=h_col,0.0035*(GM22-d_2)/GM22,0.002*(GM22-d_2)/(GM22-3*h_col/7))))-f_cd*(1-(1-MAX(0,MIN(1,IF(GM22&lt;=h_col,0.0035*(GM22-d_2)/GM22,0.002*(GM22-d_2)/(GM22-3*h_col/7))/0.002)))^2))+(MAX(-f_yd,MIN(f_yd,200000*IF(GM22&lt;=h_col,0.0035*(GM22-(h_col-d_2))/GM22,0.002*(GM22-(h_col-d_2))/(GM22-3*h_col/7))))-f_cd*(1-(1-MAX(0,MIN(1,IF(GM22&lt;=h_col,0.0035*(GM22-(h_col-d_2))/GM22,0.002*(GM22-(h_col-d_2))/(GM22-3*h_col/7))/0.002)))^2))))/1000</f>
        <v/>
      </c>
      <c r="GO22">
        <f>IF($GN22&lt;N_Ed-1E-9*MAX(1,N_Ed),(GK22+GL22)/2,GK22)</f>
        <v/>
      </c>
      <c r="GP22">
        <f>IF($GN22&lt;N_Ed-1E-9*MAX(1,N_Ed),GL22,(GK22+GL22)/2)</f>
        <v/>
      </c>
      <c r="GQ22">
        <f>h_col*((GO22+GP22)/2)/(1-(GO22+GP22)/2)</f>
        <v/>
      </c>
      <c r="GR22">
        <f>(f_cd*b_col*((3*MIN(GQ22,h_col)/7)+(4*MIN(GQ22,h_col)/7)*(1-((4*MIN(GQ22,h_col)/7)/(GQ22-(3*MIN(GQ22,h_col)/7)))^2/3))+$D22/2*((MAX(-f_yd,MIN(f_yd,200000*IF(GQ22&lt;=h_col,0.0035*(GQ22-d_2)/GQ22,0.002*(GQ22-d_2)/(GQ22-3*h_col/7))))-f_cd*(1-(1-MAX(0,MIN(1,IF(GQ22&lt;=h_col,0.0035*(GQ22-d_2)/GQ22,0.002*(GQ22-d_2)/(GQ22-3*h_col/7))/0.002)))^2))+(MAX(-f_yd,MIN(f_yd,200000*IF(GQ22&lt;=h_col,0.0035*(GQ22-(h_col-d_2))/GQ22,0.002*(GQ22-(h_col-d_2))/(GQ22-3*h_col/7))))-f_cd*(1-(1-MAX(0,MIN(1,IF(GQ22&lt;=h_col,0.0035*(GQ22-(h_col-d_2))/GQ22,0.002*(GQ22-(h_col-d_2))/(GQ22-3*h_col/7))/0.002)))^2))))/1000</f>
        <v/>
      </c>
      <c r="GS22">
        <f>IF($GR22&lt;N_Ed-1E-9*MAX(1,N_Ed),(GO22+GP22)/2,GO22)</f>
        <v/>
      </c>
      <c r="GT22">
        <f>IF($GR22&lt;N_Ed-1E-9*MAX(1,N_Ed),GP22,(GO22+GP22)/2)</f>
        <v/>
      </c>
      <c r="GU22">
        <f>h_col*((GS22+GT22)/2)/(1-(GS22+GT22)/2)</f>
        <v/>
      </c>
      <c r="GV22">
        <f>(f_cd*b_col*((3*MIN(GU22,h_col)/7)+(4*MIN(GU22,h_col)/7)*(1-((4*MIN(GU22,h_col)/7)/(GU22-(3*MIN(GU22,h_col)/7)))^2/3))+$D22/2*((MAX(-f_yd,MIN(f_yd,200000*IF(GU22&lt;=h_col,0.0035*(GU22-d_2)/GU22,0.002*(GU22-d_2)/(GU22-3*h_col/7))))-f_cd*(1-(1-MAX(0,MIN(1,IF(GU22&lt;=h_col,0.0035*(GU22-d_2)/GU22,0.002*(GU22-d_2)/(GU22-3*h_col/7))/0.002)))^2))+(MAX(-f_yd,MIN(f_yd,200000*IF(GU22&lt;=h_col,0.0035*(GU22-(h_col-d_2))/GU22,0.002*(GU22-(h_col-d_2))/(GU22-3*h_col/7))))-f_cd*(1-(1-MAX(0,MIN(1,IF(GU22&lt;=h_col,0.0035*(GU22-(h_col-d_2))/GU22,0.002*(GU22-(h_col-d_2))/(GU22-3*h_col/7))/0.002)))^2))))/1000</f>
        <v/>
      </c>
      <c r="GW22">
        <f>GU22</f>
        <v/>
      </c>
      <c r="GX22">
        <f>(f_cd*b_col*((3*MIN(GW22,h_col)/7)+(4*MIN(GW22,h_col)/7)*(1-((4*MIN(GW22,h_col)/7)/(GW22-(3*MIN(GW22,h_col)/7)))^2/3))+$D22/2*((MAX(-f_yd,MIN(f_yd,200000*IF(GW22&lt;=h_col,0.0035*(GW22-d_2)/GW22,0.002*(GW22-d_2)/(GW22-3*h_col/7))))-f_cd*(1-(1-MAX(0,MIN(1,IF(GW22&lt;=h_col,0.0035*(GW22-d_2)/GW22,0.002*(GW22-d_2)/(GW22-3*h_col/7))/0.002)))^2))+(MAX(-f_yd,MIN(f_yd,200000*IF(GW22&lt;=h_col,0.0035*(GW22-(h_col-d_2))/GW22,0.002*(GW22-(h_col-d_2))/(GW22-3*h_col/7))))-f_cd*(1-(1-MAX(0,MIN(1,IF(GW22&lt;=h_col,0.0035*(GW22-(h_col-d_2))/GW22,0.002*(GW22-(h_col-d_2))/(GW22-3*h_col/7))/0.002)))^2))))/1000</f>
        <v/>
      </c>
      <c r="GY22">
        <f>(f_cd*b_col*((3*MIN(GW22,h_col)/7)*(h_col/2-(3*MIN(GW22,h_col)/7)/2)+(4*MIN(GW22,h_col)/7)*((h_col/2-(3*MIN(GW22,h_col)/7))*(1-((4*MIN(GW22,h_col)/7)/(GW22-(3*MIN(GW22,h_col)/7)))^2/3)-(4*MIN(GW22,h_col)/7)*(0.5-((4*MIN(GW22,h_col)/7)/(GW22-(3*MIN(GW22,h_col)/7)))^2/4)))+$D22/2*((MAX(-f_yd,MIN(f_yd,200000*IF(GW22&lt;=h_col,0.0035*(GW22-d_2)/GW22,0.002*(GW22-d_2)/(GW22-3*h_col/7))))-f_cd*(1-(1-MAX(0,MIN(1,IF(GW22&lt;=h_col,0.0035*(GW22-d_2)/GW22,0.002*(GW22-d_2)/(GW22-3*h_col/7))/0.002)))^2))-(MAX(-f_yd,MIN(f_yd,200000*IF(GW22&lt;=h_col,0.0035*(GW22-(h_col-d_2))/GW22,0.002*(GW22-(h_col-d_2))/(GW22-3*h_col/7))))-f_cd*(1-(1-MAX(0,MIN(1,IF(GW22&lt;=h_col,0.0035*(GW22-(h_col-d_2))/GW22,0.002*(GW22-(h_col-d_2))/(GW22-3*h_col/7))/0.002)))^2)))*(h_col/2-d_2))/1E6</f>
        <v/>
      </c>
      <c r="GZ22">
        <f>GX22&gt;=N_Ed-1E-6*MAX(1,N_Ed)</f>
        <v/>
      </c>
      <c r="HA22">
        <f>IF(GZ22,GY22,-1E9)</f>
        <v/>
      </c>
    </row>
    <row r="23">
      <c r="A23" t="n">
        <v>18</v>
      </c>
      <c r="B23">
        <f>IF($HA22&gt;=M_d,$B22,$D22)</f>
        <v/>
      </c>
      <c r="C23">
        <f>IF($HA22&gt;=M_d,$D22,$C22)</f>
        <v/>
      </c>
      <c r="D23">
        <f>($B23+$C23)/2</f>
        <v/>
      </c>
      <c r="E23" t="n">
        <v>0</v>
      </c>
      <c r="F23">
        <f>1-1E-12</f>
        <v/>
      </c>
      <c r="G23">
        <f>h_col*((E23+F23)/2)/(1-(E23+F23)/2)</f>
        <v/>
      </c>
      <c r="H23">
        <f>(f_cd*b_col*((3*MIN(G23,h_col)/7)+(4*MIN(G23,h_col)/7)*(1-((4*MIN(G23,h_col)/7)/(G23-(3*MIN(G23,h_col)/7)))^2/3))+$D23/2*((MAX(-f_yd,MIN(f_yd,200000*IF(G23&lt;=h_col,0.0035*(G23-d_2)/G23,0.002*(G23-d_2)/(G23-3*h_col/7))))-f_cd*(1-(1-MAX(0,MIN(1,IF(G23&lt;=h_col,0.0035*(G23-d_2)/G23,0.002*(G23-d_2)/(G23-3*h_col/7))/0.002)))^2))+(MAX(-f_yd,MIN(f_yd,200000*IF(G23&lt;=h_col,0.0035*(G23-(h_col-d_2))/G23,0.002*(G23-(h_col-d_2))/(G23-3*h_col/7))))-f_cd*(1-(1-MAX(0,MIN(1,IF(G23&lt;=h_col,0.0035*(G23-(h_col-d_2))/G23,0.002*(G23-(h_col-d_2))/(G23-3*h_col/7))/0.002)))^2))))/1000</f>
        <v/>
      </c>
      <c r="I23">
        <f>IF($H23&lt;N_Ed-1E-9*MAX(1,N_Ed),(E23+F23)/2,E23)</f>
        <v/>
      </c>
      <c r="J23">
        <f>IF($H23&lt;N_Ed-1E-9*MAX(1,N_Ed),F23,(E23+F23)/2)</f>
        <v/>
      </c>
      <c r="K23">
        <f>h_col*((I23+J23)/2)/(1-(I23+J23)/2)</f>
        <v/>
      </c>
      <c r="L23">
        <f>(f_cd*b_col*((3*MIN(K23,h_col)/7)+(4*MIN(K23,h_col)/7)*(1-((4*MIN(K23,h_col)/7)/(K23-(3*MIN(K23,h_col)/7)))^2/3))+$D23/2*((MAX(-f_yd,MIN(f_yd,200000*IF(K23&lt;=h_col,0.0035*(K23-d_2)/K23,0.002*(K23-d_2)/(K23-3*h_col/7))))-f_cd*(1-(1-MAX(0,MIN(1,IF(K23&lt;=h_col,0.0035*(K23-d_2)/K23,0.002*(K23-d_2)/(K23-3*h_col/7))/0.002)))^2))+(MAX(-f_yd,MIN(f_yd,200000*IF(K23&lt;=h_col,0.0035*(K23-(h_col-d_2))/K23,0.002*(K23-(h_col-d_2))/(K23-3*h_col/7))))-f_cd*(1-(1-MAX(0,MIN(1,IF(K23&lt;=h_col,0.0035*(K23-(h_col-d_2))/K23,0.002*(K23-(h_col-d_2))/(K23-3*h_col/7))/0.002)))^2))))/1000</f>
        <v/>
      </c>
      <c r="M23">
        <f>IF($L23&lt;N_Ed-1E-9*MAX(1,N_Ed),(I23+J23)/2,I23)</f>
        <v/>
      </c>
      <c r="N23">
        <f>IF($L23&lt;N_Ed-1E-9*MAX(1,N_Ed),J23,(I23+J23)/2)</f>
        <v/>
      </c>
      <c r="O23">
        <f>h_col*((M23+N23)/2)/(1-(M23+N23)/2)</f>
        <v/>
      </c>
      <c r="P23">
        <f>(f_cd*b_col*((3*MIN(O23,h_col)/7)+(4*MIN(O23,h_col)/7)*(1-((4*MIN(O23,h_col)/7)/(O23-(3*MIN(O23,h_col)/7)))^2/3))+$D23/2*((MAX(-f_yd,MIN(f_yd,200000*IF(O23&lt;=h_col,0.0035*(O23-d_2)/O23,0.002*(O23-d_2)/(O23-3*h_col/7))))-f_cd*(1-(1-MAX(0,MIN(1,IF(O23&lt;=h_col,0.0035*(O23-d_2)/O23,0.002*(O23-d_2)/(O23-3*h_col/7))/0.002)))^2))+(MAX(-f_yd,MIN(f_yd,200000*IF(O23&lt;=h_col,0.0035*(O23-(h_col-d_2))/O23,0.002*(O23-(h_col-d_2))/(O23-3*h_col/7))))-f_cd*(1-(1-MAX(0,MIN(1,IF(O23&lt;=h_col,0.0035*(O23-(h_col-d_2))/O23,0.002*(O23-(h_col-d_2))/(O23-3*h_col/7))/0.002)))^2))))/1000</f>
        <v/>
      </c>
      <c r="Q23">
        <f>IF($P23&lt;N_Ed-1E-9*MAX(1,N_Ed),(M23+N23)/2,M23)</f>
        <v/>
      </c>
      <c r="R23">
        <f>IF($P23&lt;N_Ed-1E-9*MAX(1,N_Ed),N23,(M23+N23)/2)</f>
        <v/>
      </c>
      <c r="S23">
        <f>h_col*((Q23+R23)/2)/(1-(Q23+R23)/2)</f>
        <v/>
      </c>
      <c r="T23">
        <f>(f_cd*b_col*((3*MIN(S23,h_col)/7)+(4*MIN(S23,h_col)/7)*(1-((4*MIN(S23,h_col)/7)/(S23-(3*MIN(S23,h_col)/7)))^2/3))+$D23/2*((MAX(-f_yd,MIN(f_yd,200000*IF(S23&lt;=h_col,0.0035*(S23-d_2)/S23,0.002*(S23-d_2)/(S23-3*h_col/7))))-f_cd*(1-(1-MAX(0,MIN(1,IF(S23&lt;=h_col,0.0035*(S23-d_2)/S23,0.002*(S23-d_2)/(S23-3*h_col/7))/0.002)))^2))+(MAX(-f_yd,MIN(f_yd,200000*IF(S23&lt;=h_col,0.0035*(S23-(h_col-d_2))/S23,0.002*(S23-(h_col-d_2))/(S23-3*h_col/7))))-f_cd*(1-(1-MAX(0,MIN(1,IF(S23&lt;=h_col,0.0035*(S23-(h_col-d_2))/S23,0.002*(S23-(h_col-d_2))/(S23-3*h_col/7))/0.002)))^2))))/1000</f>
        <v/>
      </c>
      <c r="U23">
        <f>IF($T23&lt;N_Ed-1E-9*MAX(1,N_Ed),(Q23+R23)/2,Q23)</f>
        <v/>
      </c>
      <c r="V23">
        <f>IF($T23&lt;N_Ed-1E-9*MAX(1,N_Ed),R23,(Q23+R23)/2)</f>
        <v/>
      </c>
      <c r="W23">
        <f>h_col*((U23+V23)/2)/(1-(U23+V23)/2)</f>
        <v/>
      </c>
      <c r="X23">
        <f>(f_cd*b_col*((3*MIN(W23,h_col)/7)+(4*MIN(W23,h_col)/7)*(1-((4*MIN(W23,h_col)/7)/(W23-(3*MIN(W23,h_col)/7)))^2/3))+$D23/2*((MAX(-f_yd,MIN(f_yd,200000*IF(W23&lt;=h_col,0.0035*(W23-d_2)/W23,0.002*(W23-d_2)/(W23-3*h_col/7))))-f_cd*(1-(1-MAX(0,MIN(1,IF(W23&lt;=h_col,0.0035*(W23-d_2)/W23,0.002*(W23-d_2)/(W23-3*h_col/7))/0.002)))^2))+(MAX(-f_yd,MIN(f_yd,200000*IF(W23&lt;=h_col,0.0035*(W23-(h_col-d_2))/W23,0.002*(W23-(h_col-d_2))/(W23-3*h_col/7))))-f_cd*(1-(1-MAX(0,MIN(1,IF(W23&lt;=h_col,0.0035*(W23-(h_col-d_2))/W23,0.002*(W23-(h_col-d_2))/(W23-3*h_col/7))/0.002)))^2))))/1000</f>
        <v/>
      </c>
      <c r="Y23">
        <f>IF($X23&lt;N_Ed-1E-9*MAX(1,N_Ed),(U23+V23)/2,U23)</f>
        <v/>
      </c>
      <c r="Z23">
        <f>IF($X23&lt;N_Ed-1E-9*MAX(1,N_Ed),V23,(U23+V23)/2)</f>
        <v/>
      </c>
      <c r="AA23">
        <f>h_col*((Y23+Z23)/2)/(1-(Y23+Z23)/2)</f>
        <v/>
      </c>
      <c r="AB23">
        <f>(f_cd*b_col*((3*MIN(AA23,h_col)/7)+(4*MIN(AA23,h_col)/7)*(1-((4*MIN(AA23,h_col)/7)/(AA23-(3*MIN(AA23,h_col)/7)))^2/3))+$D23/2*((MAX(-f_yd,MIN(f_yd,200000*IF(AA23&lt;=h_col,0.0035*(AA23-d_2)/AA23,0.002*(AA23-d_2)/(AA23-3*h_col/7))))-f_cd*(1-(1-MAX(0,MIN(1,IF(AA23&lt;=h_col,0.0035*(AA23-d_2)/AA23,0.002*(AA23-d_2)/(AA23-3*h_col/7))/0.002)))^2))+(MAX(-f_yd,MIN(f_yd,200000*IF(AA23&lt;=h_col,0.0035*(AA23-(h_col-d_2))/AA23,0.002*(AA23-(h_col-d_2))/(AA23-3*h_col/7))))-f_cd*(1-(1-MAX(0,MIN(1,IF(AA23&lt;=h_col,0.0035*(AA23-(h_col-d_2))/AA23,0.002*(AA23-(h_col-d_2))/(AA23-3*h_col/7))/0.002)))^2))))/1000</f>
        <v/>
      </c>
      <c r="AC23">
        <f>IF($AB23&lt;N_Ed-1E-9*MAX(1,N_Ed),(Y23+Z23)/2,Y23)</f>
        <v/>
      </c>
      <c r="AD23">
        <f>IF($AB23&lt;N_Ed-1E-9*MAX(1,N_Ed),Z23,(Y23+Z23)/2)</f>
        <v/>
      </c>
      <c r="AE23">
        <f>h_col*((AC23+AD23)/2)/(1-(AC23+AD23)/2)</f>
        <v/>
      </c>
      <c r="AF23">
        <f>(f_cd*b_col*((3*MIN(AE23,h_col)/7)+(4*MIN(AE23,h_col)/7)*(1-((4*MIN(AE23,h_col)/7)/(AE23-(3*MIN(AE23,h_col)/7)))^2/3))+$D23/2*((MAX(-f_yd,MIN(f_yd,200000*IF(AE23&lt;=h_col,0.0035*(AE23-d_2)/AE23,0.002*(AE23-d_2)/(AE23-3*h_col/7))))-f_cd*(1-(1-MAX(0,MIN(1,IF(AE23&lt;=h_col,0.0035*(AE23-d_2)/AE23,0.002*(AE23-d_2)/(AE23-3*h_col/7))/0.002)))^2))+(MAX(-f_yd,MIN(f_yd,200000*IF(AE23&lt;=h_col,0.0035*(AE23-(h_col-d_2))/AE23,0.002*(AE23-(h_col-d_2))/(AE23-3*h_col/7))))-f_cd*(1-(1-MAX(0,MIN(1,IF(AE23&lt;=h_col,0.0035*(AE23-(h_col-d_2))/AE23,0.002*(AE23-(h_col-d_2))/(AE23-3*h_col/7))/0.002)))^2))))/1000</f>
        <v/>
      </c>
      <c r="AG23">
        <f>IF($AF23&lt;N_Ed-1E-9*MAX(1,N_Ed),(AC23+AD23)/2,AC23)</f>
        <v/>
      </c>
      <c r="AH23">
        <f>IF($AF23&lt;N_Ed-1E-9*MAX(1,N_Ed),AD23,(AC23+AD23)/2)</f>
        <v/>
      </c>
      <c r="AI23">
        <f>h_col*((AG23+AH23)/2)/(1-(AG23+AH23)/2)</f>
        <v/>
      </c>
      <c r="AJ23">
        <f>(f_cd*b_col*((3*MIN(AI23,h_col)/7)+(4*MIN(AI23,h_col)/7)*(1-((4*MIN(AI23,h_col)/7)/(AI23-(3*MIN(AI23,h_col)/7)))^2/3))+$D23/2*((MAX(-f_yd,MIN(f_yd,200000*IF(AI23&lt;=h_col,0.0035*(AI23-d_2)/AI23,0.002*(AI23-d_2)/(AI23-3*h_col/7))))-f_cd*(1-(1-MAX(0,MIN(1,IF(AI23&lt;=h_col,0.0035*(AI23-d_2)/AI23,0.002*(AI23-d_2)/(AI23-3*h_col/7))/0.002)))^2))+(MAX(-f_yd,MIN(f_yd,200000*IF(AI23&lt;=h_col,0.0035*(AI23-(h_col-d_2))/AI23,0.002*(AI23-(h_col-d_2))/(AI23-3*h_col/7))))-f_cd*(1-(1-MAX(0,MIN(1,IF(AI23&lt;=h_col,0.0035*(AI23-(h_col-d_2))/AI23,0.002*(AI23-(h_col-d_2))/(AI23-3*h_col/7))/0.002)))^2))))/1000</f>
        <v/>
      </c>
      <c r="AK23">
        <f>IF($AJ23&lt;N_Ed-1E-9*MAX(1,N_Ed),(AG23+AH23)/2,AG23)</f>
        <v/>
      </c>
      <c r="AL23">
        <f>IF($AJ23&lt;N_Ed-1E-9*MAX(1,N_Ed),AH23,(AG23+AH23)/2)</f>
        <v/>
      </c>
      <c r="AM23">
        <f>h_col*((AK23+AL23)/2)/(1-(AK23+AL23)/2)</f>
        <v/>
      </c>
      <c r="AN23">
        <f>(f_cd*b_col*((3*MIN(AM23,h_col)/7)+(4*MIN(AM23,h_col)/7)*(1-((4*MIN(AM23,h_col)/7)/(AM23-(3*MIN(AM23,h_col)/7)))^2/3))+$D23/2*((MAX(-f_yd,MIN(f_yd,200000*IF(AM23&lt;=h_col,0.0035*(AM23-d_2)/AM23,0.002*(AM23-d_2)/(AM23-3*h_col/7))))-f_cd*(1-(1-MAX(0,MIN(1,IF(AM23&lt;=h_col,0.0035*(AM23-d_2)/AM23,0.002*(AM23-d_2)/(AM23-3*h_col/7))/0.002)))^2))+(MAX(-f_yd,MIN(f_yd,200000*IF(AM23&lt;=h_col,0.0035*(AM23-(h_col-d_2))/AM23,0.002*(AM23-(h_col-d_2))/(AM23-3*h_col/7))))-f_cd*(1-(1-MAX(0,MIN(1,IF(AM23&lt;=h_col,0.0035*(AM23-(h_col-d_2))/AM23,0.002*(AM23-(h_col-d_2))/(AM23-3*h_col/7))/0.002)))^2))))/1000</f>
        <v/>
      </c>
      <c r="AO23">
        <f>IF($AN23&lt;N_Ed-1E-9*MAX(1,N_Ed),(AK23+AL23)/2,AK23)</f>
        <v/>
      </c>
      <c r="AP23">
        <f>IF($AN23&lt;N_Ed-1E-9*MAX(1,N_Ed),AL23,(AK23+AL23)/2)</f>
        <v/>
      </c>
      <c r="AQ23">
        <f>h_col*((AO23+AP23)/2)/(1-(AO23+AP23)/2)</f>
        <v/>
      </c>
      <c r="AR23">
        <f>(f_cd*b_col*((3*MIN(AQ23,h_col)/7)+(4*MIN(AQ23,h_col)/7)*(1-((4*MIN(AQ23,h_col)/7)/(AQ23-(3*MIN(AQ23,h_col)/7)))^2/3))+$D23/2*((MAX(-f_yd,MIN(f_yd,200000*IF(AQ23&lt;=h_col,0.0035*(AQ23-d_2)/AQ23,0.002*(AQ23-d_2)/(AQ23-3*h_col/7))))-f_cd*(1-(1-MAX(0,MIN(1,IF(AQ23&lt;=h_col,0.0035*(AQ23-d_2)/AQ23,0.002*(AQ23-d_2)/(AQ23-3*h_col/7))/0.002)))^2))+(MAX(-f_yd,MIN(f_yd,200000*IF(AQ23&lt;=h_col,0.0035*(AQ23-(h_col-d_2))/AQ23,0.002*(AQ23-(h_col-d_2))/(AQ23-3*h_col/7))))-f_cd*(1-(1-MAX(0,MIN(1,IF(AQ23&lt;=h_col,0.0035*(AQ23-(h_col-d_2))/AQ23,0.002*(AQ23-(h_col-d_2))/(AQ23-3*h_col/7))/0.002)))^2))))/1000</f>
        <v/>
      </c>
      <c r="AS23">
        <f>IF($AR23&lt;N_Ed-1E-9*MAX(1,N_Ed),(AO23+AP23)/2,AO23)</f>
        <v/>
      </c>
      <c r="AT23">
        <f>IF($AR23&lt;N_Ed-1E-9*MAX(1,N_Ed),AP23,(AO23+AP23)/2)</f>
        <v/>
      </c>
      <c r="AU23">
        <f>h_col*((AS23+AT23)/2)/(1-(AS23+AT23)/2)</f>
        <v/>
      </c>
      <c r="AV23">
        <f>(f_cd*b_col*((3*MIN(AU23,h_col)/7)+(4*MIN(AU23,h_col)/7)*(1-((4*MIN(AU23,h_col)/7)/(AU23-(3*MIN(AU23,h_col)/7)))^2/3))+$D23/2*((MAX(-f_yd,MIN(f_yd,200000*IF(AU23&lt;=h_col,0.0035*(AU23-d_2)/AU23,0.002*(AU23-d_2)/(AU23-3*h_col/7))))-f_cd*(1-(1-MAX(0,MIN(1,IF(AU23&lt;=h_col,0.0035*(AU23-d_2)/AU23,0.002*(AU23-d_2)/(AU23-3*h_col/7))/0.002)))^2))+(MAX(-f_yd,MIN(f_yd,200000*IF(AU23&lt;=h_col,0.0035*(AU23-(h_col-d_2))/AU23,0.002*(AU23-(h_col-d_2))/(AU23-3*h_col/7))))-f_cd*(1-(1-MAX(0,MIN(1,IF(AU23&lt;=h_col,0.0035*(AU23-(h_col-d_2))/AU23,0.002*(AU23-(h_col-d_2))/(AU23-3*h_col/7))/0.002)))^2))))/1000</f>
        <v/>
      </c>
      <c r="AW23">
        <f>IF($AV23&lt;N_Ed-1E-9*MAX(1,N_Ed),(AS23+AT23)/2,AS23)</f>
        <v/>
      </c>
      <c r="AX23">
        <f>IF($AV23&lt;N_Ed-1E-9*MAX(1,N_Ed),AT23,(AS23+AT23)/2)</f>
        <v/>
      </c>
      <c r="AY23">
        <f>h_col*((AW23+AX23)/2)/(1-(AW23+AX23)/2)</f>
        <v/>
      </c>
      <c r="AZ23">
        <f>(f_cd*b_col*((3*MIN(AY23,h_col)/7)+(4*MIN(AY23,h_col)/7)*(1-((4*MIN(AY23,h_col)/7)/(AY23-(3*MIN(AY23,h_col)/7)))^2/3))+$D23/2*((MAX(-f_yd,MIN(f_yd,200000*IF(AY23&lt;=h_col,0.0035*(AY23-d_2)/AY23,0.002*(AY23-d_2)/(AY23-3*h_col/7))))-f_cd*(1-(1-MAX(0,MIN(1,IF(AY23&lt;=h_col,0.0035*(AY23-d_2)/AY23,0.002*(AY23-d_2)/(AY23-3*h_col/7))/0.002)))^2))+(MAX(-f_yd,MIN(f_yd,200000*IF(AY23&lt;=h_col,0.0035*(AY23-(h_col-d_2))/AY23,0.002*(AY23-(h_col-d_2))/(AY23-3*h_col/7))))-f_cd*(1-(1-MAX(0,MIN(1,IF(AY23&lt;=h_col,0.0035*(AY23-(h_col-d_2))/AY23,0.002*(AY23-(h_col-d_2))/(AY23-3*h_col/7))/0.002)))^2))))/1000</f>
        <v/>
      </c>
      <c r="BA23">
        <f>IF($AZ23&lt;N_Ed-1E-9*MAX(1,N_Ed),(AW23+AX23)/2,AW23)</f>
        <v/>
      </c>
      <c r="BB23">
        <f>IF($AZ23&lt;N_Ed-1E-9*MAX(1,N_Ed),AX23,(AW23+AX23)/2)</f>
        <v/>
      </c>
      <c r="BC23">
        <f>h_col*((BA23+BB23)/2)/(1-(BA23+BB23)/2)</f>
        <v/>
      </c>
      <c r="BD23">
        <f>(f_cd*b_col*((3*MIN(BC23,h_col)/7)+(4*MIN(BC23,h_col)/7)*(1-((4*MIN(BC23,h_col)/7)/(BC23-(3*MIN(BC23,h_col)/7)))^2/3))+$D23/2*((MAX(-f_yd,MIN(f_yd,200000*IF(BC23&lt;=h_col,0.0035*(BC23-d_2)/BC23,0.002*(BC23-d_2)/(BC23-3*h_col/7))))-f_cd*(1-(1-MAX(0,MIN(1,IF(BC23&lt;=h_col,0.0035*(BC23-d_2)/BC23,0.002*(BC23-d_2)/(BC23-3*h_col/7))/0.002)))^2))+(MAX(-f_yd,MIN(f_yd,200000*IF(BC23&lt;=h_col,0.0035*(BC23-(h_col-d_2))/BC23,0.002*(BC23-(h_col-d_2))/(BC23-3*h_col/7))))-f_cd*(1-(1-MAX(0,MIN(1,IF(BC23&lt;=h_col,0.0035*(BC23-(h_col-d_2))/BC23,0.002*(BC23-(h_col-d_2))/(BC23-3*h_col/7))/0.002)))^2))))/1000</f>
        <v/>
      </c>
      <c r="BE23">
        <f>IF($BD23&lt;N_Ed-1E-9*MAX(1,N_Ed),(BA23+BB23)/2,BA23)</f>
        <v/>
      </c>
      <c r="BF23">
        <f>IF($BD23&lt;N_Ed-1E-9*MAX(1,N_Ed),BB23,(BA23+BB23)/2)</f>
        <v/>
      </c>
      <c r="BG23">
        <f>h_col*((BE23+BF23)/2)/(1-(BE23+BF23)/2)</f>
        <v/>
      </c>
      <c r="BH23">
        <f>(f_cd*b_col*((3*MIN(BG23,h_col)/7)+(4*MIN(BG23,h_col)/7)*(1-((4*MIN(BG23,h_col)/7)/(BG23-(3*MIN(BG23,h_col)/7)))^2/3))+$D23/2*((MAX(-f_yd,MIN(f_yd,200000*IF(BG23&lt;=h_col,0.0035*(BG23-d_2)/BG23,0.002*(BG23-d_2)/(BG23-3*h_col/7))))-f_cd*(1-(1-MAX(0,MIN(1,IF(BG23&lt;=h_col,0.0035*(BG23-d_2)/BG23,0.002*(BG23-d_2)/(BG23-3*h_col/7))/0.002)))^2))+(MAX(-f_yd,MIN(f_yd,200000*IF(BG23&lt;=h_col,0.0035*(BG23-(h_col-d_2))/BG23,0.002*(BG23-(h_col-d_2))/(BG23-3*h_col/7))))-f_cd*(1-(1-MAX(0,MIN(1,IF(BG23&lt;=h_col,0.0035*(BG23-(h_col-d_2))/BG23,0.002*(BG23-(h_col-d_2))/(BG23-3*h_col/7))/0.002)))^2))))/1000</f>
        <v/>
      </c>
      <c r="BI23">
        <f>IF($BH23&lt;N_Ed-1E-9*MAX(1,N_Ed),(BE23+BF23)/2,BE23)</f>
        <v/>
      </c>
      <c r="BJ23">
        <f>IF($BH23&lt;N_Ed-1E-9*MAX(1,N_Ed),BF23,(BE23+BF23)/2)</f>
        <v/>
      </c>
      <c r="BK23">
        <f>h_col*((BI23+BJ23)/2)/(1-(BI23+BJ23)/2)</f>
        <v/>
      </c>
      <c r="BL23">
        <f>(f_cd*b_col*((3*MIN(BK23,h_col)/7)+(4*MIN(BK23,h_col)/7)*(1-((4*MIN(BK23,h_col)/7)/(BK23-(3*MIN(BK23,h_col)/7)))^2/3))+$D23/2*((MAX(-f_yd,MIN(f_yd,200000*IF(BK23&lt;=h_col,0.0035*(BK23-d_2)/BK23,0.002*(BK23-d_2)/(BK23-3*h_col/7))))-f_cd*(1-(1-MAX(0,MIN(1,IF(BK23&lt;=h_col,0.0035*(BK23-d_2)/BK23,0.002*(BK23-d_2)/(BK23-3*h_col/7))/0.002)))^2))+(MAX(-f_yd,MIN(f_yd,200000*IF(BK23&lt;=h_col,0.0035*(BK23-(h_col-d_2))/BK23,0.002*(BK23-(h_col-d_2))/(BK23-3*h_col/7))))-f_cd*(1-(1-MAX(0,MIN(1,IF(BK23&lt;=h_col,0.0035*(BK23-(h_col-d_2))/BK23,0.002*(BK23-(h_col-d_2))/(BK23-3*h_col/7))/0.002)))^2))))/1000</f>
        <v/>
      </c>
      <c r="BM23">
        <f>IF($BL23&lt;N_Ed-1E-9*MAX(1,N_Ed),(BI23+BJ23)/2,BI23)</f>
        <v/>
      </c>
      <c r="BN23">
        <f>IF($BL23&lt;N_Ed-1E-9*MAX(1,N_Ed),BJ23,(BI23+BJ23)/2)</f>
        <v/>
      </c>
      <c r="BO23">
        <f>h_col*((BM23+BN23)/2)/(1-(BM23+BN23)/2)</f>
        <v/>
      </c>
      <c r="BP23">
        <f>(f_cd*b_col*((3*MIN(BO23,h_col)/7)+(4*MIN(BO23,h_col)/7)*(1-((4*MIN(BO23,h_col)/7)/(BO23-(3*MIN(BO23,h_col)/7)))^2/3))+$D23/2*((MAX(-f_yd,MIN(f_yd,200000*IF(BO23&lt;=h_col,0.0035*(BO23-d_2)/BO23,0.002*(BO23-d_2)/(BO23-3*h_col/7))))-f_cd*(1-(1-MAX(0,MIN(1,IF(BO23&lt;=h_col,0.0035*(BO23-d_2)/BO23,0.002*(BO23-d_2)/(BO23-3*h_col/7))/0.002)))^2))+(MAX(-f_yd,MIN(f_yd,200000*IF(BO23&lt;=h_col,0.0035*(BO23-(h_col-d_2))/BO23,0.002*(BO23-(h_col-d_2))/(BO23-3*h_col/7))))-f_cd*(1-(1-MAX(0,MIN(1,IF(BO23&lt;=h_col,0.0035*(BO23-(h_col-d_2))/BO23,0.002*(BO23-(h_col-d_2))/(BO23-3*h_col/7))/0.002)))^2))))/1000</f>
        <v/>
      </c>
      <c r="BQ23">
        <f>IF($BP23&lt;N_Ed-1E-9*MAX(1,N_Ed),(BM23+BN23)/2,BM23)</f>
        <v/>
      </c>
      <c r="BR23">
        <f>IF($BP23&lt;N_Ed-1E-9*MAX(1,N_Ed),BN23,(BM23+BN23)/2)</f>
        <v/>
      </c>
      <c r="BS23">
        <f>h_col*((BQ23+BR23)/2)/(1-(BQ23+BR23)/2)</f>
        <v/>
      </c>
      <c r="BT23">
        <f>(f_cd*b_col*((3*MIN(BS23,h_col)/7)+(4*MIN(BS23,h_col)/7)*(1-((4*MIN(BS23,h_col)/7)/(BS23-(3*MIN(BS23,h_col)/7)))^2/3))+$D23/2*((MAX(-f_yd,MIN(f_yd,200000*IF(BS23&lt;=h_col,0.0035*(BS23-d_2)/BS23,0.002*(BS23-d_2)/(BS23-3*h_col/7))))-f_cd*(1-(1-MAX(0,MIN(1,IF(BS23&lt;=h_col,0.0035*(BS23-d_2)/BS23,0.002*(BS23-d_2)/(BS23-3*h_col/7))/0.002)))^2))+(MAX(-f_yd,MIN(f_yd,200000*IF(BS23&lt;=h_col,0.0035*(BS23-(h_col-d_2))/BS23,0.002*(BS23-(h_col-d_2))/(BS23-3*h_col/7))))-f_cd*(1-(1-MAX(0,MIN(1,IF(BS23&lt;=h_col,0.0035*(BS23-(h_col-d_2))/BS23,0.002*(BS23-(h_col-d_2))/(BS23-3*h_col/7))/0.002)))^2))))/1000</f>
        <v/>
      </c>
      <c r="BU23">
        <f>IF($BT23&lt;N_Ed-1E-9*MAX(1,N_Ed),(BQ23+BR23)/2,BQ23)</f>
        <v/>
      </c>
      <c r="BV23">
        <f>IF($BT23&lt;N_Ed-1E-9*MAX(1,N_Ed),BR23,(BQ23+BR23)/2)</f>
        <v/>
      </c>
      <c r="BW23">
        <f>h_col*((BU23+BV23)/2)/(1-(BU23+BV23)/2)</f>
        <v/>
      </c>
      <c r="BX23">
        <f>(f_cd*b_col*((3*MIN(BW23,h_col)/7)+(4*MIN(BW23,h_col)/7)*(1-((4*MIN(BW23,h_col)/7)/(BW23-(3*MIN(BW23,h_col)/7)))^2/3))+$D23/2*((MAX(-f_yd,MIN(f_yd,200000*IF(BW23&lt;=h_col,0.0035*(BW23-d_2)/BW23,0.002*(BW23-d_2)/(BW23-3*h_col/7))))-f_cd*(1-(1-MAX(0,MIN(1,IF(BW23&lt;=h_col,0.0035*(BW23-d_2)/BW23,0.002*(BW23-d_2)/(BW23-3*h_col/7))/0.002)))^2))+(MAX(-f_yd,MIN(f_yd,200000*IF(BW23&lt;=h_col,0.0035*(BW23-(h_col-d_2))/BW23,0.002*(BW23-(h_col-d_2))/(BW23-3*h_col/7))))-f_cd*(1-(1-MAX(0,MIN(1,IF(BW23&lt;=h_col,0.0035*(BW23-(h_col-d_2))/BW23,0.002*(BW23-(h_col-d_2))/(BW23-3*h_col/7))/0.002)))^2))))/1000</f>
        <v/>
      </c>
      <c r="BY23">
        <f>IF($BX23&lt;N_Ed-1E-9*MAX(1,N_Ed),(BU23+BV23)/2,BU23)</f>
        <v/>
      </c>
      <c r="BZ23">
        <f>IF($BX23&lt;N_Ed-1E-9*MAX(1,N_Ed),BV23,(BU23+BV23)/2)</f>
        <v/>
      </c>
      <c r="CA23">
        <f>h_col*((BY23+BZ23)/2)/(1-(BY23+BZ23)/2)</f>
        <v/>
      </c>
      <c r="CB23">
        <f>(f_cd*b_col*((3*MIN(CA23,h_col)/7)+(4*MIN(CA23,h_col)/7)*(1-((4*MIN(CA23,h_col)/7)/(CA23-(3*MIN(CA23,h_col)/7)))^2/3))+$D23/2*((MAX(-f_yd,MIN(f_yd,200000*IF(CA23&lt;=h_col,0.0035*(CA23-d_2)/CA23,0.002*(CA23-d_2)/(CA23-3*h_col/7))))-f_cd*(1-(1-MAX(0,MIN(1,IF(CA23&lt;=h_col,0.0035*(CA23-d_2)/CA23,0.002*(CA23-d_2)/(CA23-3*h_col/7))/0.002)))^2))+(MAX(-f_yd,MIN(f_yd,200000*IF(CA23&lt;=h_col,0.0035*(CA23-(h_col-d_2))/CA23,0.002*(CA23-(h_col-d_2))/(CA23-3*h_col/7))))-f_cd*(1-(1-MAX(0,MIN(1,IF(CA23&lt;=h_col,0.0035*(CA23-(h_col-d_2))/CA23,0.002*(CA23-(h_col-d_2))/(CA23-3*h_col/7))/0.002)))^2))))/1000</f>
        <v/>
      </c>
      <c r="CC23">
        <f>IF($CB23&lt;N_Ed-1E-9*MAX(1,N_Ed),(BY23+BZ23)/2,BY23)</f>
        <v/>
      </c>
      <c r="CD23">
        <f>IF($CB23&lt;N_Ed-1E-9*MAX(1,N_Ed),BZ23,(BY23+BZ23)/2)</f>
        <v/>
      </c>
      <c r="CE23">
        <f>h_col*((CC23+CD23)/2)/(1-(CC23+CD23)/2)</f>
        <v/>
      </c>
      <c r="CF23">
        <f>(f_cd*b_col*((3*MIN(CE23,h_col)/7)+(4*MIN(CE23,h_col)/7)*(1-((4*MIN(CE23,h_col)/7)/(CE23-(3*MIN(CE23,h_col)/7)))^2/3))+$D23/2*((MAX(-f_yd,MIN(f_yd,200000*IF(CE23&lt;=h_col,0.0035*(CE23-d_2)/CE23,0.002*(CE23-d_2)/(CE23-3*h_col/7))))-f_cd*(1-(1-MAX(0,MIN(1,IF(CE23&lt;=h_col,0.0035*(CE23-d_2)/CE23,0.002*(CE23-d_2)/(CE23-3*h_col/7))/0.002)))^2))+(MAX(-f_yd,MIN(f_yd,200000*IF(CE23&lt;=h_col,0.0035*(CE23-(h_col-d_2))/CE23,0.002*(CE23-(h_col-d_2))/(CE23-3*h_col/7))))-f_cd*(1-(1-MAX(0,MIN(1,IF(CE23&lt;=h_col,0.0035*(CE23-(h_col-d_2))/CE23,0.002*(CE23-(h_col-d_2))/(CE23-3*h_col/7))/0.002)))^2))))/1000</f>
        <v/>
      </c>
      <c r="CG23">
        <f>IF($CF23&lt;N_Ed-1E-9*MAX(1,N_Ed),(CC23+CD23)/2,CC23)</f>
        <v/>
      </c>
      <c r="CH23">
        <f>IF($CF23&lt;N_Ed-1E-9*MAX(1,N_Ed),CD23,(CC23+CD23)/2)</f>
        <v/>
      </c>
      <c r="CI23">
        <f>h_col*((CG23+CH23)/2)/(1-(CG23+CH23)/2)</f>
        <v/>
      </c>
      <c r="CJ23">
        <f>(f_cd*b_col*((3*MIN(CI23,h_col)/7)+(4*MIN(CI23,h_col)/7)*(1-((4*MIN(CI23,h_col)/7)/(CI23-(3*MIN(CI23,h_col)/7)))^2/3))+$D23/2*((MAX(-f_yd,MIN(f_yd,200000*IF(CI23&lt;=h_col,0.0035*(CI23-d_2)/CI23,0.002*(CI23-d_2)/(CI23-3*h_col/7))))-f_cd*(1-(1-MAX(0,MIN(1,IF(CI23&lt;=h_col,0.0035*(CI23-d_2)/CI23,0.002*(CI23-d_2)/(CI23-3*h_col/7))/0.002)))^2))+(MAX(-f_yd,MIN(f_yd,200000*IF(CI23&lt;=h_col,0.0035*(CI23-(h_col-d_2))/CI23,0.002*(CI23-(h_col-d_2))/(CI23-3*h_col/7))))-f_cd*(1-(1-MAX(0,MIN(1,IF(CI23&lt;=h_col,0.0035*(CI23-(h_col-d_2))/CI23,0.002*(CI23-(h_col-d_2))/(CI23-3*h_col/7))/0.002)))^2))))/1000</f>
        <v/>
      </c>
      <c r="CK23">
        <f>IF($CJ23&lt;N_Ed-1E-9*MAX(1,N_Ed),(CG23+CH23)/2,CG23)</f>
        <v/>
      </c>
      <c r="CL23">
        <f>IF($CJ23&lt;N_Ed-1E-9*MAX(1,N_Ed),CH23,(CG23+CH23)/2)</f>
        <v/>
      </c>
      <c r="CM23">
        <f>h_col*((CK23+CL23)/2)/(1-(CK23+CL23)/2)</f>
        <v/>
      </c>
      <c r="CN23">
        <f>(f_cd*b_col*((3*MIN(CM23,h_col)/7)+(4*MIN(CM23,h_col)/7)*(1-((4*MIN(CM23,h_col)/7)/(CM23-(3*MIN(CM23,h_col)/7)))^2/3))+$D23/2*((MAX(-f_yd,MIN(f_yd,200000*IF(CM23&lt;=h_col,0.0035*(CM23-d_2)/CM23,0.002*(CM23-d_2)/(CM23-3*h_col/7))))-f_cd*(1-(1-MAX(0,MIN(1,IF(CM23&lt;=h_col,0.0035*(CM23-d_2)/CM23,0.002*(CM23-d_2)/(CM23-3*h_col/7))/0.002)))^2))+(MAX(-f_yd,MIN(f_yd,200000*IF(CM23&lt;=h_col,0.0035*(CM23-(h_col-d_2))/CM23,0.002*(CM23-(h_col-d_2))/(CM23-3*h_col/7))))-f_cd*(1-(1-MAX(0,MIN(1,IF(CM23&lt;=h_col,0.0035*(CM23-(h_col-d_2))/CM23,0.002*(CM23-(h_col-d_2))/(CM23-3*h_col/7))/0.002)))^2))))/1000</f>
        <v/>
      </c>
      <c r="CO23">
        <f>IF($CN23&lt;N_Ed-1E-9*MAX(1,N_Ed),(CK23+CL23)/2,CK23)</f>
        <v/>
      </c>
      <c r="CP23">
        <f>IF($CN23&lt;N_Ed-1E-9*MAX(1,N_Ed),CL23,(CK23+CL23)/2)</f>
        <v/>
      </c>
      <c r="CQ23">
        <f>h_col*((CO23+CP23)/2)/(1-(CO23+CP23)/2)</f>
        <v/>
      </c>
      <c r="CR23">
        <f>(f_cd*b_col*((3*MIN(CQ23,h_col)/7)+(4*MIN(CQ23,h_col)/7)*(1-((4*MIN(CQ23,h_col)/7)/(CQ23-(3*MIN(CQ23,h_col)/7)))^2/3))+$D23/2*((MAX(-f_yd,MIN(f_yd,200000*IF(CQ23&lt;=h_col,0.0035*(CQ23-d_2)/CQ23,0.002*(CQ23-d_2)/(CQ23-3*h_col/7))))-f_cd*(1-(1-MAX(0,MIN(1,IF(CQ23&lt;=h_col,0.0035*(CQ23-d_2)/CQ23,0.002*(CQ23-d_2)/(CQ23-3*h_col/7))/0.002)))^2))+(MAX(-f_yd,MIN(f_yd,200000*IF(CQ23&lt;=h_col,0.0035*(CQ23-(h_col-d_2))/CQ23,0.002*(CQ23-(h_col-d_2))/(CQ23-3*h_col/7))))-f_cd*(1-(1-MAX(0,MIN(1,IF(CQ23&lt;=h_col,0.0035*(CQ23-(h_col-d_2))/CQ23,0.002*(CQ23-(h_col-d_2))/(CQ23-3*h_col/7))/0.002)))^2))))/1000</f>
        <v/>
      </c>
      <c r="CS23">
        <f>IF($CR23&lt;N_Ed-1E-9*MAX(1,N_Ed),(CO23+CP23)/2,CO23)</f>
        <v/>
      </c>
      <c r="CT23">
        <f>IF($CR23&lt;N_Ed-1E-9*MAX(1,N_Ed),CP23,(CO23+CP23)/2)</f>
        <v/>
      </c>
      <c r="CU23">
        <f>h_col*((CS23+CT23)/2)/(1-(CS23+CT23)/2)</f>
        <v/>
      </c>
      <c r="CV23">
        <f>(f_cd*b_col*((3*MIN(CU23,h_col)/7)+(4*MIN(CU23,h_col)/7)*(1-((4*MIN(CU23,h_col)/7)/(CU23-(3*MIN(CU23,h_col)/7)))^2/3))+$D23/2*((MAX(-f_yd,MIN(f_yd,200000*IF(CU23&lt;=h_col,0.0035*(CU23-d_2)/CU23,0.002*(CU23-d_2)/(CU23-3*h_col/7))))-f_cd*(1-(1-MAX(0,MIN(1,IF(CU23&lt;=h_col,0.0035*(CU23-d_2)/CU23,0.002*(CU23-d_2)/(CU23-3*h_col/7))/0.002)))^2))+(MAX(-f_yd,MIN(f_yd,200000*IF(CU23&lt;=h_col,0.0035*(CU23-(h_col-d_2))/CU23,0.002*(CU23-(h_col-d_2))/(CU23-3*h_col/7))))-f_cd*(1-(1-MAX(0,MIN(1,IF(CU23&lt;=h_col,0.0035*(CU23-(h_col-d_2))/CU23,0.002*(CU23-(h_col-d_2))/(CU23-3*h_col/7))/0.002)))^2))))/1000</f>
        <v/>
      </c>
      <c r="CW23">
        <f>IF($CV23&lt;N_Ed-1E-9*MAX(1,N_Ed),(CS23+CT23)/2,CS23)</f>
        <v/>
      </c>
      <c r="CX23">
        <f>IF($CV23&lt;N_Ed-1E-9*MAX(1,N_Ed),CT23,(CS23+CT23)/2)</f>
        <v/>
      </c>
      <c r="CY23">
        <f>h_col*((CW23+CX23)/2)/(1-(CW23+CX23)/2)</f>
        <v/>
      </c>
      <c r="CZ23">
        <f>(f_cd*b_col*((3*MIN(CY23,h_col)/7)+(4*MIN(CY23,h_col)/7)*(1-((4*MIN(CY23,h_col)/7)/(CY23-(3*MIN(CY23,h_col)/7)))^2/3))+$D23/2*((MAX(-f_yd,MIN(f_yd,200000*IF(CY23&lt;=h_col,0.0035*(CY23-d_2)/CY23,0.002*(CY23-d_2)/(CY23-3*h_col/7))))-f_cd*(1-(1-MAX(0,MIN(1,IF(CY23&lt;=h_col,0.0035*(CY23-d_2)/CY23,0.002*(CY23-d_2)/(CY23-3*h_col/7))/0.002)))^2))+(MAX(-f_yd,MIN(f_yd,200000*IF(CY23&lt;=h_col,0.0035*(CY23-(h_col-d_2))/CY23,0.002*(CY23-(h_col-d_2))/(CY23-3*h_col/7))))-f_cd*(1-(1-MAX(0,MIN(1,IF(CY23&lt;=h_col,0.0035*(CY23-(h_col-d_2))/CY23,0.002*(CY23-(h_col-d_2))/(CY23-3*h_col/7))/0.002)))^2))))/1000</f>
        <v/>
      </c>
      <c r="DA23">
        <f>IF($CZ23&lt;N_Ed-1E-9*MAX(1,N_Ed),(CW23+CX23)/2,CW23)</f>
        <v/>
      </c>
      <c r="DB23">
        <f>IF($CZ23&lt;N_Ed-1E-9*MAX(1,N_Ed),CX23,(CW23+CX23)/2)</f>
        <v/>
      </c>
      <c r="DC23">
        <f>h_col*((DA23+DB23)/2)/(1-(DA23+DB23)/2)</f>
        <v/>
      </c>
      <c r="DD23">
        <f>(f_cd*b_col*((3*MIN(DC23,h_col)/7)+(4*MIN(DC23,h_col)/7)*(1-((4*MIN(DC23,h_col)/7)/(DC23-(3*MIN(DC23,h_col)/7)))^2/3))+$D23/2*((MAX(-f_yd,MIN(f_yd,200000*IF(DC23&lt;=h_col,0.0035*(DC23-d_2)/DC23,0.002*(DC23-d_2)/(DC23-3*h_col/7))))-f_cd*(1-(1-MAX(0,MIN(1,IF(DC23&lt;=h_col,0.0035*(DC23-d_2)/DC23,0.002*(DC23-d_2)/(DC23-3*h_col/7))/0.002)))^2))+(MAX(-f_yd,MIN(f_yd,200000*IF(DC23&lt;=h_col,0.0035*(DC23-(h_col-d_2))/DC23,0.002*(DC23-(h_col-d_2))/(DC23-3*h_col/7))))-f_cd*(1-(1-MAX(0,MIN(1,IF(DC23&lt;=h_col,0.0035*(DC23-(h_col-d_2))/DC23,0.002*(DC23-(h_col-d_2))/(DC23-3*h_col/7))/0.002)))^2))))/1000</f>
        <v/>
      </c>
      <c r="DE23">
        <f>IF($DD23&lt;N_Ed-1E-9*MAX(1,N_Ed),(DA23+DB23)/2,DA23)</f>
        <v/>
      </c>
      <c r="DF23">
        <f>IF($DD23&lt;N_Ed-1E-9*MAX(1,N_Ed),DB23,(DA23+DB23)/2)</f>
        <v/>
      </c>
      <c r="DG23">
        <f>h_col*((DE23+DF23)/2)/(1-(DE23+DF23)/2)</f>
        <v/>
      </c>
      <c r="DH23">
        <f>(f_cd*b_col*((3*MIN(DG23,h_col)/7)+(4*MIN(DG23,h_col)/7)*(1-((4*MIN(DG23,h_col)/7)/(DG23-(3*MIN(DG23,h_col)/7)))^2/3))+$D23/2*((MAX(-f_yd,MIN(f_yd,200000*IF(DG23&lt;=h_col,0.0035*(DG23-d_2)/DG23,0.002*(DG23-d_2)/(DG23-3*h_col/7))))-f_cd*(1-(1-MAX(0,MIN(1,IF(DG23&lt;=h_col,0.0035*(DG23-d_2)/DG23,0.002*(DG23-d_2)/(DG23-3*h_col/7))/0.002)))^2))+(MAX(-f_yd,MIN(f_yd,200000*IF(DG23&lt;=h_col,0.0035*(DG23-(h_col-d_2))/DG23,0.002*(DG23-(h_col-d_2))/(DG23-3*h_col/7))))-f_cd*(1-(1-MAX(0,MIN(1,IF(DG23&lt;=h_col,0.0035*(DG23-(h_col-d_2))/DG23,0.002*(DG23-(h_col-d_2))/(DG23-3*h_col/7))/0.002)))^2))))/1000</f>
        <v/>
      </c>
      <c r="DI23">
        <f>IF($DH23&lt;N_Ed-1E-9*MAX(1,N_Ed),(DE23+DF23)/2,DE23)</f>
        <v/>
      </c>
      <c r="DJ23">
        <f>IF($DH23&lt;N_Ed-1E-9*MAX(1,N_Ed),DF23,(DE23+DF23)/2)</f>
        <v/>
      </c>
      <c r="DK23">
        <f>h_col*((DI23+DJ23)/2)/(1-(DI23+DJ23)/2)</f>
        <v/>
      </c>
      <c r="DL23">
        <f>(f_cd*b_col*((3*MIN(DK23,h_col)/7)+(4*MIN(DK23,h_col)/7)*(1-((4*MIN(DK23,h_col)/7)/(DK23-(3*MIN(DK23,h_col)/7)))^2/3))+$D23/2*((MAX(-f_yd,MIN(f_yd,200000*IF(DK23&lt;=h_col,0.0035*(DK23-d_2)/DK23,0.002*(DK23-d_2)/(DK23-3*h_col/7))))-f_cd*(1-(1-MAX(0,MIN(1,IF(DK23&lt;=h_col,0.0035*(DK23-d_2)/DK23,0.002*(DK23-d_2)/(DK23-3*h_col/7))/0.002)))^2))+(MAX(-f_yd,MIN(f_yd,200000*IF(DK23&lt;=h_col,0.0035*(DK23-(h_col-d_2))/DK23,0.002*(DK23-(h_col-d_2))/(DK23-3*h_col/7))))-f_cd*(1-(1-MAX(0,MIN(1,IF(DK23&lt;=h_col,0.0035*(DK23-(h_col-d_2))/DK23,0.002*(DK23-(h_col-d_2))/(DK23-3*h_col/7))/0.002)))^2))))/1000</f>
        <v/>
      </c>
      <c r="DM23">
        <f>IF($DL23&lt;N_Ed-1E-9*MAX(1,N_Ed),(DI23+DJ23)/2,DI23)</f>
        <v/>
      </c>
      <c r="DN23">
        <f>IF($DL23&lt;N_Ed-1E-9*MAX(1,N_Ed),DJ23,(DI23+DJ23)/2)</f>
        <v/>
      </c>
      <c r="DO23">
        <f>h_col*((DM23+DN23)/2)/(1-(DM23+DN23)/2)</f>
        <v/>
      </c>
      <c r="DP23">
        <f>(f_cd*b_col*((3*MIN(DO23,h_col)/7)+(4*MIN(DO23,h_col)/7)*(1-((4*MIN(DO23,h_col)/7)/(DO23-(3*MIN(DO23,h_col)/7)))^2/3))+$D23/2*((MAX(-f_yd,MIN(f_yd,200000*IF(DO23&lt;=h_col,0.0035*(DO23-d_2)/DO23,0.002*(DO23-d_2)/(DO23-3*h_col/7))))-f_cd*(1-(1-MAX(0,MIN(1,IF(DO23&lt;=h_col,0.0035*(DO23-d_2)/DO23,0.002*(DO23-d_2)/(DO23-3*h_col/7))/0.002)))^2))+(MAX(-f_yd,MIN(f_yd,200000*IF(DO23&lt;=h_col,0.0035*(DO23-(h_col-d_2))/DO23,0.002*(DO23-(h_col-d_2))/(DO23-3*h_col/7))))-f_cd*(1-(1-MAX(0,MIN(1,IF(DO23&lt;=h_col,0.0035*(DO23-(h_col-d_2))/DO23,0.002*(DO23-(h_col-d_2))/(DO23-3*h_col/7))/0.002)))^2))))/1000</f>
        <v/>
      </c>
      <c r="DQ23">
        <f>IF($DP23&lt;N_Ed-1E-9*MAX(1,N_Ed),(DM23+DN23)/2,DM23)</f>
        <v/>
      </c>
      <c r="DR23">
        <f>IF($DP23&lt;N_Ed-1E-9*MAX(1,N_Ed),DN23,(DM23+DN23)/2)</f>
        <v/>
      </c>
      <c r="DS23">
        <f>h_col*((DQ23+DR23)/2)/(1-(DQ23+DR23)/2)</f>
        <v/>
      </c>
      <c r="DT23">
        <f>(f_cd*b_col*((3*MIN(DS23,h_col)/7)+(4*MIN(DS23,h_col)/7)*(1-((4*MIN(DS23,h_col)/7)/(DS23-(3*MIN(DS23,h_col)/7)))^2/3))+$D23/2*((MAX(-f_yd,MIN(f_yd,200000*IF(DS23&lt;=h_col,0.0035*(DS23-d_2)/DS23,0.002*(DS23-d_2)/(DS23-3*h_col/7))))-f_cd*(1-(1-MAX(0,MIN(1,IF(DS23&lt;=h_col,0.0035*(DS23-d_2)/DS23,0.002*(DS23-d_2)/(DS23-3*h_col/7))/0.002)))^2))+(MAX(-f_yd,MIN(f_yd,200000*IF(DS23&lt;=h_col,0.0035*(DS23-(h_col-d_2))/DS23,0.002*(DS23-(h_col-d_2))/(DS23-3*h_col/7))))-f_cd*(1-(1-MAX(0,MIN(1,IF(DS23&lt;=h_col,0.0035*(DS23-(h_col-d_2))/DS23,0.002*(DS23-(h_col-d_2))/(DS23-3*h_col/7))/0.002)))^2))))/1000</f>
        <v/>
      </c>
      <c r="DU23">
        <f>IF($DT23&lt;N_Ed-1E-9*MAX(1,N_Ed),(DQ23+DR23)/2,DQ23)</f>
        <v/>
      </c>
      <c r="DV23">
        <f>IF($DT23&lt;N_Ed-1E-9*MAX(1,N_Ed),DR23,(DQ23+DR23)/2)</f>
        <v/>
      </c>
      <c r="DW23">
        <f>h_col*((DU23+DV23)/2)/(1-(DU23+DV23)/2)</f>
        <v/>
      </c>
      <c r="DX23">
        <f>(f_cd*b_col*((3*MIN(DW23,h_col)/7)+(4*MIN(DW23,h_col)/7)*(1-((4*MIN(DW23,h_col)/7)/(DW23-(3*MIN(DW23,h_col)/7)))^2/3))+$D23/2*((MAX(-f_yd,MIN(f_yd,200000*IF(DW23&lt;=h_col,0.0035*(DW23-d_2)/DW23,0.002*(DW23-d_2)/(DW23-3*h_col/7))))-f_cd*(1-(1-MAX(0,MIN(1,IF(DW23&lt;=h_col,0.0035*(DW23-d_2)/DW23,0.002*(DW23-d_2)/(DW23-3*h_col/7))/0.002)))^2))+(MAX(-f_yd,MIN(f_yd,200000*IF(DW23&lt;=h_col,0.0035*(DW23-(h_col-d_2))/DW23,0.002*(DW23-(h_col-d_2))/(DW23-3*h_col/7))))-f_cd*(1-(1-MAX(0,MIN(1,IF(DW23&lt;=h_col,0.0035*(DW23-(h_col-d_2))/DW23,0.002*(DW23-(h_col-d_2))/(DW23-3*h_col/7))/0.002)))^2))))/1000</f>
        <v/>
      </c>
      <c r="DY23">
        <f>IF($DX23&lt;N_Ed-1E-9*MAX(1,N_Ed),(DU23+DV23)/2,DU23)</f>
        <v/>
      </c>
      <c r="DZ23">
        <f>IF($DX23&lt;N_Ed-1E-9*MAX(1,N_Ed),DV23,(DU23+DV23)/2)</f>
        <v/>
      </c>
      <c r="EA23">
        <f>h_col*((DY23+DZ23)/2)/(1-(DY23+DZ23)/2)</f>
        <v/>
      </c>
      <c r="EB23">
        <f>(f_cd*b_col*((3*MIN(EA23,h_col)/7)+(4*MIN(EA23,h_col)/7)*(1-((4*MIN(EA23,h_col)/7)/(EA23-(3*MIN(EA23,h_col)/7)))^2/3))+$D23/2*((MAX(-f_yd,MIN(f_yd,200000*IF(EA23&lt;=h_col,0.0035*(EA23-d_2)/EA23,0.002*(EA23-d_2)/(EA23-3*h_col/7))))-f_cd*(1-(1-MAX(0,MIN(1,IF(EA23&lt;=h_col,0.0035*(EA23-d_2)/EA23,0.002*(EA23-d_2)/(EA23-3*h_col/7))/0.002)))^2))+(MAX(-f_yd,MIN(f_yd,200000*IF(EA23&lt;=h_col,0.0035*(EA23-(h_col-d_2))/EA23,0.002*(EA23-(h_col-d_2))/(EA23-3*h_col/7))))-f_cd*(1-(1-MAX(0,MIN(1,IF(EA23&lt;=h_col,0.0035*(EA23-(h_col-d_2))/EA23,0.002*(EA23-(h_col-d_2))/(EA23-3*h_col/7))/0.002)))^2))))/1000</f>
        <v/>
      </c>
      <c r="EC23">
        <f>IF($EB23&lt;N_Ed-1E-9*MAX(1,N_Ed),(DY23+DZ23)/2,DY23)</f>
        <v/>
      </c>
      <c r="ED23">
        <f>IF($EB23&lt;N_Ed-1E-9*MAX(1,N_Ed),DZ23,(DY23+DZ23)/2)</f>
        <v/>
      </c>
      <c r="EE23">
        <f>h_col*((EC23+ED23)/2)/(1-(EC23+ED23)/2)</f>
        <v/>
      </c>
      <c r="EF23">
        <f>(f_cd*b_col*((3*MIN(EE23,h_col)/7)+(4*MIN(EE23,h_col)/7)*(1-((4*MIN(EE23,h_col)/7)/(EE23-(3*MIN(EE23,h_col)/7)))^2/3))+$D23/2*((MAX(-f_yd,MIN(f_yd,200000*IF(EE23&lt;=h_col,0.0035*(EE23-d_2)/EE23,0.002*(EE23-d_2)/(EE23-3*h_col/7))))-f_cd*(1-(1-MAX(0,MIN(1,IF(EE23&lt;=h_col,0.0035*(EE23-d_2)/EE23,0.002*(EE23-d_2)/(EE23-3*h_col/7))/0.002)))^2))+(MAX(-f_yd,MIN(f_yd,200000*IF(EE23&lt;=h_col,0.0035*(EE23-(h_col-d_2))/EE23,0.002*(EE23-(h_col-d_2))/(EE23-3*h_col/7))))-f_cd*(1-(1-MAX(0,MIN(1,IF(EE23&lt;=h_col,0.0035*(EE23-(h_col-d_2))/EE23,0.002*(EE23-(h_col-d_2))/(EE23-3*h_col/7))/0.002)))^2))))/1000</f>
        <v/>
      </c>
      <c r="EG23">
        <f>IF($EF23&lt;N_Ed-1E-9*MAX(1,N_Ed),(EC23+ED23)/2,EC23)</f>
        <v/>
      </c>
      <c r="EH23">
        <f>IF($EF23&lt;N_Ed-1E-9*MAX(1,N_Ed),ED23,(EC23+ED23)/2)</f>
        <v/>
      </c>
      <c r="EI23">
        <f>h_col*((EG23+EH23)/2)/(1-(EG23+EH23)/2)</f>
        <v/>
      </c>
      <c r="EJ23">
        <f>(f_cd*b_col*((3*MIN(EI23,h_col)/7)+(4*MIN(EI23,h_col)/7)*(1-((4*MIN(EI23,h_col)/7)/(EI23-(3*MIN(EI23,h_col)/7)))^2/3))+$D23/2*((MAX(-f_yd,MIN(f_yd,200000*IF(EI23&lt;=h_col,0.0035*(EI23-d_2)/EI23,0.002*(EI23-d_2)/(EI23-3*h_col/7))))-f_cd*(1-(1-MAX(0,MIN(1,IF(EI23&lt;=h_col,0.0035*(EI23-d_2)/EI23,0.002*(EI23-d_2)/(EI23-3*h_col/7))/0.002)))^2))+(MAX(-f_yd,MIN(f_yd,200000*IF(EI23&lt;=h_col,0.0035*(EI23-(h_col-d_2))/EI23,0.002*(EI23-(h_col-d_2))/(EI23-3*h_col/7))))-f_cd*(1-(1-MAX(0,MIN(1,IF(EI23&lt;=h_col,0.0035*(EI23-(h_col-d_2))/EI23,0.002*(EI23-(h_col-d_2))/(EI23-3*h_col/7))/0.002)))^2))))/1000</f>
        <v/>
      </c>
      <c r="EK23">
        <f>IF($EJ23&lt;N_Ed-1E-9*MAX(1,N_Ed),(EG23+EH23)/2,EG23)</f>
        <v/>
      </c>
      <c r="EL23">
        <f>IF($EJ23&lt;N_Ed-1E-9*MAX(1,N_Ed),EH23,(EG23+EH23)/2)</f>
        <v/>
      </c>
      <c r="EM23">
        <f>h_col*((EK23+EL23)/2)/(1-(EK23+EL23)/2)</f>
        <v/>
      </c>
      <c r="EN23">
        <f>(f_cd*b_col*((3*MIN(EM23,h_col)/7)+(4*MIN(EM23,h_col)/7)*(1-((4*MIN(EM23,h_col)/7)/(EM23-(3*MIN(EM23,h_col)/7)))^2/3))+$D23/2*((MAX(-f_yd,MIN(f_yd,200000*IF(EM23&lt;=h_col,0.0035*(EM23-d_2)/EM23,0.002*(EM23-d_2)/(EM23-3*h_col/7))))-f_cd*(1-(1-MAX(0,MIN(1,IF(EM23&lt;=h_col,0.0035*(EM23-d_2)/EM23,0.002*(EM23-d_2)/(EM23-3*h_col/7))/0.002)))^2))+(MAX(-f_yd,MIN(f_yd,200000*IF(EM23&lt;=h_col,0.0035*(EM23-(h_col-d_2))/EM23,0.002*(EM23-(h_col-d_2))/(EM23-3*h_col/7))))-f_cd*(1-(1-MAX(0,MIN(1,IF(EM23&lt;=h_col,0.0035*(EM23-(h_col-d_2))/EM23,0.002*(EM23-(h_col-d_2))/(EM23-3*h_col/7))/0.002)))^2))))/1000</f>
        <v/>
      </c>
      <c r="EO23">
        <f>IF($EN23&lt;N_Ed-1E-9*MAX(1,N_Ed),(EK23+EL23)/2,EK23)</f>
        <v/>
      </c>
      <c r="EP23">
        <f>IF($EN23&lt;N_Ed-1E-9*MAX(1,N_Ed),EL23,(EK23+EL23)/2)</f>
        <v/>
      </c>
      <c r="EQ23">
        <f>h_col*((EO23+EP23)/2)/(1-(EO23+EP23)/2)</f>
        <v/>
      </c>
      <c r="ER23">
        <f>(f_cd*b_col*((3*MIN(EQ23,h_col)/7)+(4*MIN(EQ23,h_col)/7)*(1-((4*MIN(EQ23,h_col)/7)/(EQ23-(3*MIN(EQ23,h_col)/7)))^2/3))+$D23/2*((MAX(-f_yd,MIN(f_yd,200000*IF(EQ23&lt;=h_col,0.0035*(EQ23-d_2)/EQ23,0.002*(EQ23-d_2)/(EQ23-3*h_col/7))))-f_cd*(1-(1-MAX(0,MIN(1,IF(EQ23&lt;=h_col,0.0035*(EQ23-d_2)/EQ23,0.002*(EQ23-d_2)/(EQ23-3*h_col/7))/0.002)))^2))+(MAX(-f_yd,MIN(f_yd,200000*IF(EQ23&lt;=h_col,0.0035*(EQ23-(h_col-d_2))/EQ23,0.002*(EQ23-(h_col-d_2))/(EQ23-3*h_col/7))))-f_cd*(1-(1-MAX(0,MIN(1,IF(EQ23&lt;=h_col,0.0035*(EQ23-(h_col-d_2))/EQ23,0.002*(EQ23-(h_col-d_2))/(EQ23-3*h_col/7))/0.002)))^2))))/1000</f>
        <v/>
      </c>
      <c r="ES23">
        <f>IF($ER23&lt;N_Ed-1E-9*MAX(1,N_Ed),(EO23+EP23)/2,EO23)</f>
        <v/>
      </c>
      <c r="ET23">
        <f>IF($ER23&lt;N_Ed-1E-9*MAX(1,N_Ed),EP23,(EO23+EP23)/2)</f>
        <v/>
      </c>
      <c r="EU23">
        <f>h_col*((ES23+ET23)/2)/(1-(ES23+ET23)/2)</f>
        <v/>
      </c>
      <c r="EV23">
        <f>(f_cd*b_col*((3*MIN(EU23,h_col)/7)+(4*MIN(EU23,h_col)/7)*(1-((4*MIN(EU23,h_col)/7)/(EU23-(3*MIN(EU23,h_col)/7)))^2/3))+$D23/2*((MAX(-f_yd,MIN(f_yd,200000*IF(EU23&lt;=h_col,0.0035*(EU23-d_2)/EU23,0.002*(EU23-d_2)/(EU23-3*h_col/7))))-f_cd*(1-(1-MAX(0,MIN(1,IF(EU23&lt;=h_col,0.0035*(EU23-d_2)/EU23,0.002*(EU23-d_2)/(EU23-3*h_col/7))/0.002)))^2))+(MAX(-f_yd,MIN(f_yd,200000*IF(EU23&lt;=h_col,0.0035*(EU23-(h_col-d_2))/EU23,0.002*(EU23-(h_col-d_2))/(EU23-3*h_col/7))))-f_cd*(1-(1-MAX(0,MIN(1,IF(EU23&lt;=h_col,0.0035*(EU23-(h_col-d_2))/EU23,0.002*(EU23-(h_col-d_2))/(EU23-3*h_col/7))/0.002)))^2))))/1000</f>
        <v/>
      </c>
      <c r="EW23">
        <f>IF($EV23&lt;N_Ed-1E-9*MAX(1,N_Ed),(ES23+ET23)/2,ES23)</f>
        <v/>
      </c>
      <c r="EX23">
        <f>IF($EV23&lt;N_Ed-1E-9*MAX(1,N_Ed),ET23,(ES23+ET23)/2)</f>
        <v/>
      </c>
      <c r="EY23">
        <f>h_col*((EW23+EX23)/2)/(1-(EW23+EX23)/2)</f>
        <v/>
      </c>
      <c r="EZ23">
        <f>(f_cd*b_col*((3*MIN(EY23,h_col)/7)+(4*MIN(EY23,h_col)/7)*(1-((4*MIN(EY23,h_col)/7)/(EY23-(3*MIN(EY23,h_col)/7)))^2/3))+$D23/2*((MAX(-f_yd,MIN(f_yd,200000*IF(EY23&lt;=h_col,0.0035*(EY23-d_2)/EY23,0.002*(EY23-d_2)/(EY23-3*h_col/7))))-f_cd*(1-(1-MAX(0,MIN(1,IF(EY23&lt;=h_col,0.0035*(EY23-d_2)/EY23,0.002*(EY23-d_2)/(EY23-3*h_col/7))/0.002)))^2))+(MAX(-f_yd,MIN(f_yd,200000*IF(EY23&lt;=h_col,0.0035*(EY23-(h_col-d_2))/EY23,0.002*(EY23-(h_col-d_2))/(EY23-3*h_col/7))))-f_cd*(1-(1-MAX(0,MIN(1,IF(EY23&lt;=h_col,0.0035*(EY23-(h_col-d_2))/EY23,0.002*(EY23-(h_col-d_2))/(EY23-3*h_col/7))/0.002)))^2))))/1000</f>
        <v/>
      </c>
      <c r="FA23">
        <f>IF($EZ23&lt;N_Ed-1E-9*MAX(1,N_Ed),(EW23+EX23)/2,EW23)</f>
        <v/>
      </c>
      <c r="FB23">
        <f>IF($EZ23&lt;N_Ed-1E-9*MAX(1,N_Ed),EX23,(EW23+EX23)/2)</f>
        <v/>
      </c>
      <c r="FC23">
        <f>h_col*((FA23+FB23)/2)/(1-(FA23+FB23)/2)</f>
        <v/>
      </c>
      <c r="FD23">
        <f>(f_cd*b_col*((3*MIN(FC23,h_col)/7)+(4*MIN(FC23,h_col)/7)*(1-((4*MIN(FC23,h_col)/7)/(FC23-(3*MIN(FC23,h_col)/7)))^2/3))+$D23/2*((MAX(-f_yd,MIN(f_yd,200000*IF(FC23&lt;=h_col,0.0035*(FC23-d_2)/FC23,0.002*(FC23-d_2)/(FC23-3*h_col/7))))-f_cd*(1-(1-MAX(0,MIN(1,IF(FC23&lt;=h_col,0.0035*(FC23-d_2)/FC23,0.002*(FC23-d_2)/(FC23-3*h_col/7))/0.002)))^2))+(MAX(-f_yd,MIN(f_yd,200000*IF(FC23&lt;=h_col,0.0035*(FC23-(h_col-d_2))/FC23,0.002*(FC23-(h_col-d_2))/(FC23-3*h_col/7))))-f_cd*(1-(1-MAX(0,MIN(1,IF(FC23&lt;=h_col,0.0035*(FC23-(h_col-d_2))/FC23,0.002*(FC23-(h_col-d_2))/(FC23-3*h_col/7))/0.002)))^2))))/1000</f>
        <v/>
      </c>
      <c r="FE23">
        <f>IF($FD23&lt;N_Ed-1E-9*MAX(1,N_Ed),(FA23+FB23)/2,FA23)</f>
        <v/>
      </c>
      <c r="FF23">
        <f>IF($FD23&lt;N_Ed-1E-9*MAX(1,N_Ed),FB23,(FA23+FB23)/2)</f>
        <v/>
      </c>
      <c r="FG23">
        <f>h_col*((FE23+FF23)/2)/(1-(FE23+FF23)/2)</f>
        <v/>
      </c>
      <c r="FH23">
        <f>(f_cd*b_col*((3*MIN(FG23,h_col)/7)+(4*MIN(FG23,h_col)/7)*(1-((4*MIN(FG23,h_col)/7)/(FG23-(3*MIN(FG23,h_col)/7)))^2/3))+$D23/2*((MAX(-f_yd,MIN(f_yd,200000*IF(FG23&lt;=h_col,0.0035*(FG23-d_2)/FG23,0.002*(FG23-d_2)/(FG23-3*h_col/7))))-f_cd*(1-(1-MAX(0,MIN(1,IF(FG23&lt;=h_col,0.0035*(FG23-d_2)/FG23,0.002*(FG23-d_2)/(FG23-3*h_col/7))/0.002)))^2))+(MAX(-f_yd,MIN(f_yd,200000*IF(FG23&lt;=h_col,0.0035*(FG23-(h_col-d_2))/FG23,0.002*(FG23-(h_col-d_2))/(FG23-3*h_col/7))))-f_cd*(1-(1-MAX(0,MIN(1,IF(FG23&lt;=h_col,0.0035*(FG23-(h_col-d_2))/FG23,0.002*(FG23-(h_col-d_2))/(FG23-3*h_col/7))/0.002)))^2))))/1000</f>
        <v/>
      </c>
      <c r="FI23">
        <f>IF($FH23&lt;N_Ed-1E-9*MAX(1,N_Ed),(FE23+FF23)/2,FE23)</f>
        <v/>
      </c>
      <c r="FJ23">
        <f>IF($FH23&lt;N_Ed-1E-9*MAX(1,N_Ed),FF23,(FE23+FF23)/2)</f>
        <v/>
      </c>
      <c r="FK23">
        <f>h_col*((FI23+FJ23)/2)/(1-(FI23+FJ23)/2)</f>
        <v/>
      </c>
      <c r="FL23">
        <f>(f_cd*b_col*((3*MIN(FK23,h_col)/7)+(4*MIN(FK23,h_col)/7)*(1-((4*MIN(FK23,h_col)/7)/(FK23-(3*MIN(FK23,h_col)/7)))^2/3))+$D23/2*((MAX(-f_yd,MIN(f_yd,200000*IF(FK23&lt;=h_col,0.0035*(FK23-d_2)/FK23,0.002*(FK23-d_2)/(FK23-3*h_col/7))))-f_cd*(1-(1-MAX(0,MIN(1,IF(FK23&lt;=h_col,0.0035*(FK23-d_2)/FK23,0.002*(FK23-d_2)/(FK23-3*h_col/7))/0.002)))^2))+(MAX(-f_yd,MIN(f_yd,200000*IF(FK23&lt;=h_col,0.0035*(FK23-(h_col-d_2))/FK23,0.002*(FK23-(h_col-d_2))/(FK23-3*h_col/7))))-f_cd*(1-(1-MAX(0,MIN(1,IF(FK23&lt;=h_col,0.0035*(FK23-(h_col-d_2))/FK23,0.002*(FK23-(h_col-d_2))/(FK23-3*h_col/7))/0.002)))^2))))/1000</f>
        <v/>
      </c>
      <c r="FM23">
        <f>IF($FL23&lt;N_Ed-1E-9*MAX(1,N_Ed),(FI23+FJ23)/2,FI23)</f>
        <v/>
      </c>
      <c r="FN23">
        <f>IF($FL23&lt;N_Ed-1E-9*MAX(1,N_Ed),FJ23,(FI23+FJ23)/2)</f>
        <v/>
      </c>
      <c r="FO23">
        <f>h_col*((FM23+FN23)/2)/(1-(FM23+FN23)/2)</f>
        <v/>
      </c>
      <c r="FP23">
        <f>(f_cd*b_col*((3*MIN(FO23,h_col)/7)+(4*MIN(FO23,h_col)/7)*(1-((4*MIN(FO23,h_col)/7)/(FO23-(3*MIN(FO23,h_col)/7)))^2/3))+$D23/2*((MAX(-f_yd,MIN(f_yd,200000*IF(FO23&lt;=h_col,0.0035*(FO23-d_2)/FO23,0.002*(FO23-d_2)/(FO23-3*h_col/7))))-f_cd*(1-(1-MAX(0,MIN(1,IF(FO23&lt;=h_col,0.0035*(FO23-d_2)/FO23,0.002*(FO23-d_2)/(FO23-3*h_col/7))/0.002)))^2))+(MAX(-f_yd,MIN(f_yd,200000*IF(FO23&lt;=h_col,0.0035*(FO23-(h_col-d_2))/FO23,0.002*(FO23-(h_col-d_2))/(FO23-3*h_col/7))))-f_cd*(1-(1-MAX(0,MIN(1,IF(FO23&lt;=h_col,0.0035*(FO23-(h_col-d_2))/FO23,0.002*(FO23-(h_col-d_2))/(FO23-3*h_col/7))/0.002)))^2))))/1000</f>
        <v/>
      </c>
      <c r="FQ23">
        <f>IF($FP23&lt;N_Ed-1E-9*MAX(1,N_Ed),(FM23+FN23)/2,FM23)</f>
        <v/>
      </c>
      <c r="FR23">
        <f>IF($FP23&lt;N_Ed-1E-9*MAX(1,N_Ed),FN23,(FM23+FN23)/2)</f>
        <v/>
      </c>
      <c r="FS23">
        <f>h_col*((FQ23+FR23)/2)/(1-(FQ23+FR23)/2)</f>
        <v/>
      </c>
      <c r="FT23">
        <f>(f_cd*b_col*((3*MIN(FS23,h_col)/7)+(4*MIN(FS23,h_col)/7)*(1-((4*MIN(FS23,h_col)/7)/(FS23-(3*MIN(FS23,h_col)/7)))^2/3))+$D23/2*((MAX(-f_yd,MIN(f_yd,200000*IF(FS23&lt;=h_col,0.0035*(FS23-d_2)/FS23,0.002*(FS23-d_2)/(FS23-3*h_col/7))))-f_cd*(1-(1-MAX(0,MIN(1,IF(FS23&lt;=h_col,0.0035*(FS23-d_2)/FS23,0.002*(FS23-d_2)/(FS23-3*h_col/7))/0.002)))^2))+(MAX(-f_yd,MIN(f_yd,200000*IF(FS23&lt;=h_col,0.0035*(FS23-(h_col-d_2))/FS23,0.002*(FS23-(h_col-d_2))/(FS23-3*h_col/7))))-f_cd*(1-(1-MAX(0,MIN(1,IF(FS23&lt;=h_col,0.0035*(FS23-(h_col-d_2))/FS23,0.002*(FS23-(h_col-d_2))/(FS23-3*h_col/7))/0.002)))^2))))/1000</f>
        <v/>
      </c>
      <c r="FU23">
        <f>IF($FT23&lt;N_Ed-1E-9*MAX(1,N_Ed),(FQ23+FR23)/2,FQ23)</f>
        <v/>
      </c>
      <c r="FV23">
        <f>IF($FT23&lt;N_Ed-1E-9*MAX(1,N_Ed),FR23,(FQ23+FR23)/2)</f>
        <v/>
      </c>
      <c r="FW23">
        <f>h_col*((FU23+FV23)/2)/(1-(FU23+FV23)/2)</f>
        <v/>
      </c>
      <c r="FX23">
        <f>(f_cd*b_col*((3*MIN(FW23,h_col)/7)+(4*MIN(FW23,h_col)/7)*(1-((4*MIN(FW23,h_col)/7)/(FW23-(3*MIN(FW23,h_col)/7)))^2/3))+$D23/2*((MAX(-f_yd,MIN(f_yd,200000*IF(FW23&lt;=h_col,0.0035*(FW23-d_2)/FW23,0.002*(FW23-d_2)/(FW23-3*h_col/7))))-f_cd*(1-(1-MAX(0,MIN(1,IF(FW23&lt;=h_col,0.0035*(FW23-d_2)/FW23,0.002*(FW23-d_2)/(FW23-3*h_col/7))/0.002)))^2))+(MAX(-f_yd,MIN(f_yd,200000*IF(FW23&lt;=h_col,0.0035*(FW23-(h_col-d_2))/FW23,0.002*(FW23-(h_col-d_2))/(FW23-3*h_col/7))))-f_cd*(1-(1-MAX(0,MIN(1,IF(FW23&lt;=h_col,0.0035*(FW23-(h_col-d_2))/FW23,0.002*(FW23-(h_col-d_2))/(FW23-3*h_col/7))/0.002)))^2))))/1000</f>
        <v/>
      </c>
      <c r="FY23">
        <f>IF($FX23&lt;N_Ed-1E-9*MAX(1,N_Ed),(FU23+FV23)/2,FU23)</f>
        <v/>
      </c>
      <c r="FZ23">
        <f>IF($FX23&lt;N_Ed-1E-9*MAX(1,N_Ed),FV23,(FU23+FV23)/2)</f>
        <v/>
      </c>
      <c r="GA23">
        <f>h_col*((FY23+FZ23)/2)/(1-(FY23+FZ23)/2)</f>
        <v/>
      </c>
      <c r="GB23">
        <f>(f_cd*b_col*((3*MIN(GA23,h_col)/7)+(4*MIN(GA23,h_col)/7)*(1-((4*MIN(GA23,h_col)/7)/(GA23-(3*MIN(GA23,h_col)/7)))^2/3))+$D23/2*((MAX(-f_yd,MIN(f_yd,200000*IF(GA23&lt;=h_col,0.0035*(GA23-d_2)/GA23,0.002*(GA23-d_2)/(GA23-3*h_col/7))))-f_cd*(1-(1-MAX(0,MIN(1,IF(GA23&lt;=h_col,0.0035*(GA23-d_2)/GA23,0.002*(GA23-d_2)/(GA23-3*h_col/7))/0.002)))^2))+(MAX(-f_yd,MIN(f_yd,200000*IF(GA23&lt;=h_col,0.0035*(GA23-(h_col-d_2))/GA23,0.002*(GA23-(h_col-d_2))/(GA23-3*h_col/7))))-f_cd*(1-(1-MAX(0,MIN(1,IF(GA23&lt;=h_col,0.0035*(GA23-(h_col-d_2))/GA23,0.002*(GA23-(h_col-d_2))/(GA23-3*h_col/7))/0.002)))^2))))/1000</f>
        <v/>
      </c>
      <c r="GC23">
        <f>IF($GB23&lt;N_Ed-1E-9*MAX(1,N_Ed),(FY23+FZ23)/2,FY23)</f>
        <v/>
      </c>
      <c r="GD23">
        <f>IF($GB23&lt;N_Ed-1E-9*MAX(1,N_Ed),FZ23,(FY23+FZ23)/2)</f>
        <v/>
      </c>
      <c r="GE23">
        <f>h_col*((GC23+GD23)/2)/(1-(GC23+GD23)/2)</f>
        <v/>
      </c>
      <c r="GF23">
        <f>(f_cd*b_col*((3*MIN(GE23,h_col)/7)+(4*MIN(GE23,h_col)/7)*(1-((4*MIN(GE23,h_col)/7)/(GE23-(3*MIN(GE23,h_col)/7)))^2/3))+$D23/2*((MAX(-f_yd,MIN(f_yd,200000*IF(GE23&lt;=h_col,0.0035*(GE23-d_2)/GE23,0.002*(GE23-d_2)/(GE23-3*h_col/7))))-f_cd*(1-(1-MAX(0,MIN(1,IF(GE23&lt;=h_col,0.0035*(GE23-d_2)/GE23,0.002*(GE23-d_2)/(GE23-3*h_col/7))/0.002)))^2))+(MAX(-f_yd,MIN(f_yd,200000*IF(GE23&lt;=h_col,0.0035*(GE23-(h_col-d_2))/GE23,0.002*(GE23-(h_col-d_2))/(GE23-3*h_col/7))))-f_cd*(1-(1-MAX(0,MIN(1,IF(GE23&lt;=h_col,0.0035*(GE23-(h_col-d_2))/GE23,0.002*(GE23-(h_col-d_2))/(GE23-3*h_col/7))/0.002)))^2))))/1000</f>
        <v/>
      </c>
      <c r="GG23">
        <f>IF($GF23&lt;N_Ed-1E-9*MAX(1,N_Ed),(GC23+GD23)/2,GC23)</f>
        <v/>
      </c>
      <c r="GH23">
        <f>IF($GF23&lt;N_Ed-1E-9*MAX(1,N_Ed),GD23,(GC23+GD23)/2)</f>
        <v/>
      </c>
      <c r="GI23">
        <f>h_col*((GG23+GH23)/2)/(1-(GG23+GH23)/2)</f>
        <v/>
      </c>
      <c r="GJ23">
        <f>(f_cd*b_col*((3*MIN(GI23,h_col)/7)+(4*MIN(GI23,h_col)/7)*(1-((4*MIN(GI23,h_col)/7)/(GI23-(3*MIN(GI23,h_col)/7)))^2/3))+$D23/2*((MAX(-f_yd,MIN(f_yd,200000*IF(GI23&lt;=h_col,0.0035*(GI23-d_2)/GI23,0.002*(GI23-d_2)/(GI23-3*h_col/7))))-f_cd*(1-(1-MAX(0,MIN(1,IF(GI23&lt;=h_col,0.0035*(GI23-d_2)/GI23,0.002*(GI23-d_2)/(GI23-3*h_col/7))/0.002)))^2))+(MAX(-f_yd,MIN(f_yd,200000*IF(GI23&lt;=h_col,0.0035*(GI23-(h_col-d_2))/GI23,0.002*(GI23-(h_col-d_2))/(GI23-3*h_col/7))))-f_cd*(1-(1-MAX(0,MIN(1,IF(GI23&lt;=h_col,0.0035*(GI23-(h_col-d_2))/GI23,0.002*(GI23-(h_col-d_2))/(GI23-3*h_col/7))/0.002)))^2))))/1000</f>
        <v/>
      </c>
      <c r="GK23">
        <f>IF($GJ23&lt;N_Ed-1E-9*MAX(1,N_Ed),(GG23+GH23)/2,GG23)</f>
        <v/>
      </c>
      <c r="GL23">
        <f>IF($GJ23&lt;N_Ed-1E-9*MAX(1,N_Ed),GH23,(GG23+GH23)/2)</f>
        <v/>
      </c>
      <c r="GM23">
        <f>h_col*((GK23+GL23)/2)/(1-(GK23+GL23)/2)</f>
        <v/>
      </c>
      <c r="GN23">
        <f>(f_cd*b_col*((3*MIN(GM23,h_col)/7)+(4*MIN(GM23,h_col)/7)*(1-((4*MIN(GM23,h_col)/7)/(GM23-(3*MIN(GM23,h_col)/7)))^2/3))+$D23/2*((MAX(-f_yd,MIN(f_yd,200000*IF(GM23&lt;=h_col,0.0035*(GM23-d_2)/GM23,0.002*(GM23-d_2)/(GM23-3*h_col/7))))-f_cd*(1-(1-MAX(0,MIN(1,IF(GM23&lt;=h_col,0.0035*(GM23-d_2)/GM23,0.002*(GM23-d_2)/(GM23-3*h_col/7))/0.002)))^2))+(MAX(-f_yd,MIN(f_yd,200000*IF(GM23&lt;=h_col,0.0035*(GM23-(h_col-d_2))/GM23,0.002*(GM23-(h_col-d_2))/(GM23-3*h_col/7))))-f_cd*(1-(1-MAX(0,MIN(1,IF(GM23&lt;=h_col,0.0035*(GM23-(h_col-d_2))/GM23,0.002*(GM23-(h_col-d_2))/(GM23-3*h_col/7))/0.002)))^2))))/1000</f>
        <v/>
      </c>
      <c r="GO23">
        <f>IF($GN23&lt;N_Ed-1E-9*MAX(1,N_Ed),(GK23+GL23)/2,GK23)</f>
        <v/>
      </c>
      <c r="GP23">
        <f>IF($GN23&lt;N_Ed-1E-9*MAX(1,N_Ed),GL23,(GK23+GL23)/2)</f>
        <v/>
      </c>
      <c r="GQ23">
        <f>h_col*((GO23+GP23)/2)/(1-(GO23+GP23)/2)</f>
        <v/>
      </c>
      <c r="GR23">
        <f>(f_cd*b_col*((3*MIN(GQ23,h_col)/7)+(4*MIN(GQ23,h_col)/7)*(1-((4*MIN(GQ23,h_col)/7)/(GQ23-(3*MIN(GQ23,h_col)/7)))^2/3))+$D23/2*((MAX(-f_yd,MIN(f_yd,200000*IF(GQ23&lt;=h_col,0.0035*(GQ23-d_2)/GQ23,0.002*(GQ23-d_2)/(GQ23-3*h_col/7))))-f_cd*(1-(1-MAX(0,MIN(1,IF(GQ23&lt;=h_col,0.0035*(GQ23-d_2)/GQ23,0.002*(GQ23-d_2)/(GQ23-3*h_col/7))/0.002)))^2))+(MAX(-f_yd,MIN(f_yd,200000*IF(GQ23&lt;=h_col,0.0035*(GQ23-(h_col-d_2))/GQ23,0.002*(GQ23-(h_col-d_2))/(GQ23-3*h_col/7))))-f_cd*(1-(1-MAX(0,MIN(1,IF(GQ23&lt;=h_col,0.0035*(GQ23-(h_col-d_2))/GQ23,0.002*(GQ23-(h_col-d_2))/(GQ23-3*h_col/7))/0.002)))^2))))/1000</f>
        <v/>
      </c>
      <c r="GS23">
        <f>IF($GR23&lt;N_Ed-1E-9*MAX(1,N_Ed),(GO23+GP23)/2,GO23)</f>
        <v/>
      </c>
      <c r="GT23">
        <f>IF($GR23&lt;N_Ed-1E-9*MAX(1,N_Ed),GP23,(GO23+GP23)/2)</f>
        <v/>
      </c>
      <c r="GU23">
        <f>h_col*((GS23+GT23)/2)/(1-(GS23+GT23)/2)</f>
        <v/>
      </c>
      <c r="GV23">
        <f>(f_cd*b_col*((3*MIN(GU23,h_col)/7)+(4*MIN(GU23,h_col)/7)*(1-((4*MIN(GU23,h_col)/7)/(GU23-(3*MIN(GU23,h_col)/7)))^2/3))+$D23/2*((MAX(-f_yd,MIN(f_yd,200000*IF(GU23&lt;=h_col,0.0035*(GU23-d_2)/GU23,0.002*(GU23-d_2)/(GU23-3*h_col/7))))-f_cd*(1-(1-MAX(0,MIN(1,IF(GU23&lt;=h_col,0.0035*(GU23-d_2)/GU23,0.002*(GU23-d_2)/(GU23-3*h_col/7))/0.002)))^2))+(MAX(-f_yd,MIN(f_yd,200000*IF(GU23&lt;=h_col,0.0035*(GU23-(h_col-d_2))/GU23,0.002*(GU23-(h_col-d_2))/(GU23-3*h_col/7))))-f_cd*(1-(1-MAX(0,MIN(1,IF(GU23&lt;=h_col,0.0035*(GU23-(h_col-d_2))/GU23,0.002*(GU23-(h_col-d_2))/(GU23-3*h_col/7))/0.002)))^2))))/1000</f>
        <v/>
      </c>
      <c r="GW23">
        <f>GU23</f>
        <v/>
      </c>
      <c r="GX23">
        <f>(f_cd*b_col*((3*MIN(GW23,h_col)/7)+(4*MIN(GW23,h_col)/7)*(1-((4*MIN(GW23,h_col)/7)/(GW23-(3*MIN(GW23,h_col)/7)))^2/3))+$D23/2*((MAX(-f_yd,MIN(f_yd,200000*IF(GW23&lt;=h_col,0.0035*(GW23-d_2)/GW23,0.002*(GW23-d_2)/(GW23-3*h_col/7))))-f_cd*(1-(1-MAX(0,MIN(1,IF(GW23&lt;=h_col,0.0035*(GW23-d_2)/GW23,0.002*(GW23-d_2)/(GW23-3*h_col/7))/0.002)))^2))+(MAX(-f_yd,MIN(f_yd,200000*IF(GW23&lt;=h_col,0.0035*(GW23-(h_col-d_2))/GW23,0.002*(GW23-(h_col-d_2))/(GW23-3*h_col/7))))-f_cd*(1-(1-MAX(0,MIN(1,IF(GW23&lt;=h_col,0.0035*(GW23-(h_col-d_2))/GW23,0.002*(GW23-(h_col-d_2))/(GW23-3*h_col/7))/0.002)))^2))))/1000</f>
        <v/>
      </c>
      <c r="GY23">
        <f>(f_cd*b_col*((3*MIN(GW23,h_col)/7)*(h_col/2-(3*MIN(GW23,h_col)/7)/2)+(4*MIN(GW23,h_col)/7)*((h_col/2-(3*MIN(GW23,h_col)/7))*(1-((4*MIN(GW23,h_col)/7)/(GW23-(3*MIN(GW23,h_col)/7)))^2/3)-(4*MIN(GW23,h_col)/7)*(0.5-((4*MIN(GW23,h_col)/7)/(GW23-(3*MIN(GW23,h_col)/7)))^2/4)))+$D23/2*((MAX(-f_yd,MIN(f_yd,200000*IF(GW23&lt;=h_col,0.0035*(GW23-d_2)/GW23,0.002*(GW23-d_2)/(GW23-3*h_col/7))))-f_cd*(1-(1-MAX(0,MIN(1,IF(GW23&lt;=h_col,0.0035*(GW23-d_2)/GW23,0.002*(GW23-d_2)/(GW23-3*h_col/7))/0.002)))^2))-(MAX(-f_yd,MIN(f_yd,200000*IF(GW23&lt;=h_col,0.0035*(GW23-(h_col-d_2))/GW23,0.002*(GW23-(h_col-d_2))/(GW23-3*h_col/7))))-f_cd*(1-(1-MAX(0,MIN(1,IF(GW23&lt;=h_col,0.0035*(GW23-(h_col-d_2))/GW23,0.002*(GW23-(h_col-d_2))/(GW23-3*h_col/7))/0.002)))^2)))*(h_col/2-d_2))/1E6</f>
        <v/>
      </c>
      <c r="GZ23">
        <f>GX23&gt;=N_Ed-1E-6*MAX(1,N_Ed)</f>
        <v/>
      </c>
      <c r="HA23">
        <f>IF(GZ23,GY23,-1E9)</f>
        <v/>
      </c>
    </row>
    <row r="24">
      <c r="A24" t="n">
        <v>19</v>
      </c>
      <c r="B24">
        <f>IF($HA23&gt;=M_d,$B23,$D23)</f>
        <v/>
      </c>
      <c r="C24">
        <f>IF($HA23&gt;=M_d,$D23,$C23)</f>
        <v/>
      </c>
      <c r="D24">
        <f>($B24+$C24)/2</f>
        <v/>
      </c>
      <c r="E24" t="n">
        <v>0</v>
      </c>
      <c r="F24">
        <f>1-1E-12</f>
        <v/>
      </c>
      <c r="G24">
        <f>h_col*((E24+F24)/2)/(1-(E24+F24)/2)</f>
        <v/>
      </c>
      <c r="H24">
        <f>(f_cd*b_col*((3*MIN(G24,h_col)/7)+(4*MIN(G24,h_col)/7)*(1-((4*MIN(G24,h_col)/7)/(G24-(3*MIN(G24,h_col)/7)))^2/3))+$D24/2*((MAX(-f_yd,MIN(f_yd,200000*IF(G24&lt;=h_col,0.0035*(G24-d_2)/G24,0.002*(G24-d_2)/(G24-3*h_col/7))))-f_cd*(1-(1-MAX(0,MIN(1,IF(G24&lt;=h_col,0.0035*(G24-d_2)/G24,0.002*(G24-d_2)/(G24-3*h_col/7))/0.002)))^2))+(MAX(-f_yd,MIN(f_yd,200000*IF(G24&lt;=h_col,0.0035*(G24-(h_col-d_2))/G24,0.002*(G24-(h_col-d_2))/(G24-3*h_col/7))))-f_cd*(1-(1-MAX(0,MIN(1,IF(G24&lt;=h_col,0.0035*(G24-(h_col-d_2))/G24,0.002*(G24-(h_col-d_2))/(G24-3*h_col/7))/0.002)))^2))))/1000</f>
        <v/>
      </c>
      <c r="I24">
        <f>IF($H24&lt;N_Ed-1E-9*MAX(1,N_Ed),(E24+F24)/2,E24)</f>
        <v/>
      </c>
      <c r="J24">
        <f>IF($H24&lt;N_Ed-1E-9*MAX(1,N_Ed),F24,(E24+F24)/2)</f>
        <v/>
      </c>
      <c r="K24">
        <f>h_col*((I24+J24)/2)/(1-(I24+J24)/2)</f>
        <v/>
      </c>
      <c r="L24">
        <f>(f_cd*b_col*((3*MIN(K24,h_col)/7)+(4*MIN(K24,h_col)/7)*(1-((4*MIN(K24,h_col)/7)/(K24-(3*MIN(K24,h_col)/7)))^2/3))+$D24/2*((MAX(-f_yd,MIN(f_yd,200000*IF(K24&lt;=h_col,0.0035*(K24-d_2)/K24,0.002*(K24-d_2)/(K24-3*h_col/7))))-f_cd*(1-(1-MAX(0,MIN(1,IF(K24&lt;=h_col,0.0035*(K24-d_2)/K24,0.002*(K24-d_2)/(K24-3*h_col/7))/0.002)))^2))+(MAX(-f_yd,MIN(f_yd,200000*IF(K24&lt;=h_col,0.0035*(K24-(h_col-d_2))/K24,0.002*(K24-(h_col-d_2))/(K24-3*h_col/7))))-f_cd*(1-(1-MAX(0,MIN(1,IF(K24&lt;=h_col,0.0035*(K24-(h_col-d_2))/K24,0.002*(K24-(h_col-d_2))/(K24-3*h_col/7))/0.002)))^2))))/1000</f>
        <v/>
      </c>
      <c r="M24">
        <f>IF($L24&lt;N_Ed-1E-9*MAX(1,N_Ed),(I24+J24)/2,I24)</f>
        <v/>
      </c>
      <c r="N24">
        <f>IF($L24&lt;N_Ed-1E-9*MAX(1,N_Ed),J24,(I24+J24)/2)</f>
        <v/>
      </c>
      <c r="O24">
        <f>h_col*((M24+N24)/2)/(1-(M24+N24)/2)</f>
        <v/>
      </c>
      <c r="P24">
        <f>(f_cd*b_col*((3*MIN(O24,h_col)/7)+(4*MIN(O24,h_col)/7)*(1-((4*MIN(O24,h_col)/7)/(O24-(3*MIN(O24,h_col)/7)))^2/3))+$D24/2*((MAX(-f_yd,MIN(f_yd,200000*IF(O24&lt;=h_col,0.0035*(O24-d_2)/O24,0.002*(O24-d_2)/(O24-3*h_col/7))))-f_cd*(1-(1-MAX(0,MIN(1,IF(O24&lt;=h_col,0.0035*(O24-d_2)/O24,0.002*(O24-d_2)/(O24-3*h_col/7))/0.002)))^2))+(MAX(-f_yd,MIN(f_yd,200000*IF(O24&lt;=h_col,0.0035*(O24-(h_col-d_2))/O24,0.002*(O24-(h_col-d_2))/(O24-3*h_col/7))))-f_cd*(1-(1-MAX(0,MIN(1,IF(O24&lt;=h_col,0.0035*(O24-(h_col-d_2))/O24,0.002*(O24-(h_col-d_2))/(O24-3*h_col/7))/0.002)))^2))))/1000</f>
        <v/>
      </c>
      <c r="Q24">
        <f>IF($P24&lt;N_Ed-1E-9*MAX(1,N_Ed),(M24+N24)/2,M24)</f>
        <v/>
      </c>
      <c r="R24">
        <f>IF($P24&lt;N_Ed-1E-9*MAX(1,N_Ed),N24,(M24+N24)/2)</f>
        <v/>
      </c>
      <c r="S24">
        <f>h_col*((Q24+R24)/2)/(1-(Q24+R24)/2)</f>
        <v/>
      </c>
      <c r="T24">
        <f>(f_cd*b_col*((3*MIN(S24,h_col)/7)+(4*MIN(S24,h_col)/7)*(1-((4*MIN(S24,h_col)/7)/(S24-(3*MIN(S24,h_col)/7)))^2/3))+$D24/2*((MAX(-f_yd,MIN(f_yd,200000*IF(S24&lt;=h_col,0.0035*(S24-d_2)/S24,0.002*(S24-d_2)/(S24-3*h_col/7))))-f_cd*(1-(1-MAX(0,MIN(1,IF(S24&lt;=h_col,0.0035*(S24-d_2)/S24,0.002*(S24-d_2)/(S24-3*h_col/7))/0.002)))^2))+(MAX(-f_yd,MIN(f_yd,200000*IF(S24&lt;=h_col,0.0035*(S24-(h_col-d_2))/S24,0.002*(S24-(h_col-d_2))/(S24-3*h_col/7))))-f_cd*(1-(1-MAX(0,MIN(1,IF(S24&lt;=h_col,0.0035*(S24-(h_col-d_2))/S24,0.002*(S24-(h_col-d_2))/(S24-3*h_col/7))/0.002)))^2))))/1000</f>
        <v/>
      </c>
      <c r="U24">
        <f>IF($T24&lt;N_Ed-1E-9*MAX(1,N_Ed),(Q24+R24)/2,Q24)</f>
        <v/>
      </c>
      <c r="V24">
        <f>IF($T24&lt;N_Ed-1E-9*MAX(1,N_Ed),R24,(Q24+R24)/2)</f>
        <v/>
      </c>
      <c r="W24">
        <f>h_col*((U24+V24)/2)/(1-(U24+V24)/2)</f>
        <v/>
      </c>
      <c r="X24">
        <f>(f_cd*b_col*((3*MIN(W24,h_col)/7)+(4*MIN(W24,h_col)/7)*(1-((4*MIN(W24,h_col)/7)/(W24-(3*MIN(W24,h_col)/7)))^2/3))+$D24/2*((MAX(-f_yd,MIN(f_yd,200000*IF(W24&lt;=h_col,0.0035*(W24-d_2)/W24,0.002*(W24-d_2)/(W24-3*h_col/7))))-f_cd*(1-(1-MAX(0,MIN(1,IF(W24&lt;=h_col,0.0035*(W24-d_2)/W24,0.002*(W24-d_2)/(W24-3*h_col/7))/0.002)))^2))+(MAX(-f_yd,MIN(f_yd,200000*IF(W24&lt;=h_col,0.0035*(W24-(h_col-d_2))/W24,0.002*(W24-(h_col-d_2))/(W24-3*h_col/7))))-f_cd*(1-(1-MAX(0,MIN(1,IF(W24&lt;=h_col,0.0035*(W24-(h_col-d_2))/W24,0.002*(W24-(h_col-d_2))/(W24-3*h_col/7))/0.002)))^2))))/1000</f>
        <v/>
      </c>
      <c r="Y24">
        <f>IF($X24&lt;N_Ed-1E-9*MAX(1,N_Ed),(U24+V24)/2,U24)</f>
        <v/>
      </c>
      <c r="Z24">
        <f>IF($X24&lt;N_Ed-1E-9*MAX(1,N_Ed),V24,(U24+V24)/2)</f>
        <v/>
      </c>
      <c r="AA24">
        <f>h_col*((Y24+Z24)/2)/(1-(Y24+Z24)/2)</f>
        <v/>
      </c>
      <c r="AB24">
        <f>(f_cd*b_col*((3*MIN(AA24,h_col)/7)+(4*MIN(AA24,h_col)/7)*(1-((4*MIN(AA24,h_col)/7)/(AA24-(3*MIN(AA24,h_col)/7)))^2/3))+$D24/2*((MAX(-f_yd,MIN(f_yd,200000*IF(AA24&lt;=h_col,0.0035*(AA24-d_2)/AA24,0.002*(AA24-d_2)/(AA24-3*h_col/7))))-f_cd*(1-(1-MAX(0,MIN(1,IF(AA24&lt;=h_col,0.0035*(AA24-d_2)/AA24,0.002*(AA24-d_2)/(AA24-3*h_col/7))/0.002)))^2))+(MAX(-f_yd,MIN(f_yd,200000*IF(AA24&lt;=h_col,0.0035*(AA24-(h_col-d_2))/AA24,0.002*(AA24-(h_col-d_2))/(AA24-3*h_col/7))))-f_cd*(1-(1-MAX(0,MIN(1,IF(AA24&lt;=h_col,0.0035*(AA24-(h_col-d_2))/AA24,0.002*(AA24-(h_col-d_2))/(AA24-3*h_col/7))/0.002)))^2))))/1000</f>
        <v/>
      </c>
      <c r="AC24">
        <f>IF($AB24&lt;N_Ed-1E-9*MAX(1,N_Ed),(Y24+Z24)/2,Y24)</f>
        <v/>
      </c>
      <c r="AD24">
        <f>IF($AB24&lt;N_Ed-1E-9*MAX(1,N_Ed),Z24,(Y24+Z24)/2)</f>
        <v/>
      </c>
      <c r="AE24">
        <f>h_col*((AC24+AD24)/2)/(1-(AC24+AD24)/2)</f>
        <v/>
      </c>
      <c r="AF24">
        <f>(f_cd*b_col*((3*MIN(AE24,h_col)/7)+(4*MIN(AE24,h_col)/7)*(1-((4*MIN(AE24,h_col)/7)/(AE24-(3*MIN(AE24,h_col)/7)))^2/3))+$D24/2*((MAX(-f_yd,MIN(f_yd,200000*IF(AE24&lt;=h_col,0.0035*(AE24-d_2)/AE24,0.002*(AE24-d_2)/(AE24-3*h_col/7))))-f_cd*(1-(1-MAX(0,MIN(1,IF(AE24&lt;=h_col,0.0035*(AE24-d_2)/AE24,0.002*(AE24-d_2)/(AE24-3*h_col/7))/0.002)))^2))+(MAX(-f_yd,MIN(f_yd,200000*IF(AE24&lt;=h_col,0.0035*(AE24-(h_col-d_2))/AE24,0.002*(AE24-(h_col-d_2))/(AE24-3*h_col/7))))-f_cd*(1-(1-MAX(0,MIN(1,IF(AE24&lt;=h_col,0.0035*(AE24-(h_col-d_2))/AE24,0.002*(AE24-(h_col-d_2))/(AE24-3*h_col/7))/0.002)))^2))))/1000</f>
        <v/>
      </c>
      <c r="AG24">
        <f>IF($AF24&lt;N_Ed-1E-9*MAX(1,N_Ed),(AC24+AD24)/2,AC24)</f>
        <v/>
      </c>
      <c r="AH24">
        <f>IF($AF24&lt;N_Ed-1E-9*MAX(1,N_Ed),AD24,(AC24+AD24)/2)</f>
        <v/>
      </c>
      <c r="AI24">
        <f>h_col*((AG24+AH24)/2)/(1-(AG24+AH24)/2)</f>
        <v/>
      </c>
      <c r="AJ24">
        <f>(f_cd*b_col*((3*MIN(AI24,h_col)/7)+(4*MIN(AI24,h_col)/7)*(1-((4*MIN(AI24,h_col)/7)/(AI24-(3*MIN(AI24,h_col)/7)))^2/3))+$D24/2*((MAX(-f_yd,MIN(f_yd,200000*IF(AI24&lt;=h_col,0.0035*(AI24-d_2)/AI24,0.002*(AI24-d_2)/(AI24-3*h_col/7))))-f_cd*(1-(1-MAX(0,MIN(1,IF(AI24&lt;=h_col,0.0035*(AI24-d_2)/AI24,0.002*(AI24-d_2)/(AI24-3*h_col/7))/0.002)))^2))+(MAX(-f_yd,MIN(f_yd,200000*IF(AI24&lt;=h_col,0.0035*(AI24-(h_col-d_2))/AI24,0.002*(AI24-(h_col-d_2))/(AI24-3*h_col/7))))-f_cd*(1-(1-MAX(0,MIN(1,IF(AI24&lt;=h_col,0.0035*(AI24-(h_col-d_2))/AI24,0.002*(AI24-(h_col-d_2))/(AI24-3*h_col/7))/0.002)))^2))))/1000</f>
        <v/>
      </c>
      <c r="AK24">
        <f>IF($AJ24&lt;N_Ed-1E-9*MAX(1,N_Ed),(AG24+AH24)/2,AG24)</f>
        <v/>
      </c>
      <c r="AL24">
        <f>IF($AJ24&lt;N_Ed-1E-9*MAX(1,N_Ed),AH24,(AG24+AH24)/2)</f>
        <v/>
      </c>
      <c r="AM24">
        <f>h_col*((AK24+AL24)/2)/(1-(AK24+AL24)/2)</f>
        <v/>
      </c>
      <c r="AN24">
        <f>(f_cd*b_col*((3*MIN(AM24,h_col)/7)+(4*MIN(AM24,h_col)/7)*(1-((4*MIN(AM24,h_col)/7)/(AM24-(3*MIN(AM24,h_col)/7)))^2/3))+$D24/2*((MAX(-f_yd,MIN(f_yd,200000*IF(AM24&lt;=h_col,0.0035*(AM24-d_2)/AM24,0.002*(AM24-d_2)/(AM24-3*h_col/7))))-f_cd*(1-(1-MAX(0,MIN(1,IF(AM24&lt;=h_col,0.0035*(AM24-d_2)/AM24,0.002*(AM24-d_2)/(AM24-3*h_col/7))/0.002)))^2))+(MAX(-f_yd,MIN(f_yd,200000*IF(AM24&lt;=h_col,0.0035*(AM24-(h_col-d_2))/AM24,0.002*(AM24-(h_col-d_2))/(AM24-3*h_col/7))))-f_cd*(1-(1-MAX(0,MIN(1,IF(AM24&lt;=h_col,0.0035*(AM24-(h_col-d_2))/AM24,0.002*(AM24-(h_col-d_2))/(AM24-3*h_col/7))/0.002)))^2))))/1000</f>
        <v/>
      </c>
      <c r="AO24">
        <f>IF($AN24&lt;N_Ed-1E-9*MAX(1,N_Ed),(AK24+AL24)/2,AK24)</f>
        <v/>
      </c>
      <c r="AP24">
        <f>IF($AN24&lt;N_Ed-1E-9*MAX(1,N_Ed),AL24,(AK24+AL24)/2)</f>
        <v/>
      </c>
      <c r="AQ24">
        <f>h_col*((AO24+AP24)/2)/(1-(AO24+AP24)/2)</f>
        <v/>
      </c>
      <c r="AR24">
        <f>(f_cd*b_col*((3*MIN(AQ24,h_col)/7)+(4*MIN(AQ24,h_col)/7)*(1-((4*MIN(AQ24,h_col)/7)/(AQ24-(3*MIN(AQ24,h_col)/7)))^2/3))+$D24/2*((MAX(-f_yd,MIN(f_yd,200000*IF(AQ24&lt;=h_col,0.0035*(AQ24-d_2)/AQ24,0.002*(AQ24-d_2)/(AQ24-3*h_col/7))))-f_cd*(1-(1-MAX(0,MIN(1,IF(AQ24&lt;=h_col,0.0035*(AQ24-d_2)/AQ24,0.002*(AQ24-d_2)/(AQ24-3*h_col/7))/0.002)))^2))+(MAX(-f_yd,MIN(f_yd,200000*IF(AQ24&lt;=h_col,0.0035*(AQ24-(h_col-d_2))/AQ24,0.002*(AQ24-(h_col-d_2))/(AQ24-3*h_col/7))))-f_cd*(1-(1-MAX(0,MIN(1,IF(AQ24&lt;=h_col,0.0035*(AQ24-(h_col-d_2))/AQ24,0.002*(AQ24-(h_col-d_2))/(AQ24-3*h_col/7))/0.002)))^2))))/1000</f>
        <v/>
      </c>
      <c r="AS24">
        <f>IF($AR24&lt;N_Ed-1E-9*MAX(1,N_Ed),(AO24+AP24)/2,AO24)</f>
        <v/>
      </c>
      <c r="AT24">
        <f>IF($AR24&lt;N_Ed-1E-9*MAX(1,N_Ed),AP24,(AO24+AP24)/2)</f>
        <v/>
      </c>
      <c r="AU24">
        <f>h_col*((AS24+AT24)/2)/(1-(AS24+AT24)/2)</f>
        <v/>
      </c>
      <c r="AV24">
        <f>(f_cd*b_col*((3*MIN(AU24,h_col)/7)+(4*MIN(AU24,h_col)/7)*(1-((4*MIN(AU24,h_col)/7)/(AU24-(3*MIN(AU24,h_col)/7)))^2/3))+$D24/2*((MAX(-f_yd,MIN(f_yd,200000*IF(AU24&lt;=h_col,0.0035*(AU24-d_2)/AU24,0.002*(AU24-d_2)/(AU24-3*h_col/7))))-f_cd*(1-(1-MAX(0,MIN(1,IF(AU24&lt;=h_col,0.0035*(AU24-d_2)/AU24,0.002*(AU24-d_2)/(AU24-3*h_col/7))/0.002)))^2))+(MAX(-f_yd,MIN(f_yd,200000*IF(AU24&lt;=h_col,0.0035*(AU24-(h_col-d_2))/AU24,0.002*(AU24-(h_col-d_2))/(AU24-3*h_col/7))))-f_cd*(1-(1-MAX(0,MIN(1,IF(AU24&lt;=h_col,0.0035*(AU24-(h_col-d_2))/AU24,0.002*(AU24-(h_col-d_2))/(AU24-3*h_col/7))/0.002)))^2))))/1000</f>
        <v/>
      </c>
      <c r="AW24">
        <f>IF($AV24&lt;N_Ed-1E-9*MAX(1,N_Ed),(AS24+AT24)/2,AS24)</f>
        <v/>
      </c>
      <c r="AX24">
        <f>IF($AV24&lt;N_Ed-1E-9*MAX(1,N_Ed),AT24,(AS24+AT24)/2)</f>
        <v/>
      </c>
      <c r="AY24">
        <f>h_col*((AW24+AX24)/2)/(1-(AW24+AX24)/2)</f>
        <v/>
      </c>
      <c r="AZ24">
        <f>(f_cd*b_col*((3*MIN(AY24,h_col)/7)+(4*MIN(AY24,h_col)/7)*(1-((4*MIN(AY24,h_col)/7)/(AY24-(3*MIN(AY24,h_col)/7)))^2/3))+$D24/2*((MAX(-f_yd,MIN(f_yd,200000*IF(AY24&lt;=h_col,0.0035*(AY24-d_2)/AY24,0.002*(AY24-d_2)/(AY24-3*h_col/7))))-f_cd*(1-(1-MAX(0,MIN(1,IF(AY24&lt;=h_col,0.0035*(AY24-d_2)/AY24,0.002*(AY24-d_2)/(AY24-3*h_col/7))/0.002)))^2))+(MAX(-f_yd,MIN(f_yd,200000*IF(AY24&lt;=h_col,0.0035*(AY24-(h_col-d_2))/AY24,0.002*(AY24-(h_col-d_2))/(AY24-3*h_col/7))))-f_cd*(1-(1-MAX(0,MIN(1,IF(AY24&lt;=h_col,0.0035*(AY24-(h_col-d_2))/AY24,0.002*(AY24-(h_col-d_2))/(AY24-3*h_col/7))/0.002)))^2))))/1000</f>
        <v/>
      </c>
      <c r="BA24">
        <f>IF($AZ24&lt;N_Ed-1E-9*MAX(1,N_Ed),(AW24+AX24)/2,AW24)</f>
        <v/>
      </c>
      <c r="BB24">
        <f>IF($AZ24&lt;N_Ed-1E-9*MAX(1,N_Ed),AX24,(AW24+AX24)/2)</f>
        <v/>
      </c>
      <c r="BC24">
        <f>h_col*((BA24+BB24)/2)/(1-(BA24+BB24)/2)</f>
        <v/>
      </c>
      <c r="BD24">
        <f>(f_cd*b_col*((3*MIN(BC24,h_col)/7)+(4*MIN(BC24,h_col)/7)*(1-((4*MIN(BC24,h_col)/7)/(BC24-(3*MIN(BC24,h_col)/7)))^2/3))+$D24/2*((MAX(-f_yd,MIN(f_yd,200000*IF(BC24&lt;=h_col,0.0035*(BC24-d_2)/BC24,0.002*(BC24-d_2)/(BC24-3*h_col/7))))-f_cd*(1-(1-MAX(0,MIN(1,IF(BC24&lt;=h_col,0.0035*(BC24-d_2)/BC24,0.002*(BC24-d_2)/(BC24-3*h_col/7))/0.002)))^2))+(MAX(-f_yd,MIN(f_yd,200000*IF(BC24&lt;=h_col,0.0035*(BC24-(h_col-d_2))/BC24,0.002*(BC24-(h_col-d_2))/(BC24-3*h_col/7))))-f_cd*(1-(1-MAX(0,MIN(1,IF(BC24&lt;=h_col,0.0035*(BC24-(h_col-d_2))/BC24,0.002*(BC24-(h_col-d_2))/(BC24-3*h_col/7))/0.002)))^2))))/1000</f>
        <v/>
      </c>
      <c r="BE24">
        <f>IF($BD24&lt;N_Ed-1E-9*MAX(1,N_Ed),(BA24+BB24)/2,BA24)</f>
        <v/>
      </c>
      <c r="BF24">
        <f>IF($BD24&lt;N_Ed-1E-9*MAX(1,N_Ed),BB24,(BA24+BB24)/2)</f>
        <v/>
      </c>
      <c r="BG24">
        <f>h_col*((BE24+BF24)/2)/(1-(BE24+BF24)/2)</f>
        <v/>
      </c>
      <c r="BH24">
        <f>(f_cd*b_col*((3*MIN(BG24,h_col)/7)+(4*MIN(BG24,h_col)/7)*(1-((4*MIN(BG24,h_col)/7)/(BG24-(3*MIN(BG24,h_col)/7)))^2/3))+$D24/2*((MAX(-f_yd,MIN(f_yd,200000*IF(BG24&lt;=h_col,0.0035*(BG24-d_2)/BG24,0.002*(BG24-d_2)/(BG24-3*h_col/7))))-f_cd*(1-(1-MAX(0,MIN(1,IF(BG24&lt;=h_col,0.0035*(BG24-d_2)/BG24,0.002*(BG24-d_2)/(BG24-3*h_col/7))/0.002)))^2))+(MAX(-f_yd,MIN(f_yd,200000*IF(BG24&lt;=h_col,0.0035*(BG24-(h_col-d_2))/BG24,0.002*(BG24-(h_col-d_2))/(BG24-3*h_col/7))))-f_cd*(1-(1-MAX(0,MIN(1,IF(BG24&lt;=h_col,0.0035*(BG24-(h_col-d_2))/BG24,0.002*(BG24-(h_col-d_2))/(BG24-3*h_col/7))/0.002)))^2))))/1000</f>
        <v/>
      </c>
      <c r="BI24">
        <f>IF($BH24&lt;N_Ed-1E-9*MAX(1,N_Ed),(BE24+BF24)/2,BE24)</f>
        <v/>
      </c>
      <c r="BJ24">
        <f>IF($BH24&lt;N_Ed-1E-9*MAX(1,N_Ed),BF24,(BE24+BF24)/2)</f>
        <v/>
      </c>
      <c r="BK24">
        <f>h_col*((BI24+BJ24)/2)/(1-(BI24+BJ24)/2)</f>
        <v/>
      </c>
      <c r="BL24">
        <f>(f_cd*b_col*((3*MIN(BK24,h_col)/7)+(4*MIN(BK24,h_col)/7)*(1-((4*MIN(BK24,h_col)/7)/(BK24-(3*MIN(BK24,h_col)/7)))^2/3))+$D24/2*((MAX(-f_yd,MIN(f_yd,200000*IF(BK24&lt;=h_col,0.0035*(BK24-d_2)/BK24,0.002*(BK24-d_2)/(BK24-3*h_col/7))))-f_cd*(1-(1-MAX(0,MIN(1,IF(BK24&lt;=h_col,0.0035*(BK24-d_2)/BK24,0.002*(BK24-d_2)/(BK24-3*h_col/7))/0.002)))^2))+(MAX(-f_yd,MIN(f_yd,200000*IF(BK24&lt;=h_col,0.0035*(BK24-(h_col-d_2))/BK24,0.002*(BK24-(h_col-d_2))/(BK24-3*h_col/7))))-f_cd*(1-(1-MAX(0,MIN(1,IF(BK24&lt;=h_col,0.0035*(BK24-(h_col-d_2))/BK24,0.002*(BK24-(h_col-d_2))/(BK24-3*h_col/7))/0.002)))^2))))/1000</f>
        <v/>
      </c>
      <c r="BM24">
        <f>IF($BL24&lt;N_Ed-1E-9*MAX(1,N_Ed),(BI24+BJ24)/2,BI24)</f>
        <v/>
      </c>
      <c r="BN24">
        <f>IF($BL24&lt;N_Ed-1E-9*MAX(1,N_Ed),BJ24,(BI24+BJ24)/2)</f>
        <v/>
      </c>
      <c r="BO24">
        <f>h_col*((BM24+BN24)/2)/(1-(BM24+BN24)/2)</f>
        <v/>
      </c>
      <c r="BP24">
        <f>(f_cd*b_col*((3*MIN(BO24,h_col)/7)+(4*MIN(BO24,h_col)/7)*(1-((4*MIN(BO24,h_col)/7)/(BO24-(3*MIN(BO24,h_col)/7)))^2/3))+$D24/2*((MAX(-f_yd,MIN(f_yd,200000*IF(BO24&lt;=h_col,0.0035*(BO24-d_2)/BO24,0.002*(BO24-d_2)/(BO24-3*h_col/7))))-f_cd*(1-(1-MAX(0,MIN(1,IF(BO24&lt;=h_col,0.0035*(BO24-d_2)/BO24,0.002*(BO24-d_2)/(BO24-3*h_col/7))/0.002)))^2))+(MAX(-f_yd,MIN(f_yd,200000*IF(BO24&lt;=h_col,0.0035*(BO24-(h_col-d_2))/BO24,0.002*(BO24-(h_col-d_2))/(BO24-3*h_col/7))))-f_cd*(1-(1-MAX(0,MIN(1,IF(BO24&lt;=h_col,0.0035*(BO24-(h_col-d_2))/BO24,0.002*(BO24-(h_col-d_2))/(BO24-3*h_col/7))/0.002)))^2))))/1000</f>
        <v/>
      </c>
      <c r="BQ24">
        <f>IF($BP24&lt;N_Ed-1E-9*MAX(1,N_Ed),(BM24+BN24)/2,BM24)</f>
        <v/>
      </c>
      <c r="BR24">
        <f>IF($BP24&lt;N_Ed-1E-9*MAX(1,N_Ed),BN24,(BM24+BN24)/2)</f>
        <v/>
      </c>
      <c r="BS24">
        <f>h_col*((BQ24+BR24)/2)/(1-(BQ24+BR24)/2)</f>
        <v/>
      </c>
      <c r="BT24">
        <f>(f_cd*b_col*((3*MIN(BS24,h_col)/7)+(4*MIN(BS24,h_col)/7)*(1-((4*MIN(BS24,h_col)/7)/(BS24-(3*MIN(BS24,h_col)/7)))^2/3))+$D24/2*((MAX(-f_yd,MIN(f_yd,200000*IF(BS24&lt;=h_col,0.0035*(BS24-d_2)/BS24,0.002*(BS24-d_2)/(BS24-3*h_col/7))))-f_cd*(1-(1-MAX(0,MIN(1,IF(BS24&lt;=h_col,0.0035*(BS24-d_2)/BS24,0.002*(BS24-d_2)/(BS24-3*h_col/7))/0.002)))^2))+(MAX(-f_yd,MIN(f_yd,200000*IF(BS24&lt;=h_col,0.0035*(BS24-(h_col-d_2))/BS24,0.002*(BS24-(h_col-d_2))/(BS24-3*h_col/7))))-f_cd*(1-(1-MAX(0,MIN(1,IF(BS24&lt;=h_col,0.0035*(BS24-(h_col-d_2))/BS24,0.002*(BS24-(h_col-d_2))/(BS24-3*h_col/7))/0.002)))^2))))/1000</f>
        <v/>
      </c>
      <c r="BU24">
        <f>IF($BT24&lt;N_Ed-1E-9*MAX(1,N_Ed),(BQ24+BR24)/2,BQ24)</f>
        <v/>
      </c>
      <c r="BV24">
        <f>IF($BT24&lt;N_Ed-1E-9*MAX(1,N_Ed),BR24,(BQ24+BR24)/2)</f>
        <v/>
      </c>
      <c r="BW24">
        <f>h_col*((BU24+BV24)/2)/(1-(BU24+BV24)/2)</f>
        <v/>
      </c>
      <c r="BX24">
        <f>(f_cd*b_col*((3*MIN(BW24,h_col)/7)+(4*MIN(BW24,h_col)/7)*(1-((4*MIN(BW24,h_col)/7)/(BW24-(3*MIN(BW24,h_col)/7)))^2/3))+$D24/2*((MAX(-f_yd,MIN(f_yd,200000*IF(BW24&lt;=h_col,0.0035*(BW24-d_2)/BW24,0.002*(BW24-d_2)/(BW24-3*h_col/7))))-f_cd*(1-(1-MAX(0,MIN(1,IF(BW24&lt;=h_col,0.0035*(BW24-d_2)/BW24,0.002*(BW24-d_2)/(BW24-3*h_col/7))/0.002)))^2))+(MAX(-f_yd,MIN(f_yd,200000*IF(BW24&lt;=h_col,0.0035*(BW24-(h_col-d_2))/BW24,0.002*(BW24-(h_col-d_2))/(BW24-3*h_col/7))))-f_cd*(1-(1-MAX(0,MIN(1,IF(BW24&lt;=h_col,0.0035*(BW24-(h_col-d_2))/BW24,0.002*(BW24-(h_col-d_2))/(BW24-3*h_col/7))/0.002)))^2))))/1000</f>
        <v/>
      </c>
      <c r="BY24">
        <f>IF($BX24&lt;N_Ed-1E-9*MAX(1,N_Ed),(BU24+BV24)/2,BU24)</f>
        <v/>
      </c>
      <c r="BZ24">
        <f>IF($BX24&lt;N_Ed-1E-9*MAX(1,N_Ed),BV24,(BU24+BV24)/2)</f>
        <v/>
      </c>
      <c r="CA24">
        <f>h_col*((BY24+BZ24)/2)/(1-(BY24+BZ24)/2)</f>
        <v/>
      </c>
      <c r="CB24">
        <f>(f_cd*b_col*((3*MIN(CA24,h_col)/7)+(4*MIN(CA24,h_col)/7)*(1-((4*MIN(CA24,h_col)/7)/(CA24-(3*MIN(CA24,h_col)/7)))^2/3))+$D24/2*((MAX(-f_yd,MIN(f_yd,200000*IF(CA24&lt;=h_col,0.0035*(CA24-d_2)/CA24,0.002*(CA24-d_2)/(CA24-3*h_col/7))))-f_cd*(1-(1-MAX(0,MIN(1,IF(CA24&lt;=h_col,0.0035*(CA24-d_2)/CA24,0.002*(CA24-d_2)/(CA24-3*h_col/7))/0.002)))^2))+(MAX(-f_yd,MIN(f_yd,200000*IF(CA24&lt;=h_col,0.0035*(CA24-(h_col-d_2))/CA24,0.002*(CA24-(h_col-d_2))/(CA24-3*h_col/7))))-f_cd*(1-(1-MAX(0,MIN(1,IF(CA24&lt;=h_col,0.0035*(CA24-(h_col-d_2))/CA24,0.002*(CA24-(h_col-d_2))/(CA24-3*h_col/7))/0.002)))^2))))/1000</f>
        <v/>
      </c>
      <c r="CC24">
        <f>IF($CB24&lt;N_Ed-1E-9*MAX(1,N_Ed),(BY24+BZ24)/2,BY24)</f>
        <v/>
      </c>
      <c r="CD24">
        <f>IF($CB24&lt;N_Ed-1E-9*MAX(1,N_Ed),BZ24,(BY24+BZ24)/2)</f>
        <v/>
      </c>
      <c r="CE24">
        <f>h_col*((CC24+CD24)/2)/(1-(CC24+CD24)/2)</f>
        <v/>
      </c>
      <c r="CF24">
        <f>(f_cd*b_col*((3*MIN(CE24,h_col)/7)+(4*MIN(CE24,h_col)/7)*(1-((4*MIN(CE24,h_col)/7)/(CE24-(3*MIN(CE24,h_col)/7)))^2/3))+$D24/2*((MAX(-f_yd,MIN(f_yd,200000*IF(CE24&lt;=h_col,0.0035*(CE24-d_2)/CE24,0.002*(CE24-d_2)/(CE24-3*h_col/7))))-f_cd*(1-(1-MAX(0,MIN(1,IF(CE24&lt;=h_col,0.0035*(CE24-d_2)/CE24,0.002*(CE24-d_2)/(CE24-3*h_col/7))/0.002)))^2))+(MAX(-f_yd,MIN(f_yd,200000*IF(CE24&lt;=h_col,0.0035*(CE24-(h_col-d_2))/CE24,0.002*(CE24-(h_col-d_2))/(CE24-3*h_col/7))))-f_cd*(1-(1-MAX(0,MIN(1,IF(CE24&lt;=h_col,0.0035*(CE24-(h_col-d_2))/CE24,0.002*(CE24-(h_col-d_2))/(CE24-3*h_col/7))/0.002)))^2))))/1000</f>
        <v/>
      </c>
      <c r="CG24">
        <f>IF($CF24&lt;N_Ed-1E-9*MAX(1,N_Ed),(CC24+CD24)/2,CC24)</f>
        <v/>
      </c>
      <c r="CH24">
        <f>IF($CF24&lt;N_Ed-1E-9*MAX(1,N_Ed),CD24,(CC24+CD24)/2)</f>
        <v/>
      </c>
      <c r="CI24">
        <f>h_col*((CG24+CH24)/2)/(1-(CG24+CH24)/2)</f>
        <v/>
      </c>
      <c r="CJ24">
        <f>(f_cd*b_col*((3*MIN(CI24,h_col)/7)+(4*MIN(CI24,h_col)/7)*(1-((4*MIN(CI24,h_col)/7)/(CI24-(3*MIN(CI24,h_col)/7)))^2/3))+$D24/2*((MAX(-f_yd,MIN(f_yd,200000*IF(CI24&lt;=h_col,0.0035*(CI24-d_2)/CI24,0.002*(CI24-d_2)/(CI24-3*h_col/7))))-f_cd*(1-(1-MAX(0,MIN(1,IF(CI24&lt;=h_col,0.0035*(CI24-d_2)/CI24,0.002*(CI24-d_2)/(CI24-3*h_col/7))/0.002)))^2))+(MAX(-f_yd,MIN(f_yd,200000*IF(CI24&lt;=h_col,0.0035*(CI24-(h_col-d_2))/CI24,0.002*(CI24-(h_col-d_2))/(CI24-3*h_col/7))))-f_cd*(1-(1-MAX(0,MIN(1,IF(CI24&lt;=h_col,0.0035*(CI24-(h_col-d_2))/CI24,0.002*(CI24-(h_col-d_2))/(CI24-3*h_col/7))/0.002)))^2))))/1000</f>
        <v/>
      </c>
      <c r="CK24">
        <f>IF($CJ24&lt;N_Ed-1E-9*MAX(1,N_Ed),(CG24+CH24)/2,CG24)</f>
        <v/>
      </c>
      <c r="CL24">
        <f>IF($CJ24&lt;N_Ed-1E-9*MAX(1,N_Ed),CH24,(CG24+CH24)/2)</f>
        <v/>
      </c>
      <c r="CM24">
        <f>h_col*((CK24+CL24)/2)/(1-(CK24+CL24)/2)</f>
        <v/>
      </c>
      <c r="CN24">
        <f>(f_cd*b_col*((3*MIN(CM24,h_col)/7)+(4*MIN(CM24,h_col)/7)*(1-((4*MIN(CM24,h_col)/7)/(CM24-(3*MIN(CM24,h_col)/7)))^2/3))+$D24/2*((MAX(-f_yd,MIN(f_yd,200000*IF(CM24&lt;=h_col,0.0035*(CM24-d_2)/CM24,0.002*(CM24-d_2)/(CM24-3*h_col/7))))-f_cd*(1-(1-MAX(0,MIN(1,IF(CM24&lt;=h_col,0.0035*(CM24-d_2)/CM24,0.002*(CM24-d_2)/(CM24-3*h_col/7))/0.002)))^2))+(MAX(-f_yd,MIN(f_yd,200000*IF(CM24&lt;=h_col,0.0035*(CM24-(h_col-d_2))/CM24,0.002*(CM24-(h_col-d_2))/(CM24-3*h_col/7))))-f_cd*(1-(1-MAX(0,MIN(1,IF(CM24&lt;=h_col,0.0035*(CM24-(h_col-d_2))/CM24,0.002*(CM24-(h_col-d_2))/(CM24-3*h_col/7))/0.002)))^2))))/1000</f>
        <v/>
      </c>
      <c r="CO24">
        <f>IF($CN24&lt;N_Ed-1E-9*MAX(1,N_Ed),(CK24+CL24)/2,CK24)</f>
        <v/>
      </c>
      <c r="CP24">
        <f>IF($CN24&lt;N_Ed-1E-9*MAX(1,N_Ed),CL24,(CK24+CL24)/2)</f>
        <v/>
      </c>
      <c r="CQ24">
        <f>h_col*((CO24+CP24)/2)/(1-(CO24+CP24)/2)</f>
        <v/>
      </c>
      <c r="CR24">
        <f>(f_cd*b_col*((3*MIN(CQ24,h_col)/7)+(4*MIN(CQ24,h_col)/7)*(1-((4*MIN(CQ24,h_col)/7)/(CQ24-(3*MIN(CQ24,h_col)/7)))^2/3))+$D24/2*((MAX(-f_yd,MIN(f_yd,200000*IF(CQ24&lt;=h_col,0.0035*(CQ24-d_2)/CQ24,0.002*(CQ24-d_2)/(CQ24-3*h_col/7))))-f_cd*(1-(1-MAX(0,MIN(1,IF(CQ24&lt;=h_col,0.0035*(CQ24-d_2)/CQ24,0.002*(CQ24-d_2)/(CQ24-3*h_col/7))/0.002)))^2))+(MAX(-f_yd,MIN(f_yd,200000*IF(CQ24&lt;=h_col,0.0035*(CQ24-(h_col-d_2))/CQ24,0.002*(CQ24-(h_col-d_2))/(CQ24-3*h_col/7))))-f_cd*(1-(1-MAX(0,MIN(1,IF(CQ24&lt;=h_col,0.0035*(CQ24-(h_col-d_2))/CQ24,0.002*(CQ24-(h_col-d_2))/(CQ24-3*h_col/7))/0.002)))^2))))/1000</f>
        <v/>
      </c>
      <c r="CS24">
        <f>IF($CR24&lt;N_Ed-1E-9*MAX(1,N_Ed),(CO24+CP24)/2,CO24)</f>
        <v/>
      </c>
      <c r="CT24">
        <f>IF($CR24&lt;N_Ed-1E-9*MAX(1,N_Ed),CP24,(CO24+CP24)/2)</f>
        <v/>
      </c>
      <c r="CU24">
        <f>h_col*((CS24+CT24)/2)/(1-(CS24+CT24)/2)</f>
        <v/>
      </c>
      <c r="CV24">
        <f>(f_cd*b_col*((3*MIN(CU24,h_col)/7)+(4*MIN(CU24,h_col)/7)*(1-((4*MIN(CU24,h_col)/7)/(CU24-(3*MIN(CU24,h_col)/7)))^2/3))+$D24/2*((MAX(-f_yd,MIN(f_yd,200000*IF(CU24&lt;=h_col,0.0035*(CU24-d_2)/CU24,0.002*(CU24-d_2)/(CU24-3*h_col/7))))-f_cd*(1-(1-MAX(0,MIN(1,IF(CU24&lt;=h_col,0.0035*(CU24-d_2)/CU24,0.002*(CU24-d_2)/(CU24-3*h_col/7))/0.002)))^2))+(MAX(-f_yd,MIN(f_yd,200000*IF(CU24&lt;=h_col,0.0035*(CU24-(h_col-d_2))/CU24,0.002*(CU24-(h_col-d_2))/(CU24-3*h_col/7))))-f_cd*(1-(1-MAX(0,MIN(1,IF(CU24&lt;=h_col,0.0035*(CU24-(h_col-d_2))/CU24,0.002*(CU24-(h_col-d_2))/(CU24-3*h_col/7))/0.002)))^2))))/1000</f>
        <v/>
      </c>
      <c r="CW24">
        <f>IF($CV24&lt;N_Ed-1E-9*MAX(1,N_Ed),(CS24+CT24)/2,CS24)</f>
        <v/>
      </c>
      <c r="CX24">
        <f>IF($CV24&lt;N_Ed-1E-9*MAX(1,N_Ed),CT24,(CS24+CT24)/2)</f>
        <v/>
      </c>
      <c r="CY24">
        <f>h_col*((CW24+CX24)/2)/(1-(CW24+CX24)/2)</f>
        <v/>
      </c>
      <c r="CZ24">
        <f>(f_cd*b_col*((3*MIN(CY24,h_col)/7)+(4*MIN(CY24,h_col)/7)*(1-((4*MIN(CY24,h_col)/7)/(CY24-(3*MIN(CY24,h_col)/7)))^2/3))+$D24/2*((MAX(-f_yd,MIN(f_yd,200000*IF(CY24&lt;=h_col,0.0035*(CY24-d_2)/CY24,0.002*(CY24-d_2)/(CY24-3*h_col/7))))-f_cd*(1-(1-MAX(0,MIN(1,IF(CY24&lt;=h_col,0.0035*(CY24-d_2)/CY24,0.002*(CY24-d_2)/(CY24-3*h_col/7))/0.002)))^2))+(MAX(-f_yd,MIN(f_yd,200000*IF(CY24&lt;=h_col,0.0035*(CY24-(h_col-d_2))/CY24,0.002*(CY24-(h_col-d_2))/(CY24-3*h_col/7))))-f_cd*(1-(1-MAX(0,MIN(1,IF(CY24&lt;=h_col,0.0035*(CY24-(h_col-d_2))/CY24,0.002*(CY24-(h_col-d_2))/(CY24-3*h_col/7))/0.002)))^2))))/1000</f>
        <v/>
      </c>
      <c r="DA24">
        <f>IF($CZ24&lt;N_Ed-1E-9*MAX(1,N_Ed),(CW24+CX24)/2,CW24)</f>
        <v/>
      </c>
      <c r="DB24">
        <f>IF($CZ24&lt;N_Ed-1E-9*MAX(1,N_Ed),CX24,(CW24+CX24)/2)</f>
        <v/>
      </c>
      <c r="DC24">
        <f>h_col*((DA24+DB24)/2)/(1-(DA24+DB24)/2)</f>
        <v/>
      </c>
      <c r="DD24">
        <f>(f_cd*b_col*((3*MIN(DC24,h_col)/7)+(4*MIN(DC24,h_col)/7)*(1-((4*MIN(DC24,h_col)/7)/(DC24-(3*MIN(DC24,h_col)/7)))^2/3))+$D24/2*((MAX(-f_yd,MIN(f_yd,200000*IF(DC24&lt;=h_col,0.0035*(DC24-d_2)/DC24,0.002*(DC24-d_2)/(DC24-3*h_col/7))))-f_cd*(1-(1-MAX(0,MIN(1,IF(DC24&lt;=h_col,0.0035*(DC24-d_2)/DC24,0.002*(DC24-d_2)/(DC24-3*h_col/7))/0.002)))^2))+(MAX(-f_yd,MIN(f_yd,200000*IF(DC24&lt;=h_col,0.0035*(DC24-(h_col-d_2))/DC24,0.002*(DC24-(h_col-d_2))/(DC24-3*h_col/7))))-f_cd*(1-(1-MAX(0,MIN(1,IF(DC24&lt;=h_col,0.0035*(DC24-(h_col-d_2))/DC24,0.002*(DC24-(h_col-d_2))/(DC24-3*h_col/7))/0.002)))^2))))/1000</f>
        <v/>
      </c>
      <c r="DE24">
        <f>IF($DD24&lt;N_Ed-1E-9*MAX(1,N_Ed),(DA24+DB24)/2,DA24)</f>
        <v/>
      </c>
      <c r="DF24">
        <f>IF($DD24&lt;N_Ed-1E-9*MAX(1,N_Ed),DB24,(DA24+DB24)/2)</f>
        <v/>
      </c>
      <c r="DG24">
        <f>h_col*((DE24+DF24)/2)/(1-(DE24+DF24)/2)</f>
        <v/>
      </c>
      <c r="DH24">
        <f>(f_cd*b_col*((3*MIN(DG24,h_col)/7)+(4*MIN(DG24,h_col)/7)*(1-((4*MIN(DG24,h_col)/7)/(DG24-(3*MIN(DG24,h_col)/7)))^2/3))+$D24/2*((MAX(-f_yd,MIN(f_yd,200000*IF(DG24&lt;=h_col,0.0035*(DG24-d_2)/DG24,0.002*(DG24-d_2)/(DG24-3*h_col/7))))-f_cd*(1-(1-MAX(0,MIN(1,IF(DG24&lt;=h_col,0.0035*(DG24-d_2)/DG24,0.002*(DG24-d_2)/(DG24-3*h_col/7))/0.002)))^2))+(MAX(-f_yd,MIN(f_yd,200000*IF(DG24&lt;=h_col,0.0035*(DG24-(h_col-d_2))/DG24,0.002*(DG24-(h_col-d_2))/(DG24-3*h_col/7))))-f_cd*(1-(1-MAX(0,MIN(1,IF(DG24&lt;=h_col,0.0035*(DG24-(h_col-d_2))/DG24,0.002*(DG24-(h_col-d_2))/(DG24-3*h_col/7))/0.002)))^2))))/1000</f>
        <v/>
      </c>
      <c r="DI24">
        <f>IF($DH24&lt;N_Ed-1E-9*MAX(1,N_Ed),(DE24+DF24)/2,DE24)</f>
        <v/>
      </c>
      <c r="DJ24">
        <f>IF($DH24&lt;N_Ed-1E-9*MAX(1,N_Ed),DF24,(DE24+DF24)/2)</f>
        <v/>
      </c>
      <c r="DK24">
        <f>h_col*((DI24+DJ24)/2)/(1-(DI24+DJ24)/2)</f>
        <v/>
      </c>
      <c r="DL24">
        <f>(f_cd*b_col*((3*MIN(DK24,h_col)/7)+(4*MIN(DK24,h_col)/7)*(1-((4*MIN(DK24,h_col)/7)/(DK24-(3*MIN(DK24,h_col)/7)))^2/3))+$D24/2*((MAX(-f_yd,MIN(f_yd,200000*IF(DK24&lt;=h_col,0.0035*(DK24-d_2)/DK24,0.002*(DK24-d_2)/(DK24-3*h_col/7))))-f_cd*(1-(1-MAX(0,MIN(1,IF(DK24&lt;=h_col,0.0035*(DK24-d_2)/DK24,0.002*(DK24-d_2)/(DK24-3*h_col/7))/0.002)))^2))+(MAX(-f_yd,MIN(f_yd,200000*IF(DK24&lt;=h_col,0.0035*(DK24-(h_col-d_2))/DK24,0.002*(DK24-(h_col-d_2))/(DK24-3*h_col/7))))-f_cd*(1-(1-MAX(0,MIN(1,IF(DK24&lt;=h_col,0.0035*(DK24-(h_col-d_2))/DK24,0.002*(DK24-(h_col-d_2))/(DK24-3*h_col/7))/0.002)))^2))))/1000</f>
        <v/>
      </c>
      <c r="DM24">
        <f>IF($DL24&lt;N_Ed-1E-9*MAX(1,N_Ed),(DI24+DJ24)/2,DI24)</f>
        <v/>
      </c>
      <c r="DN24">
        <f>IF($DL24&lt;N_Ed-1E-9*MAX(1,N_Ed),DJ24,(DI24+DJ24)/2)</f>
        <v/>
      </c>
      <c r="DO24">
        <f>h_col*((DM24+DN24)/2)/(1-(DM24+DN24)/2)</f>
        <v/>
      </c>
      <c r="DP24">
        <f>(f_cd*b_col*((3*MIN(DO24,h_col)/7)+(4*MIN(DO24,h_col)/7)*(1-((4*MIN(DO24,h_col)/7)/(DO24-(3*MIN(DO24,h_col)/7)))^2/3))+$D24/2*((MAX(-f_yd,MIN(f_yd,200000*IF(DO24&lt;=h_col,0.0035*(DO24-d_2)/DO24,0.002*(DO24-d_2)/(DO24-3*h_col/7))))-f_cd*(1-(1-MAX(0,MIN(1,IF(DO24&lt;=h_col,0.0035*(DO24-d_2)/DO24,0.002*(DO24-d_2)/(DO24-3*h_col/7))/0.002)))^2))+(MAX(-f_yd,MIN(f_yd,200000*IF(DO24&lt;=h_col,0.0035*(DO24-(h_col-d_2))/DO24,0.002*(DO24-(h_col-d_2))/(DO24-3*h_col/7))))-f_cd*(1-(1-MAX(0,MIN(1,IF(DO24&lt;=h_col,0.0035*(DO24-(h_col-d_2))/DO24,0.002*(DO24-(h_col-d_2))/(DO24-3*h_col/7))/0.002)))^2))))/1000</f>
        <v/>
      </c>
      <c r="DQ24">
        <f>IF($DP24&lt;N_Ed-1E-9*MAX(1,N_Ed),(DM24+DN24)/2,DM24)</f>
        <v/>
      </c>
      <c r="DR24">
        <f>IF($DP24&lt;N_Ed-1E-9*MAX(1,N_Ed),DN24,(DM24+DN24)/2)</f>
        <v/>
      </c>
      <c r="DS24">
        <f>h_col*((DQ24+DR24)/2)/(1-(DQ24+DR24)/2)</f>
        <v/>
      </c>
      <c r="DT24">
        <f>(f_cd*b_col*((3*MIN(DS24,h_col)/7)+(4*MIN(DS24,h_col)/7)*(1-((4*MIN(DS24,h_col)/7)/(DS24-(3*MIN(DS24,h_col)/7)))^2/3))+$D24/2*((MAX(-f_yd,MIN(f_yd,200000*IF(DS24&lt;=h_col,0.0035*(DS24-d_2)/DS24,0.002*(DS24-d_2)/(DS24-3*h_col/7))))-f_cd*(1-(1-MAX(0,MIN(1,IF(DS24&lt;=h_col,0.0035*(DS24-d_2)/DS24,0.002*(DS24-d_2)/(DS24-3*h_col/7))/0.002)))^2))+(MAX(-f_yd,MIN(f_yd,200000*IF(DS24&lt;=h_col,0.0035*(DS24-(h_col-d_2))/DS24,0.002*(DS24-(h_col-d_2))/(DS24-3*h_col/7))))-f_cd*(1-(1-MAX(0,MIN(1,IF(DS24&lt;=h_col,0.0035*(DS24-(h_col-d_2))/DS24,0.002*(DS24-(h_col-d_2))/(DS24-3*h_col/7))/0.002)))^2))))/1000</f>
        <v/>
      </c>
      <c r="DU24">
        <f>IF($DT24&lt;N_Ed-1E-9*MAX(1,N_Ed),(DQ24+DR24)/2,DQ24)</f>
        <v/>
      </c>
      <c r="DV24">
        <f>IF($DT24&lt;N_Ed-1E-9*MAX(1,N_Ed),DR24,(DQ24+DR24)/2)</f>
        <v/>
      </c>
      <c r="DW24">
        <f>h_col*((DU24+DV24)/2)/(1-(DU24+DV24)/2)</f>
        <v/>
      </c>
      <c r="DX24">
        <f>(f_cd*b_col*((3*MIN(DW24,h_col)/7)+(4*MIN(DW24,h_col)/7)*(1-((4*MIN(DW24,h_col)/7)/(DW24-(3*MIN(DW24,h_col)/7)))^2/3))+$D24/2*((MAX(-f_yd,MIN(f_yd,200000*IF(DW24&lt;=h_col,0.0035*(DW24-d_2)/DW24,0.002*(DW24-d_2)/(DW24-3*h_col/7))))-f_cd*(1-(1-MAX(0,MIN(1,IF(DW24&lt;=h_col,0.0035*(DW24-d_2)/DW24,0.002*(DW24-d_2)/(DW24-3*h_col/7))/0.002)))^2))+(MAX(-f_yd,MIN(f_yd,200000*IF(DW24&lt;=h_col,0.0035*(DW24-(h_col-d_2))/DW24,0.002*(DW24-(h_col-d_2))/(DW24-3*h_col/7))))-f_cd*(1-(1-MAX(0,MIN(1,IF(DW24&lt;=h_col,0.0035*(DW24-(h_col-d_2))/DW24,0.002*(DW24-(h_col-d_2))/(DW24-3*h_col/7))/0.002)))^2))))/1000</f>
        <v/>
      </c>
      <c r="DY24">
        <f>IF($DX24&lt;N_Ed-1E-9*MAX(1,N_Ed),(DU24+DV24)/2,DU24)</f>
        <v/>
      </c>
      <c r="DZ24">
        <f>IF($DX24&lt;N_Ed-1E-9*MAX(1,N_Ed),DV24,(DU24+DV24)/2)</f>
        <v/>
      </c>
      <c r="EA24">
        <f>h_col*((DY24+DZ24)/2)/(1-(DY24+DZ24)/2)</f>
        <v/>
      </c>
      <c r="EB24">
        <f>(f_cd*b_col*((3*MIN(EA24,h_col)/7)+(4*MIN(EA24,h_col)/7)*(1-((4*MIN(EA24,h_col)/7)/(EA24-(3*MIN(EA24,h_col)/7)))^2/3))+$D24/2*((MAX(-f_yd,MIN(f_yd,200000*IF(EA24&lt;=h_col,0.0035*(EA24-d_2)/EA24,0.002*(EA24-d_2)/(EA24-3*h_col/7))))-f_cd*(1-(1-MAX(0,MIN(1,IF(EA24&lt;=h_col,0.0035*(EA24-d_2)/EA24,0.002*(EA24-d_2)/(EA24-3*h_col/7))/0.002)))^2))+(MAX(-f_yd,MIN(f_yd,200000*IF(EA24&lt;=h_col,0.0035*(EA24-(h_col-d_2))/EA24,0.002*(EA24-(h_col-d_2))/(EA24-3*h_col/7))))-f_cd*(1-(1-MAX(0,MIN(1,IF(EA24&lt;=h_col,0.0035*(EA24-(h_col-d_2))/EA24,0.002*(EA24-(h_col-d_2))/(EA24-3*h_col/7))/0.002)))^2))))/1000</f>
        <v/>
      </c>
      <c r="EC24">
        <f>IF($EB24&lt;N_Ed-1E-9*MAX(1,N_Ed),(DY24+DZ24)/2,DY24)</f>
        <v/>
      </c>
      <c r="ED24">
        <f>IF($EB24&lt;N_Ed-1E-9*MAX(1,N_Ed),DZ24,(DY24+DZ24)/2)</f>
        <v/>
      </c>
      <c r="EE24">
        <f>h_col*((EC24+ED24)/2)/(1-(EC24+ED24)/2)</f>
        <v/>
      </c>
      <c r="EF24">
        <f>(f_cd*b_col*((3*MIN(EE24,h_col)/7)+(4*MIN(EE24,h_col)/7)*(1-((4*MIN(EE24,h_col)/7)/(EE24-(3*MIN(EE24,h_col)/7)))^2/3))+$D24/2*((MAX(-f_yd,MIN(f_yd,200000*IF(EE24&lt;=h_col,0.0035*(EE24-d_2)/EE24,0.002*(EE24-d_2)/(EE24-3*h_col/7))))-f_cd*(1-(1-MAX(0,MIN(1,IF(EE24&lt;=h_col,0.0035*(EE24-d_2)/EE24,0.002*(EE24-d_2)/(EE24-3*h_col/7))/0.002)))^2))+(MAX(-f_yd,MIN(f_yd,200000*IF(EE24&lt;=h_col,0.0035*(EE24-(h_col-d_2))/EE24,0.002*(EE24-(h_col-d_2))/(EE24-3*h_col/7))))-f_cd*(1-(1-MAX(0,MIN(1,IF(EE24&lt;=h_col,0.0035*(EE24-(h_col-d_2))/EE24,0.002*(EE24-(h_col-d_2))/(EE24-3*h_col/7))/0.002)))^2))))/1000</f>
        <v/>
      </c>
      <c r="EG24">
        <f>IF($EF24&lt;N_Ed-1E-9*MAX(1,N_Ed),(EC24+ED24)/2,EC24)</f>
        <v/>
      </c>
      <c r="EH24">
        <f>IF($EF24&lt;N_Ed-1E-9*MAX(1,N_Ed),ED24,(EC24+ED24)/2)</f>
        <v/>
      </c>
      <c r="EI24">
        <f>h_col*((EG24+EH24)/2)/(1-(EG24+EH24)/2)</f>
        <v/>
      </c>
      <c r="EJ24">
        <f>(f_cd*b_col*((3*MIN(EI24,h_col)/7)+(4*MIN(EI24,h_col)/7)*(1-((4*MIN(EI24,h_col)/7)/(EI24-(3*MIN(EI24,h_col)/7)))^2/3))+$D24/2*((MAX(-f_yd,MIN(f_yd,200000*IF(EI24&lt;=h_col,0.0035*(EI24-d_2)/EI24,0.002*(EI24-d_2)/(EI24-3*h_col/7))))-f_cd*(1-(1-MAX(0,MIN(1,IF(EI24&lt;=h_col,0.0035*(EI24-d_2)/EI24,0.002*(EI24-d_2)/(EI24-3*h_col/7))/0.002)))^2))+(MAX(-f_yd,MIN(f_yd,200000*IF(EI24&lt;=h_col,0.0035*(EI24-(h_col-d_2))/EI24,0.002*(EI24-(h_col-d_2))/(EI24-3*h_col/7))))-f_cd*(1-(1-MAX(0,MIN(1,IF(EI24&lt;=h_col,0.0035*(EI24-(h_col-d_2))/EI24,0.002*(EI24-(h_col-d_2))/(EI24-3*h_col/7))/0.002)))^2))))/1000</f>
        <v/>
      </c>
      <c r="EK24">
        <f>IF($EJ24&lt;N_Ed-1E-9*MAX(1,N_Ed),(EG24+EH24)/2,EG24)</f>
        <v/>
      </c>
      <c r="EL24">
        <f>IF($EJ24&lt;N_Ed-1E-9*MAX(1,N_Ed),EH24,(EG24+EH24)/2)</f>
        <v/>
      </c>
      <c r="EM24">
        <f>h_col*((EK24+EL24)/2)/(1-(EK24+EL24)/2)</f>
        <v/>
      </c>
      <c r="EN24">
        <f>(f_cd*b_col*((3*MIN(EM24,h_col)/7)+(4*MIN(EM24,h_col)/7)*(1-((4*MIN(EM24,h_col)/7)/(EM24-(3*MIN(EM24,h_col)/7)))^2/3))+$D24/2*((MAX(-f_yd,MIN(f_yd,200000*IF(EM24&lt;=h_col,0.0035*(EM24-d_2)/EM24,0.002*(EM24-d_2)/(EM24-3*h_col/7))))-f_cd*(1-(1-MAX(0,MIN(1,IF(EM24&lt;=h_col,0.0035*(EM24-d_2)/EM24,0.002*(EM24-d_2)/(EM24-3*h_col/7))/0.002)))^2))+(MAX(-f_yd,MIN(f_yd,200000*IF(EM24&lt;=h_col,0.0035*(EM24-(h_col-d_2))/EM24,0.002*(EM24-(h_col-d_2))/(EM24-3*h_col/7))))-f_cd*(1-(1-MAX(0,MIN(1,IF(EM24&lt;=h_col,0.0035*(EM24-(h_col-d_2))/EM24,0.002*(EM24-(h_col-d_2))/(EM24-3*h_col/7))/0.002)))^2))))/1000</f>
        <v/>
      </c>
      <c r="EO24">
        <f>IF($EN24&lt;N_Ed-1E-9*MAX(1,N_Ed),(EK24+EL24)/2,EK24)</f>
        <v/>
      </c>
      <c r="EP24">
        <f>IF($EN24&lt;N_Ed-1E-9*MAX(1,N_Ed),EL24,(EK24+EL24)/2)</f>
        <v/>
      </c>
      <c r="EQ24">
        <f>h_col*((EO24+EP24)/2)/(1-(EO24+EP24)/2)</f>
        <v/>
      </c>
      <c r="ER24">
        <f>(f_cd*b_col*((3*MIN(EQ24,h_col)/7)+(4*MIN(EQ24,h_col)/7)*(1-((4*MIN(EQ24,h_col)/7)/(EQ24-(3*MIN(EQ24,h_col)/7)))^2/3))+$D24/2*((MAX(-f_yd,MIN(f_yd,200000*IF(EQ24&lt;=h_col,0.0035*(EQ24-d_2)/EQ24,0.002*(EQ24-d_2)/(EQ24-3*h_col/7))))-f_cd*(1-(1-MAX(0,MIN(1,IF(EQ24&lt;=h_col,0.0035*(EQ24-d_2)/EQ24,0.002*(EQ24-d_2)/(EQ24-3*h_col/7))/0.002)))^2))+(MAX(-f_yd,MIN(f_yd,200000*IF(EQ24&lt;=h_col,0.0035*(EQ24-(h_col-d_2))/EQ24,0.002*(EQ24-(h_col-d_2))/(EQ24-3*h_col/7))))-f_cd*(1-(1-MAX(0,MIN(1,IF(EQ24&lt;=h_col,0.0035*(EQ24-(h_col-d_2))/EQ24,0.002*(EQ24-(h_col-d_2))/(EQ24-3*h_col/7))/0.002)))^2))))/1000</f>
        <v/>
      </c>
      <c r="ES24">
        <f>IF($ER24&lt;N_Ed-1E-9*MAX(1,N_Ed),(EO24+EP24)/2,EO24)</f>
        <v/>
      </c>
      <c r="ET24">
        <f>IF($ER24&lt;N_Ed-1E-9*MAX(1,N_Ed),EP24,(EO24+EP24)/2)</f>
        <v/>
      </c>
      <c r="EU24">
        <f>h_col*((ES24+ET24)/2)/(1-(ES24+ET24)/2)</f>
        <v/>
      </c>
      <c r="EV24">
        <f>(f_cd*b_col*((3*MIN(EU24,h_col)/7)+(4*MIN(EU24,h_col)/7)*(1-((4*MIN(EU24,h_col)/7)/(EU24-(3*MIN(EU24,h_col)/7)))^2/3))+$D24/2*((MAX(-f_yd,MIN(f_yd,200000*IF(EU24&lt;=h_col,0.0035*(EU24-d_2)/EU24,0.002*(EU24-d_2)/(EU24-3*h_col/7))))-f_cd*(1-(1-MAX(0,MIN(1,IF(EU24&lt;=h_col,0.0035*(EU24-d_2)/EU24,0.002*(EU24-d_2)/(EU24-3*h_col/7))/0.002)))^2))+(MAX(-f_yd,MIN(f_yd,200000*IF(EU24&lt;=h_col,0.0035*(EU24-(h_col-d_2))/EU24,0.002*(EU24-(h_col-d_2))/(EU24-3*h_col/7))))-f_cd*(1-(1-MAX(0,MIN(1,IF(EU24&lt;=h_col,0.0035*(EU24-(h_col-d_2))/EU24,0.002*(EU24-(h_col-d_2))/(EU24-3*h_col/7))/0.002)))^2))))/1000</f>
        <v/>
      </c>
      <c r="EW24">
        <f>IF($EV24&lt;N_Ed-1E-9*MAX(1,N_Ed),(ES24+ET24)/2,ES24)</f>
        <v/>
      </c>
      <c r="EX24">
        <f>IF($EV24&lt;N_Ed-1E-9*MAX(1,N_Ed),ET24,(ES24+ET24)/2)</f>
        <v/>
      </c>
      <c r="EY24">
        <f>h_col*((EW24+EX24)/2)/(1-(EW24+EX24)/2)</f>
        <v/>
      </c>
      <c r="EZ24">
        <f>(f_cd*b_col*((3*MIN(EY24,h_col)/7)+(4*MIN(EY24,h_col)/7)*(1-((4*MIN(EY24,h_col)/7)/(EY24-(3*MIN(EY24,h_col)/7)))^2/3))+$D24/2*((MAX(-f_yd,MIN(f_yd,200000*IF(EY24&lt;=h_col,0.0035*(EY24-d_2)/EY24,0.002*(EY24-d_2)/(EY24-3*h_col/7))))-f_cd*(1-(1-MAX(0,MIN(1,IF(EY24&lt;=h_col,0.0035*(EY24-d_2)/EY24,0.002*(EY24-d_2)/(EY24-3*h_col/7))/0.002)))^2))+(MAX(-f_yd,MIN(f_yd,200000*IF(EY24&lt;=h_col,0.0035*(EY24-(h_col-d_2))/EY24,0.002*(EY24-(h_col-d_2))/(EY24-3*h_col/7))))-f_cd*(1-(1-MAX(0,MIN(1,IF(EY24&lt;=h_col,0.0035*(EY24-(h_col-d_2))/EY24,0.002*(EY24-(h_col-d_2))/(EY24-3*h_col/7))/0.002)))^2))))/1000</f>
        <v/>
      </c>
      <c r="FA24">
        <f>IF($EZ24&lt;N_Ed-1E-9*MAX(1,N_Ed),(EW24+EX24)/2,EW24)</f>
        <v/>
      </c>
      <c r="FB24">
        <f>IF($EZ24&lt;N_Ed-1E-9*MAX(1,N_Ed),EX24,(EW24+EX24)/2)</f>
        <v/>
      </c>
      <c r="FC24">
        <f>h_col*((FA24+FB24)/2)/(1-(FA24+FB24)/2)</f>
        <v/>
      </c>
      <c r="FD24">
        <f>(f_cd*b_col*((3*MIN(FC24,h_col)/7)+(4*MIN(FC24,h_col)/7)*(1-((4*MIN(FC24,h_col)/7)/(FC24-(3*MIN(FC24,h_col)/7)))^2/3))+$D24/2*((MAX(-f_yd,MIN(f_yd,200000*IF(FC24&lt;=h_col,0.0035*(FC24-d_2)/FC24,0.002*(FC24-d_2)/(FC24-3*h_col/7))))-f_cd*(1-(1-MAX(0,MIN(1,IF(FC24&lt;=h_col,0.0035*(FC24-d_2)/FC24,0.002*(FC24-d_2)/(FC24-3*h_col/7))/0.002)))^2))+(MAX(-f_yd,MIN(f_yd,200000*IF(FC24&lt;=h_col,0.0035*(FC24-(h_col-d_2))/FC24,0.002*(FC24-(h_col-d_2))/(FC24-3*h_col/7))))-f_cd*(1-(1-MAX(0,MIN(1,IF(FC24&lt;=h_col,0.0035*(FC24-(h_col-d_2))/FC24,0.002*(FC24-(h_col-d_2))/(FC24-3*h_col/7))/0.002)))^2))))/1000</f>
        <v/>
      </c>
      <c r="FE24">
        <f>IF($FD24&lt;N_Ed-1E-9*MAX(1,N_Ed),(FA24+FB24)/2,FA24)</f>
        <v/>
      </c>
      <c r="FF24">
        <f>IF($FD24&lt;N_Ed-1E-9*MAX(1,N_Ed),FB24,(FA24+FB24)/2)</f>
        <v/>
      </c>
      <c r="FG24">
        <f>h_col*((FE24+FF24)/2)/(1-(FE24+FF24)/2)</f>
        <v/>
      </c>
      <c r="FH24">
        <f>(f_cd*b_col*((3*MIN(FG24,h_col)/7)+(4*MIN(FG24,h_col)/7)*(1-((4*MIN(FG24,h_col)/7)/(FG24-(3*MIN(FG24,h_col)/7)))^2/3))+$D24/2*((MAX(-f_yd,MIN(f_yd,200000*IF(FG24&lt;=h_col,0.0035*(FG24-d_2)/FG24,0.002*(FG24-d_2)/(FG24-3*h_col/7))))-f_cd*(1-(1-MAX(0,MIN(1,IF(FG24&lt;=h_col,0.0035*(FG24-d_2)/FG24,0.002*(FG24-d_2)/(FG24-3*h_col/7))/0.002)))^2))+(MAX(-f_yd,MIN(f_yd,200000*IF(FG24&lt;=h_col,0.0035*(FG24-(h_col-d_2))/FG24,0.002*(FG24-(h_col-d_2))/(FG24-3*h_col/7))))-f_cd*(1-(1-MAX(0,MIN(1,IF(FG24&lt;=h_col,0.0035*(FG24-(h_col-d_2))/FG24,0.002*(FG24-(h_col-d_2))/(FG24-3*h_col/7))/0.002)))^2))))/1000</f>
        <v/>
      </c>
      <c r="FI24">
        <f>IF($FH24&lt;N_Ed-1E-9*MAX(1,N_Ed),(FE24+FF24)/2,FE24)</f>
        <v/>
      </c>
      <c r="FJ24">
        <f>IF($FH24&lt;N_Ed-1E-9*MAX(1,N_Ed),FF24,(FE24+FF24)/2)</f>
        <v/>
      </c>
      <c r="FK24">
        <f>h_col*((FI24+FJ24)/2)/(1-(FI24+FJ24)/2)</f>
        <v/>
      </c>
      <c r="FL24">
        <f>(f_cd*b_col*((3*MIN(FK24,h_col)/7)+(4*MIN(FK24,h_col)/7)*(1-((4*MIN(FK24,h_col)/7)/(FK24-(3*MIN(FK24,h_col)/7)))^2/3))+$D24/2*((MAX(-f_yd,MIN(f_yd,200000*IF(FK24&lt;=h_col,0.0035*(FK24-d_2)/FK24,0.002*(FK24-d_2)/(FK24-3*h_col/7))))-f_cd*(1-(1-MAX(0,MIN(1,IF(FK24&lt;=h_col,0.0035*(FK24-d_2)/FK24,0.002*(FK24-d_2)/(FK24-3*h_col/7))/0.002)))^2))+(MAX(-f_yd,MIN(f_yd,200000*IF(FK24&lt;=h_col,0.0035*(FK24-(h_col-d_2))/FK24,0.002*(FK24-(h_col-d_2))/(FK24-3*h_col/7))))-f_cd*(1-(1-MAX(0,MIN(1,IF(FK24&lt;=h_col,0.0035*(FK24-(h_col-d_2))/FK24,0.002*(FK24-(h_col-d_2))/(FK24-3*h_col/7))/0.002)))^2))))/1000</f>
        <v/>
      </c>
      <c r="FM24">
        <f>IF($FL24&lt;N_Ed-1E-9*MAX(1,N_Ed),(FI24+FJ24)/2,FI24)</f>
        <v/>
      </c>
      <c r="FN24">
        <f>IF($FL24&lt;N_Ed-1E-9*MAX(1,N_Ed),FJ24,(FI24+FJ24)/2)</f>
        <v/>
      </c>
      <c r="FO24">
        <f>h_col*((FM24+FN24)/2)/(1-(FM24+FN24)/2)</f>
        <v/>
      </c>
      <c r="FP24">
        <f>(f_cd*b_col*((3*MIN(FO24,h_col)/7)+(4*MIN(FO24,h_col)/7)*(1-((4*MIN(FO24,h_col)/7)/(FO24-(3*MIN(FO24,h_col)/7)))^2/3))+$D24/2*((MAX(-f_yd,MIN(f_yd,200000*IF(FO24&lt;=h_col,0.0035*(FO24-d_2)/FO24,0.002*(FO24-d_2)/(FO24-3*h_col/7))))-f_cd*(1-(1-MAX(0,MIN(1,IF(FO24&lt;=h_col,0.0035*(FO24-d_2)/FO24,0.002*(FO24-d_2)/(FO24-3*h_col/7))/0.002)))^2))+(MAX(-f_yd,MIN(f_yd,200000*IF(FO24&lt;=h_col,0.0035*(FO24-(h_col-d_2))/FO24,0.002*(FO24-(h_col-d_2))/(FO24-3*h_col/7))))-f_cd*(1-(1-MAX(0,MIN(1,IF(FO24&lt;=h_col,0.0035*(FO24-(h_col-d_2))/FO24,0.002*(FO24-(h_col-d_2))/(FO24-3*h_col/7))/0.002)))^2))))/1000</f>
        <v/>
      </c>
      <c r="FQ24">
        <f>IF($FP24&lt;N_Ed-1E-9*MAX(1,N_Ed),(FM24+FN24)/2,FM24)</f>
        <v/>
      </c>
      <c r="FR24">
        <f>IF($FP24&lt;N_Ed-1E-9*MAX(1,N_Ed),FN24,(FM24+FN24)/2)</f>
        <v/>
      </c>
      <c r="FS24">
        <f>h_col*((FQ24+FR24)/2)/(1-(FQ24+FR24)/2)</f>
        <v/>
      </c>
      <c r="FT24">
        <f>(f_cd*b_col*((3*MIN(FS24,h_col)/7)+(4*MIN(FS24,h_col)/7)*(1-((4*MIN(FS24,h_col)/7)/(FS24-(3*MIN(FS24,h_col)/7)))^2/3))+$D24/2*((MAX(-f_yd,MIN(f_yd,200000*IF(FS24&lt;=h_col,0.0035*(FS24-d_2)/FS24,0.002*(FS24-d_2)/(FS24-3*h_col/7))))-f_cd*(1-(1-MAX(0,MIN(1,IF(FS24&lt;=h_col,0.0035*(FS24-d_2)/FS24,0.002*(FS24-d_2)/(FS24-3*h_col/7))/0.002)))^2))+(MAX(-f_yd,MIN(f_yd,200000*IF(FS24&lt;=h_col,0.0035*(FS24-(h_col-d_2))/FS24,0.002*(FS24-(h_col-d_2))/(FS24-3*h_col/7))))-f_cd*(1-(1-MAX(0,MIN(1,IF(FS24&lt;=h_col,0.0035*(FS24-(h_col-d_2))/FS24,0.002*(FS24-(h_col-d_2))/(FS24-3*h_col/7))/0.002)))^2))))/1000</f>
        <v/>
      </c>
      <c r="FU24">
        <f>IF($FT24&lt;N_Ed-1E-9*MAX(1,N_Ed),(FQ24+FR24)/2,FQ24)</f>
        <v/>
      </c>
      <c r="FV24">
        <f>IF($FT24&lt;N_Ed-1E-9*MAX(1,N_Ed),FR24,(FQ24+FR24)/2)</f>
        <v/>
      </c>
      <c r="FW24">
        <f>h_col*((FU24+FV24)/2)/(1-(FU24+FV24)/2)</f>
        <v/>
      </c>
      <c r="FX24">
        <f>(f_cd*b_col*((3*MIN(FW24,h_col)/7)+(4*MIN(FW24,h_col)/7)*(1-((4*MIN(FW24,h_col)/7)/(FW24-(3*MIN(FW24,h_col)/7)))^2/3))+$D24/2*((MAX(-f_yd,MIN(f_yd,200000*IF(FW24&lt;=h_col,0.0035*(FW24-d_2)/FW24,0.002*(FW24-d_2)/(FW24-3*h_col/7))))-f_cd*(1-(1-MAX(0,MIN(1,IF(FW24&lt;=h_col,0.0035*(FW24-d_2)/FW24,0.002*(FW24-d_2)/(FW24-3*h_col/7))/0.002)))^2))+(MAX(-f_yd,MIN(f_yd,200000*IF(FW24&lt;=h_col,0.0035*(FW24-(h_col-d_2))/FW24,0.002*(FW24-(h_col-d_2))/(FW24-3*h_col/7))))-f_cd*(1-(1-MAX(0,MIN(1,IF(FW24&lt;=h_col,0.0035*(FW24-(h_col-d_2))/FW24,0.002*(FW24-(h_col-d_2))/(FW24-3*h_col/7))/0.002)))^2))))/1000</f>
        <v/>
      </c>
      <c r="FY24">
        <f>IF($FX24&lt;N_Ed-1E-9*MAX(1,N_Ed),(FU24+FV24)/2,FU24)</f>
        <v/>
      </c>
      <c r="FZ24">
        <f>IF($FX24&lt;N_Ed-1E-9*MAX(1,N_Ed),FV24,(FU24+FV24)/2)</f>
        <v/>
      </c>
      <c r="GA24">
        <f>h_col*((FY24+FZ24)/2)/(1-(FY24+FZ24)/2)</f>
        <v/>
      </c>
      <c r="GB24">
        <f>(f_cd*b_col*((3*MIN(GA24,h_col)/7)+(4*MIN(GA24,h_col)/7)*(1-((4*MIN(GA24,h_col)/7)/(GA24-(3*MIN(GA24,h_col)/7)))^2/3))+$D24/2*((MAX(-f_yd,MIN(f_yd,200000*IF(GA24&lt;=h_col,0.0035*(GA24-d_2)/GA24,0.002*(GA24-d_2)/(GA24-3*h_col/7))))-f_cd*(1-(1-MAX(0,MIN(1,IF(GA24&lt;=h_col,0.0035*(GA24-d_2)/GA24,0.002*(GA24-d_2)/(GA24-3*h_col/7))/0.002)))^2))+(MAX(-f_yd,MIN(f_yd,200000*IF(GA24&lt;=h_col,0.0035*(GA24-(h_col-d_2))/GA24,0.002*(GA24-(h_col-d_2))/(GA24-3*h_col/7))))-f_cd*(1-(1-MAX(0,MIN(1,IF(GA24&lt;=h_col,0.0035*(GA24-(h_col-d_2))/GA24,0.002*(GA24-(h_col-d_2))/(GA24-3*h_col/7))/0.002)))^2))))/1000</f>
        <v/>
      </c>
      <c r="GC24">
        <f>IF($GB24&lt;N_Ed-1E-9*MAX(1,N_Ed),(FY24+FZ24)/2,FY24)</f>
        <v/>
      </c>
      <c r="GD24">
        <f>IF($GB24&lt;N_Ed-1E-9*MAX(1,N_Ed),FZ24,(FY24+FZ24)/2)</f>
        <v/>
      </c>
      <c r="GE24">
        <f>h_col*((GC24+GD24)/2)/(1-(GC24+GD24)/2)</f>
        <v/>
      </c>
      <c r="GF24">
        <f>(f_cd*b_col*((3*MIN(GE24,h_col)/7)+(4*MIN(GE24,h_col)/7)*(1-((4*MIN(GE24,h_col)/7)/(GE24-(3*MIN(GE24,h_col)/7)))^2/3))+$D24/2*((MAX(-f_yd,MIN(f_yd,200000*IF(GE24&lt;=h_col,0.0035*(GE24-d_2)/GE24,0.002*(GE24-d_2)/(GE24-3*h_col/7))))-f_cd*(1-(1-MAX(0,MIN(1,IF(GE24&lt;=h_col,0.0035*(GE24-d_2)/GE24,0.002*(GE24-d_2)/(GE24-3*h_col/7))/0.002)))^2))+(MAX(-f_yd,MIN(f_yd,200000*IF(GE24&lt;=h_col,0.0035*(GE24-(h_col-d_2))/GE24,0.002*(GE24-(h_col-d_2))/(GE24-3*h_col/7))))-f_cd*(1-(1-MAX(0,MIN(1,IF(GE24&lt;=h_col,0.0035*(GE24-(h_col-d_2))/GE24,0.002*(GE24-(h_col-d_2))/(GE24-3*h_col/7))/0.002)))^2))))/1000</f>
        <v/>
      </c>
      <c r="GG24">
        <f>IF($GF24&lt;N_Ed-1E-9*MAX(1,N_Ed),(GC24+GD24)/2,GC24)</f>
        <v/>
      </c>
      <c r="GH24">
        <f>IF($GF24&lt;N_Ed-1E-9*MAX(1,N_Ed),GD24,(GC24+GD24)/2)</f>
        <v/>
      </c>
      <c r="GI24">
        <f>h_col*((GG24+GH24)/2)/(1-(GG24+GH24)/2)</f>
        <v/>
      </c>
      <c r="GJ24">
        <f>(f_cd*b_col*((3*MIN(GI24,h_col)/7)+(4*MIN(GI24,h_col)/7)*(1-((4*MIN(GI24,h_col)/7)/(GI24-(3*MIN(GI24,h_col)/7)))^2/3))+$D24/2*((MAX(-f_yd,MIN(f_yd,200000*IF(GI24&lt;=h_col,0.0035*(GI24-d_2)/GI24,0.002*(GI24-d_2)/(GI24-3*h_col/7))))-f_cd*(1-(1-MAX(0,MIN(1,IF(GI24&lt;=h_col,0.0035*(GI24-d_2)/GI24,0.002*(GI24-d_2)/(GI24-3*h_col/7))/0.002)))^2))+(MAX(-f_yd,MIN(f_yd,200000*IF(GI24&lt;=h_col,0.0035*(GI24-(h_col-d_2))/GI24,0.002*(GI24-(h_col-d_2))/(GI24-3*h_col/7))))-f_cd*(1-(1-MAX(0,MIN(1,IF(GI24&lt;=h_col,0.0035*(GI24-(h_col-d_2))/GI24,0.002*(GI24-(h_col-d_2))/(GI24-3*h_col/7))/0.002)))^2))))/1000</f>
        <v/>
      </c>
      <c r="GK24">
        <f>IF($GJ24&lt;N_Ed-1E-9*MAX(1,N_Ed),(GG24+GH24)/2,GG24)</f>
        <v/>
      </c>
      <c r="GL24">
        <f>IF($GJ24&lt;N_Ed-1E-9*MAX(1,N_Ed),GH24,(GG24+GH24)/2)</f>
        <v/>
      </c>
      <c r="GM24">
        <f>h_col*((GK24+GL24)/2)/(1-(GK24+GL24)/2)</f>
        <v/>
      </c>
      <c r="GN24">
        <f>(f_cd*b_col*((3*MIN(GM24,h_col)/7)+(4*MIN(GM24,h_col)/7)*(1-((4*MIN(GM24,h_col)/7)/(GM24-(3*MIN(GM24,h_col)/7)))^2/3))+$D24/2*((MAX(-f_yd,MIN(f_yd,200000*IF(GM24&lt;=h_col,0.0035*(GM24-d_2)/GM24,0.002*(GM24-d_2)/(GM24-3*h_col/7))))-f_cd*(1-(1-MAX(0,MIN(1,IF(GM24&lt;=h_col,0.0035*(GM24-d_2)/GM24,0.002*(GM24-d_2)/(GM24-3*h_col/7))/0.002)))^2))+(MAX(-f_yd,MIN(f_yd,200000*IF(GM24&lt;=h_col,0.0035*(GM24-(h_col-d_2))/GM24,0.002*(GM24-(h_col-d_2))/(GM24-3*h_col/7))))-f_cd*(1-(1-MAX(0,MIN(1,IF(GM24&lt;=h_col,0.0035*(GM24-(h_col-d_2))/GM24,0.002*(GM24-(h_col-d_2))/(GM24-3*h_col/7))/0.002)))^2))))/1000</f>
        <v/>
      </c>
      <c r="GO24">
        <f>IF($GN24&lt;N_Ed-1E-9*MAX(1,N_Ed),(GK24+GL24)/2,GK24)</f>
        <v/>
      </c>
      <c r="GP24">
        <f>IF($GN24&lt;N_Ed-1E-9*MAX(1,N_Ed),GL24,(GK24+GL24)/2)</f>
        <v/>
      </c>
      <c r="GQ24">
        <f>h_col*((GO24+GP24)/2)/(1-(GO24+GP24)/2)</f>
        <v/>
      </c>
      <c r="GR24">
        <f>(f_cd*b_col*((3*MIN(GQ24,h_col)/7)+(4*MIN(GQ24,h_col)/7)*(1-((4*MIN(GQ24,h_col)/7)/(GQ24-(3*MIN(GQ24,h_col)/7)))^2/3))+$D24/2*((MAX(-f_yd,MIN(f_yd,200000*IF(GQ24&lt;=h_col,0.0035*(GQ24-d_2)/GQ24,0.002*(GQ24-d_2)/(GQ24-3*h_col/7))))-f_cd*(1-(1-MAX(0,MIN(1,IF(GQ24&lt;=h_col,0.0035*(GQ24-d_2)/GQ24,0.002*(GQ24-d_2)/(GQ24-3*h_col/7))/0.002)))^2))+(MAX(-f_yd,MIN(f_yd,200000*IF(GQ24&lt;=h_col,0.0035*(GQ24-(h_col-d_2))/GQ24,0.002*(GQ24-(h_col-d_2))/(GQ24-3*h_col/7))))-f_cd*(1-(1-MAX(0,MIN(1,IF(GQ24&lt;=h_col,0.0035*(GQ24-(h_col-d_2))/GQ24,0.002*(GQ24-(h_col-d_2))/(GQ24-3*h_col/7))/0.002)))^2))))/1000</f>
        <v/>
      </c>
      <c r="GS24">
        <f>IF($GR24&lt;N_Ed-1E-9*MAX(1,N_Ed),(GO24+GP24)/2,GO24)</f>
        <v/>
      </c>
      <c r="GT24">
        <f>IF($GR24&lt;N_Ed-1E-9*MAX(1,N_Ed),GP24,(GO24+GP24)/2)</f>
        <v/>
      </c>
      <c r="GU24">
        <f>h_col*((GS24+GT24)/2)/(1-(GS24+GT24)/2)</f>
        <v/>
      </c>
      <c r="GV24">
        <f>(f_cd*b_col*((3*MIN(GU24,h_col)/7)+(4*MIN(GU24,h_col)/7)*(1-((4*MIN(GU24,h_col)/7)/(GU24-(3*MIN(GU24,h_col)/7)))^2/3))+$D24/2*((MAX(-f_yd,MIN(f_yd,200000*IF(GU24&lt;=h_col,0.0035*(GU24-d_2)/GU24,0.002*(GU24-d_2)/(GU24-3*h_col/7))))-f_cd*(1-(1-MAX(0,MIN(1,IF(GU24&lt;=h_col,0.0035*(GU24-d_2)/GU24,0.002*(GU24-d_2)/(GU24-3*h_col/7))/0.002)))^2))+(MAX(-f_yd,MIN(f_yd,200000*IF(GU24&lt;=h_col,0.0035*(GU24-(h_col-d_2))/GU24,0.002*(GU24-(h_col-d_2))/(GU24-3*h_col/7))))-f_cd*(1-(1-MAX(0,MIN(1,IF(GU24&lt;=h_col,0.0035*(GU24-(h_col-d_2))/GU24,0.002*(GU24-(h_col-d_2))/(GU24-3*h_col/7))/0.002)))^2))))/1000</f>
        <v/>
      </c>
      <c r="GW24">
        <f>GU24</f>
        <v/>
      </c>
      <c r="GX24">
        <f>(f_cd*b_col*((3*MIN(GW24,h_col)/7)+(4*MIN(GW24,h_col)/7)*(1-((4*MIN(GW24,h_col)/7)/(GW24-(3*MIN(GW24,h_col)/7)))^2/3))+$D24/2*((MAX(-f_yd,MIN(f_yd,200000*IF(GW24&lt;=h_col,0.0035*(GW24-d_2)/GW24,0.002*(GW24-d_2)/(GW24-3*h_col/7))))-f_cd*(1-(1-MAX(0,MIN(1,IF(GW24&lt;=h_col,0.0035*(GW24-d_2)/GW24,0.002*(GW24-d_2)/(GW24-3*h_col/7))/0.002)))^2))+(MAX(-f_yd,MIN(f_yd,200000*IF(GW24&lt;=h_col,0.0035*(GW24-(h_col-d_2))/GW24,0.002*(GW24-(h_col-d_2))/(GW24-3*h_col/7))))-f_cd*(1-(1-MAX(0,MIN(1,IF(GW24&lt;=h_col,0.0035*(GW24-(h_col-d_2))/GW24,0.002*(GW24-(h_col-d_2))/(GW24-3*h_col/7))/0.002)))^2))))/1000</f>
        <v/>
      </c>
      <c r="GY24">
        <f>(f_cd*b_col*((3*MIN(GW24,h_col)/7)*(h_col/2-(3*MIN(GW24,h_col)/7)/2)+(4*MIN(GW24,h_col)/7)*((h_col/2-(3*MIN(GW24,h_col)/7))*(1-((4*MIN(GW24,h_col)/7)/(GW24-(3*MIN(GW24,h_col)/7)))^2/3)-(4*MIN(GW24,h_col)/7)*(0.5-((4*MIN(GW24,h_col)/7)/(GW24-(3*MIN(GW24,h_col)/7)))^2/4)))+$D24/2*((MAX(-f_yd,MIN(f_yd,200000*IF(GW24&lt;=h_col,0.0035*(GW24-d_2)/GW24,0.002*(GW24-d_2)/(GW24-3*h_col/7))))-f_cd*(1-(1-MAX(0,MIN(1,IF(GW24&lt;=h_col,0.0035*(GW24-d_2)/GW24,0.002*(GW24-d_2)/(GW24-3*h_col/7))/0.002)))^2))-(MAX(-f_yd,MIN(f_yd,200000*IF(GW24&lt;=h_col,0.0035*(GW24-(h_col-d_2))/GW24,0.002*(GW24-(h_col-d_2))/(GW24-3*h_col/7))))-f_cd*(1-(1-MAX(0,MIN(1,IF(GW24&lt;=h_col,0.0035*(GW24-(h_col-d_2))/GW24,0.002*(GW24-(h_col-d_2))/(GW24-3*h_col/7))/0.002)))^2)))*(h_col/2-d_2))/1E6</f>
        <v/>
      </c>
      <c r="GZ24">
        <f>GX24&gt;=N_Ed-1E-6*MAX(1,N_Ed)</f>
        <v/>
      </c>
      <c r="HA24">
        <f>IF(GZ24,GY24,-1E9)</f>
        <v/>
      </c>
    </row>
    <row r="25">
      <c r="A25" t="n">
        <v>20</v>
      </c>
      <c r="B25">
        <f>IF($HA24&gt;=M_d,$B24,$D24)</f>
        <v/>
      </c>
      <c r="C25">
        <f>IF($HA24&gt;=M_d,$D24,$C24)</f>
        <v/>
      </c>
      <c r="D25">
        <f>($B25+$C25)/2</f>
        <v/>
      </c>
      <c r="E25" t="n">
        <v>0</v>
      </c>
      <c r="F25">
        <f>1-1E-12</f>
        <v/>
      </c>
      <c r="G25">
        <f>h_col*((E25+F25)/2)/(1-(E25+F25)/2)</f>
        <v/>
      </c>
      <c r="H25">
        <f>(f_cd*b_col*((3*MIN(G25,h_col)/7)+(4*MIN(G25,h_col)/7)*(1-((4*MIN(G25,h_col)/7)/(G25-(3*MIN(G25,h_col)/7)))^2/3))+$D25/2*((MAX(-f_yd,MIN(f_yd,200000*IF(G25&lt;=h_col,0.0035*(G25-d_2)/G25,0.002*(G25-d_2)/(G25-3*h_col/7))))-f_cd*(1-(1-MAX(0,MIN(1,IF(G25&lt;=h_col,0.0035*(G25-d_2)/G25,0.002*(G25-d_2)/(G25-3*h_col/7))/0.002)))^2))+(MAX(-f_yd,MIN(f_yd,200000*IF(G25&lt;=h_col,0.0035*(G25-(h_col-d_2))/G25,0.002*(G25-(h_col-d_2))/(G25-3*h_col/7))))-f_cd*(1-(1-MAX(0,MIN(1,IF(G25&lt;=h_col,0.0035*(G25-(h_col-d_2))/G25,0.002*(G25-(h_col-d_2))/(G25-3*h_col/7))/0.002)))^2))))/1000</f>
        <v/>
      </c>
      <c r="I25">
        <f>IF($H25&lt;N_Ed-1E-9*MAX(1,N_Ed),(E25+F25)/2,E25)</f>
        <v/>
      </c>
      <c r="J25">
        <f>IF($H25&lt;N_Ed-1E-9*MAX(1,N_Ed),F25,(E25+F25)/2)</f>
        <v/>
      </c>
      <c r="K25">
        <f>h_col*((I25+J25)/2)/(1-(I25+J25)/2)</f>
        <v/>
      </c>
      <c r="L25">
        <f>(f_cd*b_col*((3*MIN(K25,h_col)/7)+(4*MIN(K25,h_col)/7)*(1-((4*MIN(K25,h_col)/7)/(K25-(3*MIN(K25,h_col)/7)))^2/3))+$D25/2*((MAX(-f_yd,MIN(f_yd,200000*IF(K25&lt;=h_col,0.0035*(K25-d_2)/K25,0.002*(K25-d_2)/(K25-3*h_col/7))))-f_cd*(1-(1-MAX(0,MIN(1,IF(K25&lt;=h_col,0.0035*(K25-d_2)/K25,0.002*(K25-d_2)/(K25-3*h_col/7))/0.002)))^2))+(MAX(-f_yd,MIN(f_yd,200000*IF(K25&lt;=h_col,0.0035*(K25-(h_col-d_2))/K25,0.002*(K25-(h_col-d_2))/(K25-3*h_col/7))))-f_cd*(1-(1-MAX(0,MIN(1,IF(K25&lt;=h_col,0.0035*(K25-(h_col-d_2))/K25,0.002*(K25-(h_col-d_2))/(K25-3*h_col/7))/0.002)))^2))))/1000</f>
        <v/>
      </c>
      <c r="M25">
        <f>IF($L25&lt;N_Ed-1E-9*MAX(1,N_Ed),(I25+J25)/2,I25)</f>
        <v/>
      </c>
      <c r="N25">
        <f>IF($L25&lt;N_Ed-1E-9*MAX(1,N_Ed),J25,(I25+J25)/2)</f>
        <v/>
      </c>
      <c r="O25">
        <f>h_col*((M25+N25)/2)/(1-(M25+N25)/2)</f>
        <v/>
      </c>
      <c r="P25">
        <f>(f_cd*b_col*((3*MIN(O25,h_col)/7)+(4*MIN(O25,h_col)/7)*(1-((4*MIN(O25,h_col)/7)/(O25-(3*MIN(O25,h_col)/7)))^2/3))+$D25/2*((MAX(-f_yd,MIN(f_yd,200000*IF(O25&lt;=h_col,0.0035*(O25-d_2)/O25,0.002*(O25-d_2)/(O25-3*h_col/7))))-f_cd*(1-(1-MAX(0,MIN(1,IF(O25&lt;=h_col,0.0035*(O25-d_2)/O25,0.002*(O25-d_2)/(O25-3*h_col/7))/0.002)))^2))+(MAX(-f_yd,MIN(f_yd,200000*IF(O25&lt;=h_col,0.0035*(O25-(h_col-d_2))/O25,0.002*(O25-(h_col-d_2))/(O25-3*h_col/7))))-f_cd*(1-(1-MAX(0,MIN(1,IF(O25&lt;=h_col,0.0035*(O25-(h_col-d_2))/O25,0.002*(O25-(h_col-d_2))/(O25-3*h_col/7))/0.002)))^2))))/1000</f>
        <v/>
      </c>
      <c r="Q25">
        <f>IF($P25&lt;N_Ed-1E-9*MAX(1,N_Ed),(M25+N25)/2,M25)</f>
        <v/>
      </c>
      <c r="R25">
        <f>IF($P25&lt;N_Ed-1E-9*MAX(1,N_Ed),N25,(M25+N25)/2)</f>
        <v/>
      </c>
      <c r="S25">
        <f>h_col*((Q25+R25)/2)/(1-(Q25+R25)/2)</f>
        <v/>
      </c>
      <c r="T25">
        <f>(f_cd*b_col*((3*MIN(S25,h_col)/7)+(4*MIN(S25,h_col)/7)*(1-((4*MIN(S25,h_col)/7)/(S25-(3*MIN(S25,h_col)/7)))^2/3))+$D25/2*((MAX(-f_yd,MIN(f_yd,200000*IF(S25&lt;=h_col,0.0035*(S25-d_2)/S25,0.002*(S25-d_2)/(S25-3*h_col/7))))-f_cd*(1-(1-MAX(0,MIN(1,IF(S25&lt;=h_col,0.0035*(S25-d_2)/S25,0.002*(S25-d_2)/(S25-3*h_col/7))/0.002)))^2))+(MAX(-f_yd,MIN(f_yd,200000*IF(S25&lt;=h_col,0.0035*(S25-(h_col-d_2))/S25,0.002*(S25-(h_col-d_2))/(S25-3*h_col/7))))-f_cd*(1-(1-MAX(0,MIN(1,IF(S25&lt;=h_col,0.0035*(S25-(h_col-d_2))/S25,0.002*(S25-(h_col-d_2))/(S25-3*h_col/7))/0.002)))^2))))/1000</f>
        <v/>
      </c>
      <c r="U25">
        <f>IF($T25&lt;N_Ed-1E-9*MAX(1,N_Ed),(Q25+R25)/2,Q25)</f>
        <v/>
      </c>
      <c r="V25">
        <f>IF($T25&lt;N_Ed-1E-9*MAX(1,N_Ed),R25,(Q25+R25)/2)</f>
        <v/>
      </c>
      <c r="W25">
        <f>h_col*((U25+V25)/2)/(1-(U25+V25)/2)</f>
        <v/>
      </c>
      <c r="X25">
        <f>(f_cd*b_col*((3*MIN(W25,h_col)/7)+(4*MIN(W25,h_col)/7)*(1-((4*MIN(W25,h_col)/7)/(W25-(3*MIN(W25,h_col)/7)))^2/3))+$D25/2*((MAX(-f_yd,MIN(f_yd,200000*IF(W25&lt;=h_col,0.0035*(W25-d_2)/W25,0.002*(W25-d_2)/(W25-3*h_col/7))))-f_cd*(1-(1-MAX(0,MIN(1,IF(W25&lt;=h_col,0.0035*(W25-d_2)/W25,0.002*(W25-d_2)/(W25-3*h_col/7))/0.002)))^2))+(MAX(-f_yd,MIN(f_yd,200000*IF(W25&lt;=h_col,0.0035*(W25-(h_col-d_2))/W25,0.002*(W25-(h_col-d_2))/(W25-3*h_col/7))))-f_cd*(1-(1-MAX(0,MIN(1,IF(W25&lt;=h_col,0.0035*(W25-(h_col-d_2))/W25,0.002*(W25-(h_col-d_2))/(W25-3*h_col/7))/0.002)))^2))))/1000</f>
        <v/>
      </c>
      <c r="Y25">
        <f>IF($X25&lt;N_Ed-1E-9*MAX(1,N_Ed),(U25+V25)/2,U25)</f>
        <v/>
      </c>
      <c r="Z25">
        <f>IF($X25&lt;N_Ed-1E-9*MAX(1,N_Ed),V25,(U25+V25)/2)</f>
        <v/>
      </c>
      <c r="AA25">
        <f>h_col*((Y25+Z25)/2)/(1-(Y25+Z25)/2)</f>
        <v/>
      </c>
      <c r="AB25">
        <f>(f_cd*b_col*((3*MIN(AA25,h_col)/7)+(4*MIN(AA25,h_col)/7)*(1-((4*MIN(AA25,h_col)/7)/(AA25-(3*MIN(AA25,h_col)/7)))^2/3))+$D25/2*((MAX(-f_yd,MIN(f_yd,200000*IF(AA25&lt;=h_col,0.0035*(AA25-d_2)/AA25,0.002*(AA25-d_2)/(AA25-3*h_col/7))))-f_cd*(1-(1-MAX(0,MIN(1,IF(AA25&lt;=h_col,0.0035*(AA25-d_2)/AA25,0.002*(AA25-d_2)/(AA25-3*h_col/7))/0.002)))^2))+(MAX(-f_yd,MIN(f_yd,200000*IF(AA25&lt;=h_col,0.0035*(AA25-(h_col-d_2))/AA25,0.002*(AA25-(h_col-d_2))/(AA25-3*h_col/7))))-f_cd*(1-(1-MAX(0,MIN(1,IF(AA25&lt;=h_col,0.0035*(AA25-(h_col-d_2))/AA25,0.002*(AA25-(h_col-d_2))/(AA25-3*h_col/7))/0.002)))^2))))/1000</f>
        <v/>
      </c>
      <c r="AC25">
        <f>IF($AB25&lt;N_Ed-1E-9*MAX(1,N_Ed),(Y25+Z25)/2,Y25)</f>
        <v/>
      </c>
      <c r="AD25">
        <f>IF($AB25&lt;N_Ed-1E-9*MAX(1,N_Ed),Z25,(Y25+Z25)/2)</f>
        <v/>
      </c>
      <c r="AE25">
        <f>h_col*((AC25+AD25)/2)/(1-(AC25+AD25)/2)</f>
        <v/>
      </c>
      <c r="AF25">
        <f>(f_cd*b_col*((3*MIN(AE25,h_col)/7)+(4*MIN(AE25,h_col)/7)*(1-((4*MIN(AE25,h_col)/7)/(AE25-(3*MIN(AE25,h_col)/7)))^2/3))+$D25/2*((MAX(-f_yd,MIN(f_yd,200000*IF(AE25&lt;=h_col,0.0035*(AE25-d_2)/AE25,0.002*(AE25-d_2)/(AE25-3*h_col/7))))-f_cd*(1-(1-MAX(0,MIN(1,IF(AE25&lt;=h_col,0.0035*(AE25-d_2)/AE25,0.002*(AE25-d_2)/(AE25-3*h_col/7))/0.002)))^2))+(MAX(-f_yd,MIN(f_yd,200000*IF(AE25&lt;=h_col,0.0035*(AE25-(h_col-d_2))/AE25,0.002*(AE25-(h_col-d_2))/(AE25-3*h_col/7))))-f_cd*(1-(1-MAX(0,MIN(1,IF(AE25&lt;=h_col,0.0035*(AE25-(h_col-d_2))/AE25,0.002*(AE25-(h_col-d_2))/(AE25-3*h_col/7))/0.002)))^2))))/1000</f>
        <v/>
      </c>
      <c r="AG25">
        <f>IF($AF25&lt;N_Ed-1E-9*MAX(1,N_Ed),(AC25+AD25)/2,AC25)</f>
        <v/>
      </c>
      <c r="AH25">
        <f>IF($AF25&lt;N_Ed-1E-9*MAX(1,N_Ed),AD25,(AC25+AD25)/2)</f>
        <v/>
      </c>
      <c r="AI25">
        <f>h_col*((AG25+AH25)/2)/(1-(AG25+AH25)/2)</f>
        <v/>
      </c>
      <c r="AJ25">
        <f>(f_cd*b_col*((3*MIN(AI25,h_col)/7)+(4*MIN(AI25,h_col)/7)*(1-((4*MIN(AI25,h_col)/7)/(AI25-(3*MIN(AI25,h_col)/7)))^2/3))+$D25/2*((MAX(-f_yd,MIN(f_yd,200000*IF(AI25&lt;=h_col,0.0035*(AI25-d_2)/AI25,0.002*(AI25-d_2)/(AI25-3*h_col/7))))-f_cd*(1-(1-MAX(0,MIN(1,IF(AI25&lt;=h_col,0.0035*(AI25-d_2)/AI25,0.002*(AI25-d_2)/(AI25-3*h_col/7))/0.002)))^2))+(MAX(-f_yd,MIN(f_yd,200000*IF(AI25&lt;=h_col,0.0035*(AI25-(h_col-d_2))/AI25,0.002*(AI25-(h_col-d_2))/(AI25-3*h_col/7))))-f_cd*(1-(1-MAX(0,MIN(1,IF(AI25&lt;=h_col,0.0035*(AI25-(h_col-d_2))/AI25,0.002*(AI25-(h_col-d_2))/(AI25-3*h_col/7))/0.002)))^2))))/1000</f>
        <v/>
      </c>
      <c r="AK25">
        <f>IF($AJ25&lt;N_Ed-1E-9*MAX(1,N_Ed),(AG25+AH25)/2,AG25)</f>
        <v/>
      </c>
      <c r="AL25">
        <f>IF($AJ25&lt;N_Ed-1E-9*MAX(1,N_Ed),AH25,(AG25+AH25)/2)</f>
        <v/>
      </c>
      <c r="AM25">
        <f>h_col*((AK25+AL25)/2)/(1-(AK25+AL25)/2)</f>
        <v/>
      </c>
      <c r="AN25">
        <f>(f_cd*b_col*((3*MIN(AM25,h_col)/7)+(4*MIN(AM25,h_col)/7)*(1-((4*MIN(AM25,h_col)/7)/(AM25-(3*MIN(AM25,h_col)/7)))^2/3))+$D25/2*((MAX(-f_yd,MIN(f_yd,200000*IF(AM25&lt;=h_col,0.0035*(AM25-d_2)/AM25,0.002*(AM25-d_2)/(AM25-3*h_col/7))))-f_cd*(1-(1-MAX(0,MIN(1,IF(AM25&lt;=h_col,0.0035*(AM25-d_2)/AM25,0.002*(AM25-d_2)/(AM25-3*h_col/7))/0.002)))^2))+(MAX(-f_yd,MIN(f_yd,200000*IF(AM25&lt;=h_col,0.0035*(AM25-(h_col-d_2))/AM25,0.002*(AM25-(h_col-d_2))/(AM25-3*h_col/7))))-f_cd*(1-(1-MAX(0,MIN(1,IF(AM25&lt;=h_col,0.0035*(AM25-(h_col-d_2))/AM25,0.002*(AM25-(h_col-d_2))/(AM25-3*h_col/7))/0.002)))^2))))/1000</f>
        <v/>
      </c>
      <c r="AO25">
        <f>IF($AN25&lt;N_Ed-1E-9*MAX(1,N_Ed),(AK25+AL25)/2,AK25)</f>
        <v/>
      </c>
      <c r="AP25">
        <f>IF($AN25&lt;N_Ed-1E-9*MAX(1,N_Ed),AL25,(AK25+AL25)/2)</f>
        <v/>
      </c>
      <c r="AQ25">
        <f>h_col*((AO25+AP25)/2)/(1-(AO25+AP25)/2)</f>
        <v/>
      </c>
      <c r="AR25">
        <f>(f_cd*b_col*((3*MIN(AQ25,h_col)/7)+(4*MIN(AQ25,h_col)/7)*(1-((4*MIN(AQ25,h_col)/7)/(AQ25-(3*MIN(AQ25,h_col)/7)))^2/3))+$D25/2*((MAX(-f_yd,MIN(f_yd,200000*IF(AQ25&lt;=h_col,0.0035*(AQ25-d_2)/AQ25,0.002*(AQ25-d_2)/(AQ25-3*h_col/7))))-f_cd*(1-(1-MAX(0,MIN(1,IF(AQ25&lt;=h_col,0.0035*(AQ25-d_2)/AQ25,0.002*(AQ25-d_2)/(AQ25-3*h_col/7))/0.002)))^2))+(MAX(-f_yd,MIN(f_yd,200000*IF(AQ25&lt;=h_col,0.0035*(AQ25-(h_col-d_2))/AQ25,0.002*(AQ25-(h_col-d_2))/(AQ25-3*h_col/7))))-f_cd*(1-(1-MAX(0,MIN(1,IF(AQ25&lt;=h_col,0.0035*(AQ25-(h_col-d_2))/AQ25,0.002*(AQ25-(h_col-d_2))/(AQ25-3*h_col/7))/0.002)))^2))))/1000</f>
        <v/>
      </c>
      <c r="AS25">
        <f>IF($AR25&lt;N_Ed-1E-9*MAX(1,N_Ed),(AO25+AP25)/2,AO25)</f>
        <v/>
      </c>
      <c r="AT25">
        <f>IF($AR25&lt;N_Ed-1E-9*MAX(1,N_Ed),AP25,(AO25+AP25)/2)</f>
        <v/>
      </c>
      <c r="AU25">
        <f>h_col*((AS25+AT25)/2)/(1-(AS25+AT25)/2)</f>
        <v/>
      </c>
      <c r="AV25">
        <f>(f_cd*b_col*((3*MIN(AU25,h_col)/7)+(4*MIN(AU25,h_col)/7)*(1-((4*MIN(AU25,h_col)/7)/(AU25-(3*MIN(AU25,h_col)/7)))^2/3))+$D25/2*((MAX(-f_yd,MIN(f_yd,200000*IF(AU25&lt;=h_col,0.0035*(AU25-d_2)/AU25,0.002*(AU25-d_2)/(AU25-3*h_col/7))))-f_cd*(1-(1-MAX(0,MIN(1,IF(AU25&lt;=h_col,0.0035*(AU25-d_2)/AU25,0.002*(AU25-d_2)/(AU25-3*h_col/7))/0.002)))^2))+(MAX(-f_yd,MIN(f_yd,200000*IF(AU25&lt;=h_col,0.0035*(AU25-(h_col-d_2))/AU25,0.002*(AU25-(h_col-d_2))/(AU25-3*h_col/7))))-f_cd*(1-(1-MAX(0,MIN(1,IF(AU25&lt;=h_col,0.0035*(AU25-(h_col-d_2))/AU25,0.002*(AU25-(h_col-d_2))/(AU25-3*h_col/7))/0.002)))^2))))/1000</f>
        <v/>
      </c>
      <c r="AW25">
        <f>IF($AV25&lt;N_Ed-1E-9*MAX(1,N_Ed),(AS25+AT25)/2,AS25)</f>
        <v/>
      </c>
      <c r="AX25">
        <f>IF($AV25&lt;N_Ed-1E-9*MAX(1,N_Ed),AT25,(AS25+AT25)/2)</f>
        <v/>
      </c>
      <c r="AY25">
        <f>h_col*((AW25+AX25)/2)/(1-(AW25+AX25)/2)</f>
        <v/>
      </c>
      <c r="AZ25">
        <f>(f_cd*b_col*((3*MIN(AY25,h_col)/7)+(4*MIN(AY25,h_col)/7)*(1-((4*MIN(AY25,h_col)/7)/(AY25-(3*MIN(AY25,h_col)/7)))^2/3))+$D25/2*((MAX(-f_yd,MIN(f_yd,200000*IF(AY25&lt;=h_col,0.0035*(AY25-d_2)/AY25,0.002*(AY25-d_2)/(AY25-3*h_col/7))))-f_cd*(1-(1-MAX(0,MIN(1,IF(AY25&lt;=h_col,0.0035*(AY25-d_2)/AY25,0.002*(AY25-d_2)/(AY25-3*h_col/7))/0.002)))^2))+(MAX(-f_yd,MIN(f_yd,200000*IF(AY25&lt;=h_col,0.0035*(AY25-(h_col-d_2))/AY25,0.002*(AY25-(h_col-d_2))/(AY25-3*h_col/7))))-f_cd*(1-(1-MAX(0,MIN(1,IF(AY25&lt;=h_col,0.0035*(AY25-(h_col-d_2))/AY25,0.002*(AY25-(h_col-d_2))/(AY25-3*h_col/7))/0.002)))^2))))/1000</f>
        <v/>
      </c>
      <c r="BA25">
        <f>IF($AZ25&lt;N_Ed-1E-9*MAX(1,N_Ed),(AW25+AX25)/2,AW25)</f>
        <v/>
      </c>
      <c r="BB25">
        <f>IF($AZ25&lt;N_Ed-1E-9*MAX(1,N_Ed),AX25,(AW25+AX25)/2)</f>
        <v/>
      </c>
      <c r="BC25">
        <f>h_col*((BA25+BB25)/2)/(1-(BA25+BB25)/2)</f>
        <v/>
      </c>
      <c r="BD25">
        <f>(f_cd*b_col*((3*MIN(BC25,h_col)/7)+(4*MIN(BC25,h_col)/7)*(1-((4*MIN(BC25,h_col)/7)/(BC25-(3*MIN(BC25,h_col)/7)))^2/3))+$D25/2*((MAX(-f_yd,MIN(f_yd,200000*IF(BC25&lt;=h_col,0.0035*(BC25-d_2)/BC25,0.002*(BC25-d_2)/(BC25-3*h_col/7))))-f_cd*(1-(1-MAX(0,MIN(1,IF(BC25&lt;=h_col,0.0035*(BC25-d_2)/BC25,0.002*(BC25-d_2)/(BC25-3*h_col/7))/0.002)))^2))+(MAX(-f_yd,MIN(f_yd,200000*IF(BC25&lt;=h_col,0.0035*(BC25-(h_col-d_2))/BC25,0.002*(BC25-(h_col-d_2))/(BC25-3*h_col/7))))-f_cd*(1-(1-MAX(0,MIN(1,IF(BC25&lt;=h_col,0.0035*(BC25-(h_col-d_2))/BC25,0.002*(BC25-(h_col-d_2))/(BC25-3*h_col/7))/0.002)))^2))))/1000</f>
        <v/>
      </c>
      <c r="BE25">
        <f>IF($BD25&lt;N_Ed-1E-9*MAX(1,N_Ed),(BA25+BB25)/2,BA25)</f>
        <v/>
      </c>
      <c r="BF25">
        <f>IF($BD25&lt;N_Ed-1E-9*MAX(1,N_Ed),BB25,(BA25+BB25)/2)</f>
        <v/>
      </c>
      <c r="BG25">
        <f>h_col*((BE25+BF25)/2)/(1-(BE25+BF25)/2)</f>
        <v/>
      </c>
      <c r="BH25">
        <f>(f_cd*b_col*((3*MIN(BG25,h_col)/7)+(4*MIN(BG25,h_col)/7)*(1-((4*MIN(BG25,h_col)/7)/(BG25-(3*MIN(BG25,h_col)/7)))^2/3))+$D25/2*((MAX(-f_yd,MIN(f_yd,200000*IF(BG25&lt;=h_col,0.0035*(BG25-d_2)/BG25,0.002*(BG25-d_2)/(BG25-3*h_col/7))))-f_cd*(1-(1-MAX(0,MIN(1,IF(BG25&lt;=h_col,0.0035*(BG25-d_2)/BG25,0.002*(BG25-d_2)/(BG25-3*h_col/7))/0.002)))^2))+(MAX(-f_yd,MIN(f_yd,200000*IF(BG25&lt;=h_col,0.0035*(BG25-(h_col-d_2))/BG25,0.002*(BG25-(h_col-d_2))/(BG25-3*h_col/7))))-f_cd*(1-(1-MAX(0,MIN(1,IF(BG25&lt;=h_col,0.0035*(BG25-(h_col-d_2))/BG25,0.002*(BG25-(h_col-d_2))/(BG25-3*h_col/7))/0.002)))^2))))/1000</f>
        <v/>
      </c>
      <c r="BI25">
        <f>IF($BH25&lt;N_Ed-1E-9*MAX(1,N_Ed),(BE25+BF25)/2,BE25)</f>
        <v/>
      </c>
      <c r="BJ25">
        <f>IF($BH25&lt;N_Ed-1E-9*MAX(1,N_Ed),BF25,(BE25+BF25)/2)</f>
        <v/>
      </c>
      <c r="BK25">
        <f>h_col*((BI25+BJ25)/2)/(1-(BI25+BJ25)/2)</f>
        <v/>
      </c>
      <c r="BL25">
        <f>(f_cd*b_col*((3*MIN(BK25,h_col)/7)+(4*MIN(BK25,h_col)/7)*(1-((4*MIN(BK25,h_col)/7)/(BK25-(3*MIN(BK25,h_col)/7)))^2/3))+$D25/2*((MAX(-f_yd,MIN(f_yd,200000*IF(BK25&lt;=h_col,0.0035*(BK25-d_2)/BK25,0.002*(BK25-d_2)/(BK25-3*h_col/7))))-f_cd*(1-(1-MAX(0,MIN(1,IF(BK25&lt;=h_col,0.0035*(BK25-d_2)/BK25,0.002*(BK25-d_2)/(BK25-3*h_col/7))/0.002)))^2))+(MAX(-f_yd,MIN(f_yd,200000*IF(BK25&lt;=h_col,0.0035*(BK25-(h_col-d_2))/BK25,0.002*(BK25-(h_col-d_2))/(BK25-3*h_col/7))))-f_cd*(1-(1-MAX(0,MIN(1,IF(BK25&lt;=h_col,0.0035*(BK25-(h_col-d_2))/BK25,0.002*(BK25-(h_col-d_2))/(BK25-3*h_col/7))/0.002)))^2))))/1000</f>
        <v/>
      </c>
      <c r="BM25">
        <f>IF($BL25&lt;N_Ed-1E-9*MAX(1,N_Ed),(BI25+BJ25)/2,BI25)</f>
        <v/>
      </c>
      <c r="BN25">
        <f>IF($BL25&lt;N_Ed-1E-9*MAX(1,N_Ed),BJ25,(BI25+BJ25)/2)</f>
        <v/>
      </c>
      <c r="BO25">
        <f>h_col*((BM25+BN25)/2)/(1-(BM25+BN25)/2)</f>
        <v/>
      </c>
      <c r="BP25">
        <f>(f_cd*b_col*((3*MIN(BO25,h_col)/7)+(4*MIN(BO25,h_col)/7)*(1-((4*MIN(BO25,h_col)/7)/(BO25-(3*MIN(BO25,h_col)/7)))^2/3))+$D25/2*((MAX(-f_yd,MIN(f_yd,200000*IF(BO25&lt;=h_col,0.0035*(BO25-d_2)/BO25,0.002*(BO25-d_2)/(BO25-3*h_col/7))))-f_cd*(1-(1-MAX(0,MIN(1,IF(BO25&lt;=h_col,0.0035*(BO25-d_2)/BO25,0.002*(BO25-d_2)/(BO25-3*h_col/7))/0.002)))^2))+(MAX(-f_yd,MIN(f_yd,200000*IF(BO25&lt;=h_col,0.0035*(BO25-(h_col-d_2))/BO25,0.002*(BO25-(h_col-d_2))/(BO25-3*h_col/7))))-f_cd*(1-(1-MAX(0,MIN(1,IF(BO25&lt;=h_col,0.0035*(BO25-(h_col-d_2))/BO25,0.002*(BO25-(h_col-d_2))/(BO25-3*h_col/7))/0.002)))^2))))/1000</f>
        <v/>
      </c>
      <c r="BQ25">
        <f>IF($BP25&lt;N_Ed-1E-9*MAX(1,N_Ed),(BM25+BN25)/2,BM25)</f>
        <v/>
      </c>
      <c r="BR25">
        <f>IF($BP25&lt;N_Ed-1E-9*MAX(1,N_Ed),BN25,(BM25+BN25)/2)</f>
        <v/>
      </c>
      <c r="BS25">
        <f>h_col*((BQ25+BR25)/2)/(1-(BQ25+BR25)/2)</f>
        <v/>
      </c>
      <c r="BT25">
        <f>(f_cd*b_col*((3*MIN(BS25,h_col)/7)+(4*MIN(BS25,h_col)/7)*(1-((4*MIN(BS25,h_col)/7)/(BS25-(3*MIN(BS25,h_col)/7)))^2/3))+$D25/2*((MAX(-f_yd,MIN(f_yd,200000*IF(BS25&lt;=h_col,0.0035*(BS25-d_2)/BS25,0.002*(BS25-d_2)/(BS25-3*h_col/7))))-f_cd*(1-(1-MAX(0,MIN(1,IF(BS25&lt;=h_col,0.0035*(BS25-d_2)/BS25,0.002*(BS25-d_2)/(BS25-3*h_col/7))/0.002)))^2))+(MAX(-f_yd,MIN(f_yd,200000*IF(BS25&lt;=h_col,0.0035*(BS25-(h_col-d_2))/BS25,0.002*(BS25-(h_col-d_2))/(BS25-3*h_col/7))))-f_cd*(1-(1-MAX(0,MIN(1,IF(BS25&lt;=h_col,0.0035*(BS25-(h_col-d_2))/BS25,0.002*(BS25-(h_col-d_2))/(BS25-3*h_col/7))/0.002)))^2))))/1000</f>
        <v/>
      </c>
      <c r="BU25">
        <f>IF($BT25&lt;N_Ed-1E-9*MAX(1,N_Ed),(BQ25+BR25)/2,BQ25)</f>
        <v/>
      </c>
      <c r="BV25">
        <f>IF($BT25&lt;N_Ed-1E-9*MAX(1,N_Ed),BR25,(BQ25+BR25)/2)</f>
        <v/>
      </c>
      <c r="BW25">
        <f>h_col*((BU25+BV25)/2)/(1-(BU25+BV25)/2)</f>
        <v/>
      </c>
      <c r="BX25">
        <f>(f_cd*b_col*((3*MIN(BW25,h_col)/7)+(4*MIN(BW25,h_col)/7)*(1-((4*MIN(BW25,h_col)/7)/(BW25-(3*MIN(BW25,h_col)/7)))^2/3))+$D25/2*((MAX(-f_yd,MIN(f_yd,200000*IF(BW25&lt;=h_col,0.0035*(BW25-d_2)/BW25,0.002*(BW25-d_2)/(BW25-3*h_col/7))))-f_cd*(1-(1-MAX(0,MIN(1,IF(BW25&lt;=h_col,0.0035*(BW25-d_2)/BW25,0.002*(BW25-d_2)/(BW25-3*h_col/7))/0.002)))^2))+(MAX(-f_yd,MIN(f_yd,200000*IF(BW25&lt;=h_col,0.0035*(BW25-(h_col-d_2))/BW25,0.002*(BW25-(h_col-d_2))/(BW25-3*h_col/7))))-f_cd*(1-(1-MAX(0,MIN(1,IF(BW25&lt;=h_col,0.0035*(BW25-(h_col-d_2))/BW25,0.002*(BW25-(h_col-d_2))/(BW25-3*h_col/7))/0.002)))^2))))/1000</f>
        <v/>
      </c>
      <c r="BY25">
        <f>IF($BX25&lt;N_Ed-1E-9*MAX(1,N_Ed),(BU25+BV25)/2,BU25)</f>
        <v/>
      </c>
      <c r="BZ25">
        <f>IF($BX25&lt;N_Ed-1E-9*MAX(1,N_Ed),BV25,(BU25+BV25)/2)</f>
        <v/>
      </c>
      <c r="CA25">
        <f>h_col*((BY25+BZ25)/2)/(1-(BY25+BZ25)/2)</f>
        <v/>
      </c>
      <c r="CB25">
        <f>(f_cd*b_col*((3*MIN(CA25,h_col)/7)+(4*MIN(CA25,h_col)/7)*(1-((4*MIN(CA25,h_col)/7)/(CA25-(3*MIN(CA25,h_col)/7)))^2/3))+$D25/2*((MAX(-f_yd,MIN(f_yd,200000*IF(CA25&lt;=h_col,0.0035*(CA25-d_2)/CA25,0.002*(CA25-d_2)/(CA25-3*h_col/7))))-f_cd*(1-(1-MAX(0,MIN(1,IF(CA25&lt;=h_col,0.0035*(CA25-d_2)/CA25,0.002*(CA25-d_2)/(CA25-3*h_col/7))/0.002)))^2))+(MAX(-f_yd,MIN(f_yd,200000*IF(CA25&lt;=h_col,0.0035*(CA25-(h_col-d_2))/CA25,0.002*(CA25-(h_col-d_2))/(CA25-3*h_col/7))))-f_cd*(1-(1-MAX(0,MIN(1,IF(CA25&lt;=h_col,0.0035*(CA25-(h_col-d_2))/CA25,0.002*(CA25-(h_col-d_2))/(CA25-3*h_col/7))/0.002)))^2))))/1000</f>
        <v/>
      </c>
      <c r="CC25">
        <f>IF($CB25&lt;N_Ed-1E-9*MAX(1,N_Ed),(BY25+BZ25)/2,BY25)</f>
        <v/>
      </c>
      <c r="CD25">
        <f>IF($CB25&lt;N_Ed-1E-9*MAX(1,N_Ed),BZ25,(BY25+BZ25)/2)</f>
        <v/>
      </c>
      <c r="CE25">
        <f>h_col*((CC25+CD25)/2)/(1-(CC25+CD25)/2)</f>
        <v/>
      </c>
      <c r="CF25">
        <f>(f_cd*b_col*((3*MIN(CE25,h_col)/7)+(4*MIN(CE25,h_col)/7)*(1-((4*MIN(CE25,h_col)/7)/(CE25-(3*MIN(CE25,h_col)/7)))^2/3))+$D25/2*((MAX(-f_yd,MIN(f_yd,200000*IF(CE25&lt;=h_col,0.0035*(CE25-d_2)/CE25,0.002*(CE25-d_2)/(CE25-3*h_col/7))))-f_cd*(1-(1-MAX(0,MIN(1,IF(CE25&lt;=h_col,0.0035*(CE25-d_2)/CE25,0.002*(CE25-d_2)/(CE25-3*h_col/7))/0.002)))^2))+(MAX(-f_yd,MIN(f_yd,200000*IF(CE25&lt;=h_col,0.0035*(CE25-(h_col-d_2))/CE25,0.002*(CE25-(h_col-d_2))/(CE25-3*h_col/7))))-f_cd*(1-(1-MAX(0,MIN(1,IF(CE25&lt;=h_col,0.0035*(CE25-(h_col-d_2))/CE25,0.002*(CE25-(h_col-d_2))/(CE25-3*h_col/7))/0.002)))^2))))/1000</f>
        <v/>
      </c>
      <c r="CG25">
        <f>IF($CF25&lt;N_Ed-1E-9*MAX(1,N_Ed),(CC25+CD25)/2,CC25)</f>
        <v/>
      </c>
      <c r="CH25">
        <f>IF($CF25&lt;N_Ed-1E-9*MAX(1,N_Ed),CD25,(CC25+CD25)/2)</f>
        <v/>
      </c>
      <c r="CI25">
        <f>h_col*((CG25+CH25)/2)/(1-(CG25+CH25)/2)</f>
        <v/>
      </c>
      <c r="CJ25">
        <f>(f_cd*b_col*((3*MIN(CI25,h_col)/7)+(4*MIN(CI25,h_col)/7)*(1-((4*MIN(CI25,h_col)/7)/(CI25-(3*MIN(CI25,h_col)/7)))^2/3))+$D25/2*((MAX(-f_yd,MIN(f_yd,200000*IF(CI25&lt;=h_col,0.0035*(CI25-d_2)/CI25,0.002*(CI25-d_2)/(CI25-3*h_col/7))))-f_cd*(1-(1-MAX(0,MIN(1,IF(CI25&lt;=h_col,0.0035*(CI25-d_2)/CI25,0.002*(CI25-d_2)/(CI25-3*h_col/7))/0.002)))^2))+(MAX(-f_yd,MIN(f_yd,200000*IF(CI25&lt;=h_col,0.0035*(CI25-(h_col-d_2))/CI25,0.002*(CI25-(h_col-d_2))/(CI25-3*h_col/7))))-f_cd*(1-(1-MAX(0,MIN(1,IF(CI25&lt;=h_col,0.0035*(CI25-(h_col-d_2))/CI25,0.002*(CI25-(h_col-d_2))/(CI25-3*h_col/7))/0.002)))^2))))/1000</f>
        <v/>
      </c>
      <c r="CK25">
        <f>IF($CJ25&lt;N_Ed-1E-9*MAX(1,N_Ed),(CG25+CH25)/2,CG25)</f>
        <v/>
      </c>
      <c r="CL25">
        <f>IF($CJ25&lt;N_Ed-1E-9*MAX(1,N_Ed),CH25,(CG25+CH25)/2)</f>
        <v/>
      </c>
      <c r="CM25">
        <f>h_col*((CK25+CL25)/2)/(1-(CK25+CL25)/2)</f>
        <v/>
      </c>
      <c r="CN25">
        <f>(f_cd*b_col*((3*MIN(CM25,h_col)/7)+(4*MIN(CM25,h_col)/7)*(1-((4*MIN(CM25,h_col)/7)/(CM25-(3*MIN(CM25,h_col)/7)))^2/3))+$D25/2*((MAX(-f_yd,MIN(f_yd,200000*IF(CM25&lt;=h_col,0.0035*(CM25-d_2)/CM25,0.002*(CM25-d_2)/(CM25-3*h_col/7))))-f_cd*(1-(1-MAX(0,MIN(1,IF(CM25&lt;=h_col,0.0035*(CM25-d_2)/CM25,0.002*(CM25-d_2)/(CM25-3*h_col/7))/0.002)))^2))+(MAX(-f_yd,MIN(f_yd,200000*IF(CM25&lt;=h_col,0.0035*(CM25-(h_col-d_2))/CM25,0.002*(CM25-(h_col-d_2))/(CM25-3*h_col/7))))-f_cd*(1-(1-MAX(0,MIN(1,IF(CM25&lt;=h_col,0.0035*(CM25-(h_col-d_2))/CM25,0.002*(CM25-(h_col-d_2))/(CM25-3*h_col/7))/0.002)))^2))))/1000</f>
        <v/>
      </c>
      <c r="CO25">
        <f>IF($CN25&lt;N_Ed-1E-9*MAX(1,N_Ed),(CK25+CL25)/2,CK25)</f>
        <v/>
      </c>
      <c r="CP25">
        <f>IF($CN25&lt;N_Ed-1E-9*MAX(1,N_Ed),CL25,(CK25+CL25)/2)</f>
        <v/>
      </c>
      <c r="CQ25">
        <f>h_col*((CO25+CP25)/2)/(1-(CO25+CP25)/2)</f>
        <v/>
      </c>
      <c r="CR25">
        <f>(f_cd*b_col*((3*MIN(CQ25,h_col)/7)+(4*MIN(CQ25,h_col)/7)*(1-((4*MIN(CQ25,h_col)/7)/(CQ25-(3*MIN(CQ25,h_col)/7)))^2/3))+$D25/2*((MAX(-f_yd,MIN(f_yd,200000*IF(CQ25&lt;=h_col,0.0035*(CQ25-d_2)/CQ25,0.002*(CQ25-d_2)/(CQ25-3*h_col/7))))-f_cd*(1-(1-MAX(0,MIN(1,IF(CQ25&lt;=h_col,0.0035*(CQ25-d_2)/CQ25,0.002*(CQ25-d_2)/(CQ25-3*h_col/7))/0.002)))^2))+(MAX(-f_yd,MIN(f_yd,200000*IF(CQ25&lt;=h_col,0.0035*(CQ25-(h_col-d_2))/CQ25,0.002*(CQ25-(h_col-d_2))/(CQ25-3*h_col/7))))-f_cd*(1-(1-MAX(0,MIN(1,IF(CQ25&lt;=h_col,0.0035*(CQ25-(h_col-d_2))/CQ25,0.002*(CQ25-(h_col-d_2))/(CQ25-3*h_col/7))/0.002)))^2))))/1000</f>
        <v/>
      </c>
      <c r="CS25">
        <f>IF($CR25&lt;N_Ed-1E-9*MAX(1,N_Ed),(CO25+CP25)/2,CO25)</f>
        <v/>
      </c>
      <c r="CT25">
        <f>IF($CR25&lt;N_Ed-1E-9*MAX(1,N_Ed),CP25,(CO25+CP25)/2)</f>
        <v/>
      </c>
      <c r="CU25">
        <f>h_col*((CS25+CT25)/2)/(1-(CS25+CT25)/2)</f>
        <v/>
      </c>
      <c r="CV25">
        <f>(f_cd*b_col*((3*MIN(CU25,h_col)/7)+(4*MIN(CU25,h_col)/7)*(1-((4*MIN(CU25,h_col)/7)/(CU25-(3*MIN(CU25,h_col)/7)))^2/3))+$D25/2*((MAX(-f_yd,MIN(f_yd,200000*IF(CU25&lt;=h_col,0.0035*(CU25-d_2)/CU25,0.002*(CU25-d_2)/(CU25-3*h_col/7))))-f_cd*(1-(1-MAX(0,MIN(1,IF(CU25&lt;=h_col,0.0035*(CU25-d_2)/CU25,0.002*(CU25-d_2)/(CU25-3*h_col/7))/0.002)))^2))+(MAX(-f_yd,MIN(f_yd,200000*IF(CU25&lt;=h_col,0.0035*(CU25-(h_col-d_2))/CU25,0.002*(CU25-(h_col-d_2))/(CU25-3*h_col/7))))-f_cd*(1-(1-MAX(0,MIN(1,IF(CU25&lt;=h_col,0.0035*(CU25-(h_col-d_2))/CU25,0.002*(CU25-(h_col-d_2))/(CU25-3*h_col/7))/0.002)))^2))))/1000</f>
        <v/>
      </c>
      <c r="CW25">
        <f>IF($CV25&lt;N_Ed-1E-9*MAX(1,N_Ed),(CS25+CT25)/2,CS25)</f>
        <v/>
      </c>
      <c r="CX25">
        <f>IF($CV25&lt;N_Ed-1E-9*MAX(1,N_Ed),CT25,(CS25+CT25)/2)</f>
        <v/>
      </c>
      <c r="CY25">
        <f>h_col*((CW25+CX25)/2)/(1-(CW25+CX25)/2)</f>
        <v/>
      </c>
      <c r="CZ25">
        <f>(f_cd*b_col*((3*MIN(CY25,h_col)/7)+(4*MIN(CY25,h_col)/7)*(1-((4*MIN(CY25,h_col)/7)/(CY25-(3*MIN(CY25,h_col)/7)))^2/3))+$D25/2*((MAX(-f_yd,MIN(f_yd,200000*IF(CY25&lt;=h_col,0.0035*(CY25-d_2)/CY25,0.002*(CY25-d_2)/(CY25-3*h_col/7))))-f_cd*(1-(1-MAX(0,MIN(1,IF(CY25&lt;=h_col,0.0035*(CY25-d_2)/CY25,0.002*(CY25-d_2)/(CY25-3*h_col/7))/0.002)))^2))+(MAX(-f_yd,MIN(f_yd,200000*IF(CY25&lt;=h_col,0.0035*(CY25-(h_col-d_2))/CY25,0.002*(CY25-(h_col-d_2))/(CY25-3*h_col/7))))-f_cd*(1-(1-MAX(0,MIN(1,IF(CY25&lt;=h_col,0.0035*(CY25-(h_col-d_2))/CY25,0.002*(CY25-(h_col-d_2))/(CY25-3*h_col/7))/0.002)))^2))))/1000</f>
        <v/>
      </c>
      <c r="DA25">
        <f>IF($CZ25&lt;N_Ed-1E-9*MAX(1,N_Ed),(CW25+CX25)/2,CW25)</f>
        <v/>
      </c>
      <c r="DB25">
        <f>IF($CZ25&lt;N_Ed-1E-9*MAX(1,N_Ed),CX25,(CW25+CX25)/2)</f>
        <v/>
      </c>
      <c r="DC25">
        <f>h_col*((DA25+DB25)/2)/(1-(DA25+DB25)/2)</f>
        <v/>
      </c>
      <c r="DD25">
        <f>(f_cd*b_col*((3*MIN(DC25,h_col)/7)+(4*MIN(DC25,h_col)/7)*(1-((4*MIN(DC25,h_col)/7)/(DC25-(3*MIN(DC25,h_col)/7)))^2/3))+$D25/2*((MAX(-f_yd,MIN(f_yd,200000*IF(DC25&lt;=h_col,0.0035*(DC25-d_2)/DC25,0.002*(DC25-d_2)/(DC25-3*h_col/7))))-f_cd*(1-(1-MAX(0,MIN(1,IF(DC25&lt;=h_col,0.0035*(DC25-d_2)/DC25,0.002*(DC25-d_2)/(DC25-3*h_col/7))/0.002)))^2))+(MAX(-f_yd,MIN(f_yd,200000*IF(DC25&lt;=h_col,0.0035*(DC25-(h_col-d_2))/DC25,0.002*(DC25-(h_col-d_2))/(DC25-3*h_col/7))))-f_cd*(1-(1-MAX(0,MIN(1,IF(DC25&lt;=h_col,0.0035*(DC25-(h_col-d_2))/DC25,0.002*(DC25-(h_col-d_2))/(DC25-3*h_col/7))/0.002)))^2))))/1000</f>
        <v/>
      </c>
      <c r="DE25">
        <f>IF($DD25&lt;N_Ed-1E-9*MAX(1,N_Ed),(DA25+DB25)/2,DA25)</f>
        <v/>
      </c>
      <c r="DF25">
        <f>IF($DD25&lt;N_Ed-1E-9*MAX(1,N_Ed),DB25,(DA25+DB25)/2)</f>
        <v/>
      </c>
      <c r="DG25">
        <f>h_col*((DE25+DF25)/2)/(1-(DE25+DF25)/2)</f>
        <v/>
      </c>
      <c r="DH25">
        <f>(f_cd*b_col*((3*MIN(DG25,h_col)/7)+(4*MIN(DG25,h_col)/7)*(1-((4*MIN(DG25,h_col)/7)/(DG25-(3*MIN(DG25,h_col)/7)))^2/3))+$D25/2*((MAX(-f_yd,MIN(f_yd,200000*IF(DG25&lt;=h_col,0.0035*(DG25-d_2)/DG25,0.002*(DG25-d_2)/(DG25-3*h_col/7))))-f_cd*(1-(1-MAX(0,MIN(1,IF(DG25&lt;=h_col,0.0035*(DG25-d_2)/DG25,0.002*(DG25-d_2)/(DG25-3*h_col/7))/0.002)))^2))+(MAX(-f_yd,MIN(f_yd,200000*IF(DG25&lt;=h_col,0.0035*(DG25-(h_col-d_2))/DG25,0.002*(DG25-(h_col-d_2))/(DG25-3*h_col/7))))-f_cd*(1-(1-MAX(0,MIN(1,IF(DG25&lt;=h_col,0.0035*(DG25-(h_col-d_2))/DG25,0.002*(DG25-(h_col-d_2))/(DG25-3*h_col/7))/0.002)))^2))))/1000</f>
        <v/>
      </c>
      <c r="DI25">
        <f>IF($DH25&lt;N_Ed-1E-9*MAX(1,N_Ed),(DE25+DF25)/2,DE25)</f>
        <v/>
      </c>
      <c r="DJ25">
        <f>IF($DH25&lt;N_Ed-1E-9*MAX(1,N_Ed),DF25,(DE25+DF25)/2)</f>
        <v/>
      </c>
      <c r="DK25">
        <f>h_col*((DI25+DJ25)/2)/(1-(DI25+DJ25)/2)</f>
        <v/>
      </c>
      <c r="DL25">
        <f>(f_cd*b_col*((3*MIN(DK25,h_col)/7)+(4*MIN(DK25,h_col)/7)*(1-((4*MIN(DK25,h_col)/7)/(DK25-(3*MIN(DK25,h_col)/7)))^2/3))+$D25/2*((MAX(-f_yd,MIN(f_yd,200000*IF(DK25&lt;=h_col,0.0035*(DK25-d_2)/DK25,0.002*(DK25-d_2)/(DK25-3*h_col/7))))-f_cd*(1-(1-MAX(0,MIN(1,IF(DK25&lt;=h_col,0.0035*(DK25-d_2)/DK25,0.002*(DK25-d_2)/(DK25-3*h_col/7))/0.002)))^2))+(MAX(-f_yd,MIN(f_yd,200000*IF(DK25&lt;=h_col,0.0035*(DK25-(h_col-d_2))/DK25,0.002*(DK25-(h_col-d_2))/(DK25-3*h_col/7))))-f_cd*(1-(1-MAX(0,MIN(1,IF(DK25&lt;=h_col,0.0035*(DK25-(h_col-d_2))/DK25,0.002*(DK25-(h_col-d_2))/(DK25-3*h_col/7))/0.002)))^2))))/1000</f>
        <v/>
      </c>
      <c r="DM25">
        <f>IF($DL25&lt;N_Ed-1E-9*MAX(1,N_Ed),(DI25+DJ25)/2,DI25)</f>
        <v/>
      </c>
      <c r="DN25">
        <f>IF($DL25&lt;N_Ed-1E-9*MAX(1,N_Ed),DJ25,(DI25+DJ25)/2)</f>
        <v/>
      </c>
      <c r="DO25">
        <f>h_col*((DM25+DN25)/2)/(1-(DM25+DN25)/2)</f>
        <v/>
      </c>
      <c r="DP25">
        <f>(f_cd*b_col*((3*MIN(DO25,h_col)/7)+(4*MIN(DO25,h_col)/7)*(1-((4*MIN(DO25,h_col)/7)/(DO25-(3*MIN(DO25,h_col)/7)))^2/3))+$D25/2*((MAX(-f_yd,MIN(f_yd,200000*IF(DO25&lt;=h_col,0.0035*(DO25-d_2)/DO25,0.002*(DO25-d_2)/(DO25-3*h_col/7))))-f_cd*(1-(1-MAX(0,MIN(1,IF(DO25&lt;=h_col,0.0035*(DO25-d_2)/DO25,0.002*(DO25-d_2)/(DO25-3*h_col/7))/0.002)))^2))+(MAX(-f_yd,MIN(f_yd,200000*IF(DO25&lt;=h_col,0.0035*(DO25-(h_col-d_2))/DO25,0.002*(DO25-(h_col-d_2))/(DO25-3*h_col/7))))-f_cd*(1-(1-MAX(0,MIN(1,IF(DO25&lt;=h_col,0.0035*(DO25-(h_col-d_2))/DO25,0.002*(DO25-(h_col-d_2))/(DO25-3*h_col/7))/0.002)))^2))))/1000</f>
        <v/>
      </c>
      <c r="DQ25">
        <f>IF($DP25&lt;N_Ed-1E-9*MAX(1,N_Ed),(DM25+DN25)/2,DM25)</f>
        <v/>
      </c>
      <c r="DR25">
        <f>IF($DP25&lt;N_Ed-1E-9*MAX(1,N_Ed),DN25,(DM25+DN25)/2)</f>
        <v/>
      </c>
      <c r="DS25">
        <f>h_col*((DQ25+DR25)/2)/(1-(DQ25+DR25)/2)</f>
        <v/>
      </c>
      <c r="DT25">
        <f>(f_cd*b_col*((3*MIN(DS25,h_col)/7)+(4*MIN(DS25,h_col)/7)*(1-((4*MIN(DS25,h_col)/7)/(DS25-(3*MIN(DS25,h_col)/7)))^2/3))+$D25/2*((MAX(-f_yd,MIN(f_yd,200000*IF(DS25&lt;=h_col,0.0035*(DS25-d_2)/DS25,0.002*(DS25-d_2)/(DS25-3*h_col/7))))-f_cd*(1-(1-MAX(0,MIN(1,IF(DS25&lt;=h_col,0.0035*(DS25-d_2)/DS25,0.002*(DS25-d_2)/(DS25-3*h_col/7))/0.002)))^2))+(MAX(-f_yd,MIN(f_yd,200000*IF(DS25&lt;=h_col,0.0035*(DS25-(h_col-d_2))/DS25,0.002*(DS25-(h_col-d_2))/(DS25-3*h_col/7))))-f_cd*(1-(1-MAX(0,MIN(1,IF(DS25&lt;=h_col,0.0035*(DS25-(h_col-d_2))/DS25,0.002*(DS25-(h_col-d_2))/(DS25-3*h_col/7))/0.002)))^2))))/1000</f>
        <v/>
      </c>
      <c r="DU25">
        <f>IF($DT25&lt;N_Ed-1E-9*MAX(1,N_Ed),(DQ25+DR25)/2,DQ25)</f>
        <v/>
      </c>
      <c r="DV25">
        <f>IF($DT25&lt;N_Ed-1E-9*MAX(1,N_Ed),DR25,(DQ25+DR25)/2)</f>
        <v/>
      </c>
      <c r="DW25">
        <f>h_col*((DU25+DV25)/2)/(1-(DU25+DV25)/2)</f>
        <v/>
      </c>
      <c r="DX25">
        <f>(f_cd*b_col*((3*MIN(DW25,h_col)/7)+(4*MIN(DW25,h_col)/7)*(1-((4*MIN(DW25,h_col)/7)/(DW25-(3*MIN(DW25,h_col)/7)))^2/3))+$D25/2*((MAX(-f_yd,MIN(f_yd,200000*IF(DW25&lt;=h_col,0.0035*(DW25-d_2)/DW25,0.002*(DW25-d_2)/(DW25-3*h_col/7))))-f_cd*(1-(1-MAX(0,MIN(1,IF(DW25&lt;=h_col,0.0035*(DW25-d_2)/DW25,0.002*(DW25-d_2)/(DW25-3*h_col/7))/0.002)))^2))+(MAX(-f_yd,MIN(f_yd,200000*IF(DW25&lt;=h_col,0.0035*(DW25-(h_col-d_2))/DW25,0.002*(DW25-(h_col-d_2))/(DW25-3*h_col/7))))-f_cd*(1-(1-MAX(0,MIN(1,IF(DW25&lt;=h_col,0.0035*(DW25-(h_col-d_2))/DW25,0.002*(DW25-(h_col-d_2))/(DW25-3*h_col/7))/0.002)))^2))))/1000</f>
        <v/>
      </c>
      <c r="DY25">
        <f>IF($DX25&lt;N_Ed-1E-9*MAX(1,N_Ed),(DU25+DV25)/2,DU25)</f>
        <v/>
      </c>
      <c r="DZ25">
        <f>IF($DX25&lt;N_Ed-1E-9*MAX(1,N_Ed),DV25,(DU25+DV25)/2)</f>
        <v/>
      </c>
      <c r="EA25">
        <f>h_col*((DY25+DZ25)/2)/(1-(DY25+DZ25)/2)</f>
        <v/>
      </c>
      <c r="EB25">
        <f>(f_cd*b_col*((3*MIN(EA25,h_col)/7)+(4*MIN(EA25,h_col)/7)*(1-((4*MIN(EA25,h_col)/7)/(EA25-(3*MIN(EA25,h_col)/7)))^2/3))+$D25/2*((MAX(-f_yd,MIN(f_yd,200000*IF(EA25&lt;=h_col,0.0035*(EA25-d_2)/EA25,0.002*(EA25-d_2)/(EA25-3*h_col/7))))-f_cd*(1-(1-MAX(0,MIN(1,IF(EA25&lt;=h_col,0.0035*(EA25-d_2)/EA25,0.002*(EA25-d_2)/(EA25-3*h_col/7))/0.002)))^2))+(MAX(-f_yd,MIN(f_yd,200000*IF(EA25&lt;=h_col,0.0035*(EA25-(h_col-d_2))/EA25,0.002*(EA25-(h_col-d_2))/(EA25-3*h_col/7))))-f_cd*(1-(1-MAX(0,MIN(1,IF(EA25&lt;=h_col,0.0035*(EA25-(h_col-d_2))/EA25,0.002*(EA25-(h_col-d_2))/(EA25-3*h_col/7))/0.002)))^2))))/1000</f>
        <v/>
      </c>
      <c r="EC25">
        <f>IF($EB25&lt;N_Ed-1E-9*MAX(1,N_Ed),(DY25+DZ25)/2,DY25)</f>
        <v/>
      </c>
      <c r="ED25">
        <f>IF($EB25&lt;N_Ed-1E-9*MAX(1,N_Ed),DZ25,(DY25+DZ25)/2)</f>
        <v/>
      </c>
      <c r="EE25">
        <f>h_col*((EC25+ED25)/2)/(1-(EC25+ED25)/2)</f>
        <v/>
      </c>
      <c r="EF25">
        <f>(f_cd*b_col*((3*MIN(EE25,h_col)/7)+(4*MIN(EE25,h_col)/7)*(1-((4*MIN(EE25,h_col)/7)/(EE25-(3*MIN(EE25,h_col)/7)))^2/3))+$D25/2*((MAX(-f_yd,MIN(f_yd,200000*IF(EE25&lt;=h_col,0.0035*(EE25-d_2)/EE25,0.002*(EE25-d_2)/(EE25-3*h_col/7))))-f_cd*(1-(1-MAX(0,MIN(1,IF(EE25&lt;=h_col,0.0035*(EE25-d_2)/EE25,0.002*(EE25-d_2)/(EE25-3*h_col/7))/0.002)))^2))+(MAX(-f_yd,MIN(f_yd,200000*IF(EE25&lt;=h_col,0.0035*(EE25-(h_col-d_2))/EE25,0.002*(EE25-(h_col-d_2))/(EE25-3*h_col/7))))-f_cd*(1-(1-MAX(0,MIN(1,IF(EE25&lt;=h_col,0.0035*(EE25-(h_col-d_2))/EE25,0.002*(EE25-(h_col-d_2))/(EE25-3*h_col/7))/0.002)))^2))))/1000</f>
        <v/>
      </c>
      <c r="EG25">
        <f>IF($EF25&lt;N_Ed-1E-9*MAX(1,N_Ed),(EC25+ED25)/2,EC25)</f>
        <v/>
      </c>
      <c r="EH25">
        <f>IF($EF25&lt;N_Ed-1E-9*MAX(1,N_Ed),ED25,(EC25+ED25)/2)</f>
        <v/>
      </c>
      <c r="EI25">
        <f>h_col*((EG25+EH25)/2)/(1-(EG25+EH25)/2)</f>
        <v/>
      </c>
      <c r="EJ25">
        <f>(f_cd*b_col*((3*MIN(EI25,h_col)/7)+(4*MIN(EI25,h_col)/7)*(1-((4*MIN(EI25,h_col)/7)/(EI25-(3*MIN(EI25,h_col)/7)))^2/3))+$D25/2*((MAX(-f_yd,MIN(f_yd,200000*IF(EI25&lt;=h_col,0.0035*(EI25-d_2)/EI25,0.002*(EI25-d_2)/(EI25-3*h_col/7))))-f_cd*(1-(1-MAX(0,MIN(1,IF(EI25&lt;=h_col,0.0035*(EI25-d_2)/EI25,0.002*(EI25-d_2)/(EI25-3*h_col/7))/0.002)))^2))+(MAX(-f_yd,MIN(f_yd,200000*IF(EI25&lt;=h_col,0.0035*(EI25-(h_col-d_2))/EI25,0.002*(EI25-(h_col-d_2))/(EI25-3*h_col/7))))-f_cd*(1-(1-MAX(0,MIN(1,IF(EI25&lt;=h_col,0.0035*(EI25-(h_col-d_2))/EI25,0.002*(EI25-(h_col-d_2))/(EI25-3*h_col/7))/0.002)))^2))))/1000</f>
        <v/>
      </c>
      <c r="EK25">
        <f>IF($EJ25&lt;N_Ed-1E-9*MAX(1,N_Ed),(EG25+EH25)/2,EG25)</f>
        <v/>
      </c>
      <c r="EL25">
        <f>IF($EJ25&lt;N_Ed-1E-9*MAX(1,N_Ed),EH25,(EG25+EH25)/2)</f>
        <v/>
      </c>
      <c r="EM25">
        <f>h_col*((EK25+EL25)/2)/(1-(EK25+EL25)/2)</f>
        <v/>
      </c>
      <c r="EN25">
        <f>(f_cd*b_col*((3*MIN(EM25,h_col)/7)+(4*MIN(EM25,h_col)/7)*(1-((4*MIN(EM25,h_col)/7)/(EM25-(3*MIN(EM25,h_col)/7)))^2/3))+$D25/2*((MAX(-f_yd,MIN(f_yd,200000*IF(EM25&lt;=h_col,0.0035*(EM25-d_2)/EM25,0.002*(EM25-d_2)/(EM25-3*h_col/7))))-f_cd*(1-(1-MAX(0,MIN(1,IF(EM25&lt;=h_col,0.0035*(EM25-d_2)/EM25,0.002*(EM25-d_2)/(EM25-3*h_col/7))/0.002)))^2))+(MAX(-f_yd,MIN(f_yd,200000*IF(EM25&lt;=h_col,0.0035*(EM25-(h_col-d_2))/EM25,0.002*(EM25-(h_col-d_2))/(EM25-3*h_col/7))))-f_cd*(1-(1-MAX(0,MIN(1,IF(EM25&lt;=h_col,0.0035*(EM25-(h_col-d_2))/EM25,0.002*(EM25-(h_col-d_2))/(EM25-3*h_col/7))/0.002)))^2))))/1000</f>
        <v/>
      </c>
      <c r="EO25">
        <f>IF($EN25&lt;N_Ed-1E-9*MAX(1,N_Ed),(EK25+EL25)/2,EK25)</f>
        <v/>
      </c>
      <c r="EP25">
        <f>IF($EN25&lt;N_Ed-1E-9*MAX(1,N_Ed),EL25,(EK25+EL25)/2)</f>
        <v/>
      </c>
      <c r="EQ25">
        <f>h_col*((EO25+EP25)/2)/(1-(EO25+EP25)/2)</f>
        <v/>
      </c>
      <c r="ER25">
        <f>(f_cd*b_col*((3*MIN(EQ25,h_col)/7)+(4*MIN(EQ25,h_col)/7)*(1-((4*MIN(EQ25,h_col)/7)/(EQ25-(3*MIN(EQ25,h_col)/7)))^2/3))+$D25/2*((MAX(-f_yd,MIN(f_yd,200000*IF(EQ25&lt;=h_col,0.0035*(EQ25-d_2)/EQ25,0.002*(EQ25-d_2)/(EQ25-3*h_col/7))))-f_cd*(1-(1-MAX(0,MIN(1,IF(EQ25&lt;=h_col,0.0035*(EQ25-d_2)/EQ25,0.002*(EQ25-d_2)/(EQ25-3*h_col/7))/0.002)))^2))+(MAX(-f_yd,MIN(f_yd,200000*IF(EQ25&lt;=h_col,0.0035*(EQ25-(h_col-d_2))/EQ25,0.002*(EQ25-(h_col-d_2))/(EQ25-3*h_col/7))))-f_cd*(1-(1-MAX(0,MIN(1,IF(EQ25&lt;=h_col,0.0035*(EQ25-(h_col-d_2))/EQ25,0.002*(EQ25-(h_col-d_2))/(EQ25-3*h_col/7))/0.002)))^2))))/1000</f>
        <v/>
      </c>
      <c r="ES25">
        <f>IF($ER25&lt;N_Ed-1E-9*MAX(1,N_Ed),(EO25+EP25)/2,EO25)</f>
        <v/>
      </c>
      <c r="ET25">
        <f>IF($ER25&lt;N_Ed-1E-9*MAX(1,N_Ed),EP25,(EO25+EP25)/2)</f>
        <v/>
      </c>
      <c r="EU25">
        <f>h_col*((ES25+ET25)/2)/(1-(ES25+ET25)/2)</f>
        <v/>
      </c>
      <c r="EV25">
        <f>(f_cd*b_col*((3*MIN(EU25,h_col)/7)+(4*MIN(EU25,h_col)/7)*(1-((4*MIN(EU25,h_col)/7)/(EU25-(3*MIN(EU25,h_col)/7)))^2/3))+$D25/2*((MAX(-f_yd,MIN(f_yd,200000*IF(EU25&lt;=h_col,0.0035*(EU25-d_2)/EU25,0.002*(EU25-d_2)/(EU25-3*h_col/7))))-f_cd*(1-(1-MAX(0,MIN(1,IF(EU25&lt;=h_col,0.0035*(EU25-d_2)/EU25,0.002*(EU25-d_2)/(EU25-3*h_col/7))/0.002)))^2))+(MAX(-f_yd,MIN(f_yd,200000*IF(EU25&lt;=h_col,0.0035*(EU25-(h_col-d_2))/EU25,0.002*(EU25-(h_col-d_2))/(EU25-3*h_col/7))))-f_cd*(1-(1-MAX(0,MIN(1,IF(EU25&lt;=h_col,0.0035*(EU25-(h_col-d_2))/EU25,0.002*(EU25-(h_col-d_2))/(EU25-3*h_col/7))/0.002)))^2))))/1000</f>
        <v/>
      </c>
      <c r="EW25">
        <f>IF($EV25&lt;N_Ed-1E-9*MAX(1,N_Ed),(ES25+ET25)/2,ES25)</f>
        <v/>
      </c>
      <c r="EX25">
        <f>IF($EV25&lt;N_Ed-1E-9*MAX(1,N_Ed),ET25,(ES25+ET25)/2)</f>
        <v/>
      </c>
      <c r="EY25">
        <f>h_col*((EW25+EX25)/2)/(1-(EW25+EX25)/2)</f>
        <v/>
      </c>
      <c r="EZ25">
        <f>(f_cd*b_col*((3*MIN(EY25,h_col)/7)+(4*MIN(EY25,h_col)/7)*(1-((4*MIN(EY25,h_col)/7)/(EY25-(3*MIN(EY25,h_col)/7)))^2/3))+$D25/2*((MAX(-f_yd,MIN(f_yd,200000*IF(EY25&lt;=h_col,0.0035*(EY25-d_2)/EY25,0.002*(EY25-d_2)/(EY25-3*h_col/7))))-f_cd*(1-(1-MAX(0,MIN(1,IF(EY25&lt;=h_col,0.0035*(EY25-d_2)/EY25,0.002*(EY25-d_2)/(EY25-3*h_col/7))/0.002)))^2))+(MAX(-f_yd,MIN(f_yd,200000*IF(EY25&lt;=h_col,0.0035*(EY25-(h_col-d_2))/EY25,0.002*(EY25-(h_col-d_2))/(EY25-3*h_col/7))))-f_cd*(1-(1-MAX(0,MIN(1,IF(EY25&lt;=h_col,0.0035*(EY25-(h_col-d_2))/EY25,0.002*(EY25-(h_col-d_2))/(EY25-3*h_col/7))/0.002)))^2))))/1000</f>
        <v/>
      </c>
      <c r="FA25">
        <f>IF($EZ25&lt;N_Ed-1E-9*MAX(1,N_Ed),(EW25+EX25)/2,EW25)</f>
        <v/>
      </c>
      <c r="FB25">
        <f>IF($EZ25&lt;N_Ed-1E-9*MAX(1,N_Ed),EX25,(EW25+EX25)/2)</f>
        <v/>
      </c>
      <c r="FC25">
        <f>h_col*((FA25+FB25)/2)/(1-(FA25+FB25)/2)</f>
        <v/>
      </c>
      <c r="FD25">
        <f>(f_cd*b_col*((3*MIN(FC25,h_col)/7)+(4*MIN(FC25,h_col)/7)*(1-((4*MIN(FC25,h_col)/7)/(FC25-(3*MIN(FC25,h_col)/7)))^2/3))+$D25/2*((MAX(-f_yd,MIN(f_yd,200000*IF(FC25&lt;=h_col,0.0035*(FC25-d_2)/FC25,0.002*(FC25-d_2)/(FC25-3*h_col/7))))-f_cd*(1-(1-MAX(0,MIN(1,IF(FC25&lt;=h_col,0.0035*(FC25-d_2)/FC25,0.002*(FC25-d_2)/(FC25-3*h_col/7))/0.002)))^2))+(MAX(-f_yd,MIN(f_yd,200000*IF(FC25&lt;=h_col,0.0035*(FC25-(h_col-d_2))/FC25,0.002*(FC25-(h_col-d_2))/(FC25-3*h_col/7))))-f_cd*(1-(1-MAX(0,MIN(1,IF(FC25&lt;=h_col,0.0035*(FC25-(h_col-d_2))/FC25,0.002*(FC25-(h_col-d_2))/(FC25-3*h_col/7))/0.002)))^2))))/1000</f>
        <v/>
      </c>
      <c r="FE25">
        <f>IF($FD25&lt;N_Ed-1E-9*MAX(1,N_Ed),(FA25+FB25)/2,FA25)</f>
        <v/>
      </c>
      <c r="FF25">
        <f>IF($FD25&lt;N_Ed-1E-9*MAX(1,N_Ed),FB25,(FA25+FB25)/2)</f>
        <v/>
      </c>
      <c r="FG25">
        <f>h_col*((FE25+FF25)/2)/(1-(FE25+FF25)/2)</f>
        <v/>
      </c>
      <c r="FH25">
        <f>(f_cd*b_col*((3*MIN(FG25,h_col)/7)+(4*MIN(FG25,h_col)/7)*(1-((4*MIN(FG25,h_col)/7)/(FG25-(3*MIN(FG25,h_col)/7)))^2/3))+$D25/2*((MAX(-f_yd,MIN(f_yd,200000*IF(FG25&lt;=h_col,0.0035*(FG25-d_2)/FG25,0.002*(FG25-d_2)/(FG25-3*h_col/7))))-f_cd*(1-(1-MAX(0,MIN(1,IF(FG25&lt;=h_col,0.0035*(FG25-d_2)/FG25,0.002*(FG25-d_2)/(FG25-3*h_col/7))/0.002)))^2))+(MAX(-f_yd,MIN(f_yd,200000*IF(FG25&lt;=h_col,0.0035*(FG25-(h_col-d_2))/FG25,0.002*(FG25-(h_col-d_2))/(FG25-3*h_col/7))))-f_cd*(1-(1-MAX(0,MIN(1,IF(FG25&lt;=h_col,0.0035*(FG25-(h_col-d_2))/FG25,0.002*(FG25-(h_col-d_2))/(FG25-3*h_col/7))/0.002)))^2))))/1000</f>
        <v/>
      </c>
      <c r="FI25">
        <f>IF($FH25&lt;N_Ed-1E-9*MAX(1,N_Ed),(FE25+FF25)/2,FE25)</f>
        <v/>
      </c>
      <c r="FJ25">
        <f>IF($FH25&lt;N_Ed-1E-9*MAX(1,N_Ed),FF25,(FE25+FF25)/2)</f>
        <v/>
      </c>
      <c r="FK25">
        <f>h_col*((FI25+FJ25)/2)/(1-(FI25+FJ25)/2)</f>
        <v/>
      </c>
      <c r="FL25">
        <f>(f_cd*b_col*((3*MIN(FK25,h_col)/7)+(4*MIN(FK25,h_col)/7)*(1-((4*MIN(FK25,h_col)/7)/(FK25-(3*MIN(FK25,h_col)/7)))^2/3))+$D25/2*((MAX(-f_yd,MIN(f_yd,200000*IF(FK25&lt;=h_col,0.0035*(FK25-d_2)/FK25,0.002*(FK25-d_2)/(FK25-3*h_col/7))))-f_cd*(1-(1-MAX(0,MIN(1,IF(FK25&lt;=h_col,0.0035*(FK25-d_2)/FK25,0.002*(FK25-d_2)/(FK25-3*h_col/7))/0.002)))^2))+(MAX(-f_yd,MIN(f_yd,200000*IF(FK25&lt;=h_col,0.0035*(FK25-(h_col-d_2))/FK25,0.002*(FK25-(h_col-d_2))/(FK25-3*h_col/7))))-f_cd*(1-(1-MAX(0,MIN(1,IF(FK25&lt;=h_col,0.0035*(FK25-(h_col-d_2))/FK25,0.002*(FK25-(h_col-d_2))/(FK25-3*h_col/7))/0.002)))^2))))/1000</f>
        <v/>
      </c>
      <c r="FM25">
        <f>IF($FL25&lt;N_Ed-1E-9*MAX(1,N_Ed),(FI25+FJ25)/2,FI25)</f>
        <v/>
      </c>
      <c r="FN25">
        <f>IF($FL25&lt;N_Ed-1E-9*MAX(1,N_Ed),FJ25,(FI25+FJ25)/2)</f>
        <v/>
      </c>
      <c r="FO25">
        <f>h_col*((FM25+FN25)/2)/(1-(FM25+FN25)/2)</f>
        <v/>
      </c>
      <c r="FP25">
        <f>(f_cd*b_col*((3*MIN(FO25,h_col)/7)+(4*MIN(FO25,h_col)/7)*(1-((4*MIN(FO25,h_col)/7)/(FO25-(3*MIN(FO25,h_col)/7)))^2/3))+$D25/2*((MAX(-f_yd,MIN(f_yd,200000*IF(FO25&lt;=h_col,0.0035*(FO25-d_2)/FO25,0.002*(FO25-d_2)/(FO25-3*h_col/7))))-f_cd*(1-(1-MAX(0,MIN(1,IF(FO25&lt;=h_col,0.0035*(FO25-d_2)/FO25,0.002*(FO25-d_2)/(FO25-3*h_col/7))/0.002)))^2))+(MAX(-f_yd,MIN(f_yd,200000*IF(FO25&lt;=h_col,0.0035*(FO25-(h_col-d_2))/FO25,0.002*(FO25-(h_col-d_2))/(FO25-3*h_col/7))))-f_cd*(1-(1-MAX(0,MIN(1,IF(FO25&lt;=h_col,0.0035*(FO25-(h_col-d_2))/FO25,0.002*(FO25-(h_col-d_2))/(FO25-3*h_col/7))/0.002)))^2))))/1000</f>
        <v/>
      </c>
      <c r="FQ25">
        <f>IF($FP25&lt;N_Ed-1E-9*MAX(1,N_Ed),(FM25+FN25)/2,FM25)</f>
        <v/>
      </c>
      <c r="FR25">
        <f>IF($FP25&lt;N_Ed-1E-9*MAX(1,N_Ed),FN25,(FM25+FN25)/2)</f>
        <v/>
      </c>
      <c r="FS25">
        <f>h_col*((FQ25+FR25)/2)/(1-(FQ25+FR25)/2)</f>
        <v/>
      </c>
      <c r="FT25">
        <f>(f_cd*b_col*((3*MIN(FS25,h_col)/7)+(4*MIN(FS25,h_col)/7)*(1-((4*MIN(FS25,h_col)/7)/(FS25-(3*MIN(FS25,h_col)/7)))^2/3))+$D25/2*((MAX(-f_yd,MIN(f_yd,200000*IF(FS25&lt;=h_col,0.0035*(FS25-d_2)/FS25,0.002*(FS25-d_2)/(FS25-3*h_col/7))))-f_cd*(1-(1-MAX(0,MIN(1,IF(FS25&lt;=h_col,0.0035*(FS25-d_2)/FS25,0.002*(FS25-d_2)/(FS25-3*h_col/7))/0.002)))^2))+(MAX(-f_yd,MIN(f_yd,200000*IF(FS25&lt;=h_col,0.0035*(FS25-(h_col-d_2))/FS25,0.002*(FS25-(h_col-d_2))/(FS25-3*h_col/7))))-f_cd*(1-(1-MAX(0,MIN(1,IF(FS25&lt;=h_col,0.0035*(FS25-(h_col-d_2))/FS25,0.002*(FS25-(h_col-d_2))/(FS25-3*h_col/7))/0.002)))^2))))/1000</f>
        <v/>
      </c>
      <c r="FU25">
        <f>IF($FT25&lt;N_Ed-1E-9*MAX(1,N_Ed),(FQ25+FR25)/2,FQ25)</f>
        <v/>
      </c>
      <c r="FV25">
        <f>IF($FT25&lt;N_Ed-1E-9*MAX(1,N_Ed),FR25,(FQ25+FR25)/2)</f>
        <v/>
      </c>
      <c r="FW25">
        <f>h_col*((FU25+FV25)/2)/(1-(FU25+FV25)/2)</f>
        <v/>
      </c>
      <c r="FX25">
        <f>(f_cd*b_col*((3*MIN(FW25,h_col)/7)+(4*MIN(FW25,h_col)/7)*(1-((4*MIN(FW25,h_col)/7)/(FW25-(3*MIN(FW25,h_col)/7)))^2/3))+$D25/2*((MAX(-f_yd,MIN(f_yd,200000*IF(FW25&lt;=h_col,0.0035*(FW25-d_2)/FW25,0.002*(FW25-d_2)/(FW25-3*h_col/7))))-f_cd*(1-(1-MAX(0,MIN(1,IF(FW25&lt;=h_col,0.0035*(FW25-d_2)/FW25,0.002*(FW25-d_2)/(FW25-3*h_col/7))/0.002)))^2))+(MAX(-f_yd,MIN(f_yd,200000*IF(FW25&lt;=h_col,0.0035*(FW25-(h_col-d_2))/FW25,0.002*(FW25-(h_col-d_2))/(FW25-3*h_col/7))))-f_cd*(1-(1-MAX(0,MIN(1,IF(FW25&lt;=h_col,0.0035*(FW25-(h_col-d_2))/FW25,0.002*(FW25-(h_col-d_2))/(FW25-3*h_col/7))/0.002)))^2))))/1000</f>
        <v/>
      </c>
      <c r="FY25">
        <f>IF($FX25&lt;N_Ed-1E-9*MAX(1,N_Ed),(FU25+FV25)/2,FU25)</f>
        <v/>
      </c>
      <c r="FZ25">
        <f>IF($FX25&lt;N_Ed-1E-9*MAX(1,N_Ed),FV25,(FU25+FV25)/2)</f>
        <v/>
      </c>
      <c r="GA25">
        <f>h_col*((FY25+FZ25)/2)/(1-(FY25+FZ25)/2)</f>
        <v/>
      </c>
      <c r="GB25">
        <f>(f_cd*b_col*((3*MIN(GA25,h_col)/7)+(4*MIN(GA25,h_col)/7)*(1-((4*MIN(GA25,h_col)/7)/(GA25-(3*MIN(GA25,h_col)/7)))^2/3))+$D25/2*((MAX(-f_yd,MIN(f_yd,200000*IF(GA25&lt;=h_col,0.0035*(GA25-d_2)/GA25,0.002*(GA25-d_2)/(GA25-3*h_col/7))))-f_cd*(1-(1-MAX(0,MIN(1,IF(GA25&lt;=h_col,0.0035*(GA25-d_2)/GA25,0.002*(GA25-d_2)/(GA25-3*h_col/7))/0.002)))^2))+(MAX(-f_yd,MIN(f_yd,200000*IF(GA25&lt;=h_col,0.0035*(GA25-(h_col-d_2))/GA25,0.002*(GA25-(h_col-d_2))/(GA25-3*h_col/7))))-f_cd*(1-(1-MAX(0,MIN(1,IF(GA25&lt;=h_col,0.0035*(GA25-(h_col-d_2))/GA25,0.002*(GA25-(h_col-d_2))/(GA25-3*h_col/7))/0.002)))^2))))/1000</f>
        <v/>
      </c>
      <c r="GC25">
        <f>IF($GB25&lt;N_Ed-1E-9*MAX(1,N_Ed),(FY25+FZ25)/2,FY25)</f>
        <v/>
      </c>
      <c r="GD25">
        <f>IF($GB25&lt;N_Ed-1E-9*MAX(1,N_Ed),FZ25,(FY25+FZ25)/2)</f>
        <v/>
      </c>
      <c r="GE25">
        <f>h_col*((GC25+GD25)/2)/(1-(GC25+GD25)/2)</f>
        <v/>
      </c>
      <c r="GF25">
        <f>(f_cd*b_col*((3*MIN(GE25,h_col)/7)+(4*MIN(GE25,h_col)/7)*(1-((4*MIN(GE25,h_col)/7)/(GE25-(3*MIN(GE25,h_col)/7)))^2/3))+$D25/2*((MAX(-f_yd,MIN(f_yd,200000*IF(GE25&lt;=h_col,0.0035*(GE25-d_2)/GE25,0.002*(GE25-d_2)/(GE25-3*h_col/7))))-f_cd*(1-(1-MAX(0,MIN(1,IF(GE25&lt;=h_col,0.0035*(GE25-d_2)/GE25,0.002*(GE25-d_2)/(GE25-3*h_col/7))/0.002)))^2))+(MAX(-f_yd,MIN(f_yd,200000*IF(GE25&lt;=h_col,0.0035*(GE25-(h_col-d_2))/GE25,0.002*(GE25-(h_col-d_2))/(GE25-3*h_col/7))))-f_cd*(1-(1-MAX(0,MIN(1,IF(GE25&lt;=h_col,0.0035*(GE25-(h_col-d_2))/GE25,0.002*(GE25-(h_col-d_2))/(GE25-3*h_col/7))/0.002)))^2))))/1000</f>
        <v/>
      </c>
      <c r="GG25">
        <f>IF($GF25&lt;N_Ed-1E-9*MAX(1,N_Ed),(GC25+GD25)/2,GC25)</f>
        <v/>
      </c>
      <c r="GH25">
        <f>IF($GF25&lt;N_Ed-1E-9*MAX(1,N_Ed),GD25,(GC25+GD25)/2)</f>
        <v/>
      </c>
      <c r="GI25">
        <f>h_col*((GG25+GH25)/2)/(1-(GG25+GH25)/2)</f>
        <v/>
      </c>
      <c r="GJ25">
        <f>(f_cd*b_col*((3*MIN(GI25,h_col)/7)+(4*MIN(GI25,h_col)/7)*(1-((4*MIN(GI25,h_col)/7)/(GI25-(3*MIN(GI25,h_col)/7)))^2/3))+$D25/2*((MAX(-f_yd,MIN(f_yd,200000*IF(GI25&lt;=h_col,0.0035*(GI25-d_2)/GI25,0.002*(GI25-d_2)/(GI25-3*h_col/7))))-f_cd*(1-(1-MAX(0,MIN(1,IF(GI25&lt;=h_col,0.0035*(GI25-d_2)/GI25,0.002*(GI25-d_2)/(GI25-3*h_col/7))/0.002)))^2))+(MAX(-f_yd,MIN(f_yd,200000*IF(GI25&lt;=h_col,0.0035*(GI25-(h_col-d_2))/GI25,0.002*(GI25-(h_col-d_2))/(GI25-3*h_col/7))))-f_cd*(1-(1-MAX(0,MIN(1,IF(GI25&lt;=h_col,0.0035*(GI25-(h_col-d_2))/GI25,0.002*(GI25-(h_col-d_2))/(GI25-3*h_col/7))/0.002)))^2))))/1000</f>
        <v/>
      </c>
      <c r="GK25">
        <f>IF($GJ25&lt;N_Ed-1E-9*MAX(1,N_Ed),(GG25+GH25)/2,GG25)</f>
        <v/>
      </c>
      <c r="GL25">
        <f>IF($GJ25&lt;N_Ed-1E-9*MAX(1,N_Ed),GH25,(GG25+GH25)/2)</f>
        <v/>
      </c>
      <c r="GM25">
        <f>h_col*((GK25+GL25)/2)/(1-(GK25+GL25)/2)</f>
        <v/>
      </c>
      <c r="GN25">
        <f>(f_cd*b_col*((3*MIN(GM25,h_col)/7)+(4*MIN(GM25,h_col)/7)*(1-((4*MIN(GM25,h_col)/7)/(GM25-(3*MIN(GM25,h_col)/7)))^2/3))+$D25/2*((MAX(-f_yd,MIN(f_yd,200000*IF(GM25&lt;=h_col,0.0035*(GM25-d_2)/GM25,0.002*(GM25-d_2)/(GM25-3*h_col/7))))-f_cd*(1-(1-MAX(0,MIN(1,IF(GM25&lt;=h_col,0.0035*(GM25-d_2)/GM25,0.002*(GM25-d_2)/(GM25-3*h_col/7))/0.002)))^2))+(MAX(-f_yd,MIN(f_yd,200000*IF(GM25&lt;=h_col,0.0035*(GM25-(h_col-d_2))/GM25,0.002*(GM25-(h_col-d_2))/(GM25-3*h_col/7))))-f_cd*(1-(1-MAX(0,MIN(1,IF(GM25&lt;=h_col,0.0035*(GM25-(h_col-d_2))/GM25,0.002*(GM25-(h_col-d_2))/(GM25-3*h_col/7))/0.002)))^2))))/1000</f>
        <v/>
      </c>
      <c r="GO25">
        <f>IF($GN25&lt;N_Ed-1E-9*MAX(1,N_Ed),(GK25+GL25)/2,GK25)</f>
        <v/>
      </c>
      <c r="GP25">
        <f>IF($GN25&lt;N_Ed-1E-9*MAX(1,N_Ed),GL25,(GK25+GL25)/2)</f>
        <v/>
      </c>
      <c r="GQ25">
        <f>h_col*((GO25+GP25)/2)/(1-(GO25+GP25)/2)</f>
        <v/>
      </c>
      <c r="GR25">
        <f>(f_cd*b_col*((3*MIN(GQ25,h_col)/7)+(4*MIN(GQ25,h_col)/7)*(1-((4*MIN(GQ25,h_col)/7)/(GQ25-(3*MIN(GQ25,h_col)/7)))^2/3))+$D25/2*((MAX(-f_yd,MIN(f_yd,200000*IF(GQ25&lt;=h_col,0.0035*(GQ25-d_2)/GQ25,0.002*(GQ25-d_2)/(GQ25-3*h_col/7))))-f_cd*(1-(1-MAX(0,MIN(1,IF(GQ25&lt;=h_col,0.0035*(GQ25-d_2)/GQ25,0.002*(GQ25-d_2)/(GQ25-3*h_col/7))/0.002)))^2))+(MAX(-f_yd,MIN(f_yd,200000*IF(GQ25&lt;=h_col,0.0035*(GQ25-(h_col-d_2))/GQ25,0.002*(GQ25-(h_col-d_2))/(GQ25-3*h_col/7))))-f_cd*(1-(1-MAX(0,MIN(1,IF(GQ25&lt;=h_col,0.0035*(GQ25-(h_col-d_2))/GQ25,0.002*(GQ25-(h_col-d_2))/(GQ25-3*h_col/7))/0.002)))^2))))/1000</f>
        <v/>
      </c>
      <c r="GS25">
        <f>IF($GR25&lt;N_Ed-1E-9*MAX(1,N_Ed),(GO25+GP25)/2,GO25)</f>
        <v/>
      </c>
      <c r="GT25">
        <f>IF($GR25&lt;N_Ed-1E-9*MAX(1,N_Ed),GP25,(GO25+GP25)/2)</f>
        <v/>
      </c>
      <c r="GU25">
        <f>h_col*((GS25+GT25)/2)/(1-(GS25+GT25)/2)</f>
        <v/>
      </c>
      <c r="GV25">
        <f>(f_cd*b_col*((3*MIN(GU25,h_col)/7)+(4*MIN(GU25,h_col)/7)*(1-((4*MIN(GU25,h_col)/7)/(GU25-(3*MIN(GU25,h_col)/7)))^2/3))+$D25/2*((MAX(-f_yd,MIN(f_yd,200000*IF(GU25&lt;=h_col,0.0035*(GU25-d_2)/GU25,0.002*(GU25-d_2)/(GU25-3*h_col/7))))-f_cd*(1-(1-MAX(0,MIN(1,IF(GU25&lt;=h_col,0.0035*(GU25-d_2)/GU25,0.002*(GU25-d_2)/(GU25-3*h_col/7))/0.002)))^2))+(MAX(-f_yd,MIN(f_yd,200000*IF(GU25&lt;=h_col,0.0035*(GU25-(h_col-d_2))/GU25,0.002*(GU25-(h_col-d_2))/(GU25-3*h_col/7))))-f_cd*(1-(1-MAX(0,MIN(1,IF(GU25&lt;=h_col,0.0035*(GU25-(h_col-d_2))/GU25,0.002*(GU25-(h_col-d_2))/(GU25-3*h_col/7))/0.002)))^2))))/1000</f>
        <v/>
      </c>
      <c r="GW25">
        <f>GU25</f>
        <v/>
      </c>
      <c r="GX25">
        <f>(f_cd*b_col*((3*MIN(GW25,h_col)/7)+(4*MIN(GW25,h_col)/7)*(1-((4*MIN(GW25,h_col)/7)/(GW25-(3*MIN(GW25,h_col)/7)))^2/3))+$D25/2*((MAX(-f_yd,MIN(f_yd,200000*IF(GW25&lt;=h_col,0.0035*(GW25-d_2)/GW25,0.002*(GW25-d_2)/(GW25-3*h_col/7))))-f_cd*(1-(1-MAX(0,MIN(1,IF(GW25&lt;=h_col,0.0035*(GW25-d_2)/GW25,0.002*(GW25-d_2)/(GW25-3*h_col/7))/0.002)))^2))+(MAX(-f_yd,MIN(f_yd,200000*IF(GW25&lt;=h_col,0.0035*(GW25-(h_col-d_2))/GW25,0.002*(GW25-(h_col-d_2))/(GW25-3*h_col/7))))-f_cd*(1-(1-MAX(0,MIN(1,IF(GW25&lt;=h_col,0.0035*(GW25-(h_col-d_2))/GW25,0.002*(GW25-(h_col-d_2))/(GW25-3*h_col/7))/0.002)))^2))))/1000</f>
        <v/>
      </c>
      <c r="GY25">
        <f>(f_cd*b_col*((3*MIN(GW25,h_col)/7)*(h_col/2-(3*MIN(GW25,h_col)/7)/2)+(4*MIN(GW25,h_col)/7)*((h_col/2-(3*MIN(GW25,h_col)/7))*(1-((4*MIN(GW25,h_col)/7)/(GW25-(3*MIN(GW25,h_col)/7)))^2/3)-(4*MIN(GW25,h_col)/7)*(0.5-((4*MIN(GW25,h_col)/7)/(GW25-(3*MIN(GW25,h_col)/7)))^2/4)))+$D25/2*((MAX(-f_yd,MIN(f_yd,200000*IF(GW25&lt;=h_col,0.0035*(GW25-d_2)/GW25,0.002*(GW25-d_2)/(GW25-3*h_col/7))))-f_cd*(1-(1-MAX(0,MIN(1,IF(GW25&lt;=h_col,0.0035*(GW25-d_2)/GW25,0.002*(GW25-d_2)/(GW25-3*h_col/7))/0.002)))^2))-(MAX(-f_yd,MIN(f_yd,200000*IF(GW25&lt;=h_col,0.0035*(GW25-(h_col-d_2))/GW25,0.002*(GW25-(h_col-d_2))/(GW25-3*h_col/7))))-f_cd*(1-(1-MAX(0,MIN(1,IF(GW25&lt;=h_col,0.0035*(GW25-(h_col-d_2))/GW25,0.002*(GW25-(h_col-d_2))/(GW25-3*h_col/7))/0.002)))^2)))*(h_col/2-d_2))/1E6</f>
        <v/>
      </c>
      <c r="GZ25">
        <f>GX25&gt;=N_Ed-1E-6*MAX(1,N_Ed)</f>
        <v/>
      </c>
      <c r="HA25">
        <f>IF(GZ25,GY25,-1E9)</f>
        <v/>
      </c>
    </row>
    <row r="26">
      <c r="A26" t="n">
        <v>21</v>
      </c>
      <c r="B26">
        <f>IF($HA25&gt;=M_d,$B25,$D25)</f>
        <v/>
      </c>
      <c r="C26">
        <f>IF($HA25&gt;=M_d,$D25,$C25)</f>
        <v/>
      </c>
      <c r="D26">
        <f>($B26+$C26)/2</f>
        <v/>
      </c>
      <c r="E26" t="n">
        <v>0</v>
      </c>
      <c r="F26">
        <f>1-1E-12</f>
        <v/>
      </c>
      <c r="G26">
        <f>h_col*((E26+F26)/2)/(1-(E26+F26)/2)</f>
        <v/>
      </c>
      <c r="H26">
        <f>(f_cd*b_col*((3*MIN(G26,h_col)/7)+(4*MIN(G26,h_col)/7)*(1-((4*MIN(G26,h_col)/7)/(G26-(3*MIN(G26,h_col)/7)))^2/3))+$D26/2*((MAX(-f_yd,MIN(f_yd,200000*IF(G26&lt;=h_col,0.0035*(G26-d_2)/G26,0.002*(G26-d_2)/(G26-3*h_col/7))))-f_cd*(1-(1-MAX(0,MIN(1,IF(G26&lt;=h_col,0.0035*(G26-d_2)/G26,0.002*(G26-d_2)/(G26-3*h_col/7))/0.002)))^2))+(MAX(-f_yd,MIN(f_yd,200000*IF(G26&lt;=h_col,0.0035*(G26-(h_col-d_2))/G26,0.002*(G26-(h_col-d_2))/(G26-3*h_col/7))))-f_cd*(1-(1-MAX(0,MIN(1,IF(G26&lt;=h_col,0.0035*(G26-(h_col-d_2))/G26,0.002*(G26-(h_col-d_2))/(G26-3*h_col/7))/0.002)))^2))))/1000</f>
        <v/>
      </c>
      <c r="I26">
        <f>IF($H26&lt;N_Ed-1E-9*MAX(1,N_Ed),(E26+F26)/2,E26)</f>
        <v/>
      </c>
      <c r="J26">
        <f>IF($H26&lt;N_Ed-1E-9*MAX(1,N_Ed),F26,(E26+F26)/2)</f>
        <v/>
      </c>
      <c r="K26">
        <f>h_col*((I26+J26)/2)/(1-(I26+J26)/2)</f>
        <v/>
      </c>
      <c r="L26">
        <f>(f_cd*b_col*((3*MIN(K26,h_col)/7)+(4*MIN(K26,h_col)/7)*(1-((4*MIN(K26,h_col)/7)/(K26-(3*MIN(K26,h_col)/7)))^2/3))+$D26/2*((MAX(-f_yd,MIN(f_yd,200000*IF(K26&lt;=h_col,0.0035*(K26-d_2)/K26,0.002*(K26-d_2)/(K26-3*h_col/7))))-f_cd*(1-(1-MAX(0,MIN(1,IF(K26&lt;=h_col,0.0035*(K26-d_2)/K26,0.002*(K26-d_2)/(K26-3*h_col/7))/0.002)))^2))+(MAX(-f_yd,MIN(f_yd,200000*IF(K26&lt;=h_col,0.0035*(K26-(h_col-d_2))/K26,0.002*(K26-(h_col-d_2))/(K26-3*h_col/7))))-f_cd*(1-(1-MAX(0,MIN(1,IF(K26&lt;=h_col,0.0035*(K26-(h_col-d_2))/K26,0.002*(K26-(h_col-d_2))/(K26-3*h_col/7))/0.002)))^2))))/1000</f>
        <v/>
      </c>
      <c r="M26">
        <f>IF($L26&lt;N_Ed-1E-9*MAX(1,N_Ed),(I26+J26)/2,I26)</f>
        <v/>
      </c>
      <c r="N26">
        <f>IF($L26&lt;N_Ed-1E-9*MAX(1,N_Ed),J26,(I26+J26)/2)</f>
        <v/>
      </c>
      <c r="O26">
        <f>h_col*((M26+N26)/2)/(1-(M26+N26)/2)</f>
        <v/>
      </c>
      <c r="P26">
        <f>(f_cd*b_col*((3*MIN(O26,h_col)/7)+(4*MIN(O26,h_col)/7)*(1-((4*MIN(O26,h_col)/7)/(O26-(3*MIN(O26,h_col)/7)))^2/3))+$D26/2*((MAX(-f_yd,MIN(f_yd,200000*IF(O26&lt;=h_col,0.0035*(O26-d_2)/O26,0.002*(O26-d_2)/(O26-3*h_col/7))))-f_cd*(1-(1-MAX(0,MIN(1,IF(O26&lt;=h_col,0.0035*(O26-d_2)/O26,0.002*(O26-d_2)/(O26-3*h_col/7))/0.002)))^2))+(MAX(-f_yd,MIN(f_yd,200000*IF(O26&lt;=h_col,0.0035*(O26-(h_col-d_2))/O26,0.002*(O26-(h_col-d_2))/(O26-3*h_col/7))))-f_cd*(1-(1-MAX(0,MIN(1,IF(O26&lt;=h_col,0.0035*(O26-(h_col-d_2))/O26,0.002*(O26-(h_col-d_2))/(O26-3*h_col/7))/0.002)))^2))))/1000</f>
        <v/>
      </c>
      <c r="Q26">
        <f>IF($P26&lt;N_Ed-1E-9*MAX(1,N_Ed),(M26+N26)/2,M26)</f>
        <v/>
      </c>
      <c r="R26">
        <f>IF($P26&lt;N_Ed-1E-9*MAX(1,N_Ed),N26,(M26+N26)/2)</f>
        <v/>
      </c>
      <c r="S26">
        <f>h_col*((Q26+R26)/2)/(1-(Q26+R26)/2)</f>
        <v/>
      </c>
      <c r="T26">
        <f>(f_cd*b_col*((3*MIN(S26,h_col)/7)+(4*MIN(S26,h_col)/7)*(1-((4*MIN(S26,h_col)/7)/(S26-(3*MIN(S26,h_col)/7)))^2/3))+$D26/2*((MAX(-f_yd,MIN(f_yd,200000*IF(S26&lt;=h_col,0.0035*(S26-d_2)/S26,0.002*(S26-d_2)/(S26-3*h_col/7))))-f_cd*(1-(1-MAX(0,MIN(1,IF(S26&lt;=h_col,0.0035*(S26-d_2)/S26,0.002*(S26-d_2)/(S26-3*h_col/7))/0.002)))^2))+(MAX(-f_yd,MIN(f_yd,200000*IF(S26&lt;=h_col,0.0035*(S26-(h_col-d_2))/S26,0.002*(S26-(h_col-d_2))/(S26-3*h_col/7))))-f_cd*(1-(1-MAX(0,MIN(1,IF(S26&lt;=h_col,0.0035*(S26-(h_col-d_2))/S26,0.002*(S26-(h_col-d_2))/(S26-3*h_col/7))/0.002)))^2))))/1000</f>
        <v/>
      </c>
      <c r="U26">
        <f>IF($T26&lt;N_Ed-1E-9*MAX(1,N_Ed),(Q26+R26)/2,Q26)</f>
        <v/>
      </c>
      <c r="V26">
        <f>IF($T26&lt;N_Ed-1E-9*MAX(1,N_Ed),R26,(Q26+R26)/2)</f>
        <v/>
      </c>
      <c r="W26">
        <f>h_col*((U26+V26)/2)/(1-(U26+V26)/2)</f>
        <v/>
      </c>
      <c r="X26">
        <f>(f_cd*b_col*((3*MIN(W26,h_col)/7)+(4*MIN(W26,h_col)/7)*(1-((4*MIN(W26,h_col)/7)/(W26-(3*MIN(W26,h_col)/7)))^2/3))+$D26/2*((MAX(-f_yd,MIN(f_yd,200000*IF(W26&lt;=h_col,0.0035*(W26-d_2)/W26,0.002*(W26-d_2)/(W26-3*h_col/7))))-f_cd*(1-(1-MAX(0,MIN(1,IF(W26&lt;=h_col,0.0035*(W26-d_2)/W26,0.002*(W26-d_2)/(W26-3*h_col/7))/0.002)))^2))+(MAX(-f_yd,MIN(f_yd,200000*IF(W26&lt;=h_col,0.0035*(W26-(h_col-d_2))/W26,0.002*(W26-(h_col-d_2))/(W26-3*h_col/7))))-f_cd*(1-(1-MAX(0,MIN(1,IF(W26&lt;=h_col,0.0035*(W26-(h_col-d_2))/W26,0.002*(W26-(h_col-d_2))/(W26-3*h_col/7))/0.002)))^2))))/1000</f>
        <v/>
      </c>
      <c r="Y26">
        <f>IF($X26&lt;N_Ed-1E-9*MAX(1,N_Ed),(U26+V26)/2,U26)</f>
        <v/>
      </c>
      <c r="Z26">
        <f>IF($X26&lt;N_Ed-1E-9*MAX(1,N_Ed),V26,(U26+V26)/2)</f>
        <v/>
      </c>
      <c r="AA26">
        <f>h_col*((Y26+Z26)/2)/(1-(Y26+Z26)/2)</f>
        <v/>
      </c>
      <c r="AB26">
        <f>(f_cd*b_col*((3*MIN(AA26,h_col)/7)+(4*MIN(AA26,h_col)/7)*(1-((4*MIN(AA26,h_col)/7)/(AA26-(3*MIN(AA26,h_col)/7)))^2/3))+$D26/2*((MAX(-f_yd,MIN(f_yd,200000*IF(AA26&lt;=h_col,0.0035*(AA26-d_2)/AA26,0.002*(AA26-d_2)/(AA26-3*h_col/7))))-f_cd*(1-(1-MAX(0,MIN(1,IF(AA26&lt;=h_col,0.0035*(AA26-d_2)/AA26,0.002*(AA26-d_2)/(AA26-3*h_col/7))/0.002)))^2))+(MAX(-f_yd,MIN(f_yd,200000*IF(AA26&lt;=h_col,0.0035*(AA26-(h_col-d_2))/AA26,0.002*(AA26-(h_col-d_2))/(AA26-3*h_col/7))))-f_cd*(1-(1-MAX(0,MIN(1,IF(AA26&lt;=h_col,0.0035*(AA26-(h_col-d_2))/AA26,0.002*(AA26-(h_col-d_2))/(AA26-3*h_col/7))/0.002)))^2))))/1000</f>
        <v/>
      </c>
      <c r="AC26">
        <f>IF($AB26&lt;N_Ed-1E-9*MAX(1,N_Ed),(Y26+Z26)/2,Y26)</f>
        <v/>
      </c>
      <c r="AD26">
        <f>IF($AB26&lt;N_Ed-1E-9*MAX(1,N_Ed),Z26,(Y26+Z26)/2)</f>
        <v/>
      </c>
      <c r="AE26">
        <f>h_col*((AC26+AD26)/2)/(1-(AC26+AD26)/2)</f>
        <v/>
      </c>
      <c r="AF26">
        <f>(f_cd*b_col*((3*MIN(AE26,h_col)/7)+(4*MIN(AE26,h_col)/7)*(1-((4*MIN(AE26,h_col)/7)/(AE26-(3*MIN(AE26,h_col)/7)))^2/3))+$D26/2*((MAX(-f_yd,MIN(f_yd,200000*IF(AE26&lt;=h_col,0.0035*(AE26-d_2)/AE26,0.002*(AE26-d_2)/(AE26-3*h_col/7))))-f_cd*(1-(1-MAX(0,MIN(1,IF(AE26&lt;=h_col,0.0035*(AE26-d_2)/AE26,0.002*(AE26-d_2)/(AE26-3*h_col/7))/0.002)))^2))+(MAX(-f_yd,MIN(f_yd,200000*IF(AE26&lt;=h_col,0.0035*(AE26-(h_col-d_2))/AE26,0.002*(AE26-(h_col-d_2))/(AE26-3*h_col/7))))-f_cd*(1-(1-MAX(0,MIN(1,IF(AE26&lt;=h_col,0.0035*(AE26-(h_col-d_2))/AE26,0.002*(AE26-(h_col-d_2))/(AE26-3*h_col/7))/0.002)))^2))))/1000</f>
        <v/>
      </c>
      <c r="AG26">
        <f>IF($AF26&lt;N_Ed-1E-9*MAX(1,N_Ed),(AC26+AD26)/2,AC26)</f>
        <v/>
      </c>
      <c r="AH26">
        <f>IF($AF26&lt;N_Ed-1E-9*MAX(1,N_Ed),AD26,(AC26+AD26)/2)</f>
        <v/>
      </c>
      <c r="AI26">
        <f>h_col*((AG26+AH26)/2)/(1-(AG26+AH26)/2)</f>
        <v/>
      </c>
      <c r="AJ26">
        <f>(f_cd*b_col*((3*MIN(AI26,h_col)/7)+(4*MIN(AI26,h_col)/7)*(1-((4*MIN(AI26,h_col)/7)/(AI26-(3*MIN(AI26,h_col)/7)))^2/3))+$D26/2*((MAX(-f_yd,MIN(f_yd,200000*IF(AI26&lt;=h_col,0.0035*(AI26-d_2)/AI26,0.002*(AI26-d_2)/(AI26-3*h_col/7))))-f_cd*(1-(1-MAX(0,MIN(1,IF(AI26&lt;=h_col,0.0035*(AI26-d_2)/AI26,0.002*(AI26-d_2)/(AI26-3*h_col/7))/0.002)))^2))+(MAX(-f_yd,MIN(f_yd,200000*IF(AI26&lt;=h_col,0.0035*(AI26-(h_col-d_2))/AI26,0.002*(AI26-(h_col-d_2))/(AI26-3*h_col/7))))-f_cd*(1-(1-MAX(0,MIN(1,IF(AI26&lt;=h_col,0.0035*(AI26-(h_col-d_2))/AI26,0.002*(AI26-(h_col-d_2))/(AI26-3*h_col/7))/0.002)))^2))))/1000</f>
        <v/>
      </c>
      <c r="AK26">
        <f>IF($AJ26&lt;N_Ed-1E-9*MAX(1,N_Ed),(AG26+AH26)/2,AG26)</f>
        <v/>
      </c>
      <c r="AL26">
        <f>IF($AJ26&lt;N_Ed-1E-9*MAX(1,N_Ed),AH26,(AG26+AH26)/2)</f>
        <v/>
      </c>
      <c r="AM26">
        <f>h_col*((AK26+AL26)/2)/(1-(AK26+AL26)/2)</f>
        <v/>
      </c>
      <c r="AN26">
        <f>(f_cd*b_col*((3*MIN(AM26,h_col)/7)+(4*MIN(AM26,h_col)/7)*(1-((4*MIN(AM26,h_col)/7)/(AM26-(3*MIN(AM26,h_col)/7)))^2/3))+$D26/2*((MAX(-f_yd,MIN(f_yd,200000*IF(AM26&lt;=h_col,0.0035*(AM26-d_2)/AM26,0.002*(AM26-d_2)/(AM26-3*h_col/7))))-f_cd*(1-(1-MAX(0,MIN(1,IF(AM26&lt;=h_col,0.0035*(AM26-d_2)/AM26,0.002*(AM26-d_2)/(AM26-3*h_col/7))/0.002)))^2))+(MAX(-f_yd,MIN(f_yd,200000*IF(AM26&lt;=h_col,0.0035*(AM26-(h_col-d_2))/AM26,0.002*(AM26-(h_col-d_2))/(AM26-3*h_col/7))))-f_cd*(1-(1-MAX(0,MIN(1,IF(AM26&lt;=h_col,0.0035*(AM26-(h_col-d_2))/AM26,0.002*(AM26-(h_col-d_2))/(AM26-3*h_col/7))/0.002)))^2))))/1000</f>
        <v/>
      </c>
      <c r="AO26">
        <f>IF($AN26&lt;N_Ed-1E-9*MAX(1,N_Ed),(AK26+AL26)/2,AK26)</f>
        <v/>
      </c>
      <c r="AP26">
        <f>IF($AN26&lt;N_Ed-1E-9*MAX(1,N_Ed),AL26,(AK26+AL26)/2)</f>
        <v/>
      </c>
      <c r="AQ26">
        <f>h_col*((AO26+AP26)/2)/(1-(AO26+AP26)/2)</f>
        <v/>
      </c>
      <c r="AR26">
        <f>(f_cd*b_col*((3*MIN(AQ26,h_col)/7)+(4*MIN(AQ26,h_col)/7)*(1-((4*MIN(AQ26,h_col)/7)/(AQ26-(3*MIN(AQ26,h_col)/7)))^2/3))+$D26/2*((MAX(-f_yd,MIN(f_yd,200000*IF(AQ26&lt;=h_col,0.0035*(AQ26-d_2)/AQ26,0.002*(AQ26-d_2)/(AQ26-3*h_col/7))))-f_cd*(1-(1-MAX(0,MIN(1,IF(AQ26&lt;=h_col,0.0035*(AQ26-d_2)/AQ26,0.002*(AQ26-d_2)/(AQ26-3*h_col/7))/0.002)))^2))+(MAX(-f_yd,MIN(f_yd,200000*IF(AQ26&lt;=h_col,0.0035*(AQ26-(h_col-d_2))/AQ26,0.002*(AQ26-(h_col-d_2))/(AQ26-3*h_col/7))))-f_cd*(1-(1-MAX(0,MIN(1,IF(AQ26&lt;=h_col,0.0035*(AQ26-(h_col-d_2))/AQ26,0.002*(AQ26-(h_col-d_2))/(AQ26-3*h_col/7))/0.002)))^2))))/1000</f>
        <v/>
      </c>
      <c r="AS26">
        <f>IF($AR26&lt;N_Ed-1E-9*MAX(1,N_Ed),(AO26+AP26)/2,AO26)</f>
        <v/>
      </c>
      <c r="AT26">
        <f>IF($AR26&lt;N_Ed-1E-9*MAX(1,N_Ed),AP26,(AO26+AP26)/2)</f>
        <v/>
      </c>
      <c r="AU26">
        <f>h_col*((AS26+AT26)/2)/(1-(AS26+AT26)/2)</f>
        <v/>
      </c>
      <c r="AV26">
        <f>(f_cd*b_col*((3*MIN(AU26,h_col)/7)+(4*MIN(AU26,h_col)/7)*(1-((4*MIN(AU26,h_col)/7)/(AU26-(3*MIN(AU26,h_col)/7)))^2/3))+$D26/2*((MAX(-f_yd,MIN(f_yd,200000*IF(AU26&lt;=h_col,0.0035*(AU26-d_2)/AU26,0.002*(AU26-d_2)/(AU26-3*h_col/7))))-f_cd*(1-(1-MAX(0,MIN(1,IF(AU26&lt;=h_col,0.0035*(AU26-d_2)/AU26,0.002*(AU26-d_2)/(AU26-3*h_col/7))/0.002)))^2))+(MAX(-f_yd,MIN(f_yd,200000*IF(AU26&lt;=h_col,0.0035*(AU26-(h_col-d_2))/AU26,0.002*(AU26-(h_col-d_2))/(AU26-3*h_col/7))))-f_cd*(1-(1-MAX(0,MIN(1,IF(AU26&lt;=h_col,0.0035*(AU26-(h_col-d_2))/AU26,0.002*(AU26-(h_col-d_2))/(AU26-3*h_col/7))/0.002)))^2))))/1000</f>
        <v/>
      </c>
      <c r="AW26">
        <f>IF($AV26&lt;N_Ed-1E-9*MAX(1,N_Ed),(AS26+AT26)/2,AS26)</f>
        <v/>
      </c>
      <c r="AX26">
        <f>IF($AV26&lt;N_Ed-1E-9*MAX(1,N_Ed),AT26,(AS26+AT26)/2)</f>
        <v/>
      </c>
      <c r="AY26">
        <f>h_col*((AW26+AX26)/2)/(1-(AW26+AX26)/2)</f>
        <v/>
      </c>
      <c r="AZ26">
        <f>(f_cd*b_col*((3*MIN(AY26,h_col)/7)+(4*MIN(AY26,h_col)/7)*(1-((4*MIN(AY26,h_col)/7)/(AY26-(3*MIN(AY26,h_col)/7)))^2/3))+$D26/2*((MAX(-f_yd,MIN(f_yd,200000*IF(AY26&lt;=h_col,0.0035*(AY26-d_2)/AY26,0.002*(AY26-d_2)/(AY26-3*h_col/7))))-f_cd*(1-(1-MAX(0,MIN(1,IF(AY26&lt;=h_col,0.0035*(AY26-d_2)/AY26,0.002*(AY26-d_2)/(AY26-3*h_col/7))/0.002)))^2))+(MAX(-f_yd,MIN(f_yd,200000*IF(AY26&lt;=h_col,0.0035*(AY26-(h_col-d_2))/AY26,0.002*(AY26-(h_col-d_2))/(AY26-3*h_col/7))))-f_cd*(1-(1-MAX(0,MIN(1,IF(AY26&lt;=h_col,0.0035*(AY26-(h_col-d_2))/AY26,0.002*(AY26-(h_col-d_2))/(AY26-3*h_col/7))/0.002)))^2))))/1000</f>
        <v/>
      </c>
      <c r="BA26">
        <f>IF($AZ26&lt;N_Ed-1E-9*MAX(1,N_Ed),(AW26+AX26)/2,AW26)</f>
        <v/>
      </c>
      <c r="BB26">
        <f>IF($AZ26&lt;N_Ed-1E-9*MAX(1,N_Ed),AX26,(AW26+AX26)/2)</f>
        <v/>
      </c>
      <c r="BC26">
        <f>h_col*((BA26+BB26)/2)/(1-(BA26+BB26)/2)</f>
        <v/>
      </c>
      <c r="BD26">
        <f>(f_cd*b_col*((3*MIN(BC26,h_col)/7)+(4*MIN(BC26,h_col)/7)*(1-((4*MIN(BC26,h_col)/7)/(BC26-(3*MIN(BC26,h_col)/7)))^2/3))+$D26/2*((MAX(-f_yd,MIN(f_yd,200000*IF(BC26&lt;=h_col,0.0035*(BC26-d_2)/BC26,0.002*(BC26-d_2)/(BC26-3*h_col/7))))-f_cd*(1-(1-MAX(0,MIN(1,IF(BC26&lt;=h_col,0.0035*(BC26-d_2)/BC26,0.002*(BC26-d_2)/(BC26-3*h_col/7))/0.002)))^2))+(MAX(-f_yd,MIN(f_yd,200000*IF(BC26&lt;=h_col,0.0035*(BC26-(h_col-d_2))/BC26,0.002*(BC26-(h_col-d_2))/(BC26-3*h_col/7))))-f_cd*(1-(1-MAX(0,MIN(1,IF(BC26&lt;=h_col,0.0035*(BC26-(h_col-d_2))/BC26,0.002*(BC26-(h_col-d_2))/(BC26-3*h_col/7))/0.002)))^2))))/1000</f>
        <v/>
      </c>
      <c r="BE26">
        <f>IF($BD26&lt;N_Ed-1E-9*MAX(1,N_Ed),(BA26+BB26)/2,BA26)</f>
        <v/>
      </c>
      <c r="BF26">
        <f>IF($BD26&lt;N_Ed-1E-9*MAX(1,N_Ed),BB26,(BA26+BB26)/2)</f>
        <v/>
      </c>
      <c r="BG26">
        <f>h_col*((BE26+BF26)/2)/(1-(BE26+BF26)/2)</f>
        <v/>
      </c>
      <c r="BH26">
        <f>(f_cd*b_col*((3*MIN(BG26,h_col)/7)+(4*MIN(BG26,h_col)/7)*(1-((4*MIN(BG26,h_col)/7)/(BG26-(3*MIN(BG26,h_col)/7)))^2/3))+$D26/2*((MAX(-f_yd,MIN(f_yd,200000*IF(BG26&lt;=h_col,0.0035*(BG26-d_2)/BG26,0.002*(BG26-d_2)/(BG26-3*h_col/7))))-f_cd*(1-(1-MAX(0,MIN(1,IF(BG26&lt;=h_col,0.0035*(BG26-d_2)/BG26,0.002*(BG26-d_2)/(BG26-3*h_col/7))/0.002)))^2))+(MAX(-f_yd,MIN(f_yd,200000*IF(BG26&lt;=h_col,0.0035*(BG26-(h_col-d_2))/BG26,0.002*(BG26-(h_col-d_2))/(BG26-3*h_col/7))))-f_cd*(1-(1-MAX(0,MIN(1,IF(BG26&lt;=h_col,0.0035*(BG26-(h_col-d_2))/BG26,0.002*(BG26-(h_col-d_2))/(BG26-3*h_col/7))/0.002)))^2))))/1000</f>
        <v/>
      </c>
      <c r="BI26">
        <f>IF($BH26&lt;N_Ed-1E-9*MAX(1,N_Ed),(BE26+BF26)/2,BE26)</f>
        <v/>
      </c>
      <c r="BJ26">
        <f>IF($BH26&lt;N_Ed-1E-9*MAX(1,N_Ed),BF26,(BE26+BF26)/2)</f>
        <v/>
      </c>
      <c r="BK26">
        <f>h_col*((BI26+BJ26)/2)/(1-(BI26+BJ26)/2)</f>
        <v/>
      </c>
      <c r="BL26">
        <f>(f_cd*b_col*((3*MIN(BK26,h_col)/7)+(4*MIN(BK26,h_col)/7)*(1-((4*MIN(BK26,h_col)/7)/(BK26-(3*MIN(BK26,h_col)/7)))^2/3))+$D26/2*((MAX(-f_yd,MIN(f_yd,200000*IF(BK26&lt;=h_col,0.0035*(BK26-d_2)/BK26,0.002*(BK26-d_2)/(BK26-3*h_col/7))))-f_cd*(1-(1-MAX(0,MIN(1,IF(BK26&lt;=h_col,0.0035*(BK26-d_2)/BK26,0.002*(BK26-d_2)/(BK26-3*h_col/7))/0.002)))^2))+(MAX(-f_yd,MIN(f_yd,200000*IF(BK26&lt;=h_col,0.0035*(BK26-(h_col-d_2))/BK26,0.002*(BK26-(h_col-d_2))/(BK26-3*h_col/7))))-f_cd*(1-(1-MAX(0,MIN(1,IF(BK26&lt;=h_col,0.0035*(BK26-(h_col-d_2))/BK26,0.002*(BK26-(h_col-d_2))/(BK26-3*h_col/7))/0.002)))^2))))/1000</f>
        <v/>
      </c>
      <c r="BM26">
        <f>IF($BL26&lt;N_Ed-1E-9*MAX(1,N_Ed),(BI26+BJ26)/2,BI26)</f>
        <v/>
      </c>
      <c r="BN26">
        <f>IF($BL26&lt;N_Ed-1E-9*MAX(1,N_Ed),BJ26,(BI26+BJ26)/2)</f>
        <v/>
      </c>
      <c r="BO26">
        <f>h_col*((BM26+BN26)/2)/(1-(BM26+BN26)/2)</f>
        <v/>
      </c>
      <c r="BP26">
        <f>(f_cd*b_col*((3*MIN(BO26,h_col)/7)+(4*MIN(BO26,h_col)/7)*(1-((4*MIN(BO26,h_col)/7)/(BO26-(3*MIN(BO26,h_col)/7)))^2/3))+$D26/2*((MAX(-f_yd,MIN(f_yd,200000*IF(BO26&lt;=h_col,0.0035*(BO26-d_2)/BO26,0.002*(BO26-d_2)/(BO26-3*h_col/7))))-f_cd*(1-(1-MAX(0,MIN(1,IF(BO26&lt;=h_col,0.0035*(BO26-d_2)/BO26,0.002*(BO26-d_2)/(BO26-3*h_col/7))/0.002)))^2))+(MAX(-f_yd,MIN(f_yd,200000*IF(BO26&lt;=h_col,0.0035*(BO26-(h_col-d_2))/BO26,0.002*(BO26-(h_col-d_2))/(BO26-3*h_col/7))))-f_cd*(1-(1-MAX(0,MIN(1,IF(BO26&lt;=h_col,0.0035*(BO26-(h_col-d_2))/BO26,0.002*(BO26-(h_col-d_2))/(BO26-3*h_col/7))/0.002)))^2))))/1000</f>
        <v/>
      </c>
      <c r="BQ26">
        <f>IF($BP26&lt;N_Ed-1E-9*MAX(1,N_Ed),(BM26+BN26)/2,BM26)</f>
        <v/>
      </c>
      <c r="BR26">
        <f>IF($BP26&lt;N_Ed-1E-9*MAX(1,N_Ed),BN26,(BM26+BN26)/2)</f>
        <v/>
      </c>
      <c r="BS26">
        <f>h_col*((BQ26+BR26)/2)/(1-(BQ26+BR26)/2)</f>
        <v/>
      </c>
      <c r="BT26">
        <f>(f_cd*b_col*((3*MIN(BS26,h_col)/7)+(4*MIN(BS26,h_col)/7)*(1-((4*MIN(BS26,h_col)/7)/(BS26-(3*MIN(BS26,h_col)/7)))^2/3))+$D26/2*((MAX(-f_yd,MIN(f_yd,200000*IF(BS26&lt;=h_col,0.0035*(BS26-d_2)/BS26,0.002*(BS26-d_2)/(BS26-3*h_col/7))))-f_cd*(1-(1-MAX(0,MIN(1,IF(BS26&lt;=h_col,0.0035*(BS26-d_2)/BS26,0.002*(BS26-d_2)/(BS26-3*h_col/7))/0.002)))^2))+(MAX(-f_yd,MIN(f_yd,200000*IF(BS26&lt;=h_col,0.0035*(BS26-(h_col-d_2))/BS26,0.002*(BS26-(h_col-d_2))/(BS26-3*h_col/7))))-f_cd*(1-(1-MAX(0,MIN(1,IF(BS26&lt;=h_col,0.0035*(BS26-(h_col-d_2))/BS26,0.002*(BS26-(h_col-d_2))/(BS26-3*h_col/7))/0.002)))^2))))/1000</f>
        <v/>
      </c>
      <c r="BU26">
        <f>IF($BT26&lt;N_Ed-1E-9*MAX(1,N_Ed),(BQ26+BR26)/2,BQ26)</f>
        <v/>
      </c>
      <c r="BV26">
        <f>IF($BT26&lt;N_Ed-1E-9*MAX(1,N_Ed),BR26,(BQ26+BR26)/2)</f>
        <v/>
      </c>
      <c r="BW26">
        <f>h_col*((BU26+BV26)/2)/(1-(BU26+BV26)/2)</f>
        <v/>
      </c>
      <c r="BX26">
        <f>(f_cd*b_col*((3*MIN(BW26,h_col)/7)+(4*MIN(BW26,h_col)/7)*(1-((4*MIN(BW26,h_col)/7)/(BW26-(3*MIN(BW26,h_col)/7)))^2/3))+$D26/2*((MAX(-f_yd,MIN(f_yd,200000*IF(BW26&lt;=h_col,0.0035*(BW26-d_2)/BW26,0.002*(BW26-d_2)/(BW26-3*h_col/7))))-f_cd*(1-(1-MAX(0,MIN(1,IF(BW26&lt;=h_col,0.0035*(BW26-d_2)/BW26,0.002*(BW26-d_2)/(BW26-3*h_col/7))/0.002)))^2))+(MAX(-f_yd,MIN(f_yd,200000*IF(BW26&lt;=h_col,0.0035*(BW26-(h_col-d_2))/BW26,0.002*(BW26-(h_col-d_2))/(BW26-3*h_col/7))))-f_cd*(1-(1-MAX(0,MIN(1,IF(BW26&lt;=h_col,0.0035*(BW26-(h_col-d_2))/BW26,0.002*(BW26-(h_col-d_2))/(BW26-3*h_col/7))/0.002)))^2))))/1000</f>
        <v/>
      </c>
      <c r="BY26">
        <f>IF($BX26&lt;N_Ed-1E-9*MAX(1,N_Ed),(BU26+BV26)/2,BU26)</f>
        <v/>
      </c>
      <c r="BZ26">
        <f>IF($BX26&lt;N_Ed-1E-9*MAX(1,N_Ed),BV26,(BU26+BV26)/2)</f>
        <v/>
      </c>
      <c r="CA26">
        <f>h_col*((BY26+BZ26)/2)/(1-(BY26+BZ26)/2)</f>
        <v/>
      </c>
      <c r="CB26">
        <f>(f_cd*b_col*((3*MIN(CA26,h_col)/7)+(4*MIN(CA26,h_col)/7)*(1-((4*MIN(CA26,h_col)/7)/(CA26-(3*MIN(CA26,h_col)/7)))^2/3))+$D26/2*((MAX(-f_yd,MIN(f_yd,200000*IF(CA26&lt;=h_col,0.0035*(CA26-d_2)/CA26,0.002*(CA26-d_2)/(CA26-3*h_col/7))))-f_cd*(1-(1-MAX(0,MIN(1,IF(CA26&lt;=h_col,0.0035*(CA26-d_2)/CA26,0.002*(CA26-d_2)/(CA26-3*h_col/7))/0.002)))^2))+(MAX(-f_yd,MIN(f_yd,200000*IF(CA26&lt;=h_col,0.0035*(CA26-(h_col-d_2))/CA26,0.002*(CA26-(h_col-d_2))/(CA26-3*h_col/7))))-f_cd*(1-(1-MAX(0,MIN(1,IF(CA26&lt;=h_col,0.0035*(CA26-(h_col-d_2))/CA26,0.002*(CA26-(h_col-d_2))/(CA26-3*h_col/7))/0.002)))^2))))/1000</f>
        <v/>
      </c>
      <c r="CC26">
        <f>IF($CB26&lt;N_Ed-1E-9*MAX(1,N_Ed),(BY26+BZ26)/2,BY26)</f>
        <v/>
      </c>
      <c r="CD26">
        <f>IF($CB26&lt;N_Ed-1E-9*MAX(1,N_Ed),BZ26,(BY26+BZ26)/2)</f>
        <v/>
      </c>
      <c r="CE26">
        <f>h_col*((CC26+CD26)/2)/(1-(CC26+CD26)/2)</f>
        <v/>
      </c>
      <c r="CF26">
        <f>(f_cd*b_col*((3*MIN(CE26,h_col)/7)+(4*MIN(CE26,h_col)/7)*(1-((4*MIN(CE26,h_col)/7)/(CE26-(3*MIN(CE26,h_col)/7)))^2/3))+$D26/2*((MAX(-f_yd,MIN(f_yd,200000*IF(CE26&lt;=h_col,0.0035*(CE26-d_2)/CE26,0.002*(CE26-d_2)/(CE26-3*h_col/7))))-f_cd*(1-(1-MAX(0,MIN(1,IF(CE26&lt;=h_col,0.0035*(CE26-d_2)/CE26,0.002*(CE26-d_2)/(CE26-3*h_col/7))/0.002)))^2))+(MAX(-f_yd,MIN(f_yd,200000*IF(CE26&lt;=h_col,0.0035*(CE26-(h_col-d_2))/CE26,0.002*(CE26-(h_col-d_2))/(CE26-3*h_col/7))))-f_cd*(1-(1-MAX(0,MIN(1,IF(CE26&lt;=h_col,0.0035*(CE26-(h_col-d_2))/CE26,0.002*(CE26-(h_col-d_2))/(CE26-3*h_col/7))/0.002)))^2))))/1000</f>
        <v/>
      </c>
      <c r="CG26">
        <f>IF($CF26&lt;N_Ed-1E-9*MAX(1,N_Ed),(CC26+CD26)/2,CC26)</f>
        <v/>
      </c>
      <c r="CH26">
        <f>IF($CF26&lt;N_Ed-1E-9*MAX(1,N_Ed),CD26,(CC26+CD26)/2)</f>
        <v/>
      </c>
      <c r="CI26">
        <f>h_col*((CG26+CH26)/2)/(1-(CG26+CH26)/2)</f>
        <v/>
      </c>
      <c r="CJ26">
        <f>(f_cd*b_col*((3*MIN(CI26,h_col)/7)+(4*MIN(CI26,h_col)/7)*(1-((4*MIN(CI26,h_col)/7)/(CI26-(3*MIN(CI26,h_col)/7)))^2/3))+$D26/2*((MAX(-f_yd,MIN(f_yd,200000*IF(CI26&lt;=h_col,0.0035*(CI26-d_2)/CI26,0.002*(CI26-d_2)/(CI26-3*h_col/7))))-f_cd*(1-(1-MAX(0,MIN(1,IF(CI26&lt;=h_col,0.0035*(CI26-d_2)/CI26,0.002*(CI26-d_2)/(CI26-3*h_col/7))/0.002)))^2))+(MAX(-f_yd,MIN(f_yd,200000*IF(CI26&lt;=h_col,0.0035*(CI26-(h_col-d_2))/CI26,0.002*(CI26-(h_col-d_2))/(CI26-3*h_col/7))))-f_cd*(1-(1-MAX(0,MIN(1,IF(CI26&lt;=h_col,0.0035*(CI26-(h_col-d_2))/CI26,0.002*(CI26-(h_col-d_2))/(CI26-3*h_col/7))/0.002)))^2))))/1000</f>
        <v/>
      </c>
      <c r="CK26">
        <f>IF($CJ26&lt;N_Ed-1E-9*MAX(1,N_Ed),(CG26+CH26)/2,CG26)</f>
        <v/>
      </c>
      <c r="CL26">
        <f>IF($CJ26&lt;N_Ed-1E-9*MAX(1,N_Ed),CH26,(CG26+CH26)/2)</f>
        <v/>
      </c>
      <c r="CM26">
        <f>h_col*((CK26+CL26)/2)/(1-(CK26+CL26)/2)</f>
        <v/>
      </c>
      <c r="CN26">
        <f>(f_cd*b_col*((3*MIN(CM26,h_col)/7)+(4*MIN(CM26,h_col)/7)*(1-((4*MIN(CM26,h_col)/7)/(CM26-(3*MIN(CM26,h_col)/7)))^2/3))+$D26/2*((MAX(-f_yd,MIN(f_yd,200000*IF(CM26&lt;=h_col,0.0035*(CM26-d_2)/CM26,0.002*(CM26-d_2)/(CM26-3*h_col/7))))-f_cd*(1-(1-MAX(0,MIN(1,IF(CM26&lt;=h_col,0.0035*(CM26-d_2)/CM26,0.002*(CM26-d_2)/(CM26-3*h_col/7))/0.002)))^2))+(MAX(-f_yd,MIN(f_yd,200000*IF(CM26&lt;=h_col,0.0035*(CM26-(h_col-d_2))/CM26,0.002*(CM26-(h_col-d_2))/(CM26-3*h_col/7))))-f_cd*(1-(1-MAX(0,MIN(1,IF(CM26&lt;=h_col,0.0035*(CM26-(h_col-d_2))/CM26,0.002*(CM26-(h_col-d_2))/(CM26-3*h_col/7))/0.002)))^2))))/1000</f>
        <v/>
      </c>
      <c r="CO26">
        <f>IF($CN26&lt;N_Ed-1E-9*MAX(1,N_Ed),(CK26+CL26)/2,CK26)</f>
        <v/>
      </c>
      <c r="CP26">
        <f>IF($CN26&lt;N_Ed-1E-9*MAX(1,N_Ed),CL26,(CK26+CL26)/2)</f>
        <v/>
      </c>
      <c r="CQ26">
        <f>h_col*((CO26+CP26)/2)/(1-(CO26+CP26)/2)</f>
        <v/>
      </c>
      <c r="CR26">
        <f>(f_cd*b_col*((3*MIN(CQ26,h_col)/7)+(4*MIN(CQ26,h_col)/7)*(1-((4*MIN(CQ26,h_col)/7)/(CQ26-(3*MIN(CQ26,h_col)/7)))^2/3))+$D26/2*((MAX(-f_yd,MIN(f_yd,200000*IF(CQ26&lt;=h_col,0.0035*(CQ26-d_2)/CQ26,0.002*(CQ26-d_2)/(CQ26-3*h_col/7))))-f_cd*(1-(1-MAX(0,MIN(1,IF(CQ26&lt;=h_col,0.0035*(CQ26-d_2)/CQ26,0.002*(CQ26-d_2)/(CQ26-3*h_col/7))/0.002)))^2))+(MAX(-f_yd,MIN(f_yd,200000*IF(CQ26&lt;=h_col,0.0035*(CQ26-(h_col-d_2))/CQ26,0.002*(CQ26-(h_col-d_2))/(CQ26-3*h_col/7))))-f_cd*(1-(1-MAX(0,MIN(1,IF(CQ26&lt;=h_col,0.0035*(CQ26-(h_col-d_2))/CQ26,0.002*(CQ26-(h_col-d_2))/(CQ26-3*h_col/7))/0.002)))^2))))/1000</f>
        <v/>
      </c>
      <c r="CS26">
        <f>IF($CR26&lt;N_Ed-1E-9*MAX(1,N_Ed),(CO26+CP26)/2,CO26)</f>
        <v/>
      </c>
      <c r="CT26">
        <f>IF($CR26&lt;N_Ed-1E-9*MAX(1,N_Ed),CP26,(CO26+CP26)/2)</f>
        <v/>
      </c>
      <c r="CU26">
        <f>h_col*((CS26+CT26)/2)/(1-(CS26+CT26)/2)</f>
        <v/>
      </c>
      <c r="CV26">
        <f>(f_cd*b_col*((3*MIN(CU26,h_col)/7)+(4*MIN(CU26,h_col)/7)*(1-((4*MIN(CU26,h_col)/7)/(CU26-(3*MIN(CU26,h_col)/7)))^2/3))+$D26/2*((MAX(-f_yd,MIN(f_yd,200000*IF(CU26&lt;=h_col,0.0035*(CU26-d_2)/CU26,0.002*(CU26-d_2)/(CU26-3*h_col/7))))-f_cd*(1-(1-MAX(0,MIN(1,IF(CU26&lt;=h_col,0.0035*(CU26-d_2)/CU26,0.002*(CU26-d_2)/(CU26-3*h_col/7))/0.002)))^2))+(MAX(-f_yd,MIN(f_yd,200000*IF(CU26&lt;=h_col,0.0035*(CU26-(h_col-d_2))/CU26,0.002*(CU26-(h_col-d_2))/(CU26-3*h_col/7))))-f_cd*(1-(1-MAX(0,MIN(1,IF(CU26&lt;=h_col,0.0035*(CU26-(h_col-d_2))/CU26,0.002*(CU26-(h_col-d_2))/(CU26-3*h_col/7))/0.002)))^2))))/1000</f>
        <v/>
      </c>
      <c r="CW26">
        <f>IF($CV26&lt;N_Ed-1E-9*MAX(1,N_Ed),(CS26+CT26)/2,CS26)</f>
        <v/>
      </c>
      <c r="CX26">
        <f>IF($CV26&lt;N_Ed-1E-9*MAX(1,N_Ed),CT26,(CS26+CT26)/2)</f>
        <v/>
      </c>
      <c r="CY26">
        <f>h_col*((CW26+CX26)/2)/(1-(CW26+CX26)/2)</f>
        <v/>
      </c>
      <c r="CZ26">
        <f>(f_cd*b_col*((3*MIN(CY26,h_col)/7)+(4*MIN(CY26,h_col)/7)*(1-((4*MIN(CY26,h_col)/7)/(CY26-(3*MIN(CY26,h_col)/7)))^2/3))+$D26/2*((MAX(-f_yd,MIN(f_yd,200000*IF(CY26&lt;=h_col,0.0035*(CY26-d_2)/CY26,0.002*(CY26-d_2)/(CY26-3*h_col/7))))-f_cd*(1-(1-MAX(0,MIN(1,IF(CY26&lt;=h_col,0.0035*(CY26-d_2)/CY26,0.002*(CY26-d_2)/(CY26-3*h_col/7))/0.002)))^2))+(MAX(-f_yd,MIN(f_yd,200000*IF(CY26&lt;=h_col,0.0035*(CY26-(h_col-d_2))/CY26,0.002*(CY26-(h_col-d_2))/(CY26-3*h_col/7))))-f_cd*(1-(1-MAX(0,MIN(1,IF(CY26&lt;=h_col,0.0035*(CY26-(h_col-d_2))/CY26,0.002*(CY26-(h_col-d_2))/(CY26-3*h_col/7))/0.002)))^2))))/1000</f>
        <v/>
      </c>
      <c r="DA26">
        <f>IF($CZ26&lt;N_Ed-1E-9*MAX(1,N_Ed),(CW26+CX26)/2,CW26)</f>
        <v/>
      </c>
      <c r="DB26">
        <f>IF($CZ26&lt;N_Ed-1E-9*MAX(1,N_Ed),CX26,(CW26+CX26)/2)</f>
        <v/>
      </c>
      <c r="DC26">
        <f>h_col*((DA26+DB26)/2)/(1-(DA26+DB26)/2)</f>
        <v/>
      </c>
      <c r="DD26">
        <f>(f_cd*b_col*((3*MIN(DC26,h_col)/7)+(4*MIN(DC26,h_col)/7)*(1-((4*MIN(DC26,h_col)/7)/(DC26-(3*MIN(DC26,h_col)/7)))^2/3))+$D26/2*((MAX(-f_yd,MIN(f_yd,200000*IF(DC26&lt;=h_col,0.0035*(DC26-d_2)/DC26,0.002*(DC26-d_2)/(DC26-3*h_col/7))))-f_cd*(1-(1-MAX(0,MIN(1,IF(DC26&lt;=h_col,0.0035*(DC26-d_2)/DC26,0.002*(DC26-d_2)/(DC26-3*h_col/7))/0.002)))^2))+(MAX(-f_yd,MIN(f_yd,200000*IF(DC26&lt;=h_col,0.0035*(DC26-(h_col-d_2))/DC26,0.002*(DC26-(h_col-d_2))/(DC26-3*h_col/7))))-f_cd*(1-(1-MAX(0,MIN(1,IF(DC26&lt;=h_col,0.0035*(DC26-(h_col-d_2))/DC26,0.002*(DC26-(h_col-d_2))/(DC26-3*h_col/7))/0.002)))^2))))/1000</f>
        <v/>
      </c>
      <c r="DE26">
        <f>IF($DD26&lt;N_Ed-1E-9*MAX(1,N_Ed),(DA26+DB26)/2,DA26)</f>
        <v/>
      </c>
      <c r="DF26">
        <f>IF($DD26&lt;N_Ed-1E-9*MAX(1,N_Ed),DB26,(DA26+DB26)/2)</f>
        <v/>
      </c>
      <c r="DG26">
        <f>h_col*((DE26+DF26)/2)/(1-(DE26+DF26)/2)</f>
        <v/>
      </c>
      <c r="DH26">
        <f>(f_cd*b_col*((3*MIN(DG26,h_col)/7)+(4*MIN(DG26,h_col)/7)*(1-((4*MIN(DG26,h_col)/7)/(DG26-(3*MIN(DG26,h_col)/7)))^2/3))+$D26/2*((MAX(-f_yd,MIN(f_yd,200000*IF(DG26&lt;=h_col,0.0035*(DG26-d_2)/DG26,0.002*(DG26-d_2)/(DG26-3*h_col/7))))-f_cd*(1-(1-MAX(0,MIN(1,IF(DG26&lt;=h_col,0.0035*(DG26-d_2)/DG26,0.002*(DG26-d_2)/(DG26-3*h_col/7))/0.002)))^2))+(MAX(-f_yd,MIN(f_yd,200000*IF(DG26&lt;=h_col,0.0035*(DG26-(h_col-d_2))/DG26,0.002*(DG26-(h_col-d_2))/(DG26-3*h_col/7))))-f_cd*(1-(1-MAX(0,MIN(1,IF(DG26&lt;=h_col,0.0035*(DG26-(h_col-d_2))/DG26,0.002*(DG26-(h_col-d_2))/(DG26-3*h_col/7))/0.002)))^2))))/1000</f>
        <v/>
      </c>
      <c r="DI26">
        <f>IF($DH26&lt;N_Ed-1E-9*MAX(1,N_Ed),(DE26+DF26)/2,DE26)</f>
        <v/>
      </c>
      <c r="DJ26">
        <f>IF($DH26&lt;N_Ed-1E-9*MAX(1,N_Ed),DF26,(DE26+DF26)/2)</f>
        <v/>
      </c>
      <c r="DK26">
        <f>h_col*((DI26+DJ26)/2)/(1-(DI26+DJ26)/2)</f>
        <v/>
      </c>
      <c r="DL26">
        <f>(f_cd*b_col*((3*MIN(DK26,h_col)/7)+(4*MIN(DK26,h_col)/7)*(1-((4*MIN(DK26,h_col)/7)/(DK26-(3*MIN(DK26,h_col)/7)))^2/3))+$D26/2*((MAX(-f_yd,MIN(f_yd,200000*IF(DK26&lt;=h_col,0.0035*(DK26-d_2)/DK26,0.002*(DK26-d_2)/(DK26-3*h_col/7))))-f_cd*(1-(1-MAX(0,MIN(1,IF(DK26&lt;=h_col,0.0035*(DK26-d_2)/DK26,0.002*(DK26-d_2)/(DK26-3*h_col/7))/0.002)))^2))+(MAX(-f_yd,MIN(f_yd,200000*IF(DK26&lt;=h_col,0.0035*(DK26-(h_col-d_2))/DK26,0.002*(DK26-(h_col-d_2))/(DK26-3*h_col/7))))-f_cd*(1-(1-MAX(0,MIN(1,IF(DK26&lt;=h_col,0.0035*(DK26-(h_col-d_2))/DK26,0.002*(DK26-(h_col-d_2))/(DK26-3*h_col/7))/0.002)))^2))))/1000</f>
        <v/>
      </c>
      <c r="DM26">
        <f>IF($DL26&lt;N_Ed-1E-9*MAX(1,N_Ed),(DI26+DJ26)/2,DI26)</f>
        <v/>
      </c>
      <c r="DN26">
        <f>IF($DL26&lt;N_Ed-1E-9*MAX(1,N_Ed),DJ26,(DI26+DJ26)/2)</f>
        <v/>
      </c>
      <c r="DO26">
        <f>h_col*((DM26+DN26)/2)/(1-(DM26+DN26)/2)</f>
        <v/>
      </c>
      <c r="DP26">
        <f>(f_cd*b_col*((3*MIN(DO26,h_col)/7)+(4*MIN(DO26,h_col)/7)*(1-((4*MIN(DO26,h_col)/7)/(DO26-(3*MIN(DO26,h_col)/7)))^2/3))+$D26/2*((MAX(-f_yd,MIN(f_yd,200000*IF(DO26&lt;=h_col,0.0035*(DO26-d_2)/DO26,0.002*(DO26-d_2)/(DO26-3*h_col/7))))-f_cd*(1-(1-MAX(0,MIN(1,IF(DO26&lt;=h_col,0.0035*(DO26-d_2)/DO26,0.002*(DO26-d_2)/(DO26-3*h_col/7))/0.002)))^2))+(MAX(-f_yd,MIN(f_yd,200000*IF(DO26&lt;=h_col,0.0035*(DO26-(h_col-d_2))/DO26,0.002*(DO26-(h_col-d_2))/(DO26-3*h_col/7))))-f_cd*(1-(1-MAX(0,MIN(1,IF(DO26&lt;=h_col,0.0035*(DO26-(h_col-d_2))/DO26,0.002*(DO26-(h_col-d_2))/(DO26-3*h_col/7))/0.002)))^2))))/1000</f>
        <v/>
      </c>
      <c r="DQ26">
        <f>IF($DP26&lt;N_Ed-1E-9*MAX(1,N_Ed),(DM26+DN26)/2,DM26)</f>
        <v/>
      </c>
      <c r="DR26">
        <f>IF($DP26&lt;N_Ed-1E-9*MAX(1,N_Ed),DN26,(DM26+DN26)/2)</f>
        <v/>
      </c>
      <c r="DS26">
        <f>h_col*((DQ26+DR26)/2)/(1-(DQ26+DR26)/2)</f>
        <v/>
      </c>
      <c r="DT26">
        <f>(f_cd*b_col*((3*MIN(DS26,h_col)/7)+(4*MIN(DS26,h_col)/7)*(1-((4*MIN(DS26,h_col)/7)/(DS26-(3*MIN(DS26,h_col)/7)))^2/3))+$D26/2*((MAX(-f_yd,MIN(f_yd,200000*IF(DS26&lt;=h_col,0.0035*(DS26-d_2)/DS26,0.002*(DS26-d_2)/(DS26-3*h_col/7))))-f_cd*(1-(1-MAX(0,MIN(1,IF(DS26&lt;=h_col,0.0035*(DS26-d_2)/DS26,0.002*(DS26-d_2)/(DS26-3*h_col/7))/0.002)))^2))+(MAX(-f_yd,MIN(f_yd,200000*IF(DS26&lt;=h_col,0.0035*(DS26-(h_col-d_2))/DS26,0.002*(DS26-(h_col-d_2))/(DS26-3*h_col/7))))-f_cd*(1-(1-MAX(0,MIN(1,IF(DS26&lt;=h_col,0.0035*(DS26-(h_col-d_2))/DS26,0.002*(DS26-(h_col-d_2))/(DS26-3*h_col/7))/0.002)))^2))))/1000</f>
        <v/>
      </c>
      <c r="DU26">
        <f>IF($DT26&lt;N_Ed-1E-9*MAX(1,N_Ed),(DQ26+DR26)/2,DQ26)</f>
        <v/>
      </c>
      <c r="DV26">
        <f>IF($DT26&lt;N_Ed-1E-9*MAX(1,N_Ed),DR26,(DQ26+DR26)/2)</f>
        <v/>
      </c>
      <c r="DW26">
        <f>h_col*((DU26+DV26)/2)/(1-(DU26+DV26)/2)</f>
        <v/>
      </c>
      <c r="DX26">
        <f>(f_cd*b_col*((3*MIN(DW26,h_col)/7)+(4*MIN(DW26,h_col)/7)*(1-((4*MIN(DW26,h_col)/7)/(DW26-(3*MIN(DW26,h_col)/7)))^2/3))+$D26/2*((MAX(-f_yd,MIN(f_yd,200000*IF(DW26&lt;=h_col,0.0035*(DW26-d_2)/DW26,0.002*(DW26-d_2)/(DW26-3*h_col/7))))-f_cd*(1-(1-MAX(0,MIN(1,IF(DW26&lt;=h_col,0.0035*(DW26-d_2)/DW26,0.002*(DW26-d_2)/(DW26-3*h_col/7))/0.002)))^2))+(MAX(-f_yd,MIN(f_yd,200000*IF(DW26&lt;=h_col,0.0035*(DW26-(h_col-d_2))/DW26,0.002*(DW26-(h_col-d_2))/(DW26-3*h_col/7))))-f_cd*(1-(1-MAX(0,MIN(1,IF(DW26&lt;=h_col,0.0035*(DW26-(h_col-d_2))/DW26,0.002*(DW26-(h_col-d_2))/(DW26-3*h_col/7))/0.002)))^2))))/1000</f>
        <v/>
      </c>
      <c r="DY26">
        <f>IF($DX26&lt;N_Ed-1E-9*MAX(1,N_Ed),(DU26+DV26)/2,DU26)</f>
        <v/>
      </c>
      <c r="DZ26">
        <f>IF($DX26&lt;N_Ed-1E-9*MAX(1,N_Ed),DV26,(DU26+DV26)/2)</f>
        <v/>
      </c>
      <c r="EA26">
        <f>h_col*((DY26+DZ26)/2)/(1-(DY26+DZ26)/2)</f>
        <v/>
      </c>
      <c r="EB26">
        <f>(f_cd*b_col*((3*MIN(EA26,h_col)/7)+(4*MIN(EA26,h_col)/7)*(1-((4*MIN(EA26,h_col)/7)/(EA26-(3*MIN(EA26,h_col)/7)))^2/3))+$D26/2*((MAX(-f_yd,MIN(f_yd,200000*IF(EA26&lt;=h_col,0.0035*(EA26-d_2)/EA26,0.002*(EA26-d_2)/(EA26-3*h_col/7))))-f_cd*(1-(1-MAX(0,MIN(1,IF(EA26&lt;=h_col,0.0035*(EA26-d_2)/EA26,0.002*(EA26-d_2)/(EA26-3*h_col/7))/0.002)))^2))+(MAX(-f_yd,MIN(f_yd,200000*IF(EA26&lt;=h_col,0.0035*(EA26-(h_col-d_2))/EA26,0.002*(EA26-(h_col-d_2))/(EA26-3*h_col/7))))-f_cd*(1-(1-MAX(0,MIN(1,IF(EA26&lt;=h_col,0.0035*(EA26-(h_col-d_2))/EA26,0.002*(EA26-(h_col-d_2))/(EA26-3*h_col/7))/0.002)))^2))))/1000</f>
        <v/>
      </c>
      <c r="EC26">
        <f>IF($EB26&lt;N_Ed-1E-9*MAX(1,N_Ed),(DY26+DZ26)/2,DY26)</f>
        <v/>
      </c>
      <c r="ED26">
        <f>IF($EB26&lt;N_Ed-1E-9*MAX(1,N_Ed),DZ26,(DY26+DZ26)/2)</f>
        <v/>
      </c>
      <c r="EE26">
        <f>h_col*((EC26+ED26)/2)/(1-(EC26+ED26)/2)</f>
        <v/>
      </c>
      <c r="EF26">
        <f>(f_cd*b_col*((3*MIN(EE26,h_col)/7)+(4*MIN(EE26,h_col)/7)*(1-((4*MIN(EE26,h_col)/7)/(EE26-(3*MIN(EE26,h_col)/7)))^2/3))+$D26/2*((MAX(-f_yd,MIN(f_yd,200000*IF(EE26&lt;=h_col,0.0035*(EE26-d_2)/EE26,0.002*(EE26-d_2)/(EE26-3*h_col/7))))-f_cd*(1-(1-MAX(0,MIN(1,IF(EE26&lt;=h_col,0.0035*(EE26-d_2)/EE26,0.002*(EE26-d_2)/(EE26-3*h_col/7))/0.002)))^2))+(MAX(-f_yd,MIN(f_yd,200000*IF(EE26&lt;=h_col,0.0035*(EE26-(h_col-d_2))/EE26,0.002*(EE26-(h_col-d_2))/(EE26-3*h_col/7))))-f_cd*(1-(1-MAX(0,MIN(1,IF(EE26&lt;=h_col,0.0035*(EE26-(h_col-d_2))/EE26,0.002*(EE26-(h_col-d_2))/(EE26-3*h_col/7))/0.002)))^2))))/1000</f>
        <v/>
      </c>
      <c r="EG26">
        <f>IF($EF26&lt;N_Ed-1E-9*MAX(1,N_Ed),(EC26+ED26)/2,EC26)</f>
        <v/>
      </c>
      <c r="EH26">
        <f>IF($EF26&lt;N_Ed-1E-9*MAX(1,N_Ed),ED26,(EC26+ED26)/2)</f>
        <v/>
      </c>
      <c r="EI26">
        <f>h_col*((EG26+EH26)/2)/(1-(EG26+EH26)/2)</f>
        <v/>
      </c>
      <c r="EJ26">
        <f>(f_cd*b_col*((3*MIN(EI26,h_col)/7)+(4*MIN(EI26,h_col)/7)*(1-((4*MIN(EI26,h_col)/7)/(EI26-(3*MIN(EI26,h_col)/7)))^2/3))+$D26/2*((MAX(-f_yd,MIN(f_yd,200000*IF(EI26&lt;=h_col,0.0035*(EI26-d_2)/EI26,0.002*(EI26-d_2)/(EI26-3*h_col/7))))-f_cd*(1-(1-MAX(0,MIN(1,IF(EI26&lt;=h_col,0.0035*(EI26-d_2)/EI26,0.002*(EI26-d_2)/(EI26-3*h_col/7))/0.002)))^2))+(MAX(-f_yd,MIN(f_yd,200000*IF(EI26&lt;=h_col,0.0035*(EI26-(h_col-d_2))/EI26,0.002*(EI26-(h_col-d_2))/(EI26-3*h_col/7))))-f_cd*(1-(1-MAX(0,MIN(1,IF(EI26&lt;=h_col,0.0035*(EI26-(h_col-d_2))/EI26,0.002*(EI26-(h_col-d_2))/(EI26-3*h_col/7))/0.002)))^2))))/1000</f>
        <v/>
      </c>
      <c r="EK26">
        <f>IF($EJ26&lt;N_Ed-1E-9*MAX(1,N_Ed),(EG26+EH26)/2,EG26)</f>
        <v/>
      </c>
      <c r="EL26">
        <f>IF($EJ26&lt;N_Ed-1E-9*MAX(1,N_Ed),EH26,(EG26+EH26)/2)</f>
        <v/>
      </c>
      <c r="EM26">
        <f>h_col*((EK26+EL26)/2)/(1-(EK26+EL26)/2)</f>
        <v/>
      </c>
      <c r="EN26">
        <f>(f_cd*b_col*((3*MIN(EM26,h_col)/7)+(4*MIN(EM26,h_col)/7)*(1-((4*MIN(EM26,h_col)/7)/(EM26-(3*MIN(EM26,h_col)/7)))^2/3))+$D26/2*((MAX(-f_yd,MIN(f_yd,200000*IF(EM26&lt;=h_col,0.0035*(EM26-d_2)/EM26,0.002*(EM26-d_2)/(EM26-3*h_col/7))))-f_cd*(1-(1-MAX(0,MIN(1,IF(EM26&lt;=h_col,0.0035*(EM26-d_2)/EM26,0.002*(EM26-d_2)/(EM26-3*h_col/7))/0.002)))^2))+(MAX(-f_yd,MIN(f_yd,200000*IF(EM26&lt;=h_col,0.0035*(EM26-(h_col-d_2))/EM26,0.002*(EM26-(h_col-d_2))/(EM26-3*h_col/7))))-f_cd*(1-(1-MAX(0,MIN(1,IF(EM26&lt;=h_col,0.0035*(EM26-(h_col-d_2))/EM26,0.002*(EM26-(h_col-d_2))/(EM26-3*h_col/7))/0.002)))^2))))/1000</f>
        <v/>
      </c>
      <c r="EO26">
        <f>IF($EN26&lt;N_Ed-1E-9*MAX(1,N_Ed),(EK26+EL26)/2,EK26)</f>
        <v/>
      </c>
      <c r="EP26">
        <f>IF($EN26&lt;N_Ed-1E-9*MAX(1,N_Ed),EL26,(EK26+EL26)/2)</f>
        <v/>
      </c>
      <c r="EQ26">
        <f>h_col*((EO26+EP26)/2)/(1-(EO26+EP26)/2)</f>
        <v/>
      </c>
      <c r="ER26">
        <f>(f_cd*b_col*((3*MIN(EQ26,h_col)/7)+(4*MIN(EQ26,h_col)/7)*(1-((4*MIN(EQ26,h_col)/7)/(EQ26-(3*MIN(EQ26,h_col)/7)))^2/3))+$D26/2*((MAX(-f_yd,MIN(f_yd,200000*IF(EQ26&lt;=h_col,0.0035*(EQ26-d_2)/EQ26,0.002*(EQ26-d_2)/(EQ26-3*h_col/7))))-f_cd*(1-(1-MAX(0,MIN(1,IF(EQ26&lt;=h_col,0.0035*(EQ26-d_2)/EQ26,0.002*(EQ26-d_2)/(EQ26-3*h_col/7))/0.002)))^2))+(MAX(-f_yd,MIN(f_yd,200000*IF(EQ26&lt;=h_col,0.0035*(EQ26-(h_col-d_2))/EQ26,0.002*(EQ26-(h_col-d_2))/(EQ26-3*h_col/7))))-f_cd*(1-(1-MAX(0,MIN(1,IF(EQ26&lt;=h_col,0.0035*(EQ26-(h_col-d_2))/EQ26,0.002*(EQ26-(h_col-d_2))/(EQ26-3*h_col/7))/0.002)))^2))))/1000</f>
        <v/>
      </c>
      <c r="ES26">
        <f>IF($ER26&lt;N_Ed-1E-9*MAX(1,N_Ed),(EO26+EP26)/2,EO26)</f>
        <v/>
      </c>
      <c r="ET26">
        <f>IF($ER26&lt;N_Ed-1E-9*MAX(1,N_Ed),EP26,(EO26+EP26)/2)</f>
        <v/>
      </c>
      <c r="EU26">
        <f>h_col*((ES26+ET26)/2)/(1-(ES26+ET26)/2)</f>
        <v/>
      </c>
      <c r="EV26">
        <f>(f_cd*b_col*((3*MIN(EU26,h_col)/7)+(4*MIN(EU26,h_col)/7)*(1-((4*MIN(EU26,h_col)/7)/(EU26-(3*MIN(EU26,h_col)/7)))^2/3))+$D26/2*((MAX(-f_yd,MIN(f_yd,200000*IF(EU26&lt;=h_col,0.0035*(EU26-d_2)/EU26,0.002*(EU26-d_2)/(EU26-3*h_col/7))))-f_cd*(1-(1-MAX(0,MIN(1,IF(EU26&lt;=h_col,0.0035*(EU26-d_2)/EU26,0.002*(EU26-d_2)/(EU26-3*h_col/7))/0.002)))^2))+(MAX(-f_yd,MIN(f_yd,200000*IF(EU26&lt;=h_col,0.0035*(EU26-(h_col-d_2))/EU26,0.002*(EU26-(h_col-d_2))/(EU26-3*h_col/7))))-f_cd*(1-(1-MAX(0,MIN(1,IF(EU26&lt;=h_col,0.0035*(EU26-(h_col-d_2))/EU26,0.002*(EU26-(h_col-d_2))/(EU26-3*h_col/7))/0.002)))^2))))/1000</f>
        <v/>
      </c>
      <c r="EW26">
        <f>IF($EV26&lt;N_Ed-1E-9*MAX(1,N_Ed),(ES26+ET26)/2,ES26)</f>
        <v/>
      </c>
      <c r="EX26">
        <f>IF($EV26&lt;N_Ed-1E-9*MAX(1,N_Ed),ET26,(ES26+ET26)/2)</f>
        <v/>
      </c>
      <c r="EY26">
        <f>h_col*((EW26+EX26)/2)/(1-(EW26+EX26)/2)</f>
        <v/>
      </c>
      <c r="EZ26">
        <f>(f_cd*b_col*((3*MIN(EY26,h_col)/7)+(4*MIN(EY26,h_col)/7)*(1-((4*MIN(EY26,h_col)/7)/(EY26-(3*MIN(EY26,h_col)/7)))^2/3))+$D26/2*((MAX(-f_yd,MIN(f_yd,200000*IF(EY26&lt;=h_col,0.0035*(EY26-d_2)/EY26,0.002*(EY26-d_2)/(EY26-3*h_col/7))))-f_cd*(1-(1-MAX(0,MIN(1,IF(EY26&lt;=h_col,0.0035*(EY26-d_2)/EY26,0.002*(EY26-d_2)/(EY26-3*h_col/7))/0.002)))^2))+(MAX(-f_yd,MIN(f_yd,200000*IF(EY26&lt;=h_col,0.0035*(EY26-(h_col-d_2))/EY26,0.002*(EY26-(h_col-d_2))/(EY26-3*h_col/7))))-f_cd*(1-(1-MAX(0,MIN(1,IF(EY26&lt;=h_col,0.0035*(EY26-(h_col-d_2))/EY26,0.002*(EY26-(h_col-d_2))/(EY26-3*h_col/7))/0.002)))^2))))/1000</f>
        <v/>
      </c>
      <c r="FA26">
        <f>IF($EZ26&lt;N_Ed-1E-9*MAX(1,N_Ed),(EW26+EX26)/2,EW26)</f>
        <v/>
      </c>
      <c r="FB26">
        <f>IF($EZ26&lt;N_Ed-1E-9*MAX(1,N_Ed),EX26,(EW26+EX26)/2)</f>
        <v/>
      </c>
      <c r="FC26">
        <f>h_col*((FA26+FB26)/2)/(1-(FA26+FB26)/2)</f>
        <v/>
      </c>
      <c r="FD26">
        <f>(f_cd*b_col*((3*MIN(FC26,h_col)/7)+(4*MIN(FC26,h_col)/7)*(1-((4*MIN(FC26,h_col)/7)/(FC26-(3*MIN(FC26,h_col)/7)))^2/3))+$D26/2*((MAX(-f_yd,MIN(f_yd,200000*IF(FC26&lt;=h_col,0.0035*(FC26-d_2)/FC26,0.002*(FC26-d_2)/(FC26-3*h_col/7))))-f_cd*(1-(1-MAX(0,MIN(1,IF(FC26&lt;=h_col,0.0035*(FC26-d_2)/FC26,0.002*(FC26-d_2)/(FC26-3*h_col/7))/0.002)))^2))+(MAX(-f_yd,MIN(f_yd,200000*IF(FC26&lt;=h_col,0.0035*(FC26-(h_col-d_2))/FC26,0.002*(FC26-(h_col-d_2))/(FC26-3*h_col/7))))-f_cd*(1-(1-MAX(0,MIN(1,IF(FC26&lt;=h_col,0.0035*(FC26-(h_col-d_2))/FC26,0.002*(FC26-(h_col-d_2))/(FC26-3*h_col/7))/0.002)))^2))))/1000</f>
        <v/>
      </c>
      <c r="FE26">
        <f>IF($FD26&lt;N_Ed-1E-9*MAX(1,N_Ed),(FA26+FB26)/2,FA26)</f>
        <v/>
      </c>
      <c r="FF26">
        <f>IF($FD26&lt;N_Ed-1E-9*MAX(1,N_Ed),FB26,(FA26+FB26)/2)</f>
        <v/>
      </c>
      <c r="FG26">
        <f>h_col*((FE26+FF26)/2)/(1-(FE26+FF26)/2)</f>
        <v/>
      </c>
      <c r="FH26">
        <f>(f_cd*b_col*((3*MIN(FG26,h_col)/7)+(4*MIN(FG26,h_col)/7)*(1-((4*MIN(FG26,h_col)/7)/(FG26-(3*MIN(FG26,h_col)/7)))^2/3))+$D26/2*((MAX(-f_yd,MIN(f_yd,200000*IF(FG26&lt;=h_col,0.0035*(FG26-d_2)/FG26,0.002*(FG26-d_2)/(FG26-3*h_col/7))))-f_cd*(1-(1-MAX(0,MIN(1,IF(FG26&lt;=h_col,0.0035*(FG26-d_2)/FG26,0.002*(FG26-d_2)/(FG26-3*h_col/7))/0.002)))^2))+(MAX(-f_yd,MIN(f_yd,200000*IF(FG26&lt;=h_col,0.0035*(FG26-(h_col-d_2))/FG26,0.002*(FG26-(h_col-d_2))/(FG26-3*h_col/7))))-f_cd*(1-(1-MAX(0,MIN(1,IF(FG26&lt;=h_col,0.0035*(FG26-(h_col-d_2))/FG26,0.002*(FG26-(h_col-d_2))/(FG26-3*h_col/7))/0.002)))^2))))/1000</f>
        <v/>
      </c>
      <c r="FI26">
        <f>IF($FH26&lt;N_Ed-1E-9*MAX(1,N_Ed),(FE26+FF26)/2,FE26)</f>
        <v/>
      </c>
      <c r="FJ26">
        <f>IF($FH26&lt;N_Ed-1E-9*MAX(1,N_Ed),FF26,(FE26+FF26)/2)</f>
        <v/>
      </c>
      <c r="FK26">
        <f>h_col*((FI26+FJ26)/2)/(1-(FI26+FJ26)/2)</f>
        <v/>
      </c>
      <c r="FL26">
        <f>(f_cd*b_col*((3*MIN(FK26,h_col)/7)+(4*MIN(FK26,h_col)/7)*(1-((4*MIN(FK26,h_col)/7)/(FK26-(3*MIN(FK26,h_col)/7)))^2/3))+$D26/2*((MAX(-f_yd,MIN(f_yd,200000*IF(FK26&lt;=h_col,0.0035*(FK26-d_2)/FK26,0.002*(FK26-d_2)/(FK26-3*h_col/7))))-f_cd*(1-(1-MAX(0,MIN(1,IF(FK26&lt;=h_col,0.0035*(FK26-d_2)/FK26,0.002*(FK26-d_2)/(FK26-3*h_col/7))/0.002)))^2))+(MAX(-f_yd,MIN(f_yd,200000*IF(FK26&lt;=h_col,0.0035*(FK26-(h_col-d_2))/FK26,0.002*(FK26-(h_col-d_2))/(FK26-3*h_col/7))))-f_cd*(1-(1-MAX(0,MIN(1,IF(FK26&lt;=h_col,0.0035*(FK26-(h_col-d_2))/FK26,0.002*(FK26-(h_col-d_2))/(FK26-3*h_col/7))/0.002)))^2))))/1000</f>
        <v/>
      </c>
      <c r="FM26">
        <f>IF($FL26&lt;N_Ed-1E-9*MAX(1,N_Ed),(FI26+FJ26)/2,FI26)</f>
        <v/>
      </c>
      <c r="FN26">
        <f>IF($FL26&lt;N_Ed-1E-9*MAX(1,N_Ed),FJ26,(FI26+FJ26)/2)</f>
        <v/>
      </c>
      <c r="FO26">
        <f>h_col*((FM26+FN26)/2)/(1-(FM26+FN26)/2)</f>
        <v/>
      </c>
      <c r="FP26">
        <f>(f_cd*b_col*((3*MIN(FO26,h_col)/7)+(4*MIN(FO26,h_col)/7)*(1-((4*MIN(FO26,h_col)/7)/(FO26-(3*MIN(FO26,h_col)/7)))^2/3))+$D26/2*((MAX(-f_yd,MIN(f_yd,200000*IF(FO26&lt;=h_col,0.0035*(FO26-d_2)/FO26,0.002*(FO26-d_2)/(FO26-3*h_col/7))))-f_cd*(1-(1-MAX(0,MIN(1,IF(FO26&lt;=h_col,0.0035*(FO26-d_2)/FO26,0.002*(FO26-d_2)/(FO26-3*h_col/7))/0.002)))^2))+(MAX(-f_yd,MIN(f_yd,200000*IF(FO26&lt;=h_col,0.0035*(FO26-(h_col-d_2))/FO26,0.002*(FO26-(h_col-d_2))/(FO26-3*h_col/7))))-f_cd*(1-(1-MAX(0,MIN(1,IF(FO26&lt;=h_col,0.0035*(FO26-(h_col-d_2))/FO26,0.002*(FO26-(h_col-d_2))/(FO26-3*h_col/7))/0.002)))^2))))/1000</f>
        <v/>
      </c>
      <c r="FQ26">
        <f>IF($FP26&lt;N_Ed-1E-9*MAX(1,N_Ed),(FM26+FN26)/2,FM26)</f>
        <v/>
      </c>
      <c r="FR26">
        <f>IF($FP26&lt;N_Ed-1E-9*MAX(1,N_Ed),FN26,(FM26+FN26)/2)</f>
        <v/>
      </c>
      <c r="FS26">
        <f>h_col*((FQ26+FR26)/2)/(1-(FQ26+FR26)/2)</f>
        <v/>
      </c>
      <c r="FT26">
        <f>(f_cd*b_col*((3*MIN(FS26,h_col)/7)+(4*MIN(FS26,h_col)/7)*(1-((4*MIN(FS26,h_col)/7)/(FS26-(3*MIN(FS26,h_col)/7)))^2/3))+$D26/2*((MAX(-f_yd,MIN(f_yd,200000*IF(FS26&lt;=h_col,0.0035*(FS26-d_2)/FS26,0.002*(FS26-d_2)/(FS26-3*h_col/7))))-f_cd*(1-(1-MAX(0,MIN(1,IF(FS26&lt;=h_col,0.0035*(FS26-d_2)/FS26,0.002*(FS26-d_2)/(FS26-3*h_col/7))/0.002)))^2))+(MAX(-f_yd,MIN(f_yd,200000*IF(FS26&lt;=h_col,0.0035*(FS26-(h_col-d_2))/FS26,0.002*(FS26-(h_col-d_2))/(FS26-3*h_col/7))))-f_cd*(1-(1-MAX(0,MIN(1,IF(FS26&lt;=h_col,0.0035*(FS26-(h_col-d_2))/FS26,0.002*(FS26-(h_col-d_2))/(FS26-3*h_col/7))/0.002)))^2))))/1000</f>
        <v/>
      </c>
      <c r="FU26">
        <f>IF($FT26&lt;N_Ed-1E-9*MAX(1,N_Ed),(FQ26+FR26)/2,FQ26)</f>
        <v/>
      </c>
      <c r="FV26">
        <f>IF($FT26&lt;N_Ed-1E-9*MAX(1,N_Ed),FR26,(FQ26+FR26)/2)</f>
        <v/>
      </c>
      <c r="FW26">
        <f>h_col*((FU26+FV26)/2)/(1-(FU26+FV26)/2)</f>
        <v/>
      </c>
      <c r="FX26">
        <f>(f_cd*b_col*((3*MIN(FW26,h_col)/7)+(4*MIN(FW26,h_col)/7)*(1-((4*MIN(FW26,h_col)/7)/(FW26-(3*MIN(FW26,h_col)/7)))^2/3))+$D26/2*((MAX(-f_yd,MIN(f_yd,200000*IF(FW26&lt;=h_col,0.0035*(FW26-d_2)/FW26,0.002*(FW26-d_2)/(FW26-3*h_col/7))))-f_cd*(1-(1-MAX(0,MIN(1,IF(FW26&lt;=h_col,0.0035*(FW26-d_2)/FW26,0.002*(FW26-d_2)/(FW26-3*h_col/7))/0.002)))^2))+(MAX(-f_yd,MIN(f_yd,200000*IF(FW26&lt;=h_col,0.0035*(FW26-(h_col-d_2))/FW26,0.002*(FW26-(h_col-d_2))/(FW26-3*h_col/7))))-f_cd*(1-(1-MAX(0,MIN(1,IF(FW26&lt;=h_col,0.0035*(FW26-(h_col-d_2))/FW26,0.002*(FW26-(h_col-d_2))/(FW26-3*h_col/7))/0.002)))^2))))/1000</f>
        <v/>
      </c>
      <c r="FY26">
        <f>IF($FX26&lt;N_Ed-1E-9*MAX(1,N_Ed),(FU26+FV26)/2,FU26)</f>
        <v/>
      </c>
      <c r="FZ26">
        <f>IF($FX26&lt;N_Ed-1E-9*MAX(1,N_Ed),FV26,(FU26+FV26)/2)</f>
        <v/>
      </c>
      <c r="GA26">
        <f>h_col*((FY26+FZ26)/2)/(1-(FY26+FZ26)/2)</f>
        <v/>
      </c>
      <c r="GB26">
        <f>(f_cd*b_col*((3*MIN(GA26,h_col)/7)+(4*MIN(GA26,h_col)/7)*(1-((4*MIN(GA26,h_col)/7)/(GA26-(3*MIN(GA26,h_col)/7)))^2/3))+$D26/2*((MAX(-f_yd,MIN(f_yd,200000*IF(GA26&lt;=h_col,0.0035*(GA26-d_2)/GA26,0.002*(GA26-d_2)/(GA26-3*h_col/7))))-f_cd*(1-(1-MAX(0,MIN(1,IF(GA26&lt;=h_col,0.0035*(GA26-d_2)/GA26,0.002*(GA26-d_2)/(GA26-3*h_col/7))/0.002)))^2))+(MAX(-f_yd,MIN(f_yd,200000*IF(GA26&lt;=h_col,0.0035*(GA26-(h_col-d_2))/GA26,0.002*(GA26-(h_col-d_2))/(GA26-3*h_col/7))))-f_cd*(1-(1-MAX(0,MIN(1,IF(GA26&lt;=h_col,0.0035*(GA26-(h_col-d_2))/GA26,0.002*(GA26-(h_col-d_2))/(GA26-3*h_col/7))/0.002)))^2))))/1000</f>
        <v/>
      </c>
      <c r="GC26">
        <f>IF($GB26&lt;N_Ed-1E-9*MAX(1,N_Ed),(FY26+FZ26)/2,FY26)</f>
        <v/>
      </c>
      <c r="GD26">
        <f>IF($GB26&lt;N_Ed-1E-9*MAX(1,N_Ed),FZ26,(FY26+FZ26)/2)</f>
        <v/>
      </c>
      <c r="GE26">
        <f>h_col*((GC26+GD26)/2)/(1-(GC26+GD26)/2)</f>
        <v/>
      </c>
      <c r="GF26">
        <f>(f_cd*b_col*((3*MIN(GE26,h_col)/7)+(4*MIN(GE26,h_col)/7)*(1-((4*MIN(GE26,h_col)/7)/(GE26-(3*MIN(GE26,h_col)/7)))^2/3))+$D26/2*((MAX(-f_yd,MIN(f_yd,200000*IF(GE26&lt;=h_col,0.0035*(GE26-d_2)/GE26,0.002*(GE26-d_2)/(GE26-3*h_col/7))))-f_cd*(1-(1-MAX(0,MIN(1,IF(GE26&lt;=h_col,0.0035*(GE26-d_2)/GE26,0.002*(GE26-d_2)/(GE26-3*h_col/7))/0.002)))^2))+(MAX(-f_yd,MIN(f_yd,200000*IF(GE26&lt;=h_col,0.0035*(GE26-(h_col-d_2))/GE26,0.002*(GE26-(h_col-d_2))/(GE26-3*h_col/7))))-f_cd*(1-(1-MAX(0,MIN(1,IF(GE26&lt;=h_col,0.0035*(GE26-(h_col-d_2))/GE26,0.002*(GE26-(h_col-d_2))/(GE26-3*h_col/7))/0.002)))^2))))/1000</f>
        <v/>
      </c>
      <c r="GG26">
        <f>IF($GF26&lt;N_Ed-1E-9*MAX(1,N_Ed),(GC26+GD26)/2,GC26)</f>
        <v/>
      </c>
      <c r="GH26">
        <f>IF($GF26&lt;N_Ed-1E-9*MAX(1,N_Ed),GD26,(GC26+GD26)/2)</f>
        <v/>
      </c>
      <c r="GI26">
        <f>h_col*((GG26+GH26)/2)/(1-(GG26+GH26)/2)</f>
        <v/>
      </c>
      <c r="GJ26">
        <f>(f_cd*b_col*((3*MIN(GI26,h_col)/7)+(4*MIN(GI26,h_col)/7)*(1-((4*MIN(GI26,h_col)/7)/(GI26-(3*MIN(GI26,h_col)/7)))^2/3))+$D26/2*((MAX(-f_yd,MIN(f_yd,200000*IF(GI26&lt;=h_col,0.0035*(GI26-d_2)/GI26,0.002*(GI26-d_2)/(GI26-3*h_col/7))))-f_cd*(1-(1-MAX(0,MIN(1,IF(GI26&lt;=h_col,0.0035*(GI26-d_2)/GI26,0.002*(GI26-d_2)/(GI26-3*h_col/7))/0.002)))^2))+(MAX(-f_yd,MIN(f_yd,200000*IF(GI26&lt;=h_col,0.0035*(GI26-(h_col-d_2))/GI26,0.002*(GI26-(h_col-d_2))/(GI26-3*h_col/7))))-f_cd*(1-(1-MAX(0,MIN(1,IF(GI26&lt;=h_col,0.0035*(GI26-(h_col-d_2))/GI26,0.002*(GI26-(h_col-d_2))/(GI26-3*h_col/7))/0.002)))^2))))/1000</f>
        <v/>
      </c>
      <c r="GK26">
        <f>IF($GJ26&lt;N_Ed-1E-9*MAX(1,N_Ed),(GG26+GH26)/2,GG26)</f>
        <v/>
      </c>
      <c r="GL26">
        <f>IF($GJ26&lt;N_Ed-1E-9*MAX(1,N_Ed),GH26,(GG26+GH26)/2)</f>
        <v/>
      </c>
      <c r="GM26">
        <f>h_col*((GK26+GL26)/2)/(1-(GK26+GL26)/2)</f>
        <v/>
      </c>
      <c r="GN26">
        <f>(f_cd*b_col*((3*MIN(GM26,h_col)/7)+(4*MIN(GM26,h_col)/7)*(1-((4*MIN(GM26,h_col)/7)/(GM26-(3*MIN(GM26,h_col)/7)))^2/3))+$D26/2*((MAX(-f_yd,MIN(f_yd,200000*IF(GM26&lt;=h_col,0.0035*(GM26-d_2)/GM26,0.002*(GM26-d_2)/(GM26-3*h_col/7))))-f_cd*(1-(1-MAX(0,MIN(1,IF(GM26&lt;=h_col,0.0035*(GM26-d_2)/GM26,0.002*(GM26-d_2)/(GM26-3*h_col/7))/0.002)))^2))+(MAX(-f_yd,MIN(f_yd,200000*IF(GM26&lt;=h_col,0.0035*(GM26-(h_col-d_2))/GM26,0.002*(GM26-(h_col-d_2))/(GM26-3*h_col/7))))-f_cd*(1-(1-MAX(0,MIN(1,IF(GM26&lt;=h_col,0.0035*(GM26-(h_col-d_2))/GM26,0.002*(GM26-(h_col-d_2))/(GM26-3*h_col/7))/0.002)))^2))))/1000</f>
        <v/>
      </c>
      <c r="GO26">
        <f>IF($GN26&lt;N_Ed-1E-9*MAX(1,N_Ed),(GK26+GL26)/2,GK26)</f>
        <v/>
      </c>
      <c r="GP26">
        <f>IF($GN26&lt;N_Ed-1E-9*MAX(1,N_Ed),GL26,(GK26+GL26)/2)</f>
        <v/>
      </c>
      <c r="GQ26">
        <f>h_col*((GO26+GP26)/2)/(1-(GO26+GP26)/2)</f>
        <v/>
      </c>
      <c r="GR26">
        <f>(f_cd*b_col*((3*MIN(GQ26,h_col)/7)+(4*MIN(GQ26,h_col)/7)*(1-((4*MIN(GQ26,h_col)/7)/(GQ26-(3*MIN(GQ26,h_col)/7)))^2/3))+$D26/2*((MAX(-f_yd,MIN(f_yd,200000*IF(GQ26&lt;=h_col,0.0035*(GQ26-d_2)/GQ26,0.002*(GQ26-d_2)/(GQ26-3*h_col/7))))-f_cd*(1-(1-MAX(0,MIN(1,IF(GQ26&lt;=h_col,0.0035*(GQ26-d_2)/GQ26,0.002*(GQ26-d_2)/(GQ26-3*h_col/7))/0.002)))^2))+(MAX(-f_yd,MIN(f_yd,200000*IF(GQ26&lt;=h_col,0.0035*(GQ26-(h_col-d_2))/GQ26,0.002*(GQ26-(h_col-d_2))/(GQ26-3*h_col/7))))-f_cd*(1-(1-MAX(0,MIN(1,IF(GQ26&lt;=h_col,0.0035*(GQ26-(h_col-d_2))/GQ26,0.002*(GQ26-(h_col-d_2))/(GQ26-3*h_col/7))/0.002)))^2))))/1000</f>
        <v/>
      </c>
      <c r="GS26">
        <f>IF($GR26&lt;N_Ed-1E-9*MAX(1,N_Ed),(GO26+GP26)/2,GO26)</f>
        <v/>
      </c>
      <c r="GT26">
        <f>IF($GR26&lt;N_Ed-1E-9*MAX(1,N_Ed),GP26,(GO26+GP26)/2)</f>
        <v/>
      </c>
      <c r="GU26">
        <f>h_col*((GS26+GT26)/2)/(1-(GS26+GT26)/2)</f>
        <v/>
      </c>
      <c r="GV26">
        <f>(f_cd*b_col*((3*MIN(GU26,h_col)/7)+(4*MIN(GU26,h_col)/7)*(1-((4*MIN(GU26,h_col)/7)/(GU26-(3*MIN(GU26,h_col)/7)))^2/3))+$D26/2*((MAX(-f_yd,MIN(f_yd,200000*IF(GU26&lt;=h_col,0.0035*(GU26-d_2)/GU26,0.002*(GU26-d_2)/(GU26-3*h_col/7))))-f_cd*(1-(1-MAX(0,MIN(1,IF(GU26&lt;=h_col,0.0035*(GU26-d_2)/GU26,0.002*(GU26-d_2)/(GU26-3*h_col/7))/0.002)))^2))+(MAX(-f_yd,MIN(f_yd,200000*IF(GU26&lt;=h_col,0.0035*(GU26-(h_col-d_2))/GU26,0.002*(GU26-(h_col-d_2))/(GU26-3*h_col/7))))-f_cd*(1-(1-MAX(0,MIN(1,IF(GU26&lt;=h_col,0.0035*(GU26-(h_col-d_2))/GU26,0.002*(GU26-(h_col-d_2))/(GU26-3*h_col/7))/0.002)))^2))))/1000</f>
        <v/>
      </c>
      <c r="GW26">
        <f>GU26</f>
        <v/>
      </c>
      <c r="GX26">
        <f>(f_cd*b_col*((3*MIN(GW26,h_col)/7)+(4*MIN(GW26,h_col)/7)*(1-((4*MIN(GW26,h_col)/7)/(GW26-(3*MIN(GW26,h_col)/7)))^2/3))+$D26/2*((MAX(-f_yd,MIN(f_yd,200000*IF(GW26&lt;=h_col,0.0035*(GW26-d_2)/GW26,0.002*(GW26-d_2)/(GW26-3*h_col/7))))-f_cd*(1-(1-MAX(0,MIN(1,IF(GW26&lt;=h_col,0.0035*(GW26-d_2)/GW26,0.002*(GW26-d_2)/(GW26-3*h_col/7))/0.002)))^2))+(MAX(-f_yd,MIN(f_yd,200000*IF(GW26&lt;=h_col,0.0035*(GW26-(h_col-d_2))/GW26,0.002*(GW26-(h_col-d_2))/(GW26-3*h_col/7))))-f_cd*(1-(1-MAX(0,MIN(1,IF(GW26&lt;=h_col,0.0035*(GW26-(h_col-d_2))/GW26,0.002*(GW26-(h_col-d_2))/(GW26-3*h_col/7))/0.002)))^2))))/1000</f>
        <v/>
      </c>
      <c r="GY26">
        <f>(f_cd*b_col*((3*MIN(GW26,h_col)/7)*(h_col/2-(3*MIN(GW26,h_col)/7)/2)+(4*MIN(GW26,h_col)/7)*((h_col/2-(3*MIN(GW26,h_col)/7))*(1-((4*MIN(GW26,h_col)/7)/(GW26-(3*MIN(GW26,h_col)/7)))^2/3)-(4*MIN(GW26,h_col)/7)*(0.5-((4*MIN(GW26,h_col)/7)/(GW26-(3*MIN(GW26,h_col)/7)))^2/4)))+$D26/2*((MAX(-f_yd,MIN(f_yd,200000*IF(GW26&lt;=h_col,0.0035*(GW26-d_2)/GW26,0.002*(GW26-d_2)/(GW26-3*h_col/7))))-f_cd*(1-(1-MAX(0,MIN(1,IF(GW26&lt;=h_col,0.0035*(GW26-d_2)/GW26,0.002*(GW26-d_2)/(GW26-3*h_col/7))/0.002)))^2))-(MAX(-f_yd,MIN(f_yd,200000*IF(GW26&lt;=h_col,0.0035*(GW26-(h_col-d_2))/GW26,0.002*(GW26-(h_col-d_2))/(GW26-3*h_col/7))))-f_cd*(1-(1-MAX(0,MIN(1,IF(GW26&lt;=h_col,0.0035*(GW26-(h_col-d_2))/GW26,0.002*(GW26-(h_col-d_2))/(GW26-3*h_col/7))/0.002)))^2)))*(h_col/2-d_2))/1E6</f>
        <v/>
      </c>
      <c r="GZ26">
        <f>GX26&gt;=N_Ed-1E-6*MAX(1,N_Ed)</f>
        <v/>
      </c>
      <c r="HA26">
        <f>IF(GZ26,GY26,-1E9)</f>
        <v/>
      </c>
    </row>
    <row r="27">
      <c r="A27" t="n">
        <v>22</v>
      </c>
      <c r="B27">
        <f>IF($HA26&gt;=M_d,$B26,$D26)</f>
        <v/>
      </c>
      <c r="C27">
        <f>IF($HA26&gt;=M_d,$D26,$C26)</f>
        <v/>
      </c>
      <c r="D27">
        <f>($B27+$C27)/2</f>
        <v/>
      </c>
      <c r="E27" t="n">
        <v>0</v>
      </c>
      <c r="F27">
        <f>1-1E-12</f>
        <v/>
      </c>
      <c r="G27">
        <f>h_col*((E27+F27)/2)/(1-(E27+F27)/2)</f>
        <v/>
      </c>
      <c r="H27">
        <f>(f_cd*b_col*((3*MIN(G27,h_col)/7)+(4*MIN(G27,h_col)/7)*(1-((4*MIN(G27,h_col)/7)/(G27-(3*MIN(G27,h_col)/7)))^2/3))+$D27/2*((MAX(-f_yd,MIN(f_yd,200000*IF(G27&lt;=h_col,0.0035*(G27-d_2)/G27,0.002*(G27-d_2)/(G27-3*h_col/7))))-f_cd*(1-(1-MAX(0,MIN(1,IF(G27&lt;=h_col,0.0035*(G27-d_2)/G27,0.002*(G27-d_2)/(G27-3*h_col/7))/0.002)))^2))+(MAX(-f_yd,MIN(f_yd,200000*IF(G27&lt;=h_col,0.0035*(G27-(h_col-d_2))/G27,0.002*(G27-(h_col-d_2))/(G27-3*h_col/7))))-f_cd*(1-(1-MAX(0,MIN(1,IF(G27&lt;=h_col,0.0035*(G27-(h_col-d_2))/G27,0.002*(G27-(h_col-d_2))/(G27-3*h_col/7))/0.002)))^2))))/1000</f>
        <v/>
      </c>
      <c r="I27">
        <f>IF($H27&lt;N_Ed-1E-9*MAX(1,N_Ed),(E27+F27)/2,E27)</f>
        <v/>
      </c>
      <c r="J27">
        <f>IF($H27&lt;N_Ed-1E-9*MAX(1,N_Ed),F27,(E27+F27)/2)</f>
        <v/>
      </c>
      <c r="K27">
        <f>h_col*((I27+J27)/2)/(1-(I27+J27)/2)</f>
        <v/>
      </c>
      <c r="L27">
        <f>(f_cd*b_col*((3*MIN(K27,h_col)/7)+(4*MIN(K27,h_col)/7)*(1-((4*MIN(K27,h_col)/7)/(K27-(3*MIN(K27,h_col)/7)))^2/3))+$D27/2*((MAX(-f_yd,MIN(f_yd,200000*IF(K27&lt;=h_col,0.0035*(K27-d_2)/K27,0.002*(K27-d_2)/(K27-3*h_col/7))))-f_cd*(1-(1-MAX(0,MIN(1,IF(K27&lt;=h_col,0.0035*(K27-d_2)/K27,0.002*(K27-d_2)/(K27-3*h_col/7))/0.002)))^2))+(MAX(-f_yd,MIN(f_yd,200000*IF(K27&lt;=h_col,0.0035*(K27-(h_col-d_2))/K27,0.002*(K27-(h_col-d_2))/(K27-3*h_col/7))))-f_cd*(1-(1-MAX(0,MIN(1,IF(K27&lt;=h_col,0.0035*(K27-(h_col-d_2))/K27,0.002*(K27-(h_col-d_2))/(K27-3*h_col/7))/0.002)))^2))))/1000</f>
        <v/>
      </c>
      <c r="M27">
        <f>IF($L27&lt;N_Ed-1E-9*MAX(1,N_Ed),(I27+J27)/2,I27)</f>
        <v/>
      </c>
      <c r="N27">
        <f>IF($L27&lt;N_Ed-1E-9*MAX(1,N_Ed),J27,(I27+J27)/2)</f>
        <v/>
      </c>
      <c r="O27">
        <f>h_col*((M27+N27)/2)/(1-(M27+N27)/2)</f>
        <v/>
      </c>
      <c r="P27">
        <f>(f_cd*b_col*((3*MIN(O27,h_col)/7)+(4*MIN(O27,h_col)/7)*(1-((4*MIN(O27,h_col)/7)/(O27-(3*MIN(O27,h_col)/7)))^2/3))+$D27/2*((MAX(-f_yd,MIN(f_yd,200000*IF(O27&lt;=h_col,0.0035*(O27-d_2)/O27,0.002*(O27-d_2)/(O27-3*h_col/7))))-f_cd*(1-(1-MAX(0,MIN(1,IF(O27&lt;=h_col,0.0035*(O27-d_2)/O27,0.002*(O27-d_2)/(O27-3*h_col/7))/0.002)))^2))+(MAX(-f_yd,MIN(f_yd,200000*IF(O27&lt;=h_col,0.0035*(O27-(h_col-d_2))/O27,0.002*(O27-(h_col-d_2))/(O27-3*h_col/7))))-f_cd*(1-(1-MAX(0,MIN(1,IF(O27&lt;=h_col,0.0035*(O27-(h_col-d_2))/O27,0.002*(O27-(h_col-d_2))/(O27-3*h_col/7))/0.002)))^2))))/1000</f>
        <v/>
      </c>
      <c r="Q27">
        <f>IF($P27&lt;N_Ed-1E-9*MAX(1,N_Ed),(M27+N27)/2,M27)</f>
        <v/>
      </c>
      <c r="R27">
        <f>IF($P27&lt;N_Ed-1E-9*MAX(1,N_Ed),N27,(M27+N27)/2)</f>
        <v/>
      </c>
      <c r="S27">
        <f>h_col*((Q27+R27)/2)/(1-(Q27+R27)/2)</f>
        <v/>
      </c>
      <c r="T27">
        <f>(f_cd*b_col*((3*MIN(S27,h_col)/7)+(4*MIN(S27,h_col)/7)*(1-((4*MIN(S27,h_col)/7)/(S27-(3*MIN(S27,h_col)/7)))^2/3))+$D27/2*((MAX(-f_yd,MIN(f_yd,200000*IF(S27&lt;=h_col,0.0035*(S27-d_2)/S27,0.002*(S27-d_2)/(S27-3*h_col/7))))-f_cd*(1-(1-MAX(0,MIN(1,IF(S27&lt;=h_col,0.0035*(S27-d_2)/S27,0.002*(S27-d_2)/(S27-3*h_col/7))/0.002)))^2))+(MAX(-f_yd,MIN(f_yd,200000*IF(S27&lt;=h_col,0.0035*(S27-(h_col-d_2))/S27,0.002*(S27-(h_col-d_2))/(S27-3*h_col/7))))-f_cd*(1-(1-MAX(0,MIN(1,IF(S27&lt;=h_col,0.0035*(S27-(h_col-d_2))/S27,0.002*(S27-(h_col-d_2))/(S27-3*h_col/7))/0.002)))^2))))/1000</f>
        <v/>
      </c>
      <c r="U27">
        <f>IF($T27&lt;N_Ed-1E-9*MAX(1,N_Ed),(Q27+R27)/2,Q27)</f>
        <v/>
      </c>
      <c r="V27">
        <f>IF($T27&lt;N_Ed-1E-9*MAX(1,N_Ed),R27,(Q27+R27)/2)</f>
        <v/>
      </c>
      <c r="W27">
        <f>h_col*((U27+V27)/2)/(1-(U27+V27)/2)</f>
        <v/>
      </c>
      <c r="X27">
        <f>(f_cd*b_col*((3*MIN(W27,h_col)/7)+(4*MIN(W27,h_col)/7)*(1-((4*MIN(W27,h_col)/7)/(W27-(3*MIN(W27,h_col)/7)))^2/3))+$D27/2*((MAX(-f_yd,MIN(f_yd,200000*IF(W27&lt;=h_col,0.0035*(W27-d_2)/W27,0.002*(W27-d_2)/(W27-3*h_col/7))))-f_cd*(1-(1-MAX(0,MIN(1,IF(W27&lt;=h_col,0.0035*(W27-d_2)/W27,0.002*(W27-d_2)/(W27-3*h_col/7))/0.002)))^2))+(MAX(-f_yd,MIN(f_yd,200000*IF(W27&lt;=h_col,0.0035*(W27-(h_col-d_2))/W27,0.002*(W27-(h_col-d_2))/(W27-3*h_col/7))))-f_cd*(1-(1-MAX(0,MIN(1,IF(W27&lt;=h_col,0.0035*(W27-(h_col-d_2))/W27,0.002*(W27-(h_col-d_2))/(W27-3*h_col/7))/0.002)))^2))))/1000</f>
        <v/>
      </c>
      <c r="Y27">
        <f>IF($X27&lt;N_Ed-1E-9*MAX(1,N_Ed),(U27+V27)/2,U27)</f>
        <v/>
      </c>
      <c r="Z27">
        <f>IF($X27&lt;N_Ed-1E-9*MAX(1,N_Ed),V27,(U27+V27)/2)</f>
        <v/>
      </c>
      <c r="AA27">
        <f>h_col*((Y27+Z27)/2)/(1-(Y27+Z27)/2)</f>
        <v/>
      </c>
      <c r="AB27">
        <f>(f_cd*b_col*((3*MIN(AA27,h_col)/7)+(4*MIN(AA27,h_col)/7)*(1-((4*MIN(AA27,h_col)/7)/(AA27-(3*MIN(AA27,h_col)/7)))^2/3))+$D27/2*((MAX(-f_yd,MIN(f_yd,200000*IF(AA27&lt;=h_col,0.0035*(AA27-d_2)/AA27,0.002*(AA27-d_2)/(AA27-3*h_col/7))))-f_cd*(1-(1-MAX(0,MIN(1,IF(AA27&lt;=h_col,0.0035*(AA27-d_2)/AA27,0.002*(AA27-d_2)/(AA27-3*h_col/7))/0.002)))^2))+(MAX(-f_yd,MIN(f_yd,200000*IF(AA27&lt;=h_col,0.0035*(AA27-(h_col-d_2))/AA27,0.002*(AA27-(h_col-d_2))/(AA27-3*h_col/7))))-f_cd*(1-(1-MAX(0,MIN(1,IF(AA27&lt;=h_col,0.0035*(AA27-(h_col-d_2))/AA27,0.002*(AA27-(h_col-d_2))/(AA27-3*h_col/7))/0.002)))^2))))/1000</f>
        <v/>
      </c>
      <c r="AC27">
        <f>IF($AB27&lt;N_Ed-1E-9*MAX(1,N_Ed),(Y27+Z27)/2,Y27)</f>
        <v/>
      </c>
      <c r="AD27">
        <f>IF($AB27&lt;N_Ed-1E-9*MAX(1,N_Ed),Z27,(Y27+Z27)/2)</f>
        <v/>
      </c>
      <c r="AE27">
        <f>h_col*((AC27+AD27)/2)/(1-(AC27+AD27)/2)</f>
        <v/>
      </c>
      <c r="AF27">
        <f>(f_cd*b_col*((3*MIN(AE27,h_col)/7)+(4*MIN(AE27,h_col)/7)*(1-((4*MIN(AE27,h_col)/7)/(AE27-(3*MIN(AE27,h_col)/7)))^2/3))+$D27/2*((MAX(-f_yd,MIN(f_yd,200000*IF(AE27&lt;=h_col,0.0035*(AE27-d_2)/AE27,0.002*(AE27-d_2)/(AE27-3*h_col/7))))-f_cd*(1-(1-MAX(0,MIN(1,IF(AE27&lt;=h_col,0.0035*(AE27-d_2)/AE27,0.002*(AE27-d_2)/(AE27-3*h_col/7))/0.002)))^2))+(MAX(-f_yd,MIN(f_yd,200000*IF(AE27&lt;=h_col,0.0035*(AE27-(h_col-d_2))/AE27,0.002*(AE27-(h_col-d_2))/(AE27-3*h_col/7))))-f_cd*(1-(1-MAX(0,MIN(1,IF(AE27&lt;=h_col,0.0035*(AE27-(h_col-d_2))/AE27,0.002*(AE27-(h_col-d_2))/(AE27-3*h_col/7))/0.002)))^2))))/1000</f>
        <v/>
      </c>
      <c r="AG27">
        <f>IF($AF27&lt;N_Ed-1E-9*MAX(1,N_Ed),(AC27+AD27)/2,AC27)</f>
        <v/>
      </c>
      <c r="AH27">
        <f>IF($AF27&lt;N_Ed-1E-9*MAX(1,N_Ed),AD27,(AC27+AD27)/2)</f>
        <v/>
      </c>
      <c r="AI27">
        <f>h_col*((AG27+AH27)/2)/(1-(AG27+AH27)/2)</f>
        <v/>
      </c>
      <c r="AJ27">
        <f>(f_cd*b_col*((3*MIN(AI27,h_col)/7)+(4*MIN(AI27,h_col)/7)*(1-((4*MIN(AI27,h_col)/7)/(AI27-(3*MIN(AI27,h_col)/7)))^2/3))+$D27/2*((MAX(-f_yd,MIN(f_yd,200000*IF(AI27&lt;=h_col,0.0035*(AI27-d_2)/AI27,0.002*(AI27-d_2)/(AI27-3*h_col/7))))-f_cd*(1-(1-MAX(0,MIN(1,IF(AI27&lt;=h_col,0.0035*(AI27-d_2)/AI27,0.002*(AI27-d_2)/(AI27-3*h_col/7))/0.002)))^2))+(MAX(-f_yd,MIN(f_yd,200000*IF(AI27&lt;=h_col,0.0035*(AI27-(h_col-d_2))/AI27,0.002*(AI27-(h_col-d_2))/(AI27-3*h_col/7))))-f_cd*(1-(1-MAX(0,MIN(1,IF(AI27&lt;=h_col,0.0035*(AI27-(h_col-d_2))/AI27,0.002*(AI27-(h_col-d_2))/(AI27-3*h_col/7))/0.002)))^2))))/1000</f>
        <v/>
      </c>
      <c r="AK27">
        <f>IF($AJ27&lt;N_Ed-1E-9*MAX(1,N_Ed),(AG27+AH27)/2,AG27)</f>
        <v/>
      </c>
      <c r="AL27">
        <f>IF($AJ27&lt;N_Ed-1E-9*MAX(1,N_Ed),AH27,(AG27+AH27)/2)</f>
        <v/>
      </c>
      <c r="AM27">
        <f>h_col*((AK27+AL27)/2)/(1-(AK27+AL27)/2)</f>
        <v/>
      </c>
      <c r="AN27">
        <f>(f_cd*b_col*((3*MIN(AM27,h_col)/7)+(4*MIN(AM27,h_col)/7)*(1-((4*MIN(AM27,h_col)/7)/(AM27-(3*MIN(AM27,h_col)/7)))^2/3))+$D27/2*((MAX(-f_yd,MIN(f_yd,200000*IF(AM27&lt;=h_col,0.0035*(AM27-d_2)/AM27,0.002*(AM27-d_2)/(AM27-3*h_col/7))))-f_cd*(1-(1-MAX(0,MIN(1,IF(AM27&lt;=h_col,0.0035*(AM27-d_2)/AM27,0.002*(AM27-d_2)/(AM27-3*h_col/7))/0.002)))^2))+(MAX(-f_yd,MIN(f_yd,200000*IF(AM27&lt;=h_col,0.0035*(AM27-(h_col-d_2))/AM27,0.002*(AM27-(h_col-d_2))/(AM27-3*h_col/7))))-f_cd*(1-(1-MAX(0,MIN(1,IF(AM27&lt;=h_col,0.0035*(AM27-(h_col-d_2))/AM27,0.002*(AM27-(h_col-d_2))/(AM27-3*h_col/7))/0.002)))^2))))/1000</f>
        <v/>
      </c>
      <c r="AO27">
        <f>IF($AN27&lt;N_Ed-1E-9*MAX(1,N_Ed),(AK27+AL27)/2,AK27)</f>
        <v/>
      </c>
      <c r="AP27">
        <f>IF($AN27&lt;N_Ed-1E-9*MAX(1,N_Ed),AL27,(AK27+AL27)/2)</f>
        <v/>
      </c>
      <c r="AQ27">
        <f>h_col*((AO27+AP27)/2)/(1-(AO27+AP27)/2)</f>
        <v/>
      </c>
      <c r="AR27">
        <f>(f_cd*b_col*((3*MIN(AQ27,h_col)/7)+(4*MIN(AQ27,h_col)/7)*(1-((4*MIN(AQ27,h_col)/7)/(AQ27-(3*MIN(AQ27,h_col)/7)))^2/3))+$D27/2*((MAX(-f_yd,MIN(f_yd,200000*IF(AQ27&lt;=h_col,0.0035*(AQ27-d_2)/AQ27,0.002*(AQ27-d_2)/(AQ27-3*h_col/7))))-f_cd*(1-(1-MAX(0,MIN(1,IF(AQ27&lt;=h_col,0.0035*(AQ27-d_2)/AQ27,0.002*(AQ27-d_2)/(AQ27-3*h_col/7))/0.002)))^2))+(MAX(-f_yd,MIN(f_yd,200000*IF(AQ27&lt;=h_col,0.0035*(AQ27-(h_col-d_2))/AQ27,0.002*(AQ27-(h_col-d_2))/(AQ27-3*h_col/7))))-f_cd*(1-(1-MAX(0,MIN(1,IF(AQ27&lt;=h_col,0.0035*(AQ27-(h_col-d_2))/AQ27,0.002*(AQ27-(h_col-d_2))/(AQ27-3*h_col/7))/0.002)))^2))))/1000</f>
        <v/>
      </c>
      <c r="AS27">
        <f>IF($AR27&lt;N_Ed-1E-9*MAX(1,N_Ed),(AO27+AP27)/2,AO27)</f>
        <v/>
      </c>
      <c r="AT27">
        <f>IF($AR27&lt;N_Ed-1E-9*MAX(1,N_Ed),AP27,(AO27+AP27)/2)</f>
        <v/>
      </c>
      <c r="AU27">
        <f>h_col*((AS27+AT27)/2)/(1-(AS27+AT27)/2)</f>
        <v/>
      </c>
      <c r="AV27">
        <f>(f_cd*b_col*((3*MIN(AU27,h_col)/7)+(4*MIN(AU27,h_col)/7)*(1-((4*MIN(AU27,h_col)/7)/(AU27-(3*MIN(AU27,h_col)/7)))^2/3))+$D27/2*((MAX(-f_yd,MIN(f_yd,200000*IF(AU27&lt;=h_col,0.0035*(AU27-d_2)/AU27,0.002*(AU27-d_2)/(AU27-3*h_col/7))))-f_cd*(1-(1-MAX(0,MIN(1,IF(AU27&lt;=h_col,0.0035*(AU27-d_2)/AU27,0.002*(AU27-d_2)/(AU27-3*h_col/7))/0.002)))^2))+(MAX(-f_yd,MIN(f_yd,200000*IF(AU27&lt;=h_col,0.0035*(AU27-(h_col-d_2))/AU27,0.002*(AU27-(h_col-d_2))/(AU27-3*h_col/7))))-f_cd*(1-(1-MAX(0,MIN(1,IF(AU27&lt;=h_col,0.0035*(AU27-(h_col-d_2))/AU27,0.002*(AU27-(h_col-d_2))/(AU27-3*h_col/7))/0.002)))^2))))/1000</f>
        <v/>
      </c>
      <c r="AW27">
        <f>IF($AV27&lt;N_Ed-1E-9*MAX(1,N_Ed),(AS27+AT27)/2,AS27)</f>
        <v/>
      </c>
      <c r="AX27">
        <f>IF($AV27&lt;N_Ed-1E-9*MAX(1,N_Ed),AT27,(AS27+AT27)/2)</f>
        <v/>
      </c>
      <c r="AY27">
        <f>h_col*((AW27+AX27)/2)/(1-(AW27+AX27)/2)</f>
        <v/>
      </c>
      <c r="AZ27">
        <f>(f_cd*b_col*((3*MIN(AY27,h_col)/7)+(4*MIN(AY27,h_col)/7)*(1-((4*MIN(AY27,h_col)/7)/(AY27-(3*MIN(AY27,h_col)/7)))^2/3))+$D27/2*((MAX(-f_yd,MIN(f_yd,200000*IF(AY27&lt;=h_col,0.0035*(AY27-d_2)/AY27,0.002*(AY27-d_2)/(AY27-3*h_col/7))))-f_cd*(1-(1-MAX(0,MIN(1,IF(AY27&lt;=h_col,0.0035*(AY27-d_2)/AY27,0.002*(AY27-d_2)/(AY27-3*h_col/7))/0.002)))^2))+(MAX(-f_yd,MIN(f_yd,200000*IF(AY27&lt;=h_col,0.0035*(AY27-(h_col-d_2))/AY27,0.002*(AY27-(h_col-d_2))/(AY27-3*h_col/7))))-f_cd*(1-(1-MAX(0,MIN(1,IF(AY27&lt;=h_col,0.0035*(AY27-(h_col-d_2))/AY27,0.002*(AY27-(h_col-d_2))/(AY27-3*h_col/7))/0.002)))^2))))/1000</f>
        <v/>
      </c>
      <c r="BA27">
        <f>IF($AZ27&lt;N_Ed-1E-9*MAX(1,N_Ed),(AW27+AX27)/2,AW27)</f>
        <v/>
      </c>
      <c r="BB27">
        <f>IF($AZ27&lt;N_Ed-1E-9*MAX(1,N_Ed),AX27,(AW27+AX27)/2)</f>
        <v/>
      </c>
      <c r="BC27">
        <f>h_col*((BA27+BB27)/2)/(1-(BA27+BB27)/2)</f>
        <v/>
      </c>
      <c r="BD27">
        <f>(f_cd*b_col*((3*MIN(BC27,h_col)/7)+(4*MIN(BC27,h_col)/7)*(1-((4*MIN(BC27,h_col)/7)/(BC27-(3*MIN(BC27,h_col)/7)))^2/3))+$D27/2*((MAX(-f_yd,MIN(f_yd,200000*IF(BC27&lt;=h_col,0.0035*(BC27-d_2)/BC27,0.002*(BC27-d_2)/(BC27-3*h_col/7))))-f_cd*(1-(1-MAX(0,MIN(1,IF(BC27&lt;=h_col,0.0035*(BC27-d_2)/BC27,0.002*(BC27-d_2)/(BC27-3*h_col/7))/0.002)))^2))+(MAX(-f_yd,MIN(f_yd,200000*IF(BC27&lt;=h_col,0.0035*(BC27-(h_col-d_2))/BC27,0.002*(BC27-(h_col-d_2))/(BC27-3*h_col/7))))-f_cd*(1-(1-MAX(0,MIN(1,IF(BC27&lt;=h_col,0.0035*(BC27-(h_col-d_2))/BC27,0.002*(BC27-(h_col-d_2))/(BC27-3*h_col/7))/0.002)))^2))))/1000</f>
        <v/>
      </c>
      <c r="BE27">
        <f>IF($BD27&lt;N_Ed-1E-9*MAX(1,N_Ed),(BA27+BB27)/2,BA27)</f>
        <v/>
      </c>
      <c r="BF27">
        <f>IF($BD27&lt;N_Ed-1E-9*MAX(1,N_Ed),BB27,(BA27+BB27)/2)</f>
        <v/>
      </c>
      <c r="BG27">
        <f>h_col*((BE27+BF27)/2)/(1-(BE27+BF27)/2)</f>
        <v/>
      </c>
      <c r="BH27">
        <f>(f_cd*b_col*((3*MIN(BG27,h_col)/7)+(4*MIN(BG27,h_col)/7)*(1-((4*MIN(BG27,h_col)/7)/(BG27-(3*MIN(BG27,h_col)/7)))^2/3))+$D27/2*((MAX(-f_yd,MIN(f_yd,200000*IF(BG27&lt;=h_col,0.0035*(BG27-d_2)/BG27,0.002*(BG27-d_2)/(BG27-3*h_col/7))))-f_cd*(1-(1-MAX(0,MIN(1,IF(BG27&lt;=h_col,0.0035*(BG27-d_2)/BG27,0.002*(BG27-d_2)/(BG27-3*h_col/7))/0.002)))^2))+(MAX(-f_yd,MIN(f_yd,200000*IF(BG27&lt;=h_col,0.0035*(BG27-(h_col-d_2))/BG27,0.002*(BG27-(h_col-d_2))/(BG27-3*h_col/7))))-f_cd*(1-(1-MAX(0,MIN(1,IF(BG27&lt;=h_col,0.0035*(BG27-(h_col-d_2))/BG27,0.002*(BG27-(h_col-d_2))/(BG27-3*h_col/7))/0.002)))^2))))/1000</f>
        <v/>
      </c>
      <c r="BI27">
        <f>IF($BH27&lt;N_Ed-1E-9*MAX(1,N_Ed),(BE27+BF27)/2,BE27)</f>
        <v/>
      </c>
      <c r="BJ27">
        <f>IF($BH27&lt;N_Ed-1E-9*MAX(1,N_Ed),BF27,(BE27+BF27)/2)</f>
        <v/>
      </c>
      <c r="BK27">
        <f>h_col*((BI27+BJ27)/2)/(1-(BI27+BJ27)/2)</f>
        <v/>
      </c>
      <c r="BL27">
        <f>(f_cd*b_col*((3*MIN(BK27,h_col)/7)+(4*MIN(BK27,h_col)/7)*(1-((4*MIN(BK27,h_col)/7)/(BK27-(3*MIN(BK27,h_col)/7)))^2/3))+$D27/2*((MAX(-f_yd,MIN(f_yd,200000*IF(BK27&lt;=h_col,0.0035*(BK27-d_2)/BK27,0.002*(BK27-d_2)/(BK27-3*h_col/7))))-f_cd*(1-(1-MAX(0,MIN(1,IF(BK27&lt;=h_col,0.0035*(BK27-d_2)/BK27,0.002*(BK27-d_2)/(BK27-3*h_col/7))/0.002)))^2))+(MAX(-f_yd,MIN(f_yd,200000*IF(BK27&lt;=h_col,0.0035*(BK27-(h_col-d_2))/BK27,0.002*(BK27-(h_col-d_2))/(BK27-3*h_col/7))))-f_cd*(1-(1-MAX(0,MIN(1,IF(BK27&lt;=h_col,0.0035*(BK27-(h_col-d_2))/BK27,0.002*(BK27-(h_col-d_2))/(BK27-3*h_col/7))/0.002)))^2))))/1000</f>
        <v/>
      </c>
      <c r="BM27">
        <f>IF($BL27&lt;N_Ed-1E-9*MAX(1,N_Ed),(BI27+BJ27)/2,BI27)</f>
        <v/>
      </c>
      <c r="BN27">
        <f>IF($BL27&lt;N_Ed-1E-9*MAX(1,N_Ed),BJ27,(BI27+BJ27)/2)</f>
        <v/>
      </c>
      <c r="BO27">
        <f>h_col*((BM27+BN27)/2)/(1-(BM27+BN27)/2)</f>
        <v/>
      </c>
      <c r="BP27">
        <f>(f_cd*b_col*((3*MIN(BO27,h_col)/7)+(4*MIN(BO27,h_col)/7)*(1-((4*MIN(BO27,h_col)/7)/(BO27-(3*MIN(BO27,h_col)/7)))^2/3))+$D27/2*((MAX(-f_yd,MIN(f_yd,200000*IF(BO27&lt;=h_col,0.0035*(BO27-d_2)/BO27,0.002*(BO27-d_2)/(BO27-3*h_col/7))))-f_cd*(1-(1-MAX(0,MIN(1,IF(BO27&lt;=h_col,0.0035*(BO27-d_2)/BO27,0.002*(BO27-d_2)/(BO27-3*h_col/7))/0.002)))^2))+(MAX(-f_yd,MIN(f_yd,200000*IF(BO27&lt;=h_col,0.0035*(BO27-(h_col-d_2))/BO27,0.002*(BO27-(h_col-d_2))/(BO27-3*h_col/7))))-f_cd*(1-(1-MAX(0,MIN(1,IF(BO27&lt;=h_col,0.0035*(BO27-(h_col-d_2))/BO27,0.002*(BO27-(h_col-d_2))/(BO27-3*h_col/7))/0.002)))^2))))/1000</f>
        <v/>
      </c>
      <c r="BQ27">
        <f>IF($BP27&lt;N_Ed-1E-9*MAX(1,N_Ed),(BM27+BN27)/2,BM27)</f>
        <v/>
      </c>
      <c r="BR27">
        <f>IF($BP27&lt;N_Ed-1E-9*MAX(1,N_Ed),BN27,(BM27+BN27)/2)</f>
        <v/>
      </c>
      <c r="BS27">
        <f>h_col*((BQ27+BR27)/2)/(1-(BQ27+BR27)/2)</f>
        <v/>
      </c>
      <c r="BT27">
        <f>(f_cd*b_col*((3*MIN(BS27,h_col)/7)+(4*MIN(BS27,h_col)/7)*(1-((4*MIN(BS27,h_col)/7)/(BS27-(3*MIN(BS27,h_col)/7)))^2/3))+$D27/2*((MAX(-f_yd,MIN(f_yd,200000*IF(BS27&lt;=h_col,0.0035*(BS27-d_2)/BS27,0.002*(BS27-d_2)/(BS27-3*h_col/7))))-f_cd*(1-(1-MAX(0,MIN(1,IF(BS27&lt;=h_col,0.0035*(BS27-d_2)/BS27,0.002*(BS27-d_2)/(BS27-3*h_col/7))/0.002)))^2))+(MAX(-f_yd,MIN(f_yd,200000*IF(BS27&lt;=h_col,0.0035*(BS27-(h_col-d_2))/BS27,0.002*(BS27-(h_col-d_2))/(BS27-3*h_col/7))))-f_cd*(1-(1-MAX(0,MIN(1,IF(BS27&lt;=h_col,0.0035*(BS27-(h_col-d_2))/BS27,0.002*(BS27-(h_col-d_2))/(BS27-3*h_col/7))/0.002)))^2))))/1000</f>
        <v/>
      </c>
      <c r="BU27">
        <f>IF($BT27&lt;N_Ed-1E-9*MAX(1,N_Ed),(BQ27+BR27)/2,BQ27)</f>
        <v/>
      </c>
      <c r="BV27">
        <f>IF($BT27&lt;N_Ed-1E-9*MAX(1,N_Ed),BR27,(BQ27+BR27)/2)</f>
        <v/>
      </c>
      <c r="BW27">
        <f>h_col*((BU27+BV27)/2)/(1-(BU27+BV27)/2)</f>
        <v/>
      </c>
      <c r="BX27">
        <f>(f_cd*b_col*((3*MIN(BW27,h_col)/7)+(4*MIN(BW27,h_col)/7)*(1-((4*MIN(BW27,h_col)/7)/(BW27-(3*MIN(BW27,h_col)/7)))^2/3))+$D27/2*((MAX(-f_yd,MIN(f_yd,200000*IF(BW27&lt;=h_col,0.0035*(BW27-d_2)/BW27,0.002*(BW27-d_2)/(BW27-3*h_col/7))))-f_cd*(1-(1-MAX(0,MIN(1,IF(BW27&lt;=h_col,0.0035*(BW27-d_2)/BW27,0.002*(BW27-d_2)/(BW27-3*h_col/7))/0.002)))^2))+(MAX(-f_yd,MIN(f_yd,200000*IF(BW27&lt;=h_col,0.0035*(BW27-(h_col-d_2))/BW27,0.002*(BW27-(h_col-d_2))/(BW27-3*h_col/7))))-f_cd*(1-(1-MAX(0,MIN(1,IF(BW27&lt;=h_col,0.0035*(BW27-(h_col-d_2))/BW27,0.002*(BW27-(h_col-d_2))/(BW27-3*h_col/7))/0.002)))^2))))/1000</f>
        <v/>
      </c>
      <c r="BY27">
        <f>IF($BX27&lt;N_Ed-1E-9*MAX(1,N_Ed),(BU27+BV27)/2,BU27)</f>
        <v/>
      </c>
      <c r="BZ27">
        <f>IF($BX27&lt;N_Ed-1E-9*MAX(1,N_Ed),BV27,(BU27+BV27)/2)</f>
        <v/>
      </c>
      <c r="CA27">
        <f>h_col*((BY27+BZ27)/2)/(1-(BY27+BZ27)/2)</f>
        <v/>
      </c>
      <c r="CB27">
        <f>(f_cd*b_col*((3*MIN(CA27,h_col)/7)+(4*MIN(CA27,h_col)/7)*(1-((4*MIN(CA27,h_col)/7)/(CA27-(3*MIN(CA27,h_col)/7)))^2/3))+$D27/2*((MAX(-f_yd,MIN(f_yd,200000*IF(CA27&lt;=h_col,0.0035*(CA27-d_2)/CA27,0.002*(CA27-d_2)/(CA27-3*h_col/7))))-f_cd*(1-(1-MAX(0,MIN(1,IF(CA27&lt;=h_col,0.0035*(CA27-d_2)/CA27,0.002*(CA27-d_2)/(CA27-3*h_col/7))/0.002)))^2))+(MAX(-f_yd,MIN(f_yd,200000*IF(CA27&lt;=h_col,0.0035*(CA27-(h_col-d_2))/CA27,0.002*(CA27-(h_col-d_2))/(CA27-3*h_col/7))))-f_cd*(1-(1-MAX(0,MIN(1,IF(CA27&lt;=h_col,0.0035*(CA27-(h_col-d_2))/CA27,0.002*(CA27-(h_col-d_2))/(CA27-3*h_col/7))/0.002)))^2))))/1000</f>
        <v/>
      </c>
      <c r="CC27">
        <f>IF($CB27&lt;N_Ed-1E-9*MAX(1,N_Ed),(BY27+BZ27)/2,BY27)</f>
        <v/>
      </c>
      <c r="CD27">
        <f>IF($CB27&lt;N_Ed-1E-9*MAX(1,N_Ed),BZ27,(BY27+BZ27)/2)</f>
        <v/>
      </c>
      <c r="CE27">
        <f>h_col*((CC27+CD27)/2)/(1-(CC27+CD27)/2)</f>
        <v/>
      </c>
      <c r="CF27">
        <f>(f_cd*b_col*((3*MIN(CE27,h_col)/7)+(4*MIN(CE27,h_col)/7)*(1-((4*MIN(CE27,h_col)/7)/(CE27-(3*MIN(CE27,h_col)/7)))^2/3))+$D27/2*((MAX(-f_yd,MIN(f_yd,200000*IF(CE27&lt;=h_col,0.0035*(CE27-d_2)/CE27,0.002*(CE27-d_2)/(CE27-3*h_col/7))))-f_cd*(1-(1-MAX(0,MIN(1,IF(CE27&lt;=h_col,0.0035*(CE27-d_2)/CE27,0.002*(CE27-d_2)/(CE27-3*h_col/7))/0.002)))^2))+(MAX(-f_yd,MIN(f_yd,200000*IF(CE27&lt;=h_col,0.0035*(CE27-(h_col-d_2))/CE27,0.002*(CE27-(h_col-d_2))/(CE27-3*h_col/7))))-f_cd*(1-(1-MAX(0,MIN(1,IF(CE27&lt;=h_col,0.0035*(CE27-(h_col-d_2))/CE27,0.002*(CE27-(h_col-d_2))/(CE27-3*h_col/7))/0.002)))^2))))/1000</f>
        <v/>
      </c>
      <c r="CG27">
        <f>IF($CF27&lt;N_Ed-1E-9*MAX(1,N_Ed),(CC27+CD27)/2,CC27)</f>
        <v/>
      </c>
      <c r="CH27">
        <f>IF($CF27&lt;N_Ed-1E-9*MAX(1,N_Ed),CD27,(CC27+CD27)/2)</f>
        <v/>
      </c>
      <c r="CI27">
        <f>h_col*((CG27+CH27)/2)/(1-(CG27+CH27)/2)</f>
        <v/>
      </c>
      <c r="CJ27">
        <f>(f_cd*b_col*((3*MIN(CI27,h_col)/7)+(4*MIN(CI27,h_col)/7)*(1-((4*MIN(CI27,h_col)/7)/(CI27-(3*MIN(CI27,h_col)/7)))^2/3))+$D27/2*((MAX(-f_yd,MIN(f_yd,200000*IF(CI27&lt;=h_col,0.0035*(CI27-d_2)/CI27,0.002*(CI27-d_2)/(CI27-3*h_col/7))))-f_cd*(1-(1-MAX(0,MIN(1,IF(CI27&lt;=h_col,0.0035*(CI27-d_2)/CI27,0.002*(CI27-d_2)/(CI27-3*h_col/7))/0.002)))^2))+(MAX(-f_yd,MIN(f_yd,200000*IF(CI27&lt;=h_col,0.0035*(CI27-(h_col-d_2))/CI27,0.002*(CI27-(h_col-d_2))/(CI27-3*h_col/7))))-f_cd*(1-(1-MAX(0,MIN(1,IF(CI27&lt;=h_col,0.0035*(CI27-(h_col-d_2))/CI27,0.002*(CI27-(h_col-d_2))/(CI27-3*h_col/7))/0.002)))^2))))/1000</f>
        <v/>
      </c>
      <c r="CK27">
        <f>IF($CJ27&lt;N_Ed-1E-9*MAX(1,N_Ed),(CG27+CH27)/2,CG27)</f>
        <v/>
      </c>
      <c r="CL27">
        <f>IF($CJ27&lt;N_Ed-1E-9*MAX(1,N_Ed),CH27,(CG27+CH27)/2)</f>
        <v/>
      </c>
      <c r="CM27">
        <f>h_col*((CK27+CL27)/2)/(1-(CK27+CL27)/2)</f>
        <v/>
      </c>
      <c r="CN27">
        <f>(f_cd*b_col*((3*MIN(CM27,h_col)/7)+(4*MIN(CM27,h_col)/7)*(1-((4*MIN(CM27,h_col)/7)/(CM27-(3*MIN(CM27,h_col)/7)))^2/3))+$D27/2*((MAX(-f_yd,MIN(f_yd,200000*IF(CM27&lt;=h_col,0.0035*(CM27-d_2)/CM27,0.002*(CM27-d_2)/(CM27-3*h_col/7))))-f_cd*(1-(1-MAX(0,MIN(1,IF(CM27&lt;=h_col,0.0035*(CM27-d_2)/CM27,0.002*(CM27-d_2)/(CM27-3*h_col/7))/0.002)))^2))+(MAX(-f_yd,MIN(f_yd,200000*IF(CM27&lt;=h_col,0.0035*(CM27-(h_col-d_2))/CM27,0.002*(CM27-(h_col-d_2))/(CM27-3*h_col/7))))-f_cd*(1-(1-MAX(0,MIN(1,IF(CM27&lt;=h_col,0.0035*(CM27-(h_col-d_2))/CM27,0.002*(CM27-(h_col-d_2))/(CM27-3*h_col/7))/0.002)))^2))))/1000</f>
        <v/>
      </c>
      <c r="CO27">
        <f>IF($CN27&lt;N_Ed-1E-9*MAX(1,N_Ed),(CK27+CL27)/2,CK27)</f>
        <v/>
      </c>
      <c r="CP27">
        <f>IF($CN27&lt;N_Ed-1E-9*MAX(1,N_Ed),CL27,(CK27+CL27)/2)</f>
        <v/>
      </c>
      <c r="CQ27">
        <f>h_col*((CO27+CP27)/2)/(1-(CO27+CP27)/2)</f>
        <v/>
      </c>
      <c r="CR27">
        <f>(f_cd*b_col*((3*MIN(CQ27,h_col)/7)+(4*MIN(CQ27,h_col)/7)*(1-((4*MIN(CQ27,h_col)/7)/(CQ27-(3*MIN(CQ27,h_col)/7)))^2/3))+$D27/2*((MAX(-f_yd,MIN(f_yd,200000*IF(CQ27&lt;=h_col,0.0035*(CQ27-d_2)/CQ27,0.002*(CQ27-d_2)/(CQ27-3*h_col/7))))-f_cd*(1-(1-MAX(0,MIN(1,IF(CQ27&lt;=h_col,0.0035*(CQ27-d_2)/CQ27,0.002*(CQ27-d_2)/(CQ27-3*h_col/7))/0.002)))^2))+(MAX(-f_yd,MIN(f_yd,200000*IF(CQ27&lt;=h_col,0.0035*(CQ27-(h_col-d_2))/CQ27,0.002*(CQ27-(h_col-d_2))/(CQ27-3*h_col/7))))-f_cd*(1-(1-MAX(0,MIN(1,IF(CQ27&lt;=h_col,0.0035*(CQ27-(h_col-d_2))/CQ27,0.002*(CQ27-(h_col-d_2))/(CQ27-3*h_col/7))/0.002)))^2))))/1000</f>
        <v/>
      </c>
      <c r="CS27">
        <f>IF($CR27&lt;N_Ed-1E-9*MAX(1,N_Ed),(CO27+CP27)/2,CO27)</f>
        <v/>
      </c>
      <c r="CT27">
        <f>IF($CR27&lt;N_Ed-1E-9*MAX(1,N_Ed),CP27,(CO27+CP27)/2)</f>
        <v/>
      </c>
      <c r="CU27">
        <f>h_col*((CS27+CT27)/2)/(1-(CS27+CT27)/2)</f>
        <v/>
      </c>
      <c r="CV27">
        <f>(f_cd*b_col*((3*MIN(CU27,h_col)/7)+(4*MIN(CU27,h_col)/7)*(1-((4*MIN(CU27,h_col)/7)/(CU27-(3*MIN(CU27,h_col)/7)))^2/3))+$D27/2*((MAX(-f_yd,MIN(f_yd,200000*IF(CU27&lt;=h_col,0.0035*(CU27-d_2)/CU27,0.002*(CU27-d_2)/(CU27-3*h_col/7))))-f_cd*(1-(1-MAX(0,MIN(1,IF(CU27&lt;=h_col,0.0035*(CU27-d_2)/CU27,0.002*(CU27-d_2)/(CU27-3*h_col/7))/0.002)))^2))+(MAX(-f_yd,MIN(f_yd,200000*IF(CU27&lt;=h_col,0.0035*(CU27-(h_col-d_2))/CU27,0.002*(CU27-(h_col-d_2))/(CU27-3*h_col/7))))-f_cd*(1-(1-MAX(0,MIN(1,IF(CU27&lt;=h_col,0.0035*(CU27-(h_col-d_2))/CU27,0.002*(CU27-(h_col-d_2))/(CU27-3*h_col/7))/0.002)))^2))))/1000</f>
        <v/>
      </c>
      <c r="CW27">
        <f>IF($CV27&lt;N_Ed-1E-9*MAX(1,N_Ed),(CS27+CT27)/2,CS27)</f>
        <v/>
      </c>
      <c r="CX27">
        <f>IF($CV27&lt;N_Ed-1E-9*MAX(1,N_Ed),CT27,(CS27+CT27)/2)</f>
        <v/>
      </c>
      <c r="CY27">
        <f>h_col*((CW27+CX27)/2)/(1-(CW27+CX27)/2)</f>
        <v/>
      </c>
      <c r="CZ27">
        <f>(f_cd*b_col*((3*MIN(CY27,h_col)/7)+(4*MIN(CY27,h_col)/7)*(1-((4*MIN(CY27,h_col)/7)/(CY27-(3*MIN(CY27,h_col)/7)))^2/3))+$D27/2*((MAX(-f_yd,MIN(f_yd,200000*IF(CY27&lt;=h_col,0.0035*(CY27-d_2)/CY27,0.002*(CY27-d_2)/(CY27-3*h_col/7))))-f_cd*(1-(1-MAX(0,MIN(1,IF(CY27&lt;=h_col,0.0035*(CY27-d_2)/CY27,0.002*(CY27-d_2)/(CY27-3*h_col/7))/0.002)))^2))+(MAX(-f_yd,MIN(f_yd,200000*IF(CY27&lt;=h_col,0.0035*(CY27-(h_col-d_2))/CY27,0.002*(CY27-(h_col-d_2))/(CY27-3*h_col/7))))-f_cd*(1-(1-MAX(0,MIN(1,IF(CY27&lt;=h_col,0.0035*(CY27-(h_col-d_2))/CY27,0.002*(CY27-(h_col-d_2))/(CY27-3*h_col/7))/0.002)))^2))))/1000</f>
        <v/>
      </c>
      <c r="DA27">
        <f>IF($CZ27&lt;N_Ed-1E-9*MAX(1,N_Ed),(CW27+CX27)/2,CW27)</f>
        <v/>
      </c>
      <c r="DB27">
        <f>IF($CZ27&lt;N_Ed-1E-9*MAX(1,N_Ed),CX27,(CW27+CX27)/2)</f>
        <v/>
      </c>
      <c r="DC27">
        <f>h_col*((DA27+DB27)/2)/(1-(DA27+DB27)/2)</f>
        <v/>
      </c>
      <c r="DD27">
        <f>(f_cd*b_col*((3*MIN(DC27,h_col)/7)+(4*MIN(DC27,h_col)/7)*(1-((4*MIN(DC27,h_col)/7)/(DC27-(3*MIN(DC27,h_col)/7)))^2/3))+$D27/2*((MAX(-f_yd,MIN(f_yd,200000*IF(DC27&lt;=h_col,0.0035*(DC27-d_2)/DC27,0.002*(DC27-d_2)/(DC27-3*h_col/7))))-f_cd*(1-(1-MAX(0,MIN(1,IF(DC27&lt;=h_col,0.0035*(DC27-d_2)/DC27,0.002*(DC27-d_2)/(DC27-3*h_col/7))/0.002)))^2))+(MAX(-f_yd,MIN(f_yd,200000*IF(DC27&lt;=h_col,0.0035*(DC27-(h_col-d_2))/DC27,0.002*(DC27-(h_col-d_2))/(DC27-3*h_col/7))))-f_cd*(1-(1-MAX(0,MIN(1,IF(DC27&lt;=h_col,0.0035*(DC27-(h_col-d_2))/DC27,0.002*(DC27-(h_col-d_2))/(DC27-3*h_col/7))/0.002)))^2))))/1000</f>
        <v/>
      </c>
      <c r="DE27">
        <f>IF($DD27&lt;N_Ed-1E-9*MAX(1,N_Ed),(DA27+DB27)/2,DA27)</f>
        <v/>
      </c>
      <c r="DF27">
        <f>IF($DD27&lt;N_Ed-1E-9*MAX(1,N_Ed),DB27,(DA27+DB27)/2)</f>
        <v/>
      </c>
      <c r="DG27">
        <f>h_col*((DE27+DF27)/2)/(1-(DE27+DF27)/2)</f>
        <v/>
      </c>
      <c r="DH27">
        <f>(f_cd*b_col*((3*MIN(DG27,h_col)/7)+(4*MIN(DG27,h_col)/7)*(1-((4*MIN(DG27,h_col)/7)/(DG27-(3*MIN(DG27,h_col)/7)))^2/3))+$D27/2*((MAX(-f_yd,MIN(f_yd,200000*IF(DG27&lt;=h_col,0.0035*(DG27-d_2)/DG27,0.002*(DG27-d_2)/(DG27-3*h_col/7))))-f_cd*(1-(1-MAX(0,MIN(1,IF(DG27&lt;=h_col,0.0035*(DG27-d_2)/DG27,0.002*(DG27-d_2)/(DG27-3*h_col/7))/0.002)))^2))+(MAX(-f_yd,MIN(f_yd,200000*IF(DG27&lt;=h_col,0.0035*(DG27-(h_col-d_2))/DG27,0.002*(DG27-(h_col-d_2))/(DG27-3*h_col/7))))-f_cd*(1-(1-MAX(0,MIN(1,IF(DG27&lt;=h_col,0.0035*(DG27-(h_col-d_2))/DG27,0.002*(DG27-(h_col-d_2))/(DG27-3*h_col/7))/0.002)))^2))))/1000</f>
        <v/>
      </c>
      <c r="DI27">
        <f>IF($DH27&lt;N_Ed-1E-9*MAX(1,N_Ed),(DE27+DF27)/2,DE27)</f>
        <v/>
      </c>
      <c r="DJ27">
        <f>IF($DH27&lt;N_Ed-1E-9*MAX(1,N_Ed),DF27,(DE27+DF27)/2)</f>
        <v/>
      </c>
      <c r="DK27">
        <f>h_col*((DI27+DJ27)/2)/(1-(DI27+DJ27)/2)</f>
        <v/>
      </c>
      <c r="DL27">
        <f>(f_cd*b_col*((3*MIN(DK27,h_col)/7)+(4*MIN(DK27,h_col)/7)*(1-((4*MIN(DK27,h_col)/7)/(DK27-(3*MIN(DK27,h_col)/7)))^2/3))+$D27/2*((MAX(-f_yd,MIN(f_yd,200000*IF(DK27&lt;=h_col,0.0035*(DK27-d_2)/DK27,0.002*(DK27-d_2)/(DK27-3*h_col/7))))-f_cd*(1-(1-MAX(0,MIN(1,IF(DK27&lt;=h_col,0.0035*(DK27-d_2)/DK27,0.002*(DK27-d_2)/(DK27-3*h_col/7))/0.002)))^2))+(MAX(-f_yd,MIN(f_yd,200000*IF(DK27&lt;=h_col,0.0035*(DK27-(h_col-d_2))/DK27,0.002*(DK27-(h_col-d_2))/(DK27-3*h_col/7))))-f_cd*(1-(1-MAX(0,MIN(1,IF(DK27&lt;=h_col,0.0035*(DK27-(h_col-d_2))/DK27,0.002*(DK27-(h_col-d_2))/(DK27-3*h_col/7))/0.002)))^2))))/1000</f>
        <v/>
      </c>
      <c r="DM27">
        <f>IF($DL27&lt;N_Ed-1E-9*MAX(1,N_Ed),(DI27+DJ27)/2,DI27)</f>
        <v/>
      </c>
      <c r="DN27">
        <f>IF($DL27&lt;N_Ed-1E-9*MAX(1,N_Ed),DJ27,(DI27+DJ27)/2)</f>
        <v/>
      </c>
      <c r="DO27">
        <f>h_col*((DM27+DN27)/2)/(1-(DM27+DN27)/2)</f>
        <v/>
      </c>
      <c r="DP27">
        <f>(f_cd*b_col*((3*MIN(DO27,h_col)/7)+(4*MIN(DO27,h_col)/7)*(1-((4*MIN(DO27,h_col)/7)/(DO27-(3*MIN(DO27,h_col)/7)))^2/3))+$D27/2*((MAX(-f_yd,MIN(f_yd,200000*IF(DO27&lt;=h_col,0.0035*(DO27-d_2)/DO27,0.002*(DO27-d_2)/(DO27-3*h_col/7))))-f_cd*(1-(1-MAX(0,MIN(1,IF(DO27&lt;=h_col,0.0035*(DO27-d_2)/DO27,0.002*(DO27-d_2)/(DO27-3*h_col/7))/0.002)))^2))+(MAX(-f_yd,MIN(f_yd,200000*IF(DO27&lt;=h_col,0.0035*(DO27-(h_col-d_2))/DO27,0.002*(DO27-(h_col-d_2))/(DO27-3*h_col/7))))-f_cd*(1-(1-MAX(0,MIN(1,IF(DO27&lt;=h_col,0.0035*(DO27-(h_col-d_2))/DO27,0.002*(DO27-(h_col-d_2))/(DO27-3*h_col/7))/0.002)))^2))))/1000</f>
        <v/>
      </c>
      <c r="DQ27">
        <f>IF($DP27&lt;N_Ed-1E-9*MAX(1,N_Ed),(DM27+DN27)/2,DM27)</f>
        <v/>
      </c>
      <c r="DR27">
        <f>IF($DP27&lt;N_Ed-1E-9*MAX(1,N_Ed),DN27,(DM27+DN27)/2)</f>
        <v/>
      </c>
      <c r="DS27">
        <f>h_col*((DQ27+DR27)/2)/(1-(DQ27+DR27)/2)</f>
        <v/>
      </c>
      <c r="DT27">
        <f>(f_cd*b_col*((3*MIN(DS27,h_col)/7)+(4*MIN(DS27,h_col)/7)*(1-((4*MIN(DS27,h_col)/7)/(DS27-(3*MIN(DS27,h_col)/7)))^2/3))+$D27/2*((MAX(-f_yd,MIN(f_yd,200000*IF(DS27&lt;=h_col,0.0035*(DS27-d_2)/DS27,0.002*(DS27-d_2)/(DS27-3*h_col/7))))-f_cd*(1-(1-MAX(0,MIN(1,IF(DS27&lt;=h_col,0.0035*(DS27-d_2)/DS27,0.002*(DS27-d_2)/(DS27-3*h_col/7))/0.002)))^2))+(MAX(-f_yd,MIN(f_yd,200000*IF(DS27&lt;=h_col,0.0035*(DS27-(h_col-d_2))/DS27,0.002*(DS27-(h_col-d_2))/(DS27-3*h_col/7))))-f_cd*(1-(1-MAX(0,MIN(1,IF(DS27&lt;=h_col,0.0035*(DS27-(h_col-d_2))/DS27,0.002*(DS27-(h_col-d_2))/(DS27-3*h_col/7))/0.002)))^2))))/1000</f>
        <v/>
      </c>
      <c r="DU27">
        <f>IF($DT27&lt;N_Ed-1E-9*MAX(1,N_Ed),(DQ27+DR27)/2,DQ27)</f>
        <v/>
      </c>
      <c r="DV27">
        <f>IF($DT27&lt;N_Ed-1E-9*MAX(1,N_Ed),DR27,(DQ27+DR27)/2)</f>
        <v/>
      </c>
      <c r="DW27">
        <f>h_col*((DU27+DV27)/2)/(1-(DU27+DV27)/2)</f>
        <v/>
      </c>
      <c r="DX27">
        <f>(f_cd*b_col*((3*MIN(DW27,h_col)/7)+(4*MIN(DW27,h_col)/7)*(1-((4*MIN(DW27,h_col)/7)/(DW27-(3*MIN(DW27,h_col)/7)))^2/3))+$D27/2*((MAX(-f_yd,MIN(f_yd,200000*IF(DW27&lt;=h_col,0.0035*(DW27-d_2)/DW27,0.002*(DW27-d_2)/(DW27-3*h_col/7))))-f_cd*(1-(1-MAX(0,MIN(1,IF(DW27&lt;=h_col,0.0035*(DW27-d_2)/DW27,0.002*(DW27-d_2)/(DW27-3*h_col/7))/0.002)))^2))+(MAX(-f_yd,MIN(f_yd,200000*IF(DW27&lt;=h_col,0.0035*(DW27-(h_col-d_2))/DW27,0.002*(DW27-(h_col-d_2))/(DW27-3*h_col/7))))-f_cd*(1-(1-MAX(0,MIN(1,IF(DW27&lt;=h_col,0.0035*(DW27-(h_col-d_2))/DW27,0.002*(DW27-(h_col-d_2))/(DW27-3*h_col/7))/0.002)))^2))))/1000</f>
        <v/>
      </c>
      <c r="DY27">
        <f>IF($DX27&lt;N_Ed-1E-9*MAX(1,N_Ed),(DU27+DV27)/2,DU27)</f>
        <v/>
      </c>
      <c r="DZ27">
        <f>IF($DX27&lt;N_Ed-1E-9*MAX(1,N_Ed),DV27,(DU27+DV27)/2)</f>
        <v/>
      </c>
      <c r="EA27">
        <f>h_col*((DY27+DZ27)/2)/(1-(DY27+DZ27)/2)</f>
        <v/>
      </c>
      <c r="EB27">
        <f>(f_cd*b_col*((3*MIN(EA27,h_col)/7)+(4*MIN(EA27,h_col)/7)*(1-((4*MIN(EA27,h_col)/7)/(EA27-(3*MIN(EA27,h_col)/7)))^2/3))+$D27/2*((MAX(-f_yd,MIN(f_yd,200000*IF(EA27&lt;=h_col,0.0035*(EA27-d_2)/EA27,0.002*(EA27-d_2)/(EA27-3*h_col/7))))-f_cd*(1-(1-MAX(0,MIN(1,IF(EA27&lt;=h_col,0.0035*(EA27-d_2)/EA27,0.002*(EA27-d_2)/(EA27-3*h_col/7))/0.002)))^2))+(MAX(-f_yd,MIN(f_yd,200000*IF(EA27&lt;=h_col,0.0035*(EA27-(h_col-d_2))/EA27,0.002*(EA27-(h_col-d_2))/(EA27-3*h_col/7))))-f_cd*(1-(1-MAX(0,MIN(1,IF(EA27&lt;=h_col,0.0035*(EA27-(h_col-d_2))/EA27,0.002*(EA27-(h_col-d_2))/(EA27-3*h_col/7))/0.002)))^2))))/1000</f>
        <v/>
      </c>
      <c r="EC27">
        <f>IF($EB27&lt;N_Ed-1E-9*MAX(1,N_Ed),(DY27+DZ27)/2,DY27)</f>
        <v/>
      </c>
      <c r="ED27">
        <f>IF($EB27&lt;N_Ed-1E-9*MAX(1,N_Ed),DZ27,(DY27+DZ27)/2)</f>
        <v/>
      </c>
      <c r="EE27">
        <f>h_col*((EC27+ED27)/2)/(1-(EC27+ED27)/2)</f>
        <v/>
      </c>
      <c r="EF27">
        <f>(f_cd*b_col*((3*MIN(EE27,h_col)/7)+(4*MIN(EE27,h_col)/7)*(1-((4*MIN(EE27,h_col)/7)/(EE27-(3*MIN(EE27,h_col)/7)))^2/3))+$D27/2*((MAX(-f_yd,MIN(f_yd,200000*IF(EE27&lt;=h_col,0.0035*(EE27-d_2)/EE27,0.002*(EE27-d_2)/(EE27-3*h_col/7))))-f_cd*(1-(1-MAX(0,MIN(1,IF(EE27&lt;=h_col,0.0035*(EE27-d_2)/EE27,0.002*(EE27-d_2)/(EE27-3*h_col/7))/0.002)))^2))+(MAX(-f_yd,MIN(f_yd,200000*IF(EE27&lt;=h_col,0.0035*(EE27-(h_col-d_2))/EE27,0.002*(EE27-(h_col-d_2))/(EE27-3*h_col/7))))-f_cd*(1-(1-MAX(0,MIN(1,IF(EE27&lt;=h_col,0.0035*(EE27-(h_col-d_2))/EE27,0.002*(EE27-(h_col-d_2))/(EE27-3*h_col/7))/0.002)))^2))))/1000</f>
        <v/>
      </c>
      <c r="EG27">
        <f>IF($EF27&lt;N_Ed-1E-9*MAX(1,N_Ed),(EC27+ED27)/2,EC27)</f>
        <v/>
      </c>
      <c r="EH27">
        <f>IF($EF27&lt;N_Ed-1E-9*MAX(1,N_Ed),ED27,(EC27+ED27)/2)</f>
        <v/>
      </c>
      <c r="EI27">
        <f>h_col*((EG27+EH27)/2)/(1-(EG27+EH27)/2)</f>
        <v/>
      </c>
      <c r="EJ27">
        <f>(f_cd*b_col*((3*MIN(EI27,h_col)/7)+(4*MIN(EI27,h_col)/7)*(1-((4*MIN(EI27,h_col)/7)/(EI27-(3*MIN(EI27,h_col)/7)))^2/3))+$D27/2*((MAX(-f_yd,MIN(f_yd,200000*IF(EI27&lt;=h_col,0.0035*(EI27-d_2)/EI27,0.002*(EI27-d_2)/(EI27-3*h_col/7))))-f_cd*(1-(1-MAX(0,MIN(1,IF(EI27&lt;=h_col,0.0035*(EI27-d_2)/EI27,0.002*(EI27-d_2)/(EI27-3*h_col/7))/0.002)))^2))+(MAX(-f_yd,MIN(f_yd,200000*IF(EI27&lt;=h_col,0.0035*(EI27-(h_col-d_2))/EI27,0.002*(EI27-(h_col-d_2))/(EI27-3*h_col/7))))-f_cd*(1-(1-MAX(0,MIN(1,IF(EI27&lt;=h_col,0.0035*(EI27-(h_col-d_2))/EI27,0.002*(EI27-(h_col-d_2))/(EI27-3*h_col/7))/0.002)))^2))))/1000</f>
        <v/>
      </c>
      <c r="EK27">
        <f>IF($EJ27&lt;N_Ed-1E-9*MAX(1,N_Ed),(EG27+EH27)/2,EG27)</f>
        <v/>
      </c>
      <c r="EL27">
        <f>IF($EJ27&lt;N_Ed-1E-9*MAX(1,N_Ed),EH27,(EG27+EH27)/2)</f>
        <v/>
      </c>
      <c r="EM27">
        <f>h_col*((EK27+EL27)/2)/(1-(EK27+EL27)/2)</f>
        <v/>
      </c>
      <c r="EN27">
        <f>(f_cd*b_col*((3*MIN(EM27,h_col)/7)+(4*MIN(EM27,h_col)/7)*(1-((4*MIN(EM27,h_col)/7)/(EM27-(3*MIN(EM27,h_col)/7)))^2/3))+$D27/2*((MAX(-f_yd,MIN(f_yd,200000*IF(EM27&lt;=h_col,0.0035*(EM27-d_2)/EM27,0.002*(EM27-d_2)/(EM27-3*h_col/7))))-f_cd*(1-(1-MAX(0,MIN(1,IF(EM27&lt;=h_col,0.0035*(EM27-d_2)/EM27,0.002*(EM27-d_2)/(EM27-3*h_col/7))/0.002)))^2))+(MAX(-f_yd,MIN(f_yd,200000*IF(EM27&lt;=h_col,0.0035*(EM27-(h_col-d_2))/EM27,0.002*(EM27-(h_col-d_2))/(EM27-3*h_col/7))))-f_cd*(1-(1-MAX(0,MIN(1,IF(EM27&lt;=h_col,0.0035*(EM27-(h_col-d_2))/EM27,0.002*(EM27-(h_col-d_2))/(EM27-3*h_col/7))/0.002)))^2))))/1000</f>
        <v/>
      </c>
      <c r="EO27">
        <f>IF($EN27&lt;N_Ed-1E-9*MAX(1,N_Ed),(EK27+EL27)/2,EK27)</f>
        <v/>
      </c>
      <c r="EP27">
        <f>IF($EN27&lt;N_Ed-1E-9*MAX(1,N_Ed),EL27,(EK27+EL27)/2)</f>
        <v/>
      </c>
      <c r="EQ27">
        <f>h_col*((EO27+EP27)/2)/(1-(EO27+EP27)/2)</f>
        <v/>
      </c>
      <c r="ER27">
        <f>(f_cd*b_col*((3*MIN(EQ27,h_col)/7)+(4*MIN(EQ27,h_col)/7)*(1-((4*MIN(EQ27,h_col)/7)/(EQ27-(3*MIN(EQ27,h_col)/7)))^2/3))+$D27/2*((MAX(-f_yd,MIN(f_yd,200000*IF(EQ27&lt;=h_col,0.0035*(EQ27-d_2)/EQ27,0.002*(EQ27-d_2)/(EQ27-3*h_col/7))))-f_cd*(1-(1-MAX(0,MIN(1,IF(EQ27&lt;=h_col,0.0035*(EQ27-d_2)/EQ27,0.002*(EQ27-d_2)/(EQ27-3*h_col/7))/0.002)))^2))+(MAX(-f_yd,MIN(f_yd,200000*IF(EQ27&lt;=h_col,0.0035*(EQ27-(h_col-d_2))/EQ27,0.002*(EQ27-(h_col-d_2))/(EQ27-3*h_col/7))))-f_cd*(1-(1-MAX(0,MIN(1,IF(EQ27&lt;=h_col,0.0035*(EQ27-(h_col-d_2))/EQ27,0.002*(EQ27-(h_col-d_2))/(EQ27-3*h_col/7))/0.002)))^2))))/1000</f>
        <v/>
      </c>
      <c r="ES27">
        <f>IF($ER27&lt;N_Ed-1E-9*MAX(1,N_Ed),(EO27+EP27)/2,EO27)</f>
        <v/>
      </c>
      <c r="ET27">
        <f>IF($ER27&lt;N_Ed-1E-9*MAX(1,N_Ed),EP27,(EO27+EP27)/2)</f>
        <v/>
      </c>
      <c r="EU27">
        <f>h_col*((ES27+ET27)/2)/(1-(ES27+ET27)/2)</f>
        <v/>
      </c>
      <c r="EV27">
        <f>(f_cd*b_col*((3*MIN(EU27,h_col)/7)+(4*MIN(EU27,h_col)/7)*(1-((4*MIN(EU27,h_col)/7)/(EU27-(3*MIN(EU27,h_col)/7)))^2/3))+$D27/2*((MAX(-f_yd,MIN(f_yd,200000*IF(EU27&lt;=h_col,0.0035*(EU27-d_2)/EU27,0.002*(EU27-d_2)/(EU27-3*h_col/7))))-f_cd*(1-(1-MAX(0,MIN(1,IF(EU27&lt;=h_col,0.0035*(EU27-d_2)/EU27,0.002*(EU27-d_2)/(EU27-3*h_col/7))/0.002)))^2))+(MAX(-f_yd,MIN(f_yd,200000*IF(EU27&lt;=h_col,0.0035*(EU27-(h_col-d_2))/EU27,0.002*(EU27-(h_col-d_2))/(EU27-3*h_col/7))))-f_cd*(1-(1-MAX(0,MIN(1,IF(EU27&lt;=h_col,0.0035*(EU27-(h_col-d_2))/EU27,0.002*(EU27-(h_col-d_2))/(EU27-3*h_col/7))/0.002)))^2))))/1000</f>
        <v/>
      </c>
      <c r="EW27">
        <f>IF($EV27&lt;N_Ed-1E-9*MAX(1,N_Ed),(ES27+ET27)/2,ES27)</f>
        <v/>
      </c>
      <c r="EX27">
        <f>IF($EV27&lt;N_Ed-1E-9*MAX(1,N_Ed),ET27,(ES27+ET27)/2)</f>
        <v/>
      </c>
      <c r="EY27">
        <f>h_col*((EW27+EX27)/2)/(1-(EW27+EX27)/2)</f>
        <v/>
      </c>
      <c r="EZ27">
        <f>(f_cd*b_col*((3*MIN(EY27,h_col)/7)+(4*MIN(EY27,h_col)/7)*(1-((4*MIN(EY27,h_col)/7)/(EY27-(3*MIN(EY27,h_col)/7)))^2/3))+$D27/2*((MAX(-f_yd,MIN(f_yd,200000*IF(EY27&lt;=h_col,0.0035*(EY27-d_2)/EY27,0.002*(EY27-d_2)/(EY27-3*h_col/7))))-f_cd*(1-(1-MAX(0,MIN(1,IF(EY27&lt;=h_col,0.0035*(EY27-d_2)/EY27,0.002*(EY27-d_2)/(EY27-3*h_col/7))/0.002)))^2))+(MAX(-f_yd,MIN(f_yd,200000*IF(EY27&lt;=h_col,0.0035*(EY27-(h_col-d_2))/EY27,0.002*(EY27-(h_col-d_2))/(EY27-3*h_col/7))))-f_cd*(1-(1-MAX(0,MIN(1,IF(EY27&lt;=h_col,0.0035*(EY27-(h_col-d_2))/EY27,0.002*(EY27-(h_col-d_2))/(EY27-3*h_col/7))/0.002)))^2))))/1000</f>
        <v/>
      </c>
      <c r="FA27">
        <f>IF($EZ27&lt;N_Ed-1E-9*MAX(1,N_Ed),(EW27+EX27)/2,EW27)</f>
        <v/>
      </c>
      <c r="FB27">
        <f>IF($EZ27&lt;N_Ed-1E-9*MAX(1,N_Ed),EX27,(EW27+EX27)/2)</f>
        <v/>
      </c>
      <c r="FC27">
        <f>h_col*((FA27+FB27)/2)/(1-(FA27+FB27)/2)</f>
        <v/>
      </c>
      <c r="FD27">
        <f>(f_cd*b_col*((3*MIN(FC27,h_col)/7)+(4*MIN(FC27,h_col)/7)*(1-((4*MIN(FC27,h_col)/7)/(FC27-(3*MIN(FC27,h_col)/7)))^2/3))+$D27/2*((MAX(-f_yd,MIN(f_yd,200000*IF(FC27&lt;=h_col,0.0035*(FC27-d_2)/FC27,0.002*(FC27-d_2)/(FC27-3*h_col/7))))-f_cd*(1-(1-MAX(0,MIN(1,IF(FC27&lt;=h_col,0.0035*(FC27-d_2)/FC27,0.002*(FC27-d_2)/(FC27-3*h_col/7))/0.002)))^2))+(MAX(-f_yd,MIN(f_yd,200000*IF(FC27&lt;=h_col,0.0035*(FC27-(h_col-d_2))/FC27,0.002*(FC27-(h_col-d_2))/(FC27-3*h_col/7))))-f_cd*(1-(1-MAX(0,MIN(1,IF(FC27&lt;=h_col,0.0035*(FC27-(h_col-d_2))/FC27,0.002*(FC27-(h_col-d_2))/(FC27-3*h_col/7))/0.002)))^2))))/1000</f>
        <v/>
      </c>
      <c r="FE27">
        <f>IF($FD27&lt;N_Ed-1E-9*MAX(1,N_Ed),(FA27+FB27)/2,FA27)</f>
        <v/>
      </c>
      <c r="FF27">
        <f>IF($FD27&lt;N_Ed-1E-9*MAX(1,N_Ed),FB27,(FA27+FB27)/2)</f>
        <v/>
      </c>
      <c r="FG27">
        <f>h_col*((FE27+FF27)/2)/(1-(FE27+FF27)/2)</f>
        <v/>
      </c>
      <c r="FH27">
        <f>(f_cd*b_col*((3*MIN(FG27,h_col)/7)+(4*MIN(FG27,h_col)/7)*(1-((4*MIN(FG27,h_col)/7)/(FG27-(3*MIN(FG27,h_col)/7)))^2/3))+$D27/2*((MAX(-f_yd,MIN(f_yd,200000*IF(FG27&lt;=h_col,0.0035*(FG27-d_2)/FG27,0.002*(FG27-d_2)/(FG27-3*h_col/7))))-f_cd*(1-(1-MAX(0,MIN(1,IF(FG27&lt;=h_col,0.0035*(FG27-d_2)/FG27,0.002*(FG27-d_2)/(FG27-3*h_col/7))/0.002)))^2))+(MAX(-f_yd,MIN(f_yd,200000*IF(FG27&lt;=h_col,0.0035*(FG27-(h_col-d_2))/FG27,0.002*(FG27-(h_col-d_2))/(FG27-3*h_col/7))))-f_cd*(1-(1-MAX(0,MIN(1,IF(FG27&lt;=h_col,0.0035*(FG27-(h_col-d_2))/FG27,0.002*(FG27-(h_col-d_2))/(FG27-3*h_col/7))/0.002)))^2))))/1000</f>
        <v/>
      </c>
      <c r="FI27">
        <f>IF($FH27&lt;N_Ed-1E-9*MAX(1,N_Ed),(FE27+FF27)/2,FE27)</f>
        <v/>
      </c>
      <c r="FJ27">
        <f>IF($FH27&lt;N_Ed-1E-9*MAX(1,N_Ed),FF27,(FE27+FF27)/2)</f>
        <v/>
      </c>
      <c r="FK27">
        <f>h_col*((FI27+FJ27)/2)/(1-(FI27+FJ27)/2)</f>
        <v/>
      </c>
      <c r="FL27">
        <f>(f_cd*b_col*((3*MIN(FK27,h_col)/7)+(4*MIN(FK27,h_col)/7)*(1-((4*MIN(FK27,h_col)/7)/(FK27-(3*MIN(FK27,h_col)/7)))^2/3))+$D27/2*((MAX(-f_yd,MIN(f_yd,200000*IF(FK27&lt;=h_col,0.0035*(FK27-d_2)/FK27,0.002*(FK27-d_2)/(FK27-3*h_col/7))))-f_cd*(1-(1-MAX(0,MIN(1,IF(FK27&lt;=h_col,0.0035*(FK27-d_2)/FK27,0.002*(FK27-d_2)/(FK27-3*h_col/7))/0.002)))^2))+(MAX(-f_yd,MIN(f_yd,200000*IF(FK27&lt;=h_col,0.0035*(FK27-(h_col-d_2))/FK27,0.002*(FK27-(h_col-d_2))/(FK27-3*h_col/7))))-f_cd*(1-(1-MAX(0,MIN(1,IF(FK27&lt;=h_col,0.0035*(FK27-(h_col-d_2))/FK27,0.002*(FK27-(h_col-d_2))/(FK27-3*h_col/7))/0.002)))^2))))/1000</f>
        <v/>
      </c>
      <c r="FM27">
        <f>IF($FL27&lt;N_Ed-1E-9*MAX(1,N_Ed),(FI27+FJ27)/2,FI27)</f>
        <v/>
      </c>
      <c r="FN27">
        <f>IF($FL27&lt;N_Ed-1E-9*MAX(1,N_Ed),FJ27,(FI27+FJ27)/2)</f>
        <v/>
      </c>
      <c r="FO27">
        <f>h_col*((FM27+FN27)/2)/(1-(FM27+FN27)/2)</f>
        <v/>
      </c>
      <c r="FP27">
        <f>(f_cd*b_col*((3*MIN(FO27,h_col)/7)+(4*MIN(FO27,h_col)/7)*(1-((4*MIN(FO27,h_col)/7)/(FO27-(3*MIN(FO27,h_col)/7)))^2/3))+$D27/2*((MAX(-f_yd,MIN(f_yd,200000*IF(FO27&lt;=h_col,0.0035*(FO27-d_2)/FO27,0.002*(FO27-d_2)/(FO27-3*h_col/7))))-f_cd*(1-(1-MAX(0,MIN(1,IF(FO27&lt;=h_col,0.0035*(FO27-d_2)/FO27,0.002*(FO27-d_2)/(FO27-3*h_col/7))/0.002)))^2))+(MAX(-f_yd,MIN(f_yd,200000*IF(FO27&lt;=h_col,0.0035*(FO27-(h_col-d_2))/FO27,0.002*(FO27-(h_col-d_2))/(FO27-3*h_col/7))))-f_cd*(1-(1-MAX(0,MIN(1,IF(FO27&lt;=h_col,0.0035*(FO27-(h_col-d_2))/FO27,0.002*(FO27-(h_col-d_2))/(FO27-3*h_col/7))/0.002)))^2))))/1000</f>
        <v/>
      </c>
      <c r="FQ27">
        <f>IF($FP27&lt;N_Ed-1E-9*MAX(1,N_Ed),(FM27+FN27)/2,FM27)</f>
        <v/>
      </c>
      <c r="FR27">
        <f>IF($FP27&lt;N_Ed-1E-9*MAX(1,N_Ed),FN27,(FM27+FN27)/2)</f>
        <v/>
      </c>
      <c r="FS27">
        <f>h_col*((FQ27+FR27)/2)/(1-(FQ27+FR27)/2)</f>
        <v/>
      </c>
      <c r="FT27">
        <f>(f_cd*b_col*((3*MIN(FS27,h_col)/7)+(4*MIN(FS27,h_col)/7)*(1-((4*MIN(FS27,h_col)/7)/(FS27-(3*MIN(FS27,h_col)/7)))^2/3))+$D27/2*((MAX(-f_yd,MIN(f_yd,200000*IF(FS27&lt;=h_col,0.0035*(FS27-d_2)/FS27,0.002*(FS27-d_2)/(FS27-3*h_col/7))))-f_cd*(1-(1-MAX(0,MIN(1,IF(FS27&lt;=h_col,0.0035*(FS27-d_2)/FS27,0.002*(FS27-d_2)/(FS27-3*h_col/7))/0.002)))^2))+(MAX(-f_yd,MIN(f_yd,200000*IF(FS27&lt;=h_col,0.0035*(FS27-(h_col-d_2))/FS27,0.002*(FS27-(h_col-d_2))/(FS27-3*h_col/7))))-f_cd*(1-(1-MAX(0,MIN(1,IF(FS27&lt;=h_col,0.0035*(FS27-(h_col-d_2))/FS27,0.002*(FS27-(h_col-d_2))/(FS27-3*h_col/7))/0.002)))^2))))/1000</f>
        <v/>
      </c>
      <c r="FU27">
        <f>IF($FT27&lt;N_Ed-1E-9*MAX(1,N_Ed),(FQ27+FR27)/2,FQ27)</f>
        <v/>
      </c>
      <c r="FV27">
        <f>IF($FT27&lt;N_Ed-1E-9*MAX(1,N_Ed),FR27,(FQ27+FR27)/2)</f>
        <v/>
      </c>
      <c r="FW27">
        <f>h_col*((FU27+FV27)/2)/(1-(FU27+FV27)/2)</f>
        <v/>
      </c>
      <c r="FX27">
        <f>(f_cd*b_col*((3*MIN(FW27,h_col)/7)+(4*MIN(FW27,h_col)/7)*(1-((4*MIN(FW27,h_col)/7)/(FW27-(3*MIN(FW27,h_col)/7)))^2/3))+$D27/2*((MAX(-f_yd,MIN(f_yd,200000*IF(FW27&lt;=h_col,0.0035*(FW27-d_2)/FW27,0.002*(FW27-d_2)/(FW27-3*h_col/7))))-f_cd*(1-(1-MAX(0,MIN(1,IF(FW27&lt;=h_col,0.0035*(FW27-d_2)/FW27,0.002*(FW27-d_2)/(FW27-3*h_col/7))/0.002)))^2))+(MAX(-f_yd,MIN(f_yd,200000*IF(FW27&lt;=h_col,0.0035*(FW27-(h_col-d_2))/FW27,0.002*(FW27-(h_col-d_2))/(FW27-3*h_col/7))))-f_cd*(1-(1-MAX(0,MIN(1,IF(FW27&lt;=h_col,0.0035*(FW27-(h_col-d_2))/FW27,0.002*(FW27-(h_col-d_2))/(FW27-3*h_col/7))/0.002)))^2))))/1000</f>
        <v/>
      </c>
      <c r="FY27">
        <f>IF($FX27&lt;N_Ed-1E-9*MAX(1,N_Ed),(FU27+FV27)/2,FU27)</f>
        <v/>
      </c>
      <c r="FZ27">
        <f>IF($FX27&lt;N_Ed-1E-9*MAX(1,N_Ed),FV27,(FU27+FV27)/2)</f>
        <v/>
      </c>
      <c r="GA27">
        <f>h_col*((FY27+FZ27)/2)/(1-(FY27+FZ27)/2)</f>
        <v/>
      </c>
      <c r="GB27">
        <f>(f_cd*b_col*((3*MIN(GA27,h_col)/7)+(4*MIN(GA27,h_col)/7)*(1-((4*MIN(GA27,h_col)/7)/(GA27-(3*MIN(GA27,h_col)/7)))^2/3))+$D27/2*((MAX(-f_yd,MIN(f_yd,200000*IF(GA27&lt;=h_col,0.0035*(GA27-d_2)/GA27,0.002*(GA27-d_2)/(GA27-3*h_col/7))))-f_cd*(1-(1-MAX(0,MIN(1,IF(GA27&lt;=h_col,0.0035*(GA27-d_2)/GA27,0.002*(GA27-d_2)/(GA27-3*h_col/7))/0.002)))^2))+(MAX(-f_yd,MIN(f_yd,200000*IF(GA27&lt;=h_col,0.0035*(GA27-(h_col-d_2))/GA27,0.002*(GA27-(h_col-d_2))/(GA27-3*h_col/7))))-f_cd*(1-(1-MAX(0,MIN(1,IF(GA27&lt;=h_col,0.0035*(GA27-(h_col-d_2))/GA27,0.002*(GA27-(h_col-d_2))/(GA27-3*h_col/7))/0.002)))^2))))/1000</f>
        <v/>
      </c>
      <c r="GC27">
        <f>IF($GB27&lt;N_Ed-1E-9*MAX(1,N_Ed),(FY27+FZ27)/2,FY27)</f>
        <v/>
      </c>
      <c r="GD27">
        <f>IF($GB27&lt;N_Ed-1E-9*MAX(1,N_Ed),FZ27,(FY27+FZ27)/2)</f>
        <v/>
      </c>
      <c r="GE27">
        <f>h_col*((GC27+GD27)/2)/(1-(GC27+GD27)/2)</f>
        <v/>
      </c>
      <c r="GF27">
        <f>(f_cd*b_col*((3*MIN(GE27,h_col)/7)+(4*MIN(GE27,h_col)/7)*(1-((4*MIN(GE27,h_col)/7)/(GE27-(3*MIN(GE27,h_col)/7)))^2/3))+$D27/2*((MAX(-f_yd,MIN(f_yd,200000*IF(GE27&lt;=h_col,0.0035*(GE27-d_2)/GE27,0.002*(GE27-d_2)/(GE27-3*h_col/7))))-f_cd*(1-(1-MAX(0,MIN(1,IF(GE27&lt;=h_col,0.0035*(GE27-d_2)/GE27,0.002*(GE27-d_2)/(GE27-3*h_col/7))/0.002)))^2))+(MAX(-f_yd,MIN(f_yd,200000*IF(GE27&lt;=h_col,0.0035*(GE27-(h_col-d_2))/GE27,0.002*(GE27-(h_col-d_2))/(GE27-3*h_col/7))))-f_cd*(1-(1-MAX(0,MIN(1,IF(GE27&lt;=h_col,0.0035*(GE27-(h_col-d_2))/GE27,0.002*(GE27-(h_col-d_2))/(GE27-3*h_col/7))/0.002)))^2))))/1000</f>
        <v/>
      </c>
      <c r="GG27">
        <f>IF($GF27&lt;N_Ed-1E-9*MAX(1,N_Ed),(GC27+GD27)/2,GC27)</f>
        <v/>
      </c>
      <c r="GH27">
        <f>IF($GF27&lt;N_Ed-1E-9*MAX(1,N_Ed),GD27,(GC27+GD27)/2)</f>
        <v/>
      </c>
      <c r="GI27">
        <f>h_col*((GG27+GH27)/2)/(1-(GG27+GH27)/2)</f>
        <v/>
      </c>
      <c r="GJ27">
        <f>(f_cd*b_col*((3*MIN(GI27,h_col)/7)+(4*MIN(GI27,h_col)/7)*(1-((4*MIN(GI27,h_col)/7)/(GI27-(3*MIN(GI27,h_col)/7)))^2/3))+$D27/2*((MAX(-f_yd,MIN(f_yd,200000*IF(GI27&lt;=h_col,0.0035*(GI27-d_2)/GI27,0.002*(GI27-d_2)/(GI27-3*h_col/7))))-f_cd*(1-(1-MAX(0,MIN(1,IF(GI27&lt;=h_col,0.0035*(GI27-d_2)/GI27,0.002*(GI27-d_2)/(GI27-3*h_col/7))/0.002)))^2))+(MAX(-f_yd,MIN(f_yd,200000*IF(GI27&lt;=h_col,0.0035*(GI27-(h_col-d_2))/GI27,0.002*(GI27-(h_col-d_2))/(GI27-3*h_col/7))))-f_cd*(1-(1-MAX(0,MIN(1,IF(GI27&lt;=h_col,0.0035*(GI27-(h_col-d_2))/GI27,0.002*(GI27-(h_col-d_2))/(GI27-3*h_col/7))/0.002)))^2))))/1000</f>
        <v/>
      </c>
      <c r="GK27">
        <f>IF($GJ27&lt;N_Ed-1E-9*MAX(1,N_Ed),(GG27+GH27)/2,GG27)</f>
        <v/>
      </c>
      <c r="GL27">
        <f>IF($GJ27&lt;N_Ed-1E-9*MAX(1,N_Ed),GH27,(GG27+GH27)/2)</f>
        <v/>
      </c>
      <c r="GM27">
        <f>h_col*((GK27+GL27)/2)/(1-(GK27+GL27)/2)</f>
        <v/>
      </c>
      <c r="GN27">
        <f>(f_cd*b_col*((3*MIN(GM27,h_col)/7)+(4*MIN(GM27,h_col)/7)*(1-((4*MIN(GM27,h_col)/7)/(GM27-(3*MIN(GM27,h_col)/7)))^2/3))+$D27/2*((MAX(-f_yd,MIN(f_yd,200000*IF(GM27&lt;=h_col,0.0035*(GM27-d_2)/GM27,0.002*(GM27-d_2)/(GM27-3*h_col/7))))-f_cd*(1-(1-MAX(0,MIN(1,IF(GM27&lt;=h_col,0.0035*(GM27-d_2)/GM27,0.002*(GM27-d_2)/(GM27-3*h_col/7))/0.002)))^2))+(MAX(-f_yd,MIN(f_yd,200000*IF(GM27&lt;=h_col,0.0035*(GM27-(h_col-d_2))/GM27,0.002*(GM27-(h_col-d_2))/(GM27-3*h_col/7))))-f_cd*(1-(1-MAX(0,MIN(1,IF(GM27&lt;=h_col,0.0035*(GM27-(h_col-d_2))/GM27,0.002*(GM27-(h_col-d_2))/(GM27-3*h_col/7))/0.002)))^2))))/1000</f>
        <v/>
      </c>
      <c r="GO27">
        <f>IF($GN27&lt;N_Ed-1E-9*MAX(1,N_Ed),(GK27+GL27)/2,GK27)</f>
        <v/>
      </c>
      <c r="GP27">
        <f>IF($GN27&lt;N_Ed-1E-9*MAX(1,N_Ed),GL27,(GK27+GL27)/2)</f>
        <v/>
      </c>
      <c r="GQ27">
        <f>h_col*((GO27+GP27)/2)/(1-(GO27+GP27)/2)</f>
        <v/>
      </c>
      <c r="GR27">
        <f>(f_cd*b_col*((3*MIN(GQ27,h_col)/7)+(4*MIN(GQ27,h_col)/7)*(1-((4*MIN(GQ27,h_col)/7)/(GQ27-(3*MIN(GQ27,h_col)/7)))^2/3))+$D27/2*((MAX(-f_yd,MIN(f_yd,200000*IF(GQ27&lt;=h_col,0.0035*(GQ27-d_2)/GQ27,0.002*(GQ27-d_2)/(GQ27-3*h_col/7))))-f_cd*(1-(1-MAX(0,MIN(1,IF(GQ27&lt;=h_col,0.0035*(GQ27-d_2)/GQ27,0.002*(GQ27-d_2)/(GQ27-3*h_col/7))/0.002)))^2))+(MAX(-f_yd,MIN(f_yd,200000*IF(GQ27&lt;=h_col,0.0035*(GQ27-(h_col-d_2))/GQ27,0.002*(GQ27-(h_col-d_2))/(GQ27-3*h_col/7))))-f_cd*(1-(1-MAX(0,MIN(1,IF(GQ27&lt;=h_col,0.0035*(GQ27-(h_col-d_2))/GQ27,0.002*(GQ27-(h_col-d_2))/(GQ27-3*h_col/7))/0.002)))^2))))/1000</f>
        <v/>
      </c>
      <c r="GS27">
        <f>IF($GR27&lt;N_Ed-1E-9*MAX(1,N_Ed),(GO27+GP27)/2,GO27)</f>
        <v/>
      </c>
      <c r="GT27">
        <f>IF($GR27&lt;N_Ed-1E-9*MAX(1,N_Ed),GP27,(GO27+GP27)/2)</f>
        <v/>
      </c>
      <c r="GU27">
        <f>h_col*((GS27+GT27)/2)/(1-(GS27+GT27)/2)</f>
        <v/>
      </c>
      <c r="GV27">
        <f>(f_cd*b_col*((3*MIN(GU27,h_col)/7)+(4*MIN(GU27,h_col)/7)*(1-((4*MIN(GU27,h_col)/7)/(GU27-(3*MIN(GU27,h_col)/7)))^2/3))+$D27/2*((MAX(-f_yd,MIN(f_yd,200000*IF(GU27&lt;=h_col,0.0035*(GU27-d_2)/GU27,0.002*(GU27-d_2)/(GU27-3*h_col/7))))-f_cd*(1-(1-MAX(0,MIN(1,IF(GU27&lt;=h_col,0.0035*(GU27-d_2)/GU27,0.002*(GU27-d_2)/(GU27-3*h_col/7))/0.002)))^2))+(MAX(-f_yd,MIN(f_yd,200000*IF(GU27&lt;=h_col,0.0035*(GU27-(h_col-d_2))/GU27,0.002*(GU27-(h_col-d_2))/(GU27-3*h_col/7))))-f_cd*(1-(1-MAX(0,MIN(1,IF(GU27&lt;=h_col,0.0035*(GU27-(h_col-d_2))/GU27,0.002*(GU27-(h_col-d_2))/(GU27-3*h_col/7))/0.002)))^2))))/1000</f>
        <v/>
      </c>
      <c r="GW27">
        <f>GU27</f>
        <v/>
      </c>
      <c r="GX27">
        <f>(f_cd*b_col*((3*MIN(GW27,h_col)/7)+(4*MIN(GW27,h_col)/7)*(1-((4*MIN(GW27,h_col)/7)/(GW27-(3*MIN(GW27,h_col)/7)))^2/3))+$D27/2*((MAX(-f_yd,MIN(f_yd,200000*IF(GW27&lt;=h_col,0.0035*(GW27-d_2)/GW27,0.002*(GW27-d_2)/(GW27-3*h_col/7))))-f_cd*(1-(1-MAX(0,MIN(1,IF(GW27&lt;=h_col,0.0035*(GW27-d_2)/GW27,0.002*(GW27-d_2)/(GW27-3*h_col/7))/0.002)))^2))+(MAX(-f_yd,MIN(f_yd,200000*IF(GW27&lt;=h_col,0.0035*(GW27-(h_col-d_2))/GW27,0.002*(GW27-(h_col-d_2))/(GW27-3*h_col/7))))-f_cd*(1-(1-MAX(0,MIN(1,IF(GW27&lt;=h_col,0.0035*(GW27-(h_col-d_2))/GW27,0.002*(GW27-(h_col-d_2))/(GW27-3*h_col/7))/0.002)))^2))))/1000</f>
        <v/>
      </c>
      <c r="GY27">
        <f>(f_cd*b_col*((3*MIN(GW27,h_col)/7)*(h_col/2-(3*MIN(GW27,h_col)/7)/2)+(4*MIN(GW27,h_col)/7)*((h_col/2-(3*MIN(GW27,h_col)/7))*(1-((4*MIN(GW27,h_col)/7)/(GW27-(3*MIN(GW27,h_col)/7)))^2/3)-(4*MIN(GW27,h_col)/7)*(0.5-((4*MIN(GW27,h_col)/7)/(GW27-(3*MIN(GW27,h_col)/7)))^2/4)))+$D27/2*((MAX(-f_yd,MIN(f_yd,200000*IF(GW27&lt;=h_col,0.0035*(GW27-d_2)/GW27,0.002*(GW27-d_2)/(GW27-3*h_col/7))))-f_cd*(1-(1-MAX(0,MIN(1,IF(GW27&lt;=h_col,0.0035*(GW27-d_2)/GW27,0.002*(GW27-d_2)/(GW27-3*h_col/7))/0.002)))^2))-(MAX(-f_yd,MIN(f_yd,200000*IF(GW27&lt;=h_col,0.0035*(GW27-(h_col-d_2))/GW27,0.002*(GW27-(h_col-d_2))/(GW27-3*h_col/7))))-f_cd*(1-(1-MAX(0,MIN(1,IF(GW27&lt;=h_col,0.0035*(GW27-(h_col-d_2))/GW27,0.002*(GW27-(h_col-d_2))/(GW27-3*h_col/7))/0.002)))^2)))*(h_col/2-d_2))/1E6</f>
        <v/>
      </c>
      <c r="GZ27">
        <f>GX27&gt;=N_Ed-1E-6*MAX(1,N_Ed)</f>
        <v/>
      </c>
      <c r="HA27">
        <f>IF(GZ27,GY27,-1E9)</f>
        <v/>
      </c>
    </row>
    <row r="28">
      <c r="A28" t="n">
        <v>23</v>
      </c>
      <c r="B28">
        <f>IF($HA27&gt;=M_d,$B27,$D27)</f>
        <v/>
      </c>
      <c r="C28">
        <f>IF($HA27&gt;=M_d,$D27,$C27)</f>
        <v/>
      </c>
      <c r="D28">
        <f>($B28+$C28)/2</f>
        <v/>
      </c>
      <c r="E28" t="n">
        <v>0</v>
      </c>
      <c r="F28">
        <f>1-1E-12</f>
        <v/>
      </c>
      <c r="G28">
        <f>h_col*((E28+F28)/2)/(1-(E28+F28)/2)</f>
        <v/>
      </c>
      <c r="H28">
        <f>(f_cd*b_col*((3*MIN(G28,h_col)/7)+(4*MIN(G28,h_col)/7)*(1-((4*MIN(G28,h_col)/7)/(G28-(3*MIN(G28,h_col)/7)))^2/3))+$D28/2*((MAX(-f_yd,MIN(f_yd,200000*IF(G28&lt;=h_col,0.0035*(G28-d_2)/G28,0.002*(G28-d_2)/(G28-3*h_col/7))))-f_cd*(1-(1-MAX(0,MIN(1,IF(G28&lt;=h_col,0.0035*(G28-d_2)/G28,0.002*(G28-d_2)/(G28-3*h_col/7))/0.002)))^2))+(MAX(-f_yd,MIN(f_yd,200000*IF(G28&lt;=h_col,0.0035*(G28-(h_col-d_2))/G28,0.002*(G28-(h_col-d_2))/(G28-3*h_col/7))))-f_cd*(1-(1-MAX(0,MIN(1,IF(G28&lt;=h_col,0.0035*(G28-(h_col-d_2))/G28,0.002*(G28-(h_col-d_2))/(G28-3*h_col/7))/0.002)))^2))))/1000</f>
        <v/>
      </c>
      <c r="I28">
        <f>IF($H28&lt;N_Ed-1E-9*MAX(1,N_Ed),(E28+F28)/2,E28)</f>
        <v/>
      </c>
      <c r="J28">
        <f>IF($H28&lt;N_Ed-1E-9*MAX(1,N_Ed),F28,(E28+F28)/2)</f>
        <v/>
      </c>
      <c r="K28">
        <f>h_col*((I28+J28)/2)/(1-(I28+J28)/2)</f>
        <v/>
      </c>
      <c r="L28">
        <f>(f_cd*b_col*((3*MIN(K28,h_col)/7)+(4*MIN(K28,h_col)/7)*(1-((4*MIN(K28,h_col)/7)/(K28-(3*MIN(K28,h_col)/7)))^2/3))+$D28/2*((MAX(-f_yd,MIN(f_yd,200000*IF(K28&lt;=h_col,0.0035*(K28-d_2)/K28,0.002*(K28-d_2)/(K28-3*h_col/7))))-f_cd*(1-(1-MAX(0,MIN(1,IF(K28&lt;=h_col,0.0035*(K28-d_2)/K28,0.002*(K28-d_2)/(K28-3*h_col/7))/0.002)))^2))+(MAX(-f_yd,MIN(f_yd,200000*IF(K28&lt;=h_col,0.0035*(K28-(h_col-d_2))/K28,0.002*(K28-(h_col-d_2))/(K28-3*h_col/7))))-f_cd*(1-(1-MAX(0,MIN(1,IF(K28&lt;=h_col,0.0035*(K28-(h_col-d_2))/K28,0.002*(K28-(h_col-d_2))/(K28-3*h_col/7))/0.002)))^2))))/1000</f>
        <v/>
      </c>
      <c r="M28">
        <f>IF($L28&lt;N_Ed-1E-9*MAX(1,N_Ed),(I28+J28)/2,I28)</f>
        <v/>
      </c>
      <c r="N28">
        <f>IF($L28&lt;N_Ed-1E-9*MAX(1,N_Ed),J28,(I28+J28)/2)</f>
        <v/>
      </c>
      <c r="O28">
        <f>h_col*((M28+N28)/2)/(1-(M28+N28)/2)</f>
        <v/>
      </c>
      <c r="P28">
        <f>(f_cd*b_col*((3*MIN(O28,h_col)/7)+(4*MIN(O28,h_col)/7)*(1-((4*MIN(O28,h_col)/7)/(O28-(3*MIN(O28,h_col)/7)))^2/3))+$D28/2*((MAX(-f_yd,MIN(f_yd,200000*IF(O28&lt;=h_col,0.0035*(O28-d_2)/O28,0.002*(O28-d_2)/(O28-3*h_col/7))))-f_cd*(1-(1-MAX(0,MIN(1,IF(O28&lt;=h_col,0.0035*(O28-d_2)/O28,0.002*(O28-d_2)/(O28-3*h_col/7))/0.002)))^2))+(MAX(-f_yd,MIN(f_yd,200000*IF(O28&lt;=h_col,0.0035*(O28-(h_col-d_2))/O28,0.002*(O28-(h_col-d_2))/(O28-3*h_col/7))))-f_cd*(1-(1-MAX(0,MIN(1,IF(O28&lt;=h_col,0.0035*(O28-(h_col-d_2))/O28,0.002*(O28-(h_col-d_2))/(O28-3*h_col/7))/0.002)))^2))))/1000</f>
        <v/>
      </c>
      <c r="Q28">
        <f>IF($P28&lt;N_Ed-1E-9*MAX(1,N_Ed),(M28+N28)/2,M28)</f>
        <v/>
      </c>
      <c r="R28">
        <f>IF($P28&lt;N_Ed-1E-9*MAX(1,N_Ed),N28,(M28+N28)/2)</f>
        <v/>
      </c>
      <c r="S28">
        <f>h_col*((Q28+R28)/2)/(1-(Q28+R28)/2)</f>
        <v/>
      </c>
      <c r="T28">
        <f>(f_cd*b_col*((3*MIN(S28,h_col)/7)+(4*MIN(S28,h_col)/7)*(1-((4*MIN(S28,h_col)/7)/(S28-(3*MIN(S28,h_col)/7)))^2/3))+$D28/2*((MAX(-f_yd,MIN(f_yd,200000*IF(S28&lt;=h_col,0.0035*(S28-d_2)/S28,0.002*(S28-d_2)/(S28-3*h_col/7))))-f_cd*(1-(1-MAX(0,MIN(1,IF(S28&lt;=h_col,0.0035*(S28-d_2)/S28,0.002*(S28-d_2)/(S28-3*h_col/7))/0.002)))^2))+(MAX(-f_yd,MIN(f_yd,200000*IF(S28&lt;=h_col,0.0035*(S28-(h_col-d_2))/S28,0.002*(S28-(h_col-d_2))/(S28-3*h_col/7))))-f_cd*(1-(1-MAX(0,MIN(1,IF(S28&lt;=h_col,0.0035*(S28-(h_col-d_2))/S28,0.002*(S28-(h_col-d_2))/(S28-3*h_col/7))/0.002)))^2))))/1000</f>
        <v/>
      </c>
      <c r="U28">
        <f>IF($T28&lt;N_Ed-1E-9*MAX(1,N_Ed),(Q28+R28)/2,Q28)</f>
        <v/>
      </c>
      <c r="V28">
        <f>IF($T28&lt;N_Ed-1E-9*MAX(1,N_Ed),R28,(Q28+R28)/2)</f>
        <v/>
      </c>
      <c r="W28">
        <f>h_col*((U28+V28)/2)/(1-(U28+V28)/2)</f>
        <v/>
      </c>
      <c r="X28">
        <f>(f_cd*b_col*((3*MIN(W28,h_col)/7)+(4*MIN(W28,h_col)/7)*(1-((4*MIN(W28,h_col)/7)/(W28-(3*MIN(W28,h_col)/7)))^2/3))+$D28/2*((MAX(-f_yd,MIN(f_yd,200000*IF(W28&lt;=h_col,0.0035*(W28-d_2)/W28,0.002*(W28-d_2)/(W28-3*h_col/7))))-f_cd*(1-(1-MAX(0,MIN(1,IF(W28&lt;=h_col,0.0035*(W28-d_2)/W28,0.002*(W28-d_2)/(W28-3*h_col/7))/0.002)))^2))+(MAX(-f_yd,MIN(f_yd,200000*IF(W28&lt;=h_col,0.0035*(W28-(h_col-d_2))/W28,0.002*(W28-(h_col-d_2))/(W28-3*h_col/7))))-f_cd*(1-(1-MAX(0,MIN(1,IF(W28&lt;=h_col,0.0035*(W28-(h_col-d_2))/W28,0.002*(W28-(h_col-d_2))/(W28-3*h_col/7))/0.002)))^2))))/1000</f>
        <v/>
      </c>
      <c r="Y28">
        <f>IF($X28&lt;N_Ed-1E-9*MAX(1,N_Ed),(U28+V28)/2,U28)</f>
        <v/>
      </c>
      <c r="Z28">
        <f>IF($X28&lt;N_Ed-1E-9*MAX(1,N_Ed),V28,(U28+V28)/2)</f>
        <v/>
      </c>
      <c r="AA28">
        <f>h_col*((Y28+Z28)/2)/(1-(Y28+Z28)/2)</f>
        <v/>
      </c>
      <c r="AB28">
        <f>(f_cd*b_col*((3*MIN(AA28,h_col)/7)+(4*MIN(AA28,h_col)/7)*(1-((4*MIN(AA28,h_col)/7)/(AA28-(3*MIN(AA28,h_col)/7)))^2/3))+$D28/2*((MAX(-f_yd,MIN(f_yd,200000*IF(AA28&lt;=h_col,0.0035*(AA28-d_2)/AA28,0.002*(AA28-d_2)/(AA28-3*h_col/7))))-f_cd*(1-(1-MAX(0,MIN(1,IF(AA28&lt;=h_col,0.0035*(AA28-d_2)/AA28,0.002*(AA28-d_2)/(AA28-3*h_col/7))/0.002)))^2))+(MAX(-f_yd,MIN(f_yd,200000*IF(AA28&lt;=h_col,0.0035*(AA28-(h_col-d_2))/AA28,0.002*(AA28-(h_col-d_2))/(AA28-3*h_col/7))))-f_cd*(1-(1-MAX(0,MIN(1,IF(AA28&lt;=h_col,0.0035*(AA28-(h_col-d_2))/AA28,0.002*(AA28-(h_col-d_2))/(AA28-3*h_col/7))/0.002)))^2))))/1000</f>
        <v/>
      </c>
      <c r="AC28">
        <f>IF($AB28&lt;N_Ed-1E-9*MAX(1,N_Ed),(Y28+Z28)/2,Y28)</f>
        <v/>
      </c>
      <c r="AD28">
        <f>IF($AB28&lt;N_Ed-1E-9*MAX(1,N_Ed),Z28,(Y28+Z28)/2)</f>
        <v/>
      </c>
      <c r="AE28">
        <f>h_col*((AC28+AD28)/2)/(1-(AC28+AD28)/2)</f>
        <v/>
      </c>
      <c r="AF28">
        <f>(f_cd*b_col*((3*MIN(AE28,h_col)/7)+(4*MIN(AE28,h_col)/7)*(1-((4*MIN(AE28,h_col)/7)/(AE28-(3*MIN(AE28,h_col)/7)))^2/3))+$D28/2*((MAX(-f_yd,MIN(f_yd,200000*IF(AE28&lt;=h_col,0.0035*(AE28-d_2)/AE28,0.002*(AE28-d_2)/(AE28-3*h_col/7))))-f_cd*(1-(1-MAX(0,MIN(1,IF(AE28&lt;=h_col,0.0035*(AE28-d_2)/AE28,0.002*(AE28-d_2)/(AE28-3*h_col/7))/0.002)))^2))+(MAX(-f_yd,MIN(f_yd,200000*IF(AE28&lt;=h_col,0.0035*(AE28-(h_col-d_2))/AE28,0.002*(AE28-(h_col-d_2))/(AE28-3*h_col/7))))-f_cd*(1-(1-MAX(0,MIN(1,IF(AE28&lt;=h_col,0.0035*(AE28-(h_col-d_2))/AE28,0.002*(AE28-(h_col-d_2))/(AE28-3*h_col/7))/0.002)))^2))))/1000</f>
        <v/>
      </c>
      <c r="AG28">
        <f>IF($AF28&lt;N_Ed-1E-9*MAX(1,N_Ed),(AC28+AD28)/2,AC28)</f>
        <v/>
      </c>
      <c r="AH28">
        <f>IF($AF28&lt;N_Ed-1E-9*MAX(1,N_Ed),AD28,(AC28+AD28)/2)</f>
        <v/>
      </c>
      <c r="AI28">
        <f>h_col*((AG28+AH28)/2)/(1-(AG28+AH28)/2)</f>
        <v/>
      </c>
      <c r="AJ28">
        <f>(f_cd*b_col*((3*MIN(AI28,h_col)/7)+(4*MIN(AI28,h_col)/7)*(1-((4*MIN(AI28,h_col)/7)/(AI28-(3*MIN(AI28,h_col)/7)))^2/3))+$D28/2*((MAX(-f_yd,MIN(f_yd,200000*IF(AI28&lt;=h_col,0.0035*(AI28-d_2)/AI28,0.002*(AI28-d_2)/(AI28-3*h_col/7))))-f_cd*(1-(1-MAX(0,MIN(1,IF(AI28&lt;=h_col,0.0035*(AI28-d_2)/AI28,0.002*(AI28-d_2)/(AI28-3*h_col/7))/0.002)))^2))+(MAX(-f_yd,MIN(f_yd,200000*IF(AI28&lt;=h_col,0.0035*(AI28-(h_col-d_2))/AI28,0.002*(AI28-(h_col-d_2))/(AI28-3*h_col/7))))-f_cd*(1-(1-MAX(0,MIN(1,IF(AI28&lt;=h_col,0.0035*(AI28-(h_col-d_2))/AI28,0.002*(AI28-(h_col-d_2))/(AI28-3*h_col/7))/0.002)))^2))))/1000</f>
        <v/>
      </c>
      <c r="AK28">
        <f>IF($AJ28&lt;N_Ed-1E-9*MAX(1,N_Ed),(AG28+AH28)/2,AG28)</f>
        <v/>
      </c>
      <c r="AL28">
        <f>IF($AJ28&lt;N_Ed-1E-9*MAX(1,N_Ed),AH28,(AG28+AH28)/2)</f>
        <v/>
      </c>
      <c r="AM28">
        <f>h_col*((AK28+AL28)/2)/(1-(AK28+AL28)/2)</f>
        <v/>
      </c>
      <c r="AN28">
        <f>(f_cd*b_col*((3*MIN(AM28,h_col)/7)+(4*MIN(AM28,h_col)/7)*(1-((4*MIN(AM28,h_col)/7)/(AM28-(3*MIN(AM28,h_col)/7)))^2/3))+$D28/2*((MAX(-f_yd,MIN(f_yd,200000*IF(AM28&lt;=h_col,0.0035*(AM28-d_2)/AM28,0.002*(AM28-d_2)/(AM28-3*h_col/7))))-f_cd*(1-(1-MAX(0,MIN(1,IF(AM28&lt;=h_col,0.0035*(AM28-d_2)/AM28,0.002*(AM28-d_2)/(AM28-3*h_col/7))/0.002)))^2))+(MAX(-f_yd,MIN(f_yd,200000*IF(AM28&lt;=h_col,0.0035*(AM28-(h_col-d_2))/AM28,0.002*(AM28-(h_col-d_2))/(AM28-3*h_col/7))))-f_cd*(1-(1-MAX(0,MIN(1,IF(AM28&lt;=h_col,0.0035*(AM28-(h_col-d_2))/AM28,0.002*(AM28-(h_col-d_2))/(AM28-3*h_col/7))/0.002)))^2))))/1000</f>
        <v/>
      </c>
      <c r="AO28">
        <f>IF($AN28&lt;N_Ed-1E-9*MAX(1,N_Ed),(AK28+AL28)/2,AK28)</f>
        <v/>
      </c>
      <c r="AP28">
        <f>IF($AN28&lt;N_Ed-1E-9*MAX(1,N_Ed),AL28,(AK28+AL28)/2)</f>
        <v/>
      </c>
      <c r="AQ28">
        <f>h_col*((AO28+AP28)/2)/(1-(AO28+AP28)/2)</f>
        <v/>
      </c>
      <c r="AR28">
        <f>(f_cd*b_col*((3*MIN(AQ28,h_col)/7)+(4*MIN(AQ28,h_col)/7)*(1-((4*MIN(AQ28,h_col)/7)/(AQ28-(3*MIN(AQ28,h_col)/7)))^2/3))+$D28/2*((MAX(-f_yd,MIN(f_yd,200000*IF(AQ28&lt;=h_col,0.0035*(AQ28-d_2)/AQ28,0.002*(AQ28-d_2)/(AQ28-3*h_col/7))))-f_cd*(1-(1-MAX(0,MIN(1,IF(AQ28&lt;=h_col,0.0035*(AQ28-d_2)/AQ28,0.002*(AQ28-d_2)/(AQ28-3*h_col/7))/0.002)))^2))+(MAX(-f_yd,MIN(f_yd,200000*IF(AQ28&lt;=h_col,0.0035*(AQ28-(h_col-d_2))/AQ28,0.002*(AQ28-(h_col-d_2))/(AQ28-3*h_col/7))))-f_cd*(1-(1-MAX(0,MIN(1,IF(AQ28&lt;=h_col,0.0035*(AQ28-(h_col-d_2))/AQ28,0.002*(AQ28-(h_col-d_2))/(AQ28-3*h_col/7))/0.002)))^2))))/1000</f>
        <v/>
      </c>
      <c r="AS28">
        <f>IF($AR28&lt;N_Ed-1E-9*MAX(1,N_Ed),(AO28+AP28)/2,AO28)</f>
        <v/>
      </c>
      <c r="AT28">
        <f>IF($AR28&lt;N_Ed-1E-9*MAX(1,N_Ed),AP28,(AO28+AP28)/2)</f>
        <v/>
      </c>
      <c r="AU28">
        <f>h_col*((AS28+AT28)/2)/(1-(AS28+AT28)/2)</f>
        <v/>
      </c>
      <c r="AV28">
        <f>(f_cd*b_col*((3*MIN(AU28,h_col)/7)+(4*MIN(AU28,h_col)/7)*(1-((4*MIN(AU28,h_col)/7)/(AU28-(3*MIN(AU28,h_col)/7)))^2/3))+$D28/2*((MAX(-f_yd,MIN(f_yd,200000*IF(AU28&lt;=h_col,0.0035*(AU28-d_2)/AU28,0.002*(AU28-d_2)/(AU28-3*h_col/7))))-f_cd*(1-(1-MAX(0,MIN(1,IF(AU28&lt;=h_col,0.0035*(AU28-d_2)/AU28,0.002*(AU28-d_2)/(AU28-3*h_col/7))/0.002)))^2))+(MAX(-f_yd,MIN(f_yd,200000*IF(AU28&lt;=h_col,0.0035*(AU28-(h_col-d_2))/AU28,0.002*(AU28-(h_col-d_2))/(AU28-3*h_col/7))))-f_cd*(1-(1-MAX(0,MIN(1,IF(AU28&lt;=h_col,0.0035*(AU28-(h_col-d_2))/AU28,0.002*(AU28-(h_col-d_2))/(AU28-3*h_col/7))/0.002)))^2))))/1000</f>
        <v/>
      </c>
      <c r="AW28">
        <f>IF($AV28&lt;N_Ed-1E-9*MAX(1,N_Ed),(AS28+AT28)/2,AS28)</f>
        <v/>
      </c>
      <c r="AX28">
        <f>IF($AV28&lt;N_Ed-1E-9*MAX(1,N_Ed),AT28,(AS28+AT28)/2)</f>
        <v/>
      </c>
      <c r="AY28">
        <f>h_col*((AW28+AX28)/2)/(1-(AW28+AX28)/2)</f>
        <v/>
      </c>
      <c r="AZ28">
        <f>(f_cd*b_col*((3*MIN(AY28,h_col)/7)+(4*MIN(AY28,h_col)/7)*(1-((4*MIN(AY28,h_col)/7)/(AY28-(3*MIN(AY28,h_col)/7)))^2/3))+$D28/2*((MAX(-f_yd,MIN(f_yd,200000*IF(AY28&lt;=h_col,0.0035*(AY28-d_2)/AY28,0.002*(AY28-d_2)/(AY28-3*h_col/7))))-f_cd*(1-(1-MAX(0,MIN(1,IF(AY28&lt;=h_col,0.0035*(AY28-d_2)/AY28,0.002*(AY28-d_2)/(AY28-3*h_col/7))/0.002)))^2))+(MAX(-f_yd,MIN(f_yd,200000*IF(AY28&lt;=h_col,0.0035*(AY28-(h_col-d_2))/AY28,0.002*(AY28-(h_col-d_2))/(AY28-3*h_col/7))))-f_cd*(1-(1-MAX(0,MIN(1,IF(AY28&lt;=h_col,0.0035*(AY28-(h_col-d_2))/AY28,0.002*(AY28-(h_col-d_2))/(AY28-3*h_col/7))/0.002)))^2))))/1000</f>
        <v/>
      </c>
      <c r="BA28">
        <f>IF($AZ28&lt;N_Ed-1E-9*MAX(1,N_Ed),(AW28+AX28)/2,AW28)</f>
        <v/>
      </c>
      <c r="BB28">
        <f>IF($AZ28&lt;N_Ed-1E-9*MAX(1,N_Ed),AX28,(AW28+AX28)/2)</f>
        <v/>
      </c>
      <c r="BC28">
        <f>h_col*((BA28+BB28)/2)/(1-(BA28+BB28)/2)</f>
        <v/>
      </c>
      <c r="BD28">
        <f>(f_cd*b_col*((3*MIN(BC28,h_col)/7)+(4*MIN(BC28,h_col)/7)*(1-((4*MIN(BC28,h_col)/7)/(BC28-(3*MIN(BC28,h_col)/7)))^2/3))+$D28/2*((MAX(-f_yd,MIN(f_yd,200000*IF(BC28&lt;=h_col,0.0035*(BC28-d_2)/BC28,0.002*(BC28-d_2)/(BC28-3*h_col/7))))-f_cd*(1-(1-MAX(0,MIN(1,IF(BC28&lt;=h_col,0.0035*(BC28-d_2)/BC28,0.002*(BC28-d_2)/(BC28-3*h_col/7))/0.002)))^2))+(MAX(-f_yd,MIN(f_yd,200000*IF(BC28&lt;=h_col,0.0035*(BC28-(h_col-d_2))/BC28,0.002*(BC28-(h_col-d_2))/(BC28-3*h_col/7))))-f_cd*(1-(1-MAX(0,MIN(1,IF(BC28&lt;=h_col,0.0035*(BC28-(h_col-d_2))/BC28,0.002*(BC28-(h_col-d_2))/(BC28-3*h_col/7))/0.002)))^2))))/1000</f>
        <v/>
      </c>
      <c r="BE28">
        <f>IF($BD28&lt;N_Ed-1E-9*MAX(1,N_Ed),(BA28+BB28)/2,BA28)</f>
        <v/>
      </c>
      <c r="BF28">
        <f>IF($BD28&lt;N_Ed-1E-9*MAX(1,N_Ed),BB28,(BA28+BB28)/2)</f>
        <v/>
      </c>
      <c r="BG28">
        <f>h_col*((BE28+BF28)/2)/(1-(BE28+BF28)/2)</f>
        <v/>
      </c>
      <c r="BH28">
        <f>(f_cd*b_col*((3*MIN(BG28,h_col)/7)+(4*MIN(BG28,h_col)/7)*(1-((4*MIN(BG28,h_col)/7)/(BG28-(3*MIN(BG28,h_col)/7)))^2/3))+$D28/2*((MAX(-f_yd,MIN(f_yd,200000*IF(BG28&lt;=h_col,0.0035*(BG28-d_2)/BG28,0.002*(BG28-d_2)/(BG28-3*h_col/7))))-f_cd*(1-(1-MAX(0,MIN(1,IF(BG28&lt;=h_col,0.0035*(BG28-d_2)/BG28,0.002*(BG28-d_2)/(BG28-3*h_col/7))/0.002)))^2))+(MAX(-f_yd,MIN(f_yd,200000*IF(BG28&lt;=h_col,0.0035*(BG28-(h_col-d_2))/BG28,0.002*(BG28-(h_col-d_2))/(BG28-3*h_col/7))))-f_cd*(1-(1-MAX(0,MIN(1,IF(BG28&lt;=h_col,0.0035*(BG28-(h_col-d_2))/BG28,0.002*(BG28-(h_col-d_2))/(BG28-3*h_col/7))/0.002)))^2))))/1000</f>
        <v/>
      </c>
      <c r="BI28">
        <f>IF($BH28&lt;N_Ed-1E-9*MAX(1,N_Ed),(BE28+BF28)/2,BE28)</f>
        <v/>
      </c>
      <c r="BJ28">
        <f>IF($BH28&lt;N_Ed-1E-9*MAX(1,N_Ed),BF28,(BE28+BF28)/2)</f>
        <v/>
      </c>
      <c r="BK28">
        <f>h_col*((BI28+BJ28)/2)/(1-(BI28+BJ28)/2)</f>
        <v/>
      </c>
      <c r="BL28">
        <f>(f_cd*b_col*((3*MIN(BK28,h_col)/7)+(4*MIN(BK28,h_col)/7)*(1-((4*MIN(BK28,h_col)/7)/(BK28-(3*MIN(BK28,h_col)/7)))^2/3))+$D28/2*((MAX(-f_yd,MIN(f_yd,200000*IF(BK28&lt;=h_col,0.0035*(BK28-d_2)/BK28,0.002*(BK28-d_2)/(BK28-3*h_col/7))))-f_cd*(1-(1-MAX(0,MIN(1,IF(BK28&lt;=h_col,0.0035*(BK28-d_2)/BK28,0.002*(BK28-d_2)/(BK28-3*h_col/7))/0.002)))^2))+(MAX(-f_yd,MIN(f_yd,200000*IF(BK28&lt;=h_col,0.0035*(BK28-(h_col-d_2))/BK28,0.002*(BK28-(h_col-d_2))/(BK28-3*h_col/7))))-f_cd*(1-(1-MAX(0,MIN(1,IF(BK28&lt;=h_col,0.0035*(BK28-(h_col-d_2))/BK28,0.002*(BK28-(h_col-d_2))/(BK28-3*h_col/7))/0.002)))^2))))/1000</f>
        <v/>
      </c>
      <c r="BM28">
        <f>IF($BL28&lt;N_Ed-1E-9*MAX(1,N_Ed),(BI28+BJ28)/2,BI28)</f>
        <v/>
      </c>
      <c r="BN28">
        <f>IF($BL28&lt;N_Ed-1E-9*MAX(1,N_Ed),BJ28,(BI28+BJ28)/2)</f>
        <v/>
      </c>
      <c r="BO28">
        <f>h_col*((BM28+BN28)/2)/(1-(BM28+BN28)/2)</f>
        <v/>
      </c>
      <c r="BP28">
        <f>(f_cd*b_col*((3*MIN(BO28,h_col)/7)+(4*MIN(BO28,h_col)/7)*(1-((4*MIN(BO28,h_col)/7)/(BO28-(3*MIN(BO28,h_col)/7)))^2/3))+$D28/2*((MAX(-f_yd,MIN(f_yd,200000*IF(BO28&lt;=h_col,0.0035*(BO28-d_2)/BO28,0.002*(BO28-d_2)/(BO28-3*h_col/7))))-f_cd*(1-(1-MAX(0,MIN(1,IF(BO28&lt;=h_col,0.0035*(BO28-d_2)/BO28,0.002*(BO28-d_2)/(BO28-3*h_col/7))/0.002)))^2))+(MAX(-f_yd,MIN(f_yd,200000*IF(BO28&lt;=h_col,0.0035*(BO28-(h_col-d_2))/BO28,0.002*(BO28-(h_col-d_2))/(BO28-3*h_col/7))))-f_cd*(1-(1-MAX(0,MIN(1,IF(BO28&lt;=h_col,0.0035*(BO28-(h_col-d_2))/BO28,0.002*(BO28-(h_col-d_2))/(BO28-3*h_col/7))/0.002)))^2))))/1000</f>
        <v/>
      </c>
      <c r="BQ28">
        <f>IF($BP28&lt;N_Ed-1E-9*MAX(1,N_Ed),(BM28+BN28)/2,BM28)</f>
        <v/>
      </c>
      <c r="BR28">
        <f>IF($BP28&lt;N_Ed-1E-9*MAX(1,N_Ed),BN28,(BM28+BN28)/2)</f>
        <v/>
      </c>
      <c r="BS28">
        <f>h_col*((BQ28+BR28)/2)/(1-(BQ28+BR28)/2)</f>
        <v/>
      </c>
      <c r="BT28">
        <f>(f_cd*b_col*((3*MIN(BS28,h_col)/7)+(4*MIN(BS28,h_col)/7)*(1-((4*MIN(BS28,h_col)/7)/(BS28-(3*MIN(BS28,h_col)/7)))^2/3))+$D28/2*((MAX(-f_yd,MIN(f_yd,200000*IF(BS28&lt;=h_col,0.0035*(BS28-d_2)/BS28,0.002*(BS28-d_2)/(BS28-3*h_col/7))))-f_cd*(1-(1-MAX(0,MIN(1,IF(BS28&lt;=h_col,0.0035*(BS28-d_2)/BS28,0.002*(BS28-d_2)/(BS28-3*h_col/7))/0.002)))^2))+(MAX(-f_yd,MIN(f_yd,200000*IF(BS28&lt;=h_col,0.0035*(BS28-(h_col-d_2))/BS28,0.002*(BS28-(h_col-d_2))/(BS28-3*h_col/7))))-f_cd*(1-(1-MAX(0,MIN(1,IF(BS28&lt;=h_col,0.0035*(BS28-(h_col-d_2))/BS28,0.002*(BS28-(h_col-d_2))/(BS28-3*h_col/7))/0.002)))^2))))/1000</f>
        <v/>
      </c>
      <c r="BU28">
        <f>IF($BT28&lt;N_Ed-1E-9*MAX(1,N_Ed),(BQ28+BR28)/2,BQ28)</f>
        <v/>
      </c>
      <c r="BV28">
        <f>IF($BT28&lt;N_Ed-1E-9*MAX(1,N_Ed),BR28,(BQ28+BR28)/2)</f>
        <v/>
      </c>
      <c r="BW28">
        <f>h_col*((BU28+BV28)/2)/(1-(BU28+BV28)/2)</f>
        <v/>
      </c>
      <c r="BX28">
        <f>(f_cd*b_col*((3*MIN(BW28,h_col)/7)+(4*MIN(BW28,h_col)/7)*(1-((4*MIN(BW28,h_col)/7)/(BW28-(3*MIN(BW28,h_col)/7)))^2/3))+$D28/2*((MAX(-f_yd,MIN(f_yd,200000*IF(BW28&lt;=h_col,0.0035*(BW28-d_2)/BW28,0.002*(BW28-d_2)/(BW28-3*h_col/7))))-f_cd*(1-(1-MAX(0,MIN(1,IF(BW28&lt;=h_col,0.0035*(BW28-d_2)/BW28,0.002*(BW28-d_2)/(BW28-3*h_col/7))/0.002)))^2))+(MAX(-f_yd,MIN(f_yd,200000*IF(BW28&lt;=h_col,0.0035*(BW28-(h_col-d_2))/BW28,0.002*(BW28-(h_col-d_2))/(BW28-3*h_col/7))))-f_cd*(1-(1-MAX(0,MIN(1,IF(BW28&lt;=h_col,0.0035*(BW28-(h_col-d_2))/BW28,0.002*(BW28-(h_col-d_2))/(BW28-3*h_col/7))/0.002)))^2))))/1000</f>
        <v/>
      </c>
      <c r="BY28">
        <f>IF($BX28&lt;N_Ed-1E-9*MAX(1,N_Ed),(BU28+BV28)/2,BU28)</f>
        <v/>
      </c>
      <c r="BZ28">
        <f>IF($BX28&lt;N_Ed-1E-9*MAX(1,N_Ed),BV28,(BU28+BV28)/2)</f>
        <v/>
      </c>
      <c r="CA28">
        <f>h_col*((BY28+BZ28)/2)/(1-(BY28+BZ28)/2)</f>
        <v/>
      </c>
      <c r="CB28">
        <f>(f_cd*b_col*((3*MIN(CA28,h_col)/7)+(4*MIN(CA28,h_col)/7)*(1-((4*MIN(CA28,h_col)/7)/(CA28-(3*MIN(CA28,h_col)/7)))^2/3))+$D28/2*((MAX(-f_yd,MIN(f_yd,200000*IF(CA28&lt;=h_col,0.0035*(CA28-d_2)/CA28,0.002*(CA28-d_2)/(CA28-3*h_col/7))))-f_cd*(1-(1-MAX(0,MIN(1,IF(CA28&lt;=h_col,0.0035*(CA28-d_2)/CA28,0.002*(CA28-d_2)/(CA28-3*h_col/7))/0.002)))^2))+(MAX(-f_yd,MIN(f_yd,200000*IF(CA28&lt;=h_col,0.0035*(CA28-(h_col-d_2))/CA28,0.002*(CA28-(h_col-d_2))/(CA28-3*h_col/7))))-f_cd*(1-(1-MAX(0,MIN(1,IF(CA28&lt;=h_col,0.0035*(CA28-(h_col-d_2))/CA28,0.002*(CA28-(h_col-d_2))/(CA28-3*h_col/7))/0.002)))^2))))/1000</f>
        <v/>
      </c>
      <c r="CC28">
        <f>IF($CB28&lt;N_Ed-1E-9*MAX(1,N_Ed),(BY28+BZ28)/2,BY28)</f>
        <v/>
      </c>
      <c r="CD28">
        <f>IF($CB28&lt;N_Ed-1E-9*MAX(1,N_Ed),BZ28,(BY28+BZ28)/2)</f>
        <v/>
      </c>
      <c r="CE28">
        <f>h_col*((CC28+CD28)/2)/(1-(CC28+CD28)/2)</f>
        <v/>
      </c>
      <c r="CF28">
        <f>(f_cd*b_col*((3*MIN(CE28,h_col)/7)+(4*MIN(CE28,h_col)/7)*(1-((4*MIN(CE28,h_col)/7)/(CE28-(3*MIN(CE28,h_col)/7)))^2/3))+$D28/2*((MAX(-f_yd,MIN(f_yd,200000*IF(CE28&lt;=h_col,0.0035*(CE28-d_2)/CE28,0.002*(CE28-d_2)/(CE28-3*h_col/7))))-f_cd*(1-(1-MAX(0,MIN(1,IF(CE28&lt;=h_col,0.0035*(CE28-d_2)/CE28,0.002*(CE28-d_2)/(CE28-3*h_col/7))/0.002)))^2))+(MAX(-f_yd,MIN(f_yd,200000*IF(CE28&lt;=h_col,0.0035*(CE28-(h_col-d_2))/CE28,0.002*(CE28-(h_col-d_2))/(CE28-3*h_col/7))))-f_cd*(1-(1-MAX(0,MIN(1,IF(CE28&lt;=h_col,0.0035*(CE28-(h_col-d_2))/CE28,0.002*(CE28-(h_col-d_2))/(CE28-3*h_col/7))/0.002)))^2))))/1000</f>
        <v/>
      </c>
      <c r="CG28">
        <f>IF($CF28&lt;N_Ed-1E-9*MAX(1,N_Ed),(CC28+CD28)/2,CC28)</f>
        <v/>
      </c>
      <c r="CH28">
        <f>IF($CF28&lt;N_Ed-1E-9*MAX(1,N_Ed),CD28,(CC28+CD28)/2)</f>
        <v/>
      </c>
      <c r="CI28">
        <f>h_col*((CG28+CH28)/2)/(1-(CG28+CH28)/2)</f>
        <v/>
      </c>
      <c r="CJ28">
        <f>(f_cd*b_col*((3*MIN(CI28,h_col)/7)+(4*MIN(CI28,h_col)/7)*(1-((4*MIN(CI28,h_col)/7)/(CI28-(3*MIN(CI28,h_col)/7)))^2/3))+$D28/2*((MAX(-f_yd,MIN(f_yd,200000*IF(CI28&lt;=h_col,0.0035*(CI28-d_2)/CI28,0.002*(CI28-d_2)/(CI28-3*h_col/7))))-f_cd*(1-(1-MAX(0,MIN(1,IF(CI28&lt;=h_col,0.0035*(CI28-d_2)/CI28,0.002*(CI28-d_2)/(CI28-3*h_col/7))/0.002)))^2))+(MAX(-f_yd,MIN(f_yd,200000*IF(CI28&lt;=h_col,0.0035*(CI28-(h_col-d_2))/CI28,0.002*(CI28-(h_col-d_2))/(CI28-3*h_col/7))))-f_cd*(1-(1-MAX(0,MIN(1,IF(CI28&lt;=h_col,0.0035*(CI28-(h_col-d_2))/CI28,0.002*(CI28-(h_col-d_2))/(CI28-3*h_col/7))/0.002)))^2))))/1000</f>
        <v/>
      </c>
      <c r="CK28">
        <f>IF($CJ28&lt;N_Ed-1E-9*MAX(1,N_Ed),(CG28+CH28)/2,CG28)</f>
        <v/>
      </c>
      <c r="CL28">
        <f>IF($CJ28&lt;N_Ed-1E-9*MAX(1,N_Ed),CH28,(CG28+CH28)/2)</f>
        <v/>
      </c>
      <c r="CM28">
        <f>h_col*((CK28+CL28)/2)/(1-(CK28+CL28)/2)</f>
        <v/>
      </c>
      <c r="CN28">
        <f>(f_cd*b_col*((3*MIN(CM28,h_col)/7)+(4*MIN(CM28,h_col)/7)*(1-((4*MIN(CM28,h_col)/7)/(CM28-(3*MIN(CM28,h_col)/7)))^2/3))+$D28/2*((MAX(-f_yd,MIN(f_yd,200000*IF(CM28&lt;=h_col,0.0035*(CM28-d_2)/CM28,0.002*(CM28-d_2)/(CM28-3*h_col/7))))-f_cd*(1-(1-MAX(0,MIN(1,IF(CM28&lt;=h_col,0.0035*(CM28-d_2)/CM28,0.002*(CM28-d_2)/(CM28-3*h_col/7))/0.002)))^2))+(MAX(-f_yd,MIN(f_yd,200000*IF(CM28&lt;=h_col,0.0035*(CM28-(h_col-d_2))/CM28,0.002*(CM28-(h_col-d_2))/(CM28-3*h_col/7))))-f_cd*(1-(1-MAX(0,MIN(1,IF(CM28&lt;=h_col,0.0035*(CM28-(h_col-d_2))/CM28,0.002*(CM28-(h_col-d_2))/(CM28-3*h_col/7))/0.002)))^2))))/1000</f>
        <v/>
      </c>
      <c r="CO28">
        <f>IF($CN28&lt;N_Ed-1E-9*MAX(1,N_Ed),(CK28+CL28)/2,CK28)</f>
        <v/>
      </c>
      <c r="CP28">
        <f>IF($CN28&lt;N_Ed-1E-9*MAX(1,N_Ed),CL28,(CK28+CL28)/2)</f>
        <v/>
      </c>
      <c r="CQ28">
        <f>h_col*((CO28+CP28)/2)/(1-(CO28+CP28)/2)</f>
        <v/>
      </c>
      <c r="CR28">
        <f>(f_cd*b_col*((3*MIN(CQ28,h_col)/7)+(4*MIN(CQ28,h_col)/7)*(1-((4*MIN(CQ28,h_col)/7)/(CQ28-(3*MIN(CQ28,h_col)/7)))^2/3))+$D28/2*((MAX(-f_yd,MIN(f_yd,200000*IF(CQ28&lt;=h_col,0.0035*(CQ28-d_2)/CQ28,0.002*(CQ28-d_2)/(CQ28-3*h_col/7))))-f_cd*(1-(1-MAX(0,MIN(1,IF(CQ28&lt;=h_col,0.0035*(CQ28-d_2)/CQ28,0.002*(CQ28-d_2)/(CQ28-3*h_col/7))/0.002)))^2))+(MAX(-f_yd,MIN(f_yd,200000*IF(CQ28&lt;=h_col,0.0035*(CQ28-(h_col-d_2))/CQ28,0.002*(CQ28-(h_col-d_2))/(CQ28-3*h_col/7))))-f_cd*(1-(1-MAX(0,MIN(1,IF(CQ28&lt;=h_col,0.0035*(CQ28-(h_col-d_2))/CQ28,0.002*(CQ28-(h_col-d_2))/(CQ28-3*h_col/7))/0.002)))^2))))/1000</f>
        <v/>
      </c>
      <c r="CS28">
        <f>IF($CR28&lt;N_Ed-1E-9*MAX(1,N_Ed),(CO28+CP28)/2,CO28)</f>
        <v/>
      </c>
      <c r="CT28">
        <f>IF($CR28&lt;N_Ed-1E-9*MAX(1,N_Ed),CP28,(CO28+CP28)/2)</f>
        <v/>
      </c>
      <c r="CU28">
        <f>h_col*((CS28+CT28)/2)/(1-(CS28+CT28)/2)</f>
        <v/>
      </c>
      <c r="CV28">
        <f>(f_cd*b_col*((3*MIN(CU28,h_col)/7)+(4*MIN(CU28,h_col)/7)*(1-((4*MIN(CU28,h_col)/7)/(CU28-(3*MIN(CU28,h_col)/7)))^2/3))+$D28/2*((MAX(-f_yd,MIN(f_yd,200000*IF(CU28&lt;=h_col,0.0035*(CU28-d_2)/CU28,0.002*(CU28-d_2)/(CU28-3*h_col/7))))-f_cd*(1-(1-MAX(0,MIN(1,IF(CU28&lt;=h_col,0.0035*(CU28-d_2)/CU28,0.002*(CU28-d_2)/(CU28-3*h_col/7))/0.002)))^2))+(MAX(-f_yd,MIN(f_yd,200000*IF(CU28&lt;=h_col,0.0035*(CU28-(h_col-d_2))/CU28,0.002*(CU28-(h_col-d_2))/(CU28-3*h_col/7))))-f_cd*(1-(1-MAX(0,MIN(1,IF(CU28&lt;=h_col,0.0035*(CU28-(h_col-d_2))/CU28,0.002*(CU28-(h_col-d_2))/(CU28-3*h_col/7))/0.002)))^2))))/1000</f>
        <v/>
      </c>
      <c r="CW28">
        <f>IF($CV28&lt;N_Ed-1E-9*MAX(1,N_Ed),(CS28+CT28)/2,CS28)</f>
        <v/>
      </c>
      <c r="CX28">
        <f>IF($CV28&lt;N_Ed-1E-9*MAX(1,N_Ed),CT28,(CS28+CT28)/2)</f>
        <v/>
      </c>
      <c r="CY28">
        <f>h_col*((CW28+CX28)/2)/(1-(CW28+CX28)/2)</f>
        <v/>
      </c>
      <c r="CZ28">
        <f>(f_cd*b_col*((3*MIN(CY28,h_col)/7)+(4*MIN(CY28,h_col)/7)*(1-((4*MIN(CY28,h_col)/7)/(CY28-(3*MIN(CY28,h_col)/7)))^2/3))+$D28/2*((MAX(-f_yd,MIN(f_yd,200000*IF(CY28&lt;=h_col,0.0035*(CY28-d_2)/CY28,0.002*(CY28-d_2)/(CY28-3*h_col/7))))-f_cd*(1-(1-MAX(0,MIN(1,IF(CY28&lt;=h_col,0.0035*(CY28-d_2)/CY28,0.002*(CY28-d_2)/(CY28-3*h_col/7))/0.002)))^2))+(MAX(-f_yd,MIN(f_yd,200000*IF(CY28&lt;=h_col,0.0035*(CY28-(h_col-d_2))/CY28,0.002*(CY28-(h_col-d_2))/(CY28-3*h_col/7))))-f_cd*(1-(1-MAX(0,MIN(1,IF(CY28&lt;=h_col,0.0035*(CY28-(h_col-d_2))/CY28,0.002*(CY28-(h_col-d_2))/(CY28-3*h_col/7))/0.002)))^2))))/1000</f>
        <v/>
      </c>
      <c r="DA28">
        <f>IF($CZ28&lt;N_Ed-1E-9*MAX(1,N_Ed),(CW28+CX28)/2,CW28)</f>
        <v/>
      </c>
      <c r="DB28">
        <f>IF($CZ28&lt;N_Ed-1E-9*MAX(1,N_Ed),CX28,(CW28+CX28)/2)</f>
        <v/>
      </c>
      <c r="DC28">
        <f>h_col*((DA28+DB28)/2)/(1-(DA28+DB28)/2)</f>
        <v/>
      </c>
      <c r="DD28">
        <f>(f_cd*b_col*((3*MIN(DC28,h_col)/7)+(4*MIN(DC28,h_col)/7)*(1-((4*MIN(DC28,h_col)/7)/(DC28-(3*MIN(DC28,h_col)/7)))^2/3))+$D28/2*((MAX(-f_yd,MIN(f_yd,200000*IF(DC28&lt;=h_col,0.0035*(DC28-d_2)/DC28,0.002*(DC28-d_2)/(DC28-3*h_col/7))))-f_cd*(1-(1-MAX(0,MIN(1,IF(DC28&lt;=h_col,0.0035*(DC28-d_2)/DC28,0.002*(DC28-d_2)/(DC28-3*h_col/7))/0.002)))^2))+(MAX(-f_yd,MIN(f_yd,200000*IF(DC28&lt;=h_col,0.0035*(DC28-(h_col-d_2))/DC28,0.002*(DC28-(h_col-d_2))/(DC28-3*h_col/7))))-f_cd*(1-(1-MAX(0,MIN(1,IF(DC28&lt;=h_col,0.0035*(DC28-(h_col-d_2))/DC28,0.002*(DC28-(h_col-d_2))/(DC28-3*h_col/7))/0.002)))^2))))/1000</f>
        <v/>
      </c>
      <c r="DE28">
        <f>IF($DD28&lt;N_Ed-1E-9*MAX(1,N_Ed),(DA28+DB28)/2,DA28)</f>
        <v/>
      </c>
      <c r="DF28">
        <f>IF($DD28&lt;N_Ed-1E-9*MAX(1,N_Ed),DB28,(DA28+DB28)/2)</f>
        <v/>
      </c>
      <c r="DG28">
        <f>h_col*((DE28+DF28)/2)/(1-(DE28+DF28)/2)</f>
        <v/>
      </c>
      <c r="DH28">
        <f>(f_cd*b_col*((3*MIN(DG28,h_col)/7)+(4*MIN(DG28,h_col)/7)*(1-((4*MIN(DG28,h_col)/7)/(DG28-(3*MIN(DG28,h_col)/7)))^2/3))+$D28/2*((MAX(-f_yd,MIN(f_yd,200000*IF(DG28&lt;=h_col,0.0035*(DG28-d_2)/DG28,0.002*(DG28-d_2)/(DG28-3*h_col/7))))-f_cd*(1-(1-MAX(0,MIN(1,IF(DG28&lt;=h_col,0.0035*(DG28-d_2)/DG28,0.002*(DG28-d_2)/(DG28-3*h_col/7))/0.002)))^2))+(MAX(-f_yd,MIN(f_yd,200000*IF(DG28&lt;=h_col,0.0035*(DG28-(h_col-d_2))/DG28,0.002*(DG28-(h_col-d_2))/(DG28-3*h_col/7))))-f_cd*(1-(1-MAX(0,MIN(1,IF(DG28&lt;=h_col,0.0035*(DG28-(h_col-d_2))/DG28,0.002*(DG28-(h_col-d_2))/(DG28-3*h_col/7))/0.002)))^2))))/1000</f>
        <v/>
      </c>
      <c r="DI28">
        <f>IF($DH28&lt;N_Ed-1E-9*MAX(1,N_Ed),(DE28+DF28)/2,DE28)</f>
        <v/>
      </c>
      <c r="DJ28">
        <f>IF($DH28&lt;N_Ed-1E-9*MAX(1,N_Ed),DF28,(DE28+DF28)/2)</f>
        <v/>
      </c>
      <c r="DK28">
        <f>h_col*((DI28+DJ28)/2)/(1-(DI28+DJ28)/2)</f>
        <v/>
      </c>
      <c r="DL28">
        <f>(f_cd*b_col*((3*MIN(DK28,h_col)/7)+(4*MIN(DK28,h_col)/7)*(1-((4*MIN(DK28,h_col)/7)/(DK28-(3*MIN(DK28,h_col)/7)))^2/3))+$D28/2*((MAX(-f_yd,MIN(f_yd,200000*IF(DK28&lt;=h_col,0.0035*(DK28-d_2)/DK28,0.002*(DK28-d_2)/(DK28-3*h_col/7))))-f_cd*(1-(1-MAX(0,MIN(1,IF(DK28&lt;=h_col,0.0035*(DK28-d_2)/DK28,0.002*(DK28-d_2)/(DK28-3*h_col/7))/0.002)))^2))+(MAX(-f_yd,MIN(f_yd,200000*IF(DK28&lt;=h_col,0.0035*(DK28-(h_col-d_2))/DK28,0.002*(DK28-(h_col-d_2))/(DK28-3*h_col/7))))-f_cd*(1-(1-MAX(0,MIN(1,IF(DK28&lt;=h_col,0.0035*(DK28-(h_col-d_2))/DK28,0.002*(DK28-(h_col-d_2))/(DK28-3*h_col/7))/0.002)))^2))))/1000</f>
        <v/>
      </c>
      <c r="DM28">
        <f>IF($DL28&lt;N_Ed-1E-9*MAX(1,N_Ed),(DI28+DJ28)/2,DI28)</f>
        <v/>
      </c>
      <c r="DN28">
        <f>IF($DL28&lt;N_Ed-1E-9*MAX(1,N_Ed),DJ28,(DI28+DJ28)/2)</f>
        <v/>
      </c>
      <c r="DO28">
        <f>h_col*((DM28+DN28)/2)/(1-(DM28+DN28)/2)</f>
        <v/>
      </c>
      <c r="DP28">
        <f>(f_cd*b_col*((3*MIN(DO28,h_col)/7)+(4*MIN(DO28,h_col)/7)*(1-((4*MIN(DO28,h_col)/7)/(DO28-(3*MIN(DO28,h_col)/7)))^2/3))+$D28/2*((MAX(-f_yd,MIN(f_yd,200000*IF(DO28&lt;=h_col,0.0035*(DO28-d_2)/DO28,0.002*(DO28-d_2)/(DO28-3*h_col/7))))-f_cd*(1-(1-MAX(0,MIN(1,IF(DO28&lt;=h_col,0.0035*(DO28-d_2)/DO28,0.002*(DO28-d_2)/(DO28-3*h_col/7))/0.002)))^2))+(MAX(-f_yd,MIN(f_yd,200000*IF(DO28&lt;=h_col,0.0035*(DO28-(h_col-d_2))/DO28,0.002*(DO28-(h_col-d_2))/(DO28-3*h_col/7))))-f_cd*(1-(1-MAX(0,MIN(1,IF(DO28&lt;=h_col,0.0035*(DO28-(h_col-d_2))/DO28,0.002*(DO28-(h_col-d_2))/(DO28-3*h_col/7))/0.002)))^2))))/1000</f>
        <v/>
      </c>
      <c r="DQ28">
        <f>IF($DP28&lt;N_Ed-1E-9*MAX(1,N_Ed),(DM28+DN28)/2,DM28)</f>
        <v/>
      </c>
      <c r="DR28">
        <f>IF($DP28&lt;N_Ed-1E-9*MAX(1,N_Ed),DN28,(DM28+DN28)/2)</f>
        <v/>
      </c>
      <c r="DS28">
        <f>h_col*((DQ28+DR28)/2)/(1-(DQ28+DR28)/2)</f>
        <v/>
      </c>
      <c r="DT28">
        <f>(f_cd*b_col*((3*MIN(DS28,h_col)/7)+(4*MIN(DS28,h_col)/7)*(1-((4*MIN(DS28,h_col)/7)/(DS28-(3*MIN(DS28,h_col)/7)))^2/3))+$D28/2*((MAX(-f_yd,MIN(f_yd,200000*IF(DS28&lt;=h_col,0.0035*(DS28-d_2)/DS28,0.002*(DS28-d_2)/(DS28-3*h_col/7))))-f_cd*(1-(1-MAX(0,MIN(1,IF(DS28&lt;=h_col,0.0035*(DS28-d_2)/DS28,0.002*(DS28-d_2)/(DS28-3*h_col/7))/0.002)))^2))+(MAX(-f_yd,MIN(f_yd,200000*IF(DS28&lt;=h_col,0.0035*(DS28-(h_col-d_2))/DS28,0.002*(DS28-(h_col-d_2))/(DS28-3*h_col/7))))-f_cd*(1-(1-MAX(0,MIN(1,IF(DS28&lt;=h_col,0.0035*(DS28-(h_col-d_2))/DS28,0.002*(DS28-(h_col-d_2))/(DS28-3*h_col/7))/0.002)))^2))))/1000</f>
        <v/>
      </c>
      <c r="DU28">
        <f>IF($DT28&lt;N_Ed-1E-9*MAX(1,N_Ed),(DQ28+DR28)/2,DQ28)</f>
        <v/>
      </c>
      <c r="DV28">
        <f>IF($DT28&lt;N_Ed-1E-9*MAX(1,N_Ed),DR28,(DQ28+DR28)/2)</f>
        <v/>
      </c>
      <c r="DW28">
        <f>h_col*((DU28+DV28)/2)/(1-(DU28+DV28)/2)</f>
        <v/>
      </c>
      <c r="DX28">
        <f>(f_cd*b_col*((3*MIN(DW28,h_col)/7)+(4*MIN(DW28,h_col)/7)*(1-((4*MIN(DW28,h_col)/7)/(DW28-(3*MIN(DW28,h_col)/7)))^2/3))+$D28/2*((MAX(-f_yd,MIN(f_yd,200000*IF(DW28&lt;=h_col,0.0035*(DW28-d_2)/DW28,0.002*(DW28-d_2)/(DW28-3*h_col/7))))-f_cd*(1-(1-MAX(0,MIN(1,IF(DW28&lt;=h_col,0.0035*(DW28-d_2)/DW28,0.002*(DW28-d_2)/(DW28-3*h_col/7))/0.002)))^2))+(MAX(-f_yd,MIN(f_yd,200000*IF(DW28&lt;=h_col,0.0035*(DW28-(h_col-d_2))/DW28,0.002*(DW28-(h_col-d_2))/(DW28-3*h_col/7))))-f_cd*(1-(1-MAX(0,MIN(1,IF(DW28&lt;=h_col,0.0035*(DW28-(h_col-d_2))/DW28,0.002*(DW28-(h_col-d_2))/(DW28-3*h_col/7))/0.002)))^2))))/1000</f>
        <v/>
      </c>
      <c r="DY28">
        <f>IF($DX28&lt;N_Ed-1E-9*MAX(1,N_Ed),(DU28+DV28)/2,DU28)</f>
        <v/>
      </c>
      <c r="DZ28">
        <f>IF($DX28&lt;N_Ed-1E-9*MAX(1,N_Ed),DV28,(DU28+DV28)/2)</f>
        <v/>
      </c>
      <c r="EA28">
        <f>h_col*((DY28+DZ28)/2)/(1-(DY28+DZ28)/2)</f>
        <v/>
      </c>
      <c r="EB28">
        <f>(f_cd*b_col*((3*MIN(EA28,h_col)/7)+(4*MIN(EA28,h_col)/7)*(1-((4*MIN(EA28,h_col)/7)/(EA28-(3*MIN(EA28,h_col)/7)))^2/3))+$D28/2*((MAX(-f_yd,MIN(f_yd,200000*IF(EA28&lt;=h_col,0.0035*(EA28-d_2)/EA28,0.002*(EA28-d_2)/(EA28-3*h_col/7))))-f_cd*(1-(1-MAX(0,MIN(1,IF(EA28&lt;=h_col,0.0035*(EA28-d_2)/EA28,0.002*(EA28-d_2)/(EA28-3*h_col/7))/0.002)))^2))+(MAX(-f_yd,MIN(f_yd,200000*IF(EA28&lt;=h_col,0.0035*(EA28-(h_col-d_2))/EA28,0.002*(EA28-(h_col-d_2))/(EA28-3*h_col/7))))-f_cd*(1-(1-MAX(0,MIN(1,IF(EA28&lt;=h_col,0.0035*(EA28-(h_col-d_2))/EA28,0.002*(EA28-(h_col-d_2))/(EA28-3*h_col/7))/0.002)))^2))))/1000</f>
        <v/>
      </c>
      <c r="EC28">
        <f>IF($EB28&lt;N_Ed-1E-9*MAX(1,N_Ed),(DY28+DZ28)/2,DY28)</f>
        <v/>
      </c>
      <c r="ED28">
        <f>IF($EB28&lt;N_Ed-1E-9*MAX(1,N_Ed),DZ28,(DY28+DZ28)/2)</f>
        <v/>
      </c>
      <c r="EE28">
        <f>h_col*((EC28+ED28)/2)/(1-(EC28+ED28)/2)</f>
        <v/>
      </c>
      <c r="EF28">
        <f>(f_cd*b_col*((3*MIN(EE28,h_col)/7)+(4*MIN(EE28,h_col)/7)*(1-((4*MIN(EE28,h_col)/7)/(EE28-(3*MIN(EE28,h_col)/7)))^2/3))+$D28/2*((MAX(-f_yd,MIN(f_yd,200000*IF(EE28&lt;=h_col,0.0035*(EE28-d_2)/EE28,0.002*(EE28-d_2)/(EE28-3*h_col/7))))-f_cd*(1-(1-MAX(0,MIN(1,IF(EE28&lt;=h_col,0.0035*(EE28-d_2)/EE28,0.002*(EE28-d_2)/(EE28-3*h_col/7))/0.002)))^2))+(MAX(-f_yd,MIN(f_yd,200000*IF(EE28&lt;=h_col,0.0035*(EE28-(h_col-d_2))/EE28,0.002*(EE28-(h_col-d_2))/(EE28-3*h_col/7))))-f_cd*(1-(1-MAX(0,MIN(1,IF(EE28&lt;=h_col,0.0035*(EE28-(h_col-d_2))/EE28,0.002*(EE28-(h_col-d_2))/(EE28-3*h_col/7))/0.002)))^2))))/1000</f>
        <v/>
      </c>
      <c r="EG28">
        <f>IF($EF28&lt;N_Ed-1E-9*MAX(1,N_Ed),(EC28+ED28)/2,EC28)</f>
        <v/>
      </c>
      <c r="EH28">
        <f>IF($EF28&lt;N_Ed-1E-9*MAX(1,N_Ed),ED28,(EC28+ED28)/2)</f>
        <v/>
      </c>
      <c r="EI28">
        <f>h_col*((EG28+EH28)/2)/(1-(EG28+EH28)/2)</f>
        <v/>
      </c>
      <c r="EJ28">
        <f>(f_cd*b_col*((3*MIN(EI28,h_col)/7)+(4*MIN(EI28,h_col)/7)*(1-((4*MIN(EI28,h_col)/7)/(EI28-(3*MIN(EI28,h_col)/7)))^2/3))+$D28/2*((MAX(-f_yd,MIN(f_yd,200000*IF(EI28&lt;=h_col,0.0035*(EI28-d_2)/EI28,0.002*(EI28-d_2)/(EI28-3*h_col/7))))-f_cd*(1-(1-MAX(0,MIN(1,IF(EI28&lt;=h_col,0.0035*(EI28-d_2)/EI28,0.002*(EI28-d_2)/(EI28-3*h_col/7))/0.002)))^2))+(MAX(-f_yd,MIN(f_yd,200000*IF(EI28&lt;=h_col,0.0035*(EI28-(h_col-d_2))/EI28,0.002*(EI28-(h_col-d_2))/(EI28-3*h_col/7))))-f_cd*(1-(1-MAX(0,MIN(1,IF(EI28&lt;=h_col,0.0035*(EI28-(h_col-d_2))/EI28,0.002*(EI28-(h_col-d_2))/(EI28-3*h_col/7))/0.002)))^2))))/1000</f>
        <v/>
      </c>
      <c r="EK28">
        <f>IF($EJ28&lt;N_Ed-1E-9*MAX(1,N_Ed),(EG28+EH28)/2,EG28)</f>
        <v/>
      </c>
      <c r="EL28">
        <f>IF($EJ28&lt;N_Ed-1E-9*MAX(1,N_Ed),EH28,(EG28+EH28)/2)</f>
        <v/>
      </c>
      <c r="EM28">
        <f>h_col*((EK28+EL28)/2)/(1-(EK28+EL28)/2)</f>
        <v/>
      </c>
      <c r="EN28">
        <f>(f_cd*b_col*((3*MIN(EM28,h_col)/7)+(4*MIN(EM28,h_col)/7)*(1-((4*MIN(EM28,h_col)/7)/(EM28-(3*MIN(EM28,h_col)/7)))^2/3))+$D28/2*((MAX(-f_yd,MIN(f_yd,200000*IF(EM28&lt;=h_col,0.0035*(EM28-d_2)/EM28,0.002*(EM28-d_2)/(EM28-3*h_col/7))))-f_cd*(1-(1-MAX(0,MIN(1,IF(EM28&lt;=h_col,0.0035*(EM28-d_2)/EM28,0.002*(EM28-d_2)/(EM28-3*h_col/7))/0.002)))^2))+(MAX(-f_yd,MIN(f_yd,200000*IF(EM28&lt;=h_col,0.0035*(EM28-(h_col-d_2))/EM28,0.002*(EM28-(h_col-d_2))/(EM28-3*h_col/7))))-f_cd*(1-(1-MAX(0,MIN(1,IF(EM28&lt;=h_col,0.0035*(EM28-(h_col-d_2))/EM28,0.002*(EM28-(h_col-d_2))/(EM28-3*h_col/7))/0.002)))^2))))/1000</f>
        <v/>
      </c>
      <c r="EO28">
        <f>IF($EN28&lt;N_Ed-1E-9*MAX(1,N_Ed),(EK28+EL28)/2,EK28)</f>
        <v/>
      </c>
      <c r="EP28">
        <f>IF($EN28&lt;N_Ed-1E-9*MAX(1,N_Ed),EL28,(EK28+EL28)/2)</f>
        <v/>
      </c>
      <c r="EQ28">
        <f>h_col*((EO28+EP28)/2)/(1-(EO28+EP28)/2)</f>
        <v/>
      </c>
      <c r="ER28">
        <f>(f_cd*b_col*((3*MIN(EQ28,h_col)/7)+(4*MIN(EQ28,h_col)/7)*(1-((4*MIN(EQ28,h_col)/7)/(EQ28-(3*MIN(EQ28,h_col)/7)))^2/3))+$D28/2*((MAX(-f_yd,MIN(f_yd,200000*IF(EQ28&lt;=h_col,0.0035*(EQ28-d_2)/EQ28,0.002*(EQ28-d_2)/(EQ28-3*h_col/7))))-f_cd*(1-(1-MAX(0,MIN(1,IF(EQ28&lt;=h_col,0.0035*(EQ28-d_2)/EQ28,0.002*(EQ28-d_2)/(EQ28-3*h_col/7))/0.002)))^2))+(MAX(-f_yd,MIN(f_yd,200000*IF(EQ28&lt;=h_col,0.0035*(EQ28-(h_col-d_2))/EQ28,0.002*(EQ28-(h_col-d_2))/(EQ28-3*h_col/7))))-f_cd*(1-(1-MAX(0,MIN(1,IF(EQ28&lt;=h_col,0.0035*(EQ28-(h_col-d_2))/EQ28,0.002*(EQ28-(h_col-d_2))/(EQ28-3*h_col/7))/0.002)))^2))))/1000</f>
        <v/>
      </c>
      <c r="ES28">
        <f>IF($ER28&lt;N_Ed-1E-9*MAX(1,N_Ed),(EO28+EP28)/2,EO28)</f>
        <v/>
      </c>
      <c r="ET28">
        <f>IF($ER28&lt;N_Ed-1E-9*MAX(1,N_Ed),EP28,(EO28+EP28)/2)</f>
        <v/>
      </c>
      <c r="EU28">
        <f>h_col*((ES28+ET28)/2)/(1-(ES28+ET28)/2)</f>
        <v/>
      </c>
      <c r="EV28">
        <f>(f_cd*b_col*((3*MIN(EU28,h_col)/7)+(4*MIN(EU28,h_col)/7)*(1-((4*MIN(EU28,h_col)/7)/(EU28-(3*MIN(EU28,h_col)/7)))^2/3))+$D28/2*((MAX(-f_yd,MIN(f_yd,200000*IF(EU28&lt;=h_col,0.0035*(EU28-d_2)/EU28,0.002*(EU28-d_2)/(EU28-3*h_col/7))))-f_cd*(1-(1-MAX(0,MIN(1,IF(EU28&lt;=h_col,0.0035*(EU28-d_2)/EU28,0.002*(EU28-d_2)/(EU28-3*h_col/7))/0.002)))^2))+(MAX(-f_yd,MIN(f_yd,200000*IF(EU28&lt;=h_col,0.0035*(EU28-(h_col-d_2))/EU28,0.002*(EU28-(h_col-d_2))/(EU28-3*h_col/7))))-f_cd*(1-(1-MAX(0,MIN(1,IF(EU28&lt;=h_col,0.0035*(EU28-(h_col-d_2))/EU28,0.002*(EU28-(h_col-d_2))/(EU28-3*h_col/7))/0.002)))^2))))/1000</f>
        <v/>
      </c>
      <c r="EW28">
        <f>IF($EV28&lt;N_Ed-1E-9*MAX(1,N_Ed),(ES28+ET28)/2,ES28)</f>
        <v/>
      </c>
      <c r="EX28">
        <f>IF($EV28&lt;N_Ed-1E-9*MAX(1,N_Ed),ET28,(ES28+ET28)/2)</f>
        <v/>
      </c>
      <c r="EY28">
        <f>h_col*((EW28+EX28)/2)/(1-(EW28+EX28)/2)</f>
        <v/>
      </c>
      <c r="EZ28">
        <f>(f_cd*b_col*((3*MIN(EY28,h_col)/7)+(4*MIN(EY28,h_col)/7)*(1-((4*MIN(EY28,h_col)/7)/(EY28-(3*MIN(EY28,h_col)/7)))^2/3))+$D28/2*((MAX(-f_yd,MIN(f_yd,200000*IF(EY28&lt;=h_col,0.0035*(EY28-d_2)/EY28,0.002*(EY28-d_2)/(EY28-3*h_col/7))))-f_cd*(1-(1-MAX(0,MIN(1,IF(EY28&lt;=h_col,0.0035*(EY28-d_2)/EY28,0.002*(EY28-d_2)/(EY28-3*h_col/7))/0.002)))^2))+(MAX(-f_yd,MIN(f_yd,200000*IF(EY28&lt;=h_col,0.0035*(EY28-(h_col-d_2))/EY28,0.002*(EY28-(h_col-d_2))/(EY28-3*h_col/7))))-f_cd*(1-(1-MAX(0,MIN(1,IF(EY28&lt;=h_col,0.0035*(EY28-(h_col-d_2))/EY28,0.002*(EY28-(h_col-d_2))/(EY28-3*h_col/7))/0.002)))^2))))/1000</f>
        <v/>
      </c>
      <c r="FA28">
        <f>IF($EZ28&lt;N_Ed-1E-9*MAX(1,N_Ed),(EW28+EX28)/2,EW28)</f>
        <v/>
      </c>
      <c r="FB28">
        <f>IF($EZ28&lt;N_Ed-1E-9*MAX(1,N_Ed),EX28,(EW28+EX28)/2)</f>
        <v/>
      </c>
      <c r="FC28">
        <f>h_col*((FA28+FB28)/2)/(1-(FA28+FB28)/2)</f>
        <v/>
      </c>
      <c r="FD28">
        <f>(f_cd*b_col*((3*MIN(FC28,h_col)/7)+(4*MIN(FC28,h_col)/7)*(1-((4*MIN(FC28,h_col)/7)/(FC28-(3*MIN(FC28,h_col)/7)))^2/3))+$D28/2*((MAX(-f_yd,MIN(f_yd,200000*IF(FC28&lt;=h_col,0.0035*(FC28-d_2)/FC28,0.002*(FC28-d_2)/(FC28-3*h_col/7))))-f_cd*(1-(1-MAX(0,MIN(1,IF(FC28&lt;=h_col,0.0035*(FC28-d_2)/FC28,0.002*(FC28-d_2)/(FC28-3*h_col/7))/0.002)))^2))+(MAX(-f_yd,MIN(f_yd,200000*IF(FC28&lt;=h_col,0.0035*(FC28-(h_col-d_2))/FC28,0.002*(FC28-(h_col-d_2))/(FC28-3*h_col/7))))-f_cd*(1-(1-MAX(0,MIN(1,IF(FC28&lt;=h_col,0.0035*(FC28-(h_col-d_2))/FC28,0.002*(FC28-(h_col-d_2))/(FC28-3*h_col/7))/0.002)))^2))))/1000</f>
        <v/>
      </c>
      <c r="FE28">
        <f>IF($FD28&lt;N_Ed-1E-9*MAX(1,N_Ed),(FA28+FB28)/2,FA28)</f>
        <v/>
      </c>
      <c r="FF28">
        <f>IF($FD28&lt;N_Ed-1E-9*MAX(1,N_Ed),FB28,(FA28+FB28)/2)</f>
        <v/>
      </c>
      <c r="FG28">
        <f>h_col*((FE28+FF28)/2)/(1-(FE28+FF28)/2)</f>
        <v/>
      </c>
      <c r="FH28">
        <f>(f_cd*b_col*((3*MIN(FG28,h_col)/7)+(4*MIN(FG28,h_col)/7)*(1-((4*MIN(FG28,h_col)/7)/(FG28-(3*MIN(FG28,h_col)/7)))^2/3))+$D28/2*((MAX(-f_yd,MIN(f_yd,200000*IF(FG28&lt;=h_col,0.0035*(FG28-d_2)/FG28,0.002*(FG28-d_2)/(FG28-3*h_col/7))))-f_cd*(1-(1-MAX(0,MIN(1,IF(FG28&lt;=h_col,0.0035*(FG28-d_2)/FG28,0.002*(FG28-d_2)/(FG28-3*h_col/7))/0.002)))^2))+(MAX(-f_yd,MIN(f_yd,200000*IF(FG28&lt;=h_col,0.0035*(FG28-(h_col-d_2))/FG28,0.002*(FG28-(h_col-d_2))/(FG28-3*h_col/7))))-f_cd*(1-(1-MAX(0,MIN(1,IF(FG28&lt;=h_col,0.0035*(FG28-(h_col-d_2))/FG28,0.002*(FG28-(h_col-d_2))/(FG28-3*h_col/7))/0.002)))^2))))/1000</f>
        <v/>
      </c>
      <c r="FI28">
        <f>IF($FH28&lt;N_Ed-1E-9*MAX(1,N_Ed),(FE28+FF28)/2,FE28)</f>
        <v/>
      </c>
      <c r="FJ28">
        <f>IF($FH28&lt;N_Ed-1E-9*MAX(1,N_Ed),FF28,(FE28+FF28)/2)</f>
        <v/>
      </c>
      <c r="FK28">
        <f>h_col*((FI28+FJ28)/2)/(1-(FI28+FJ28)/2)</f>
        <v/>
      </c>
      <c r="FL28">
        <f>(f_cd*b_col*((3*MIN(FK28,h_col)/7)+(4*MIN(FK28,h_col)/7)*(1-((4*MIN(FK28,h_col)/7)/(FK28-(3*MIN(FK28,h_col)/7)))^2/3))+$D28/2*((MAX(-f_yd,MIN(f_yd,200000*IF(FK28&lt;=h_col,0.0035*(FK28-d_2)/FK28,0.002*(FK28-d_2)/(FK28-3*h_col/7))))-f_cd*(1-(1-MAX(0,MIN(1,IF(FK28&lt;=h_col,0.0035*(FK28-d_2)/FK28,0.002*(FK28-d_2)/(FK28-3*h_col/7))/0.002)))^2))+(MAX(-f_yd,MIN(f_yd,200000*IF(FK28&lt;=h_col,0.0035*(FK28-(h_col-d_2))/FK28,0.002*(FK28-(h_col-d_2))/(FK28-3*h_col/7))))-f_cd*(1-(1-MAX(0,MIN(1,IF(FK28&lt;=h_col,0.0035*(FK28-(h_col-d_2))/FK28,0.002*(FK28-(h_col-d_2))/(FK28-3*h_col/7))/0.002)))^2))))/1000</f>
        <v/>
      </c>
      <c r="FM28">
        <f>IF($FL28&lt;N_Ed-1E-9*MAX(1,N_Ed),(FI28+FJ28)/2,FI28)</f>
        <v/>
      </c>
      <c r="FN28">
        <f>IF($FL28&lt;N_Ed-1E-9*MAX(1,N_Ed),FJ28,(FI28+FJ28)/2)</f>
        <v/>
      </c>
      <c r="FO28">
        <f>h_col*((FM28+FN28)/2)/(1-(FM28+FN28)/2)</f>
        <v/>
      </c>
      <c r="FP28">
        <f>(f_cd*b_col*((3*MIN(FO28,h_col)/7)+(4*MIN(FO28,h_col)/7)*(1-((4*MIN(FO28,h_col)/7)/(FO28-(3*MIN(FO28,h_col)/7)))^2/3))+$D28/2*((MAX(-f_yd,MIN(f_yd,200000*IF(FO28&lt;=h_col,0.0035*(FO28-d_2)/FO28,0.002*(FO28-d_2)/(FO28-3*h_col/7))))-f_cd*(1-(1-MAX(0,MIN(1,IF(FO28&lt;=h_col,0.0035*(FO28-d_2)/FO28,0.002*(FO28-d_2)/(FO28-3*h_col/7))/0.002)))^2))+(MAX(-f_yd,MIN(f_yd,200000*IF(FO28&lt;=h_col,0.0035*(FO28-(h_col-d_2))/FO28,0.002*(FO28-(h_col-d_2))/(FO28-3*h_col/7))))-f_cd*(1-(1-MAX(0,MIN(1,IF(FO28&lt;=h_col,0.0035*(FO28-(h_col-d_2))/FO28,0.002*(FO28-(h_col-d_2))/(FO28-3*h_col/7))/0.002)))^2))))/1000</f>
        <v/>
      </c>
      <c r="FQ28">
        <f>IF($FP28&lt;N_Ed-1E-9*MAX(1,N_Ed),(FM28+FN28)/2,FM28)</f>
        <v/>
      </c>
      <c r="FR28">
        <f>IF($FP28&lt;N_Ed-1E-9*MAX(1,N_Ed),FN28,(FM28+FN28)/2)</f>
        <v/>
      </c>
      <c r="FS28">
        <f>h_col*((FQ28+FR28)/2)/(1-(FQ28+FR28)/2)</f>
        <v/>
      </c>
      <c r="FT28">
        <f>(f_cd*b_col*((3*MIN(FS28,h_col)/7)+(4*MIN(FS28,h_col)/7)*(1-((4*MIN(FS28,h_col)/7)/(FS28-(3*MIN(FS28,h_col)/7)))^2/3))+$D28/2*((MAX(-f_yd,MIN(f_yd,200000*IF(FS28&lt;=h_col,0.0035*(FS28-d_2)/FS28,0.002*(FS28-d_2)/(FS28-3*h_col/7))))-f_cd*(1-(1-MAX(0,MIN(1,IF(FS28&lt;=h_col,0.0035*(FS28-d_2)/FS28,0.002*(FS28-d_2)/(FS28-3*h_col/7))/0.002)))^2))+(MAX(-f_yd,MIN(f_yd,200000*IF(FS28&lt;=h_col,0.0035*(FS28-(h_col-d_2))/FS28,0.002*(FS28-(h_col-d_2))/(FS28-3*h_col/7))))-f_cd*(1-(1-MAX(0,MIN(1,IF(FS28&lt;=h_col,0.0035*(FS28-(h_col-d_2))/FS28,0.002*(FS28-(h_col-d_2))/(FS28-3*h_col/7))/0.002)))^2))))/1000</f>
        <v/>
      </c>
      <c r="FU28">
        <f>IF($FT28&lt;N_Ed-1E-9*MAX(1,N_Ed),(FQ28+FR28)/2,FQ28)</f>
        <v/>
      </c>
      <c r="FV28">
        <f>IF($FT28&lt;N_Ed-1E-9*MAX(1,N_Ed),FR28,(FQ28+FR28)/2)</f>
        <v/>
      </c>
      <c r="FW28">
        <f>h_col*((FU28+FV28)/2)/(1-(FU28+FV28)/2)</f>
        <v/>
      </c>
      <c r="FX28">
        <f>(f_cd*b_col*((3*MIN(FW28,h_col)/7)+(4*MIN(FW28,h_col)/7)*(1-((4*MIN(FW28,h_col)/7)/(FW28-(3*MIN(FW28,h_col)/7)))^2/3))+$D28/2*((MAX(-f_yd,MIN(f_yd,200000*IF(FW28&lt;=h_col,0.0035*(FW28-d_2)/FW28,0.002*(FW28-d_2)/(FW28-3*h_col/7))))-f_cd*(1-(1-MAX(0,MIN(1,IF(FW28&lt;=h_col,0.0035*(FW28-d_2)/FW28,0.002*(FW28-d_2)/(FW28-3*h_col/7))/0.002)))^2))+(MAX(-f_yd,MIN(f_yd,200000*IF(FW28&lt;=h_col,0.0035*(FW28-(h_col-d_2))/FW28,0.002*(FW28-(h_col-d_2))/(FW28-3*h_col/7))))-f_cd*(1-(1-MAX(0,MIN(1,IF(FW28&lt;=h_col,0.0035*(FW28-(h_col-d_2))/FW28,0.002*(FW28-(h_col-d_2))/(FW28-3*h_col/7))/0.002)))^2))))/1000</f>
        <v/>
      </c>
      <c r="FY28">
        <f>IF($FX28&lt;N_Ed-1E-9*MAX(1,N_Ed),(FU28+FV28)/2,FU28)</f>
        <v/>
      </c>
      <c r="FZ28">
        <f>IF($FX28&lt;N_Ed-1E-9*MAX(1,N_Ed),FV28,(FU28+FV28)/2)</f>
        <v/>
      </c>
      <c r="GA28">
        <f>h_col*((FY28+FZ28)/2)/(1-(FY28+FZ28)/2)</f>
        <v/>
      </c>
      <c r="GB28">
        <f>(f_cd*b_col*((3*MIN(GA28,h_col)/7)+(4*MIN(GA28,h_col)/7)*(1-((4*MIN(GA28,h_col)/7)/(GA28-(3*MIN(GA28,h_col)/7)))^2/3))+$D28/2*((MAX(-f_yd,MIN(f_yd,200000*IF(GA28&lt;=h_col,0.0035*(GA28-d_2)/GA28,0.002*(GA28-d_2)/(GA28-3*h_col/7))))-f_cd*(1-(1-MAX(0,MIN(1,IF(GA28&lt;=h_col,0.0035*(GA28-d_2)/GA28,0.002*(GA28-d_2)/(GA28-3*h_col/7))/0.002)))^2))+(MAX(-f_yd,MIN(f_yd,200000*IF(GA28&lt;=h_col,0.0035*(GA28-(h_col-d_2))/GA28,0.002*(GA28-(h_col-d_2))/(GA28-3*h_col/7))))-f_cd*(1-(1-MAX(0,MIN(1,IF(GA28&lt;=h_col,0.0035*(GA28-(h_col-d_2))/GA28,0.002*(GA28-(h_col-d_2))/(GA28-3*h_col/7))/0.002)))^2))))/1000</f>
        <v/>
      </c>
      <c r="GC28">
        <f>IF($GB28&lt;N_Ed-1E-9*MAX(1,N_Ed),(FY28+FZ28)/2,FY28)</f>
        <v/>
      </c>
      <c r="GD28">
        <f>IF($GB28&lt;N_Ed-1E-9*MAX(1,N_Ed),FZ28,(FY28+FZ28)/2)</f>
        <v/>
      </c>
      <c r="GE28">
        <f>h_col*((GC28+GD28)/2)/(1-(GC28+GD28)/2)</f>
        <v/>
      </c>
      <c r="GF28">
        <f>(f_cd*b_col*((3*MIN(GE28,h_col)/7)+(4*MIN(GE28,h_col)/7)*(1-((4*MIN(GE28,h_col)/7)/(GE28-(3*MIN(GE28,h_col)/7)))^2/3))+$D28/2*((MAX(-f_yd,MIN(f_yd,200000*IF(GE28&lt;=h_col,0.0035*(GE28-d_2)/GE28,0.002*(GE28-d_2)/(GE28-3*h_col/7))))-f_cd*(1-(1-MAX(0,MIN(1,IF(GE28&lt;=h_col,0.0035*(GE28-d_2)/GE28,0.002*(GE28-d_2)/(GE28-3*h_col/7))/0.002)))^2))+(MAX(-f_yd,MIN(f_yd,200000*IF(GE28&lt;=h_col,0.0035*(GE28-(h_col-d_2))/GE28,0.002*(GE28-(h_col-d_2))/(GE28-3*h_col/7))))-f_cd*(1-(1-MAX(0,MIN(1,IF(GE28&lt;=h_col,0.0035*(GE28-(h_col-d_2))/GE28,0.002*(GE28-(h_col-d_2))/(GE28-3*h_col/7))/0.002)))^2))))/1000</f>
        <v/>
      </c>
      <c r="GG28">
        <f>IF($GF28&lt;N_Ed-1E-9*MAX(1,N_Ed),(GC28+GD28)/2,GC28)</f>
        <v/>
      </c>
      <c r="GH28">
        <f>IF($GF28&lt;N_Ed-1E-9*MAX(1,N_Ed),GD28,(GC28+GD28)/2)</f>
        <v/>
      </c>
      <c r="GI28">
        <f>h_col*((GG28+GH28)/2)/(1-(GG28+GH28)/2)</f>
        <v/>
      </c>
      <c r="GJ28">
        <f>(f_cd*b_col*((3*MIN(GI28,h_col)/7)+(4*MIN(GI28,h_col)/7)*(1-((4*MIN(GI28,h_col)/7)/(GI28-(3*MIN(GI28,h_col)/7)))^2/3))+$D28/2*((MAX(-f_yd,MIN(f_yd,200000*IF(GI28&lt;=h_col,0.0035*(GI28-d_2)/GI28,0.002*(GI28-d_2)/(GI28-3*h_col/7))))-f_cd*(1-(1-MAX(0,MIN(1,IF(GI28&lt;=h_col,0.0035*(GI28-d_2)/GI28,0.002*(GI28-d_2)/(GI28-3*h_col/7))/0.002)))^2))+(MAX(-f_yd,MIN(f_yd,200000*IF(GI28&lt;=h_col,0.0035*(GI28-(h_col-d_2))/GI28,0.002*(GI28-(h_col-d_2))/(GI28-3*h_col/7))))-f_cd*(1-(1-MAX(0,MIN(1,IF(GI28&lt;=h_col,0.0035*(GI28-(h_col-d_2))/GI28,0.002*(GI28-(h_col-d_2))/(GI28-3*h_col/7))/0.002)))^2))))/1000</f>
        <v/>
      </c>
      <c r="GK28">
        <f>IF($GJ28&lt;N_Ed-1E-9*MAX(1,N_Ed),(GG28+GH28)/2,GG28)</f>
        <v/>
      </c>
      <c r="GL28">
        <f>IF($GJ28&lt;N_Ed-1E-9*MAX(1,N_Ed),GH28,(GG28+GH28)/2)</f>
        <v/>
      </c>
      <c r="GM28">
        <f>h_col*((GK28+GL28)/2)/(1-(GK28+GL28)/2)</f>
        <v/>
      </c>
      <c r="GN28">
        <f>(f_cd*b_col*((3*MIN(GM28,h_col)/7)+(4*MIN(GM28,h_col)/7)*(1-((4*MIN(GM28,h_col)/7)/(GM28-(3*MIN(GM28,h_col)/7)))^2/3))+$D28/2*((MAX(-f_yd,MIN(f_yd,200000*IF(GM28&lt;=h_col,0.0035*(GM28-d_2)/GM28,0.002*(GM28-d_2)/(GM28-3*h_col/7))))-f_cd*(1-(1-MAX(0,MIN(1,IF(GM28&lt;=h_col,0.0035*(GM28-d_2)/GM28,0.002*(GM28-d_2)/(GM28-3*h_col/7))/0.002)))^2))+(MAX(-f_yd,MIN(f_yd,200000*IF(GM28&lt;=h_col,0.0035*(GM28-(h_col-d_2))/GM28,0.002*(GM28-(h_col-d_2))/(GM28-3*h_col/7))))-f_cd*(1-(1-MAX(0,MIN(1,IF(GM28&lt;=h_col,0.0035*(GM28-(h_col-d_2))/GM28,0.002*(GM28-(h_col-d_2))/(GM28-3*h_col/7))/0.002)))^2))))/1000</f>
        <v/>
      </c>
      <c r="GO28">
        <f>IF($GN28&lt;N_Ed-1E-9*MAX(1,N_Ed),(GK28+GL28)/2,GK28)</f>
        <v/>
      </c>
      <c r="GP28">
        <f>IF($GN28&lt;N_Ed-1E-9*MAX(1,N_Ed),GL28,(GK28+GL28)/2)</f>
        <v/>
      </c>
      <c r="GQ28">
        <f>h_col*((GO28+GP28)/2)/(1-(GO28+GP28)/2)</f>
        <v/>
      </c>
      <c r="GR28">
        <f>(f_cd*b_col*((3*MIN(GQ28,h_col)/7)+(4*MIN(GQ28,h_col)/7)*(1-((4*MIN(GQ28,h_col)/7)/(GQ28-(3*MIN(GQ28,h_col)/7)))^2/3))+$D28/2*((MAX(-f_yd,MIN(f_yd,200000*IF(GQ28&lt;=h_col,0.0035*(GQ28-d_2)/GQ28,0.002*(GQ28-d_2)/(GQ28-3*h_col/7))))-f_cd*(1-(1-MAX(0,MIN(1,IF(GQ28&lt;=h_col,0.0035*(GQ28-d_2)/GQ28,0.002*(GQ28-d_2)/(GQ28-3*h_col/7))/0.002)))^2))+(MAX(-f_yd,MIN(f_yd,200000*IF(GQ28&lt;=h_col,0.0035*(GQ28-(h_col-d_2))/GQ28,0.002*(GQ28-(h_col-d_2))/(GQ28-3*h_col/7))))-f_cd*(1-(1-MAX(0,MIN(1,IF(GQ28&lt;=h_col,0.0035*(GQ28-(h_col-d_2))/GQ28,0.002*(GQ28-(h_col-d_2))/(GQ28-3*h_col/7))/0.002)))^2))))/1000</f>
        <v/>
      </c>
      <c r="GS28">
        <f>IF($GR28&lt;N_Ed-1E-9*MAX(1,N_Ed),(GO28+GP28)/2,GO28)</f>
        <v/>
      </c>
      <c r="GT28">
        <f>IF($GR28&lt;N_Ed-1E-9*MAX(1,N_Ed),GP28,(GO28+GP28)/2)</f>
        <v/>
      </c>
      <c r="GU28">
        <f>h_col*((GS28+GT28)/2)/(1-(GS28+GT28)/2)</f>
        <v/>
      </c>
      <c r="GV28">
        <f>(f_cd*b_col*((3*MIN(GU28,h_col)/7)+(4*MIN(GU28,h_col)/7)*(1-((4*MIN(GU28,h_col)/7)/(GU28-(3*MIN(GU28,h_col)/7)))^2/3))+$D28/2*((MAX(-f_yd,MIN(f_yd,200000*IF(GU28&lt;=h_col,0.0035*(GU28-d_2)/GU28,0.002*(GU28-d_2)/(GU28-3*h_col/7))))-f_cd*(1-(1-MAX(0,MIN(1,IF(GU28&lt;=h_col,0.0035*(GU28-d_2)/GU28,0.002*(GU28-d_2)/(GU28-3*h_col/7))/0.002)))^2))+(MAX(-f_yd,MIN(f_yd,200000*IF(GU28&lt;=h_col,0.0035*(GU28-(h_col-d_2))/GU28,0.002*(GU28-(h_col-d_2))/(GU28-3*h_col/7))))-f_cd*(1-(1-MAX(0,MIN(1,IF(GU28&lt;=h_col,0.0035*(GU28-(h_col-d_2))/GU28,0.002*(GU28-(h_col-d_2))/(GU28-3*h_col/7))/0.002)))^2))))/1000</f>
        <v/>
      </c>
      <c r="GW28">
        <f>GU28</f>
        <v/>
      </c>
      <c r="GX28">
        <f>(f_cd*b_col*((3*MIN(GW28,h_col)/7)+(4*MIN(GW28,h_col)/7)*(1-((4*MIN(GW28,h_col)/7)/(GW28-(3*MIN(GW28,h_col)/7)))^2/3))+$D28/2*((MAX(-f_yd,MIN(f_yd,200000*IF(GW28&lt;=h_col,0.0035*(GW28-d_2)/GW28,0.002*(GW28-d_2)/(GW28-3*h_col/7))))-f_cd*(1-(1-MAX(0,MIN(1,IF(GW28&lt;=h_col,0.0035*(GW28-d_2)/GW28,0.002*(GW28-d_2)/(GW28-3*h_col/7))/0.002)))^2))+(MAX(-f_yd,MIN(f_yd,200000*IF(GW28&lt;=h_col,0.0035*(GW28-(h_col-d_2))/GW28,0.002*(GW28-(h_col-d_2))/(GW28-3*h_col/7))))-f_cd*(1-(1-MAX(0,MIN(1,IF(GW28&lt;=h_col,0.0035*(GW28-(h_col-d_2))/GW28,0.002*(GW28-(h_col-d_2))/(GW28-3*h_col/7))/0.002)))^2))))/1000</f>
        <v/>
      </c>
      <c r="GY28">
        <f>(f_cd*b_col*((3*MIN(GW28,h_col)/7)*(h_col/2-(3*MIN(GW28,h_col)/7)/2)+(4*MIN(GW28,h_col)/7)*((h_col/2-(3*MIN(GW28,h_col)/7))*(1-((4*MIN(GW28,h_col)/7)/(GW28-(3*MIN(GW28,h_col)/7)))^2/3)-(4*MIN(GW28,h_col)/7)*(0.5-((4*MIN(GW28,h_col)/7)/(GW28-(3*MIN(GW28,h_col)/7)))^2/4)))+$D28/2*((MAX(-f_yd,MIN(f_yd,200000*IF(GW28&lt;=h_col,0.0035*(GW28-d_2)/GW28,0.002*(GW28-d_2)/(GW28-3*h_col/7))))-f_cd*(1-(1-MAX(0,MIN(1,IF(GW28&lt;=h_col,0.0035*(GW28-d_2)/GW28,0.002*(GW28-d_2)/(GW28-3*h_col/7))/0.002)))^2))-(MAX(-f_yd,MIN(f_yd,200000*IF(GW28&lt;=h_col,0.0035*(GW28-(h_col-d_2))/GW28,0.002*(GW28-(h_col-d_2))/(GW28-3*h_col/7))))-f_cd*(1-(1-MAX(0,MIN(1,IF(GW28&lt;=h_col,0.0035*(GW28-(h_col-d_2))/GW28,0.002*(GW28-(h_col-d_2))/(GW28-3*h_col/7))/0.002)))^2)))*(h_col/2-d_2))/1E6</f>
        <v/>
      </c>
      <c r="GZ28">
        <f>GX28&gt;=N_Ed-1E-6*MAX(1,N_Ed)</f>
        <v/>
      </c>
      <c r="HA28">
        <f>IF(GZ28,GY28,-1E9)</f>
        <v/>
      </c>
    </row>
    <row r="29">
      <c r="A29" t="n">
        <v>24</v>
      </c>
      <c r="B29">
        <f>IF($HA28&gt;=M_d,$B28,$D28)</f>
        <v/>
      </c>
      <c r="C29">
        <f>IF($HA28&gt;=M_d,$D28,$C28)</f>
        <v/>
      </c>
      <c r="D29">
        <f>($B29+$C29)/2</f>
        <v/>
      </c>
      <c r="E29" t="n">
        <v>0</v>
      </c>
      <c r="F29">
        <f>1-1E-12</f>
        <v/>
      </c>
      <c r="G29">
        <f>h_col*((E29+F29)/2)/(1-(E29+F29)/2)</f>
        <v/>
      </c>
      <c r="H29">
        <f>(f_cd*b_col*((3*MIN(G29,h_col)/7)+(4*MIN(G29,h_col)/7)*(1-((4*MIN(G29,h_col)/7)/(G29-(3*MIN(G29,h_col)/7)))^2/3))+$D29/2*((MAX(-f_yd,MIN(f_yd,200000*IF(G29&lt;=h_col,0.0035*(G29-d_2)/G29,0.002*(G29-d_2)/(G29-3*h_col/7))))-f_cd*(1-(1-MAX(0,MIN(1,IF(G29&lt;=h_col,0.0035*(G29-d_2)/G29,0.002*(G29-d_2)/(G29-3*h_col/7))/0.002)))^2))+(MAX(-f_yd,MIN(f_yd,200000*IF(G29&lt;=h_col,0.0035*(G29-(h_col-d_2))/G29,0.002*(G29-(h_col-d_2))/(G29-3*h_col/7))))-f_cd*(1-(1-MAX(0,MIN(1,IF(G29&lt;=h_col,0.0035*(G29-(h_col-d_2))/G29,0.002*(G29-(h_col-d_2))/(G29-3*h_col/7))/0.002)))^2))))/1000</f>
        <v/>
      </c>
      <c r="I29">
        <f>IF($H29&lt;N_Ed-1E-9*MAX(1,N_Ed),(E29+F29)/2,E29)</f>
        <v/>
      </c>
      <c r="J29">
        <f>IF($H29&lt;N_Ed-1E-9*MAX(1,N_Ed),F29,(E29+F29)/2)</f>
        <v/>
      </c>
      <c r="K29">
        <f>h_col*((I29+J29)/2)/(1-(I29+J29)/2)</f>
        <v/>
      </c>
      <c r="L29">
        <f>(f_cd*b_col*((3*MIN(K29,h_col)/7)+(4*MIN(K29,h_col)/7)*(1-((4*MIN(K29,h_col)/7)/(K29-(3*MIN(K29,h_col)/7)))^2/3))+$D29/2*((MAX(-f_yd,MIN(f_yd,200000*IF(K29&lt;=h_col,0.0035*(K29-d_2)/K29,0.002*(K29-d_2)/(K29-3*h_col/7))))-f_cd*(1-(1-MAX(0,MIN(1,IF(K29&lt;=h_col,0.0035*(K29-d_2)/K29,0.002*(K29-d_2)/(K29-3*h_col/7))/0.002)))^2))+(MAX(-f_yd,MIN(f_yd,200000*IF(K29&lt;=h_col,0.0035*(K29-(h_col-d_2))/K29,0.002*(K29-(h_col-d_2))/(K29-3*h_col/7))))-f_cd*(1-(1-MAX(0,MIN(1,IF(K29&lt;=h_col,0.0035*(K29-(h_col-d_2))/K29,0.002*(K29-(h_col-d_2))/(K29-3*h_col/7))/0.002)))^2))))/1000</f>
        <v/>
      </c>
      <c r="M29">
        <f>IF($L29&lt;N_Ed-1E-9*MAX(1,N_Ed),(I29+J29)/2,I29)</f>
        <v/>
      </c>
      <c r="N29">
        <f>IF($L29&lt;N_Ed-1E-9*MAX(1,N_Ed),J29,(I29+J29)/2)</f>
        <v/>
      </c>
      <c r="O29">
        <f>h_col*((M29+N29)/2)/(1-(M29+N29)/2)</f>
        <v/>
      </c>
      <c r="P29">
        <f>(f_cd*b_col*((3*MIN(O29,h_col)/7)+(4*MIN(O29,h_col)/7)*(1-((4*MIN(O29,h_col)/7)/(O29-(3*MIN(O29,h_col)/7)))^2/3))+$D29/2*((MAX(-f_yd,MIN(f_yd,200000*IF(O29&lt;=h_col,0.0035*(O29-d_2)/O29,0.002*(O29-d_2)/(O29-3*h_col/7))))-f_cd*(1-(1-MAX(0,MIN(1,IF(O29&lt;=h_col,0.0035*(O29-d_2)/O29,0.002*(O29-d_2)/(O29-3*h_col/7))/0.002)))^2))+(MAX(-f_yd,MIN(f_yd,200000*IF(O29&lt;=h_col,0.0035*(O29-(h_col-d_2))/O29,0.002*(O29-(h_col-d_2))/(O29-3*h_col/7))))-f_cd*(1-(1-MAX(0,MIN(1,IF(O29&lt;=h_col,0.0035*(O29-(h_col-d_2))/O29,0.002*(O29-(h_col-d_2))/(O29-3*h_col/7))/0.002)))^2))))/1000</f>
        <v/>
      </c>
      <c r="Q29">
        <f>IF($P29&lt;N_Ed-1E-9*MAX(1,N_Ed),(M29+N29)/2,M29)</f>
        <v/>
      </c>
      <c r="R29">
        <f>IF($P29&lt;N_Ed-1E-9*MAX(1,N_Ed),N29,(M29+N29)/2)</f>
        <v/>
      </c>
      <c r="S29">
        <f>h_col*((Q29+R29)/2)/(1-(Q29+R29)/2)</f>
        <v/>
      </c>
      <c r="T29">
        <f>(f_cd*b_col*((3*MIN(S29,h_col)/7)+(4*MIN(S29,h_col)/7)*(1-((4*MIN(S29,h_col)/7)/(S29-(3*MIN(S29,h_col)/7)))^2/3))+$D29/2*((MAX(-f_yd,MIN(f_yd,200000*IF(S29&lt;=h_col,0.0035*(S29-d_2)/S29,0.002*(S29-d_2)/(S29-3*h_col/7))))-f_cd*(1-(1-MAX(0,MIN(1,IF(S29&lt;=h_col,0.0035*(S29-d_2)/S29,0.002*(S29-d_2)/(S29-3*h_col/7))/0.002)))^2))+(MAX(-f_yd,MIN(f_yd,200000*IF(S29&lt;=h_col,0.0035*(S29-(h_col-d_2))/S29,0.002*(S29-(h_col-d_2))/(S29-3*h_col/7))))-f_cd*(1-(1-MAX(0,MIN(1,IF(S29&lt;=h_col,0.0035*(S29-(h_col-d_2))/S29,0.002*(S29-(h_col-d_2))/(S29-3*h_col/7))/0.002)))^2))))/1000</f>
        <v/>
      </c>
      <c r="U29">
        <f>IF($T29&lt;N_Ed-1E-9*MAX(1,N_Ed),(Q29+R29)/2,Q29)</f>
        <v/>
      </c>
      <c r="V29">
        <f>IF($T29&lt;N_Ed-1E-9*MAX(1,N_Ed),R29,(Q29+R29)/2)</f>
        <v/>
      </c>
      <c r="W29">
        <f>h_col*((U29+V29)/2)/(1-(U29+V29)/2)</f>
        <v/>
      </c>
      <c r="X29">
        <f>(f_cd*b_col*((3*MIN(W29,h_col)/7)+(4*MIN(W29,h_col)/7)*(1-((4*MIN(W29,h_col)/7)/(W29-(3*MIN(W29,h_col)/7)))^2/3))+$D29/2*((MAX(-f_yd,MIN(f_yd,200000*IF(W29&lt;=h_col,0.0035*(W29-d_2)/W29,0.002*(W29-d_2)/(W29-3*h_col/7))))-f_cd*(1-(1-MAX(0,MIN(1,IF(W29&lt;=h_col,0.0035*(W29-d_2)/W29,0.002*(W29-d_2)/(W29-3*h_col/7))/0.002)))^2))+(MAX(-f_yd,MIN(f_yd,200000*IF(W29&lt;=h_col,0.0035*(W29-(h_col-d_2))/W29,0.002*(W29-(h_col-d_2))/(W29-3*h_col/7))))-f_cd*(1-(1-MAX(0,MIN(1,IF(W29&lt;=h_col,0.0035*(W29-(h_col-d_2))/W29,0.002*(W29-(h_col-d_2))/(W29-3*h_col/7))/0.002)))^2))))/1000</f>
        <v/>
      </c>
      <c r="Y29">
        <f>IF($X29&lt;N_Ed-1E-9*MAX(1,N_Ed),(U29+V29)/2,U29)</f>
        <v/>
      </c>
      <c r="Z29">
        <f>IF($X29&lt;N_Ed-1E-9*MAX(1,N_Ed),V29,(U29+V29)/2)</f>
        <v/>
      </c>
      <c r="AA29">
        <f>h_col*((Y29+Z29)/2)/(1-(Y29+Z29)/2)</f>
        <v/>
      </c>
      <c r="AB29">
        <f>(f_cd*b_col*((3*MIN(AA29,h_col)/7)+(4*MIN(AA29,h_col)/7)*(1-((4*MIN(AA29,h_col)/7)/(AA29-(3*MIN(AA29,h_col)/7)))^2/3))+$D29/2*((MAX(-f_yd,MIN(f_yd,200000*IF(AA29&lt;=h_col,0.0035*(AA29-d_2)/AA29,0.002*(AA29-d_2)/(AA29-3*h_col/7))))-f_cd*(1-(1-MAX(0,MIN(1,IF(AA29&lt;=h_col,0.0035*(AA29-d_2)/AA29,0.002*(AA29-d_2)/(AA29-3*h_col/7))/0.002)))^2))+(MAX(-f_yd,MIN(f_yd,200000*IF(AA29&lt;=h_col,0.0035*(AA29-(h_col-d_2))/AA29,0.002*(AA29-(h_col-d_2))/(AA29-3*h_col/7))))-f_cd*(1-(1-MAX(0,MIN(1,IF(AA29&lt;=h_col,0.0035*(AA29-(h_col-d_2))/AA29,0.002*(AA29-(h_col-d_2))/(AA29-3*h_col/7))/0.002)))^2))))/1000</f>
        <v/>
      </c>
      <c r="AC29">
        <f>IF($AB29&lt;N_Ed-1E-9*MAX(1,N_Ed),(Y29+Z29)/2,Y29)</f>
        <v/>
      </c>
      <c r="AD29">
        <f>IF($AB29&lt;N_Ed-1E-9*MAX(1,N_Ed),Z29,(Y29+Z29)/2)</f>
        <v/>
      </c>
      <c r="AE29">
        <f>h_col*((AC29+AD29)/2)/(1-(AC29+AD29)/2)</f>
        <v/>
      </c>
      <c r="AF29">
        <f>(f_cd*b_col*((3*MIN(AE29,h_col)/7)+(4*MIN(AE29,h_col)/7)*(1-((4*MIN(AE29,h_col)/7)/(AE29-(3*MIN(AE29,h_col)/7)))^2/3))+$D29/2*((MAX(-f_yd,MIN(f_yd,200000*IF(AE29&lt;=h_col,0.0035*(AE29-d_2)/AE29,0.002*(AE29-d_2)/(AE29-3*h_col/7))))-f_cd*(1-(1-MAX(0,MIN(1,IF(AE29&lt;=h_col,0.0035*(AE29-d_2)/AE29,0.002*(AE29-d_2)/(AE29-3*h_col/7))/0.002)))^2))+(MAX(-f_yd,MIN(f_yd,200000*IF(AE29&lt;=h_col,0.0035*(AE29-(h_col-d_2))/AE29,0.002*(AE29-(h_col-d_2))/(AE29-3*h_col/7))))-f_cd*(1-(1-MAX(0,MIN(1,IF(AE29&lt;=h_col,0.0035*(AE29-(h_col-d_2))/AE29,0.002*(AE29-(h_col-d_2))/(AE29-3*h_col/7))/0.002)))^2))))/1000</f>
        <v/>
      </c>
      <c r="AG29">
        <f>IF($AF29&lt;N_Ed-1E-9*MAX(1,N_Ed),(AC29+AD29)/2,AC29)</f>
        <v/>
      </c>
      <c r="AH29">
        <f>IF($AF29&lt;N_Ed-1E-9*MAX(1,N_Ed),AD29,(AC29+AD29)/2)</f>
        <v/>
      </c>
      <c r="AI29">
        <f>h_col*((AG29+AH29)/2)/(1-(AG29+AH29)/2)</f>
        <v/>
      </c>
      <c r="AJ29">
        <f>(f_cd*b_col*((3*MIN(AI29,h_col)/7)+(4*MIN(AI29,h_col)/7)*(1-((4*MIN(AI29,h_col)/7)/(AI29-(3*MIN(AI29,h_col)/7)))^2/3))+$D29/2*((MAX(-f_yd,MIN(f_yd,200000*IF(AI29&lt;=h_col,0.0035*(AI29-d_2)/AI29,0.002*(AI29-d_2)/(AI29-3*h_col/7))))-f_cd*(1-(1-MAX(0,MIN(1,IF(AI29&lt;=h_col,0.0035*(AI29-d_2)/AI29,0.002*(AI29-d_2)/(AI29-3*h_col/7))/0.002)))^2))+(MAX(-f_yd,MIN(f_yd,200000*IF(AI29&lt;=h_col,0.0035*(AI29-(h_col-d_2))/AI29,0.002*(AI29-(h_col-d_2))/(AI29-3*h_col/7))))-f_cd*(1-(1-MAX(0,MIN(1,IF(AI29&lt;=h_col,0.0035*(AI29-(h_col-d_2))/AI29,0.002*(AI29-(h_col-d_2))/(AI29-3*h_col/7))/0.002)))^2))))/1000</f>
        <v/>
      </c>
      <c r="AK29">
        <f>IF($AJ29&lt;N_Ed-1E-9*MAX(1,N_Ed),(AG29+AH29)/2,AG29)</f>
        <v/>
      </c>
      <c r="AL29">
        <f>IF($AJ29&lt;N_Ed-1E-9*MAX(1,N_Ed),AH29,(AG29+AH29)/2)</f>
        <v/>
      </c>
      <c r="AM29">
        <f>h_col*((AK29+AL29)/2)/(1-(AK29+AL29)/2)</f>
        <v/>
      </c>
      <c r="AN29">
        <f>(f_cd*b_col*((3*MIN(AM29,h_col)/7)+(4*MIN(AM29,h_col)/7)*(1-((4*MIN(AM29,h_col)/7)/(AM29-(3*MIN(AM29,h_col)/7)))^2/3))+$D29/2*((MAX(-f_yd,MIN(f_yd,200000*IF(AM29&lt;=h_col,0.0035*(AM29-d_2)/AM29,0.002*(AM29-d_2)/(AM29-3*h_col/7))))-f_cd*(1-(1-MAX(0,MIN(1,IF(AM29&lt;=h_col,0.0035*(AM29-d_2)/AM29,0.002*(AM29-d_2)/(AM29-3*h_col/7))/0.002)))^2))+(MAX(-f_yd,MIN(f_yd,200000*IF(AM29&lt;=h_col,0.0035*(AM29-(h_col-d_2))/AM29,0.002*(AM29-(h_col-d_2))/(AM29-3*h_col/7))))-f_cd*(1-(1-MAX(0,MIN(1,IF(AM29&lt;=h_col,0.0035*(AM29-(h_col-d_2))/AM29,0.002*(AM29-(h_col-d_2))/(AM29-3*h_col/7))/0.002)))^2))))/1000</f>
        <v/>
      </c>
      <c r="AO29">
        <f>IF($AN29&lt;N_Ed-1E-9*MAX(1,N_Ed),(AK29+AL29)/2,AK29)</f>
        <v/>
      </c>
      <c r="AP29">
        <f>IF($AN29&lt;N_Ed-1E-9*MAX(1,N_Ed),AL29,(AK29+AL29)/2)</f>
        <v/>
      </c>
      <c r="AQ29">
        <f>h_col*((AO29+AP29)/2)/(1-(AO29+AP29)/2)</f>
        <v/>
      </c>
      <c r="AR29">
        <f>(f_cd*b_col*((3*MIN(AQ29,h_col)/7)+(4*MIN(AQ29,h_col)/7)*(1-((4*MIN(AQ29,h_col)/7)/(AQ29-(3*MIN(AQ29,h_col)/7)))^2/3))+$D29/2*((MAX(-f_yd,MIN(f_yd,200000*IF(AQ29&lt;=h_col,0.0035*(AQ29-d_2)/AQ29,0.002*(AQ29-d_2)/(AQ29-3*h_col/7))))-f_cd*(1-(1-MAX(0,MIN(1,IF(AQ29&lt;=h_col,0.0035*(AQ29-d_2)/AQ29,0.002*(AQ29-d_2)/(AQ29-3*h_col/7))/0.002)))^2))+(MAX(-f_yd,MIN(f_yd,200000*IF(AQ29&lt;=h_col,0.0035*(AQ29-(h_col-d_2))/AQ29,0.002*(AQ29-(h_col-d_2))/(AQ29-3*h_col/7))))-f_cd*(1-(1-MAX(0,MIN(1,IF(AQ29&lt;=h_col,0.0035*(AQ29-(h_col-d_2))/AQ29,0.002*(AQ29-(h_col-d_2))/(AQ29-3*h_col/7))/0.002)))^2))))/1000</f>
        <v/>
      </c>
      <c r="AS29">
        <f>IF($AR29&lt;N_Ed-1E-9*MAX(1,N_Ed),(AO29+AP29)/2,AO29)</f>
        <v/>
      </c>
      <c r="AT29">
        <f>IF($AR29&lt;N_Ed-1E-9*MAX(1,N_Ed),AP29,(AO29+AP29)/2)</f>
        <v/>
      </c>
      <c r="AU29">
        <f>h_col*((AS29+AT29)/2)/(1-(AS29+AT29)/2)</f>
        <v/>
      </c>
      <c r="AV29">
        <f>(f_cd*b_col*((3*MIN(AU29,h_col)/7)+(4*MIN(AU29,h_col)/7)*(1-((4*MIN(AU29,h_col)/7)/(AU29-(3*MIN(AU29,h_col)/7)))^2/3))+$D29/2*((MAX(-f_yd,MIN(f_yd,200000*IF(AU29&lt;=h_col,0.0035*(AU29-d_2)/AU29,0.002*(AU29-d_2)/(AU29-3*h_col/7))))-f_cd*(1-(1-MAX(0,MIN(1,IF(AU29&lt;=h_col,0.0035*(AU29-d_2)/AU29,0.002*(AU29-d_2)/(AU29-3*h_col/7))/0.002)))^2))+(MAX(-f_yd,MIN(f_yd,200000*IF(AU29&lt;=h_col,0.0035*(AU29-(h_col-d_2))/AU29,0.002*(AU29-(h_col-d_2))/(AU29-3*h_col/7))))-f_cd*(1-(1-MAX(0,MIN(1,IF(AU29&lt;=h_col,0.0035*(AU29-(h_col-d_2))/AU29,0.002*(AU29-(h_col-d_2))/(AU29-3*h_col/7))/0.002)))^2))))/1000</f>
        <v/>
      </c>
      <c r="AW29">
        <f>IF($AV29&lt;N_Ed-1E-9*MAX(1,N_Ed),(AS29+AT29)/2,AS29)</f>
        <v/>
      </c>
      <c r="AX29">
        <f>IF($AV29&lt;N_Ed-1E-9*MAX(1,N_Ed),AT29,(AS29+AT29)/2)</f>
        <v/>
      </c>
      <c r="AY29">
        <f>h_col*((AW29+AX29)/2)/(1-(AW29+AX29)/2)</f>
        <v/>
      </c>
      <c r="AZ29">
        <f>(f_cd*b_col*((3*MIN(AY29,h_col)/7)+(4*MIN(AY29,h_col)/7)*(1-((4*MIN(AY29,h_col)/7)/(AY29-(3*MIN(AY29,h_col)/7)))^2/3))+$D29/2*((MAX(-f_yd,MIN(f_yd,200000*IF(AY29&lt;=h_col,0.0035*(AY29-d_2)/AY29,0.002*(AY29-d_2)/(AY29-3*h_col/7))))-f_cd*(1-(1-MAX(0,MIN(1,IF(AY29&lt;=h_col,0.0035*(AY29-d_2)/AY29,0.002*(AY29-d_2)/(AY29-3*h_col/7))/0.002)))^2))+(MAX(-f_yd,MIN(f_yd,200000*IF(AY29&lt;=h_col,0.0035*(AY29-(h_col-d_2))/AY29,0.002*(AY29-(h_col-d_2))/(AY29-3*h_col/7))))-f_cd*(1-(1-MAX(0,MIN(1,IF(AY29&lt;=h_col,0.0035*(AY29-(h_col-d_2))/AY29,0.002*(AY29-(h_col-d_2))/(AY29-3*h_col/7))/0.002)))^2))))/1000</f>
        <v/>
      </c>
      <c r="BA29">
        <f>IF($AZ29&lt;N_Ed-1E-9*MAX(1,N_Ed),(AW29+AX29)/2,AW29)</f>
        <v/>
      </c>
      <c r="BB29">
        <f>IF($AZ29&lt;N_Ed-1E-9*MAX(1,N_Ed),AX29,(AW29+AX29)/2)</f>
        <v/>
      </c>
      <c r="BC29">
        <f>h_col*((BA29+BB29)/2)/(1-(BA29+BB29)/2)</f>
        <v/>
      </c>
      <c r="BD29">
        <f>(f_cd*b_col*((3*MIN(BC29,h_col)/7)+(4*MIN(BC29,h_col)/7)*(1-((4*MIN(BC29,h_col)/7)/(BC29-(3*MIN(BC29,h_col)/7)))^2/3))+$D29/2*((MAX(-f_yd,MIN(f_yd,200000*IF(BC29&lt;=h_col,0.0035*(BC29-d_2)/BC29,0.002*(BC29-d_2)/(BC29-3*h_col/7))))-f_cd*(1-(1-MAX(0,MIN(1,IF(BC29&lt;=h_col,0.0035*(BC29-d_2)/BC29,0.002*(BC29-d_2)/(BC29-3*h_col/7))/0.002)))^2))+(MAX(-f_yd,MIN(f_yd,200000*IF(BC29&lt;=h_col,0.0035*(BC29-(h_col-d_2))/BC29,0.002*(BC29-(h_col-d_2))/(BC29-3*h_col/7))))-f_cd*(1-(1-MAX(0,MIN(1,IF(BC29&lt;=h_col,0.0035*(BC29-(h_col-d_2))/BC29,0.002*(BC29-(h_col-d_2))/(BC29-3*h_col/7))/0.002)))^2))))/1000</f>
        <v/>
      </c>
      <c r="BE29">
        <f>IF($BD29&lt;N_Ed-1E-9*MAX(1,N_Ed),(BA29+BB29)/2,BA29)</f>
        <v/>
      </c>
      <c r="BF29">
        <f>IF($BD29&lt;N_Ed-1E-9*MAX(1,N_Ed),BB29,(BA29+BB29)/2)</f>
        <v/>
      </c>
      <c r="BG29">
        <f>h_col*((BE29+BF29)/2)/(1-(BE29+BF29)/2)</f>
        <v/>
      </c>
      <c r="BH29">
        <f>(f_cd*b_col*((3*MIN(BG29,h_col)/7)+(4*MIN(BG29,h_col)/7)*(1-((4*MIN(BG29,h_col)/7)/(BG29-(3*MIN(BG29,h_col)/7)))^2/3))+$D29/2*((MAX(-f_yd,MIN(f_yd,200000*IF(BG29&lt;=h_col,0.0035*(BG29-d_2)/BG29,0.002*(BG29-d_2)/(BG29-3*h_col/7))))-f_cd*(1-(1-MAX(0,MIN(1,IF(BG29&lt;=h_col,0.0035*(BG29-d_2)/BG29,0.002*(BG29-d_2)/(BG29-3*h_col/7))/0.002)))^2))+(MAX(-f_yd,MIN(f_yd,200000*IF(BG29&lt;=h_col,0.0035*(BG29-(h_col-d_2))/BG29,0.002*(BG29-(h_col-d_2))/(BG29-3*h_col/7))))-f_cd*(1-(1-MAX(0,MIN(1,IF(BG29&lt;=h_col,0.0035*(BG29-(h_col-d_2))/BG29,0.002*(BG29-(h_col-d_2))/(BG29-3*h_col/7))/0.002)))^2))))/1000</f>
        <v/>
      </c>
      <c r="BI29">
        <f>IF($BH29&lt;N_Ed-1E-9*MAX(1,N_Ed),(BE29+BF29)/2,BE29)</f>
        <v/>
      </c>
      <c r="BJ29">
        <f>IF($BH29&lt;N_Ed-1E-9*MAX(1,N_Ed),BF29,(BE29+BF29)/2)</f>
        <v/>
      </c>
      <c r="BK29">
        <f>h_col*((BI29+BJ29)/2)/(1-(BI29+BJ29)/2)</f>
        <v/>
      </c>
      <c r="BL29">
        <f>(f_cd*b_col*((3*MIN(BK29,h_col)/7)+(4*MIN(BK29,h_col)/7)*(1-((4*MIN(BK29,h_col)/7)/(BK29-(3*MIN(BK29,h_col)/7)))^2/3))+$D29/2*((MAX(-f_yd,MIN(f_yd,200000*IF(BK29&lt;=h_col,0.0035*(BK29-d_2)/BK29,0.002*(BK29-d_2)/(BK29-3*h_col/7))))-f_cd*(1-(1-MAX(0,MIN(1,IF(BK29&lt;=h_col,0.0035*(BK29-d_2)/BK29,0.002*(BK29-d_2)/(BK29-3*h_col/7))/0.002)))^2))+(MAX(-f_yd,MIN(f_yd,200000*IF(BK29&lt;=h_col,0.0035*(BK29-(h_col-d_2))/BK29,0.002*(BK29-(h_col-d_2))/(BK29-3*h_col/7))))-f_cd*(1-(1-MAX(0,MIN(1,IF(BK29&lt;=h_col,0.0035*(BK29-(h_col-d_2))/BK29,0.002*(BK29-(h_col-d_2))/(BK29-3*h_col/7))/0.002)))^2))))/1000</f>
        <v/>
      </c>
      <c r="BM29">
        <f>IF($BL29&lt;N_Ed-1E-9*MAX(1,N_Ed),(BI29+BJ29)/2,BI29)</f>
        <v/>
      </c>
      <c r="BN29">
        <f>IF($BL29&lt;N_Ed-1E-9*MAX(1,N_Ed),BJ29,(BI29+BJ29)/2)</f>
        <v/>
      </c>
      <c r="BO29">
        <f>h_col*((BM29+BN29)/2)/(1-(BM29+BN29)/2)</f>
        <v/>
      </c>
      <c r="BP29">
        <f>(f_cd*b_col*((3*MIN(BO29,h_col)/7)+(4*MIN(BO29,h_col)/7)*(1-((4*MIN(BO29,h_col)/7)/(BO29-(3*MIN(BO29,h_col)/7)))^2/3))+$D29/2*((MAX(-f_yd,MIN(f_yd,200000*IF(BO29&lt;=h_col,0.0035*(BO29-d_2)/BO29,0.002*(BO29-d_2)/(BO29-3*h_col/7))))-f_cd*(1-(1-MAX(0,MIN(1,IF(BO29&lt;=h_col,0.0035*(BO29-d_2)/BO29,0.002*(BO29-d_2)/(BO29-3*h_col/7))/0.002)))^2))+(MAX(-f_yd,MIN(f_yd,200000*IF(BO29&lt;=h_col,0.0035*(BO29-(h_col-d_2))/BO29,0.002*(BO29-(h_col-d_2))/(BO29-3*h_col/7))))-f_cd*(1-(1-MAX(0,MIN(1,IF(BO29&lt;=h_col,0.0035*(BO29-(h_col-d_2))/BO29,0.002*(BO29-(h_col-d_2))/(BO29-3*h_col/7))/0.002)))^2))))/1000</f>
        <v/>
      </c>
      <c r="BQ29">
        <f>IF($BP29&lt;N_Ed-1E-9*MAX(1,N_Ed),(BM29+BN29)/2,BM29)</f>
        <v/>
      </c>
      <c r="BR29">
        <f>IF($BP29&lt;N_Ed-1E-9*MAX(1,N_Ed),BN29,(BM29+BN29)/2)</f>
        <v/>
      </c>
      <c r="BS29">
        <f>h_col*((BQ29+BR29)/2)/(1-(BQ29+BR29)/2)</f>
        <v/>
      </c>
      <c r="BT29">
        <f>(f_cd*b_col*((3*MIN(BS29,h_col)/7)+(4*MIN(BS29,h_col)/7)*(1-((4*MIN(BS29,h_col)/7)/(BS29-(3*MIN(BS29,h_col)/7)))^2/3))+$D29/2*((MAX(-f_yd,MIN(f_yd,200000*IF(BS29&lt;=h_col,0.0035*(BS29-d_2)/BS29,0.002*(BS29-d_2)/(BS29-3*h_col/7))))-f_cd*(1-(1-MAX(0,MIN(1,IF(BS29&lt;=h_col,0.0035*(BS29-d_2)/BS29,0.002*(BS29-d_2)/(BS29-3*h_col/7))/0.002)))^2))+(MAX(-f_yd,MIN(f_yd,200000*IF(BS29&lt;=h_col,0.0035*(BS29-(h_col-d_2))/BS29,0.002*(BS29-(h_col-d_2))/(BS29-3*h_col/7))))-f_cd*(1-(1-MAX(0,MIN(1,IF(BS29&lt;=h_col,0.0035*(BS29-(h_col-d_2))/BS29,0.002*(BS29-(h_col-d_2))/(BS29-3*h_col/7))/0.002)))^2))))/1000</f>
        <v/>
      </c>
      <c r="BU29">
        <f>IF($BT29&lt;N_Ed-1E-9*MAX(1,N_Ed),(BQ29+BR29)/2,BQ29)</f>
        <v/>
      </c>
      <c r="BV29">
        <f>IF($BT29&lt;N_Ed-1E-9*MAX(1,N_Ed),BR29,(BQ29+BR29)/2)</f>
        <v/>
      </c>
      <c r="BW29">
        <f>h_col*((BU29+BV29)/2)/(1-(BU29+BV29)/2)</f>
        <v/>
      </c>
      <c r="BX29">
        <f>(f_cd*b_col*((3*MIN(BW29,h_col)/7)+(4*MIN(BW29,h_col)/7)*(1-((4*MIN(BW29,h_col)/7)/(BW29-(3*MIN(BW29,h_col)/7)))^2/3))+$D29/2*((MAX(-f_yd,MIN(f_yd,200000*IF(BW29&lt;=h_col,0.0035*(BW29-d_2)/BW29,0.002*(BW29-d_2)/(BW29-3*h_col/7))))-f_cd*(1-(1-MAX(0,MIN(1,IF(BW29&lt;=h_col,0.0035*(BW29-d_2)/BW29,0.002*(BW29-d_2)/(BW29-3*h_col/7))/0.002)))^2))+(MAX(-f_yd,MIN(f_yd,200000*IF(BW29&lt;=h_col,0.0035*(BW29-(h_col-d_2))/BW29,0.002*(BW29-(h_col-d_2))/(BW29-3*h_col/7))))-f_cd*(1-(1-MAX(0,MIN(1,IF(BW29&lt;=h_col,0.0035*(BW29-(h_col-d_2))/BW29,0.002*(BW29-(h_col-d_2))/(BW29-3*h_col/7))/0.002)))^2))))/1000</f>
        <v/>
      </c>
      <c r="BY29">
        <f>IF($BX29&lt;N_Ed-1E-9*MAX(1,N_Ed),(BU29+BV29)/2,BU29)</f>
        <v/>
      </c>
      <c r="BZ29">
        <f>IF($BX29&lt;N_Ed-1E-9*MAX(1,N_Ed),BV29,(BU29+BV29)/2)</f>
        <v/>
      </c>
      <c r="CA29">
        <f>h_col*((BY29+BZ29)/2)/(1-(BY29+BZ29)/2)</f>
        <v/>
      </c>
      <c r="CB29">
        <f>(f_cd*b_col*((3*MIN(CA29,h_col)/7)+(4*MIN(CA29,h_col)/7)*(1-((4*MIN(CA29,h_col)/7)/(CA29-(3*MIN(CA29,h_col)/7)))^2/3))+$D29/2*((MAX(-f_yd,MIN(f_yd,200000*IF(CA29&lt;=h_col,0.0035*(CA29-d_2)/CA29,0.002*(CA29-d_2)/(CA29-3*h_col/7))))-f_cd*(1-(1-MAX(0,MIN(1,IF(CA29&lt;=h_col,0.0035*(CA29-d_2)/CA29,0.002*(CA29-d_2)/(CA29-3*h_col/7))/0.002)))^2))+(MAX(-f_yd,MIN(f_yd,200000*IF(CA29&lt;=h_col,0.0035*(CA29-(h_col-d_2))/CA29,0.002*(CA29-(h_col-d_2))/(CA29-3*h_col/7))))-f_cd*(1-(1-MAX(0,MIN(1,IF(CA29&lt;=h_col,0.0035*(CA29-(h_col-d_2))/CA29,0.002*(CA29-(h_col-d_2))/(CA29-3*h_col/7))/0.002)))^2))))/1000</f>
        <v/>
      </c>
      <c r="CC29">
        <f>IF($CB29&lt;N_Ed-1E-9*MAX(1,N_Ed),(BY29+BZ29)/2,BY29)</f>
        <v/>
      </c>
      <c r="CD29">
        <f>IF($CB29&lt;N_Ed-1E-9*MAX(1,N_Ed),BZ29,(BY29+BZ29)/2)</f>
        <v/>
      </c>
      <c r="CE29">
        <f>h_col*((CC29+CD29)/2)/(1-(CC29+CD29)/2)</f>
        <v/>
      </c>
      <c r="CF29">
        <f>(f_cd*b_col*((3*MIN(CE29,h_col)/7)+(4*MIN(CE29,h_col)/7)*(1-((4*MIN(CE29,h_col)/7)/(CE29-(3*MIN(CE29,h_col)/7)))^2/3))+$D29/2*((MAX(-f_yd,MIN(f_yd,200000*IF(CE29&lt;=h_col,0.0035*(CE29-d_2)/CE29,0.002*(CE29-d_2)/(CE29-3*h_col/7))))-f_cd*(1-(1-MAX(0,MIN(1,IF(CE29&lt;=h_col,0.0035*(CE29-d_2)/CE29,0.002*(CE29-d_2)/(CE29-3*h_col/7))/0.002)))^2))+(MAX(-f_yd,MIN(f_yd,200000*IF(CE29&lt;=h_col,0.0035*(CE29-(h_col-d_2))/CE29,0.002*(CE29-(h_col-d_2))/(CE29-3*h_col/7))))-f_cd*(1-(1-MAX(0,MIN(1,IF(CE29&lt;=h_col,0.0035*(CE29-(h_col-d_2))/CE29,0.002*(CE29-(h_col-d_2))/(CE29-3*h_col/7))/0.002)))^2))))/1000</f>
        <v/>
      </c>
      <c r="CG29">
        <f>IF($CF29&lt;N_Ed-1E-9*MAX(1,N_Ed),(CC29+CD29)/2,CC29)</f>
        <v/>
      </c>
      <c r="CH29">
        <f>IF($CF29&lt;N_Ed-1E-9*MAX(1,N_Ed),CD29,(CC29+CD29)/2)</f>
        <v/>
      </c>
      <c r="CI29">
        <f>h_col*((CG29+CH29)/2)/(1-(CG29+CH29)/2)</f>
        <v/>
      </c>
      <c r="CJ29">
        <f>(f_cd*b_col*((3*MIN(CI29,h_col)/7)+(4*MIN(CI29,h_col)/7)*(1-((4*MIN(CI29,h_col)/7)/(CI29-(3*MIN(CI29,h_col)/7)))^2/3))+$D29/2*((MAX(-f_yd,MIN(f_yd,200000*IF(CI29&lt;=h_col,0.0035*(CI29-d_2)/CI29,0.002*(CI29-d_2)/(CI29-3*h_col/7))))-f_cd*(1-(1-MAX(0,MIN(1,IF(CI29&lt;=h_col,0.0035*(CI29-d_2)/CI29,0.002*(CI29-d_2)/(CI29-3*h_col/7))/0.002)))^2))+(MAX(-f_yd,MIN(f_yd,200000*IF(CI29&lt;=h_col,0.0035*(CI29-(h_col-d_2))/CI29,0.002*(CI29-(h_col-d_2))/(CI29-3*h_col/7))))-f_cd*(1-(1-MAX(0,MIN(1,IF(CI29&lt;=h_col,0.0035*(CI29-(h_col-d_2))/CI29,0.002*(CI29-(h_col-d_2))/(CI29-3*h_col/7))/0.002)))^2))))/1000</f>
        <v/>
      </c>
      <c r="CK29">
        <f>IF($CJ29&lt;N_Ed-1E-9*MAX(1,N_Ed),(CG29+CH29)/2,CG29)</f>
        <v/>
      </c>
      <c r="CL29">
        <f>IF($CJ29&lt;N_Ed-1E-9*MAX(1,N_Ed),CH29,(CG29+CH29)/2)</f>
        <v/>
      </c>
      <c r="CM29">
        <f>h_col*((CK29+CL29)/2)/(1-(CK29+CL29)/2)</f>
        <v/>
      </c>
      <c r="CN29">
        <f>(f_cd*b_col*((3*MIN(CM29,h_col)/7)+(4*MIN(CM29,h_col)/7)*(1-((4*MIN(CM29,h_col)/7)/(CM29-(3*MIN(CM29,h_col)/7)))^2/3))+$D29/2*((MAX(-f_yd,MIN(f_yd,200000*IF(CM29&lt;=h_col,0.0035*(CM29-d_2)/CM29,0.002*(CM29-d_2)/(CM29-3*h_col/7))))-f_cd*(1-(1-MAX(0,MIN(1,IF(CM29&lt;=h_col,0.0035*(CM29-d_2)/CM29,0.002*(CM29-d_2)/(CM29-3*h_col/7))/0.002)))^2))+(MAX(-f_yd,MIN(f_yd,200000*IF(CM29&lt;=h_col,0.0035*(CM29-(h_col-d_2))/CM29,0.002*(CM29-(h_col-d_2))/(CM29-3*h_col/7))))-f_cd*(1-(1-MAX(0,MIN(1,IF(CM29&lt;=h_col,0.0035*(CM29-(h_col-d_2))/CM29,0.002*(CM29-(h_col-d_2))/(CM29-3*h_col/7))/0.002)))^2))))/1000</f>
        <v/>
      </c>
      <c r="CO29">
        <f>IF($CN29&lt;N_Ed-1E-9*MAX(1,N_Ed),(CK29+CL29)/2,CK29)</f>
        <v/>
      </c>
      <c r="CP29">
        <f>IF($CN29&lt;N_Ed-1E-9*MAX(1,N_Ed),CL29,(CK29+CL29)/2)</f>
        <v/>
      </c>
      <c r="CQ29">
        <f>h_col*((CO29+CP29)/2)/(1-(CO29+CP29)/2)</f>
        <v/>
      </c>
      <c r="CR29">
        <f>(f_cd*b_col*((3*MIN(CQ29,h_col)/7)+(4*MIN(CQ29,h_col)/7)*(1-((4*MIN(CQ29,h_col)/7)/(CQ29-(3*MIN(CQ29,h_col)/7)))^2/3))+$D29/2*((MAX(-f_yd,MIN(f_yd,200000*IF(CQ29&lt;=h_col,0.0035*(CQ29-d_2)/CQ29,0.002*(CQ29-d_2)/(CQ29-3*h_col/7))))-f_cd*(1-(1-MAX(0,MIN(1,IF(CQ29&lt;=h_col,0.0035*(CQ29-d_2)/CQ29,0.002*(CQ29-d_2)/(CQ29-3*h_col/7))/0.002)))^2))+(MAX(-f_yd,MIN(f_yd,200000*IF(CQ29&lt;=h_col,0.0035*(CQ29-(h_col-d_2))/CQ29,0.002*(CQ29-(h_col-d_2))/(CQ29-3*h_col/7))))-f_cd*(1-(1-MAX(0,MIN(1,IF(CQ29&lt;=h_col,0.0035*(CQ29-(h_col-d_2))/CQ29,0.002*(CQ29-(h_col-d_2))/(CQ29-3*h_col/7))/0.002)))^2))))/1000</f>
        <v/>
      </c>
      <c r="CS29">
        <f>IF($CR29&lt;N_Ed-1E-9*MAX(1,N_Ed),(CO29+CP29)/2,CO29)</f>
        <v/>
      </c>
      <c r="CT29">
        <f>IF($CR29&lt;N_Ed-1E-9*MAX(1,N_Ed),CP29,(CO29+CP29)/2)</f>
        <v/>
      </c>
      <c r="CU29">
        <f>h_col*((CS29+CT29)/2)/(1-(CS29+CT29)/2)</f>
        <v/>
      </c>
      <c r="CV29">
        <f>(f_cd*b_col*((3*MIN(CU29,h_col)/7)+(4*MIN(CU29,h_col)/7)*(1-((4*MIN(CU29,h_col)/7)/(CU29-(3*MIN(CU29,h_col)/7)))^2/3))+$D29/2*((MAX(-f_yd,MIN(f_yd,200000*IF(CU29&lt;=h_col,0.0035*(CU29-d_2)/CU29,0.002*(CU29-d_2)/(CU29-3*h_col/7))))-f_cd*(1-(1-MAX(0,MIN(1,IF(CU29&lt;=h_col,0.0035*(CU29-d_2)/CU29,0.002*(CU29-d_2)/(CU29-3*h_col/7))/0.002)))^2))+(MAX(-f_yd,MIN(f_yd,200000*IF(CU29&lt;=h_col,0.0035*(CU29-(h_col-d_2))/CU29,0.002*(CU29-(h_col-d_2))/(CU29-3*h_col/7))))-f_cd*(1-(1-MAX(0,MIN(1,IF(CU29&lt;=h_col,0.0035*(CU29-(h_col-d_2))/CU29,0.002*(CU29-(h_col-d_2))/(CU29-3*h_col/7))/0.002)))^2))))/1000</f>
        <v/>
      </c>
      <c r="CW29">
        <f>IF($CV29&lt;N_Ed-1E-9*MAX(1,N_Ed),(CS29+CT29)/2,CS29)</f>
        <v/>
      </c>
      <c r="CX29">
        <f>IF($CV29&lt;N_Ed-1E-9*MAX(1,N_Ed),CT29,(CS29+CT29)/2)</f>
        <v/>
      </c>
      <c r="CY29">
        <f>h_col*((CW29+CX29)/2)/(1-(CW29+CX29)/2)</f>
        <v/>
      </c>
      <c r="CZ29">
        <f>(f_cd*b_col*((3*MIN(CY29,h_col)/7)+(4*MIN(CY29,h_col)/7)*(1-((4*MIN(CY29,h_col)/7)/(CY29-(3*MIN(CY29,h_col)/7)))^2/3))+$D29/2*((MAX(-f_yd,MIN(f_yd,200000*IF(CY29&lt;=h_col,0.0035*(CY29-d_2)/CY29,0.002*(CY29-d_2)/(CY29-3*h_col/7))))-f_cd*(1-(1-MAX(0,MIN(1,IF(CY29&lt;=h_col,0.0035*(CY29-d_2)/CY29,0.002*(CY29-d_2)/(CY29-3*h_col/7))/0.002)))^2))+(MAX(-f_yd,MIN(f_yd,200000*IF(CY29&lt;=h_col,0.0035*(CY29-(h_col-d_2))/CY29,0.002*(CY29-(h_col-d_2))/(CY29-3*h_col/7))))-f_cd*(1-(1-MAX(0,MIN(1,IF(CY29&lt;=h_col,0.0035*(CY29-(h_col-d_2))/CY29,0.002*(CY29-(h_col-d_2))/(CY29-3*h_col/7))/0.002)))^2))))/1000</f>
        <v/>
      </c>
      <c r="DA29">
        <f>IF($CZ29&lt;N_Ed-1E-9*MAX(1,N_Ed),(CW29+CX29)/2,CW29)</f>
        <v/>
      </c>
      <c r="DB29">
        <f>IF($CZ29&lt;N_Ed-1E-9*MAX(1,N_Ed),CX29,(CW29+CX29)/2)</f>
        <v/>
      </c>
      <c r="DC29">
        <f>h_col*((DA29+DB29)/2)/(1-(DA29+DB29)/2)</f>
        <v/>
      </c>
      <c r="DD29">
        <f>(f_cd*b_col*((3*MIN(DC29,h_col)/7)+(4*MIN(DC29,h_col)/7)*(1-((4*MIN(DC29,h_col)/7)/(DC29-(3*MIN(DC29,h_col)/7)))^2/3))+$D29/2*((MAX(-f_yd,MIN(f_yd,200000*IF(DC29&lt;=h_col,0.0035*(DC29-d_2)/DC29,0.002*(DC29-d_2)/(DC29-3*h_col/7))))-f_cd*(1-(1-MAX(0,MIN(1,IF(DC29&lt;=h_col,0.0035*(DC29-d_2)/DC29,0.002*(DC29-d_2)/(DC29-3*h_col/7))/0.002)))^2))+(MAX(-f_yd,MIN(f_yd,200000*IF(DC29&lt;=h_col,0.0035*(DC29-(h_col-d_2))/DC29,0.002*(DC29-(h_col-d_2))/(DC29-3*h_col/7))))-f_cd*(1-(1-MAX(0,MIN(1,IF(DC29&lt;=h_col,0.0035*(DC29-(h_col-d_2))/DC29,0.002*(DC29-(h_col-d_2))/(DC29-3*h_col/7))/0.002)))^2))))/1000</f>
        <v/>
      </c>
      <c r="DE29">
        <f>IF($DD29&lt;N_Ed-1E-9*MAX(1,N_Ed),(DA29+DB29)/2,DA29)</f>
        <v/>
      </c>
      <c r="DF29">
        <f>IF($DD29&lt;N_Ed-1E-9*MAX(1,N_Ed),DB29,(DA29+DB29)/2)</f>
        <v/>
      </c>
      <c r="DG29">
        <f>h_col*((DE29+DF29)/2)/(1-(DE29+DF29)/2)</f>
        <v/>
      </c>
      <c r="DH29">
        <f>(f_cd*b_col*((3*MIN(DG29,h_col)/7)+(4*MIN(DG29,h_col)/7)*(1-((4*MIN(DG29,h_col)/7)/(DG29-(3*MIN(DG29,h_col)/7)))^2/3))+$D29/2*((MAX(-f_yd,MIN(f_yd,200000*IF(DG29&lt;=h_col,0.0035*(DG29-d_2)/DG29,0.002*(DG29-d_2)/(DG29-3*h_col/7))))-f_cd*(1-(1-MAX(0,MIN(1,IF(DG29&lt;=h_col,0.0035*(DG29-d_2)/DG29,0.002*(DG29-d_2)/(DG29-3*h_col/7))/0.002)))^2))+(MAX(-f_yd,MIN(f_yd,200000*IF(DG29&lt;=h_col,0.0035*(DG29-(h_col-d_2))/DG29,0.002*(DG29-(h_col-d_2))/(DG29-3*h_col/7))))-f_cd*(1-(1-MAX(0,MIN(1,IF(DG29&lt;=h_col,0.0035*(DG29-(h_col-d_2))/DG29,0.002*(DG29-(h_col-d_2))/(DG29-3*h_col/7))/0.002)))^2))))/1000</f>
        <v/>
      </c>
      <c r="DI29">
        <f>IF($DH29&lt;N_Ed-1E-9*MAX(1,N_Ed),(DE29+DF29)/2,DE29)</f>
        <v/>
      </c>
      <c r="DJ29">
        <f>IF($DH29&lt;N_Ed-1E-9*MAX(1,N_Ed),DF29,(DE29+DF29)/2)</f>
        <v/>
      </c>
      <c r="DK29">
        <f>h_col*((DI29+DJ29)/2)/(1-(DI29+DJ29)/2)</f>
        <v/>
      </c>
      <c r="DL29">
        <f>(f_cd*b_col*((3*MIN(DK29,h_col)/7)+(4*MIN(DK29,h_col)/7)*(1-((4*MIN(DK29,h_col)/7)/(DK29-(3*MIN(DK29,h_col)/7)))^2/3))+$D29/2*((MAX(-f_yd,MIN(f_yd,200000*IF(DK29&lt;=h_col,0.0035*(DK29-d_2)/DK29,0.002*(DK29-d_2)/(DK29-3*h_col/7))))-f_cd*(1-(1-MAX(0,MIN(1,IF(DK29&lt;=h_col,0.0035*(DK29-d_2)/DK29,0.002*(DK29-d_2)/(DK29-3*h_col/7))/0.002)))^2))+(MAX(-f_yd,MIN(f_yd,200000*IF(DK29&lt;=h_col,0.0035*(DK29-(h_col-d_2))/DK29,0.002*(DK29-(h_col-d_2))/(DK29-3*h_col/7))))-f_cd*(1-(1-MAX(0,MIN(1,IF(DK29&lt;=h_col,0.0035*(DK29-(h_col-d_2))/DK29,0.002*(DK29-(h_col-d_2))/(DK29-3*h_col/7))/0.002)))^2))))/1000</f>
        <v/>
      </c>
      <c r="DM29">
        <f>IF($DL29&lt;N_Ed-1E-9*MAX(1,N_Ed),(DI29+DJ29)/2,DI29)</f>
        <v/>
      </c>
      <c r="DN29">
        <f>IF($DL29&lt;N_Ed-1E-9*MAX(1,N_Ed),DJ29,(DI29+DJ29)/2)</f>
        <v/>
      </c>
      <c r="DO29">
        <f>h_col*((DM29+DN29)/2)/(1-(DM29+DN29)/2)</f>
        <v/>
      </c>
      <c r="DP29">
        <f>(f_cd*b_col*((3*MIN(DO29,h_col)/7)+(4*MIN(DO29,h_col)/7)*(1-((4*MIN(DO29,h_col)/7)/(DO29-(3*MIN(DO29,h_col)/7)))^2/3))+$D29/2*((MAX(-f_yd,MIN(f_yd,200000*IF(DO29&lt;=h_col,0.0035*(DO29-d_2)/DO29,0.002*(DO29-d_2)/(DO29-3*h_col/7))))-f_cd*(1-(1-MAX(0,MIN(1,IF(DO29&lt;=h_col,0.0035*(DO29-d_2)/DO29,0.002*(DO29-d_2)/(DO29-3*h_col/7))/0.002)))^2))+(MAX(-f_yd,MIN(f_yd,200000*IF(DO29&lt;=h_col,0.0035*(DO29-(h_col-d_2))/DO29,0.002*(DO29-(h_col-d_2))/(DO29-3*h_col/7))))-f_cd*(1-(1-MAX(0,MIN(1,IF(DO29&lt;=h_col,0.0035*(DO29-(h_col-d_2))/DO29,0.002*(DO29-(h_col-d_2))/(DO29-3*h_col/7))/0.002)))^2))))/1000</f>
        <v/>
      </c>
      <c r="DQ29">
        <f>IF($DP29&lt;N_Ed-1E-9*MAX(1,N_Ed),(DM29+DN29)/2,DM29)</f>
        <v/>
      </c>
      <c r="DR29">
        <f>IF($DP29&lt;N_Ed-1E-9*MAX(1,N_Ed),DN29,(DM29+DN29)/2)</f>
        <v/>
      </c>
      <c r="DS29">
        <f>h_col*((DQ29+DR29)/2)/(1-(DQ29+DR29)/2)</f>
        <v/>
      </c>
      <c r="DT29">
        <f>(f_cd*b_col*((3*MIN(DS29,h_col)/7)+(4*MIN(DS29,h_col)/7)*(1-((4*MIN(DS29,h_col)/7)/(DS29-(3*MIN(DS29,h_col)/7)))^2/3))+$D29/2*((MAX(-f_yd,MIN(f_yd,200000*IF(DS29&lt;=h_col,0.0035*(DS29-d_2)/DS29,0.002*(DS29-d_2)/(DS29-3*h_col/7))))-f_cd*(1-(1-MAX(0,MIN(1,IF(DS29&lt;=h_col,0.0035*(DS29-d_2)/DS29,0.002*(DS29-d_2)/(DS29-3*h_col/7))/0.002)))^2))+(MAX(-f_yd,MIN(f_yd,200000*IF(DS29&lt;=h_col,0.0035*(DS29-(h_col-d_2))/DS29,0.002*(DS29-(h_col-d_2))/(DS29-3*h_col/7))))-f_cd*(1-(1-MAX(0,MIN(1,IF(DS29&lt;=h_col,0.0035*(DS29-(h_col-d_2))/DS29,0.002*(DS29-(h_col-d_2))/(DS29-3*h_col/7))/0.002)))^2))))/1000</f>
        <v/>
      </c>
      <c r="DU29">
        <f>IF($DT29&lt;N_Ed-1E-9*MAX(1,N_Ed),(DQ29+DR29)/2,DQ29)</f>
        <v/>
      </c>
      <c r="DV29">
        <f>IF($DT29&lt;N_Ed-1E-9*MAX(1,N_Ed),DR29,(DQ29+DR29)/2)</f>
        <v/>
      </c>
      <c r="DW29">
        <f>h_col*((DU29+DV29)/2)/(1-(DU29+DV29)/2)</f>
        <v/>
      </c>
      <c r="DX29">
        <f>(f_cd*b_col*((3*MIN(DW29,h_col)/7)+(4*MIN(DW29,h_col)/7)*(1-((4*MIN(DW29,h_col)/7)/(DW29-(3*MIN(DW29,h_col)/7)))^2/3))+$D29/2*((MAX(-f_yd,MIN(f_yd,200000*IF(DW29&lt;=h_col,0.0035*(DW29-d_2)/DW29,0.002*(DW29-d_2)/(DW29-3*h_col/7))))-f_cd*(1-(1-MAX(0,MIN(1,IF(DW29&lt;=h_col,0.0035*(DW29-d_2)/DW29,0.002*(DW29-d_2)/(DW29-3*h_col/7))/0.002)))^2))+(MAX(-f_yd,MIN(f_yd,200000*IF(DW29&lt;=h_col,0.0035*(DW29-(h_col-d_2))/DW29,0.002*(DW29-(h_col-d_2))/(DW29-3*h_col/7))))-f_cd*(1-(1-MAX(0,MIN(1,IF(DW29&lt;=h_col,0.0035*(DW29-(h_col-d_2))/DW29,0.002*(DW29-(h_col-d_2))/(DW29-3*h_col/7))/0.002)))^2))))/1000</f>
        <v/>
      </c>
      <c r="DY29">
        <f>IF($DX29&lt;N_Ed-1E-9*MAX(1,N_Ed),(DU29+DV29)/2,DU29)</f>
        <v/>
      </c>
      <c r="DZ29">
        <f>IF($DX29&lt;N_Ed-1E-9*MAX(1,N_Ed),DV29,(DU29+DV29)/2)</f>
        <v/>
      </c>
      <c r="EA29">
        <f>h_col*((DY29+DZ29)/2)/(1-(DY29+DZ29)/2)</f>
        <v/>
      </c>
      <c r="EB29">
        <f>(f_cd*b_col*((3*MIN(EA29,h_col)/7)+(4*MIN(EA29,h_col)/7)*(1-((4*MIN(EA29,h_col)/7)/(EA29-(3*MIN(EA29,h_col)/7)))^2/3))+$D29/2*((MAX(-f_yd,MIN(f_yd,200000*IF(EA29&lt;=h_col,0.0035*(EA29-d_2)/EA29,0.002*(EA29-d_2)/(EA29-3*h_col/7))))-f_cd*(1-(1-MAX(0,MIN(1,IF(EA29&lt;=h_col,0.0035*(EA29-d_2)/EA29,0.002*(EA29-d_2)/(EA29-3*h_col/7))/0.002)))^2))+(MAX(-f_yd,MIN(f_yd,200000*IF(EA29&lt;=h_col,0.0035*(EA29-(h_col-d_2))/EA29,0.002*(EA29-(h_col-d_2))/(EA29-3*h_col/7))))-f_cd*(1-(1-MAX(0,MIN(1,IF(EA29&lt;=h_col,0.0035*(EA29-(h_col-d_2))/EA29,0.002*(EA29-(h_col-d_2))/(EA29-3*h_col/7))/0.002)))^2))))/1000</f>
        <v/>
      </c>
      <c r="EC29">
        <f>IF($EB29&lt;N_Ed-1E-9*MAX(1,N_Ed),(DY29+DZ29)/2,DY29)</f>
        <v/>
      </c>
      <c r="ED29">
        <f>IF($EB29&lt;N_Ed-1E-9*MAX(1,N_Ed),DZ29,(DY29+DZ29)/2)</f>
        <v/>
      </c>
      <c r="EE29">
        <f>h_col*((EC29+ED29)/2)/(1-(EC29+ED29)/2)</f>
        <v/>
      </c>
      <c r="EF29">
        <f>(f_cd*b_col*((3*MIN(EE29,h_col)/7)+(4*MIN(EE29,h_col)/7)*(1-((4*MIN(EE29,h_col)/7)/(EE29-(3*MIN(EE29,h_col)/7)))^2/3))+$D29/2*((MAX(-f_yd,MIN(f_yd,200000*IF(EE29&lt;=h_col,0.0035*(EE29-d_2)/EE29,0.002*(EE29-d_2)/(EE29-3*h_col/7))))-f_cd*(1-(1-MAX(0,MIN(1,IF(EE29&lt;=h_col,0.0035*(EE29-d_2)/EE29,0.002*(EE29-d_2)/(EE29-3*h_col/7))/0.002)))^2))+(MAX(-f_yd,MIN(f_yd,200000*IF(EE29&lt;=h_col,0.0035*(EE29-(h_col-d_2))/EE29,0.002*(EE29-(h_col-d_2))/(EE29-3*h_col/7))))-f_cd*(1-(1-MAX(0,MIN(1,IF(EE29&lt;=h_col,0.0035*(EE29-(h_col-d_2))/EE29,0.002*(EE29-(h_col-d_2))/(EE29-3*h_col/7))/0.002)))^2))))/1000</f>
        <v/>
      </c>
      <c r="EG29">
        <f>IF($EF29&lt;N_Ed-1E-9*MAX(1,N_Ed),(EC29+ED29)/2,EC29)</f>
        <v/>
      </c>
      <c r="EH29">
        <f>IF($EF29&lt;N_Ed-1E-9*MAX(1,N_Ed),ED29,(EC29+ED29)/2)</f>
        <v/>
      </c>
      <c r="EI29">
        <f>h_col*((EG29+EH29)/2)/(1-(EG29+EH29)/2)</f>
        <v/>
      </c>
      <c r="EJ29">
        <f>(f_cd*b_col*((3*MIN(EI29,h_col)/7)+(4*MIN(EI29,h_col)/7)*(1-((4*MIN(EI29,h_col)/7)/(EI29-(3*MIN(EI29,h_col)/7)))^2/3))+$D29/2*((MAX(-f_yd,MIN(f_yd,200000*IF(EI29&lt;=h_col,0.0035*(EI29-d_2)/EI29,0.002*(EI29-d_2)/(EI29-3*h_col/7))))-f_cd*(1-(1-MAX(0,MIN(1,IF(EI29&lt;=h_col,0.0035*(EI29-d_2)/EI29,0.002*(EI29-d_2)/(EI29-3*h_col/7))/0.002)))^2))+(MAX(-f_yd,MIN(f_yd,200000*IF(EI29&lt;=h_col,0.0035*(EI29-(h_col-d_2))/EI29,0.002*(EI29-(h_col-d_2))/(EI29-3*h_col/7))))-f_cd*(1-(1-MAX(0,MIN(1,IF(EI29&lt;=h_col,0.0035*(EI29-(h_col-d_2))/EI29,0.002*(EI29-(h_col-d_2))/(EI29-3*h_col/7))/0.002)))^2))))/1000</f>
        <v/>
      </c>
      <c r="EK29">
        <f>IF($EJ29&lt;N_Ed-1E-9*MAX(1,N_Ed),(EG29+EH29)/2,EG29)</f>
        <v/>
      </c>
      <c r="EL29">
        <f>IF($EJ29&lt;N_Ed-1E-9*MAX(1,N_Ed),EH29,(EG29+EH29)/2)</f>
        <v/>
      </c>
      <c r="EM29">
        <f>h_col*((EK29+EL29)/2)/(1-(EK29+EL29)/2)</f>
        <v/>
      </c>
      <c r="EN29">
        <f>(f_cd*b_col*((3*MIN(EM29,h_col)/7)+(4*MIN(EM29,h_col)/7)*(1-((4*MIN(EM29,h_col)/7)/(EM29-(3*MIN(EM29,h_col)/7)))^2/3))+$D29/2*((MAX(-f_yd,MIN(f_yd,200000*IF(EM29&lt;=h_col,0.0035*(EM29-d_2)/EM29,0.002*(EM29-d_2)/(EM29-3*h_col/7))))-f_cd*(1-(1-MAX(0,MIN(1,IF(EM29&lt;=h_col,0.0035*(EM29-d_2)/EM29,0.002*(EM29-d_2)/(EM29-3*h_col/7))/0.002)))^2))+(MAX(-f_yd,MIN(f_yd,200000*IF(EM29&lt;=h_col,0.0035*(EM29-(h_col-d_2))/EM29,0.002*(EM29-(h_col-d_2))/(EM29-3*h_col/7))))-f_cd*(1-(1-MAX(0,MIN(1,IF(EM29&lt;=h_col,0.0035*(EM29-(h_col-d_2))/EM29,0.002*(EM29-(h_col-d_2))/(EM29-3*h_col/7))/0.002)))^2))))/1000</f>
        <v/>
      </c>
      <c r="EO29">
        <f>IF($EN29&lt;N_Ed-1E-9*MAX(1,N_Ed),(EK29+EL29)/2,EK29)</f>
        <v/>
      </c>
      <c r="EP29">
        <f>IF($EN29&lt;N_Ed-1E-9*MAX(1,N_Ed),EL29,(EK29+EL29)/2)</f>
        <v/>
      </c>
      <c r="EQ29">
        <f>h_col*((EO29+EP29)/2)/(1-(EO29+EP29)/2)</f>
        <v/>
      </c>
      <c r="ER29">
        <f>(f_cd*b_col*((3*MIN(EQ29,h_col)/7)+(4*MIN(EQ29,h_col)/7)*(1-((4*MIN(EQ29,h_col)/7)/(EQ29-(3*MIN(EQ29,h_col)/7)))^2/3))+$D29/2*((MAX(-f_yd,MIN(f_yd,200000*IF(EQ29&lt;=h_col,0.0035*(EQ29-d_2)/EQ29,0.002*(EQ29-d_2)/(EQ29-3*h_col/7))))-f_cd*(1-(1-MAX(0,MIN(1,IF(EQ29&lt;=h_col,0.0035*(EQ29-d_2)/EQ29,0.002*(EQ29-d_2)/(EQ29-3*h_col/7))/0.002)))^2))+(MAX(-f_yd,MIN(f_yd,200000*IF(EQ29&lt;=h_col,0.0035*(EQ29-(h_col-d_2))/EQ29,0.002*(EQ29-(h_col-d_2))/(EQ29-3*h_col/7))))-f_cd*(1-(1-MAX(0,MIN(1,IF(EQ29&lt;=h_col,0.0035*(EQ29-(h_col-d_2))/EQ29,0.002*(EQ29-(h_col-d_2))/(EQ29-3*h_col/7))/0.002)))^2))))/1000</f>
        <v/>
      </c>
      <c r="ES29">
        <f>IF($ER29&lt;N_Ed-1E-9*MAX(1,N_Ed),(EO29+EP29)/2,EO29)</f>
        <v/>
      </c>
      <c r="ET29">
        <f>IF($ER29&lt;N_Ed-1E-9*MAX(1,N_Ed),EP29,(EO29+EP29)/2)</f>
        <v/>
      </c>
      <c r="EU29">
        <f>h_col*((ES29+ET29)/2)/(1-(ES29+ET29)/2)</f>
        <v/>
      </c>
      <c r="EV29">
        <f>(f_cd*b_col*((3*MIN(EU29,h_col)/7)+(4*MIN(EU29,h_col)/7)*(1-((4*MIN(EU29,h_col)/7)/(EU29-(3*MIN(EU29,h_col)/7)))^2/3))+$D29/2*((MAX(-f_yd,MIN(f_yd,200000*IF(EU29&lt;=h_col,0.0035*(EU29-d_2)/EU29,0.002*(EU29-d_2)/(EU29-3*h_col/7))))-f_cd*(1-(1-MAX(0,MIN(1,IF(EU29&lt;=h_col,0.0035*(EU29-d_2)/EU29,0.002*(EU29-d_2)/(EU29-3*h_col/7))/0.002)))^2))+(MAX(-f_yd,MIN(f_yd,200000*IF(EU29&lt;=h_col,0.0035*(EU29-(h_col-d_2))/EU29,0.002*(EU29-(h_col-d_2))/(EU29-3*h_col/7))))-f_cd*(1-(1-MAX(0,MIN(1,IF(EU29&lt;=h_col,0.0035*(EU29-(h_col-d_2))/EU29,0.002*(EU29-(h_col-d_2))/(EU29-3*h_col/7))/0.002)))^2))))/1000</f>
        <v/>
      </c>
      <c r="EW29">
        <f>IF($EV29&lt;N_Ed-1E-9*MAX(1,N_Ed),(ES29+ET29)/2,ES29)</f>
        <v/>
      </c>
      <c r="EX29">
        <f>IF($EV29&lt;N_Ed-1E-9*MAX(1,N_Ed),ET29,(ES29+ET29)/2)</f>
        <v/>
      </c>
      <c r="EY29">
        <f>h_col*((EW29+EX29)/2)/(1-(EW29+EX29)/2)</f>
        <v/>
      </c>
      <c r="EZ29">
        <f>(f_cd*b_col*((3*MIN(EY29,h_col)/7)+(4*MIN(EY29,h_col)/7)*(1-((4*MIN(EY29,h_col)/7)/(EY29-(3*MIN(EY29,h_col)/7)))^2/3))+$D29/2*((MAX(-f_yd,MIN(f_yd,200000*IF(EY29&lt;=h_col,0.0035*(EY29-d_2)/EY29,0.002*(EY29-d_2)/(EY29-3*h_col/7))))-f_cd*(1-(1-MAX(0,MIN(1,IF(EY29&lt;=h_col,0.0035*(EY29-d_2)/EY29,0.002*(EY29-d_2)/(EY29-3*h_col/7))/0.002)))^2))+(MAX(-f_yd,MIN(f_yd,200000*IF(EY29&lt;=h_col,0.0035*(EY29-(h_col-d_2))/EY29,0.002*(EY29-(h_col-d_2))/(EY29-3*h_col/7))))-f_cd*(1-(1-MAX(0,MIN(1,IF(EY29&lt;=h_col,0.0035*(EY29-(h_col-d_2))/EY29,0.002*(EY29-(h_col-d_2))/(EY29-3*h_col/7))/0.002)))^2))))/1000</f>
        <v/>
      </c>
      <c r="FA29">
        <f>IF($EZ29&lt;N_Ed-1E-9*MAX(1,N_Ed),(EW29+EX29)/2,EW29)</f>
        <v/>
      </c>
      <c r="FB29">
        <f>IF($EZ29&lt;N_Ed-1E-9*MAX(1,N_Ed),EX29,(EW29+EX29)/2)</f>
        <v/>
      </c>
      <c r="FC29">
        <f>h_col*((FA29+FB29)/2)/(1-(FA29+FB29)/2)</f>
        <v/>
      </c>
      <c r="FD29">
        <f>(f_cd*b_col*((3*MIN(FC29,h_col)/7)+(4*MIN(FC29,h_col)/7)*(1-((4*MIN(FC29,h_col)/7)/(FC29-(3*MIN(FC29,h_col)/7)))^2/3))+$D29/2*((MAX(-f_yd,MIN(f_yd,200000*IF(FC29&lt;=h_col,0.0035*(FC29-d_2)/FC29,0.002*(FC29-d_2)/(FC29-3*h_col/7))))-f_cd*(1-(1-MAX(0,MIN(1,IF(FC29&lt;=h_col,0.0035*(FC29-d_2)/FC29,0.002*(FC29-d_2)/(FC29-3*h_col/7))/0.002)))^2))+(MAX(-f_yd,MIN(f_yd,200000*IF(FC29&lt;=h_col,0.0035*(FC29-(h_col-d_2))/FC29,0.002*(FC29-(h_col-d_2))/(FC29-3*h_col/7))))-f_cd*(1-(1-MAX(0,MIN(1,IF(FC29&lt;=h_col,0.0035*(FC29-(h_col-d_2))/FC29,0.002*(FC29-(h_col-d_2))/(FC29-3*h_col/7))/0.002)))^2))))/1000</f>
        <v/>
      </c>
      <c r="FE29">
        <f>IF($FD29&lt;N_Ed-1E-9*MAX(1,N_Ed),(FA29+FB29)/2,FA29)</f>
        <v/>
      </c>
      <c r="FF29">
        <f>IF($FD29&lt;N_Ed-1E-9*MAX(1,N_Ed),FB29,(FA29+FB29)/2)</f>
        <v/>
      </c>
      <c r="FG29">
        <f>h_col*((FE29+FF29)/2)/(1-(FE29+FF29)/2)</f>
        <v/>
      </c>
      <c r="FH29">
        <f>(f_cd*b_col*((3*MIN(FG29,h_col)/7)+(4*MIN(FG29,h_col)/7)*(1-((4*MIN(FG29,h_col)/7)/(FG29-(3*MIN(FG29,h_col)/7)))^2/3))+$D29/2*((MAX(-f_yd,MIN(f_yd,200000*IF(FG29&lt;=h_col,0.0035*(FG29-d_2)/FG29,0.002*(FG29-d_2)/(FG29-3*h_col/7))))-f_cd*(1-(1-MAX(0,MIN(1,IF(FG29&lt;=h_col,0.0035*(FG29-d_2)/FG29,0.002*(FG29-d_2)/(FG29-3*h_col/7))/0.002)))^2))+(MAX(-f_yd,MIN(f_yd,200000*IF(FG29&lt;=h_col,0.0035*(FG29-(h_col-d_2))/FG29,0.002*(FG29-(h_col-d_2))/(FG29-3*h_col/7))))-f_cd*(1-(1-MAX(0,MIN(1,IF(FG29&lt;=h_col,0.0035*(FG29-(h_col-d_2))/FG29,0.002*(FG29-(h_col-d_2))/(FG29-3*h_col/7))/0.002)))^2))))/1000</f>
        <v/>
      </c>
      <c r="FI29">
        <f>IF($FH29&lt;N_Ed-1E-9*MAX(1,N_Ed),(FE29+FF29)/2,FE29)</f>
        <v/>
      </c>
      <c r="FJ29">
        <f>IF($FH29&lt;N_Ed-1E-9*MAX(1,N_Ed),FF29,(FE29+FF29)/2)</f>
        <v/>
      </c>
      <c r="FK29">
        <f>h_col*((FI29+FJ29)/2)/(1-(FI29+FJ29)/2)</f>
        <v/>
      </c>
      <c r="FL29">
        <f>(f_cd*b_col*((3*MIN(FK29,h_col)/7)+(4*MIN(FK29,h_col)/7)*(1-((4*MIN(FK29,h_col)/7)/(FK29-(3*MIN(FK29,h_col)/7)))^2/3))+$D29/2*((MAX(-f_yd,MIN(f_yd,200000*IF(FK29&lt;=h_col,0.0035*(FK29-d_2)/FK29,0.002*(FK29-d_2)/(FK29-3*h_col/7))))-f_cd*(1-(1-MAX(0,MIN(1,IF(FK29&lt;=h_col,0.0035*(FK29-d_2)/FK29,0.002*(FK29-d_2)/(FK29-3*h_col/7))/0.002)))^2))+(MAX(-f_yd,MIN(f_yd,200000*IF(FK29&lt;=h_col,0.0035*(FK29-(h_col-d_2))/FK29,0.002*(FK29-(h_col-d_2))/(FK29-3*h_col/7))))-f_cd*(1-(1-MAX(0,MIN(1,IF(FK29&lt;=h_col,0.0035*(FK29-(h_col-d_2))/FK29,0.002*(FK29-(h_col-d_2))/(FK29-3*h_col/7))/0.002)))^2))))/1000</f>
        <v/>
      </c>
      <c r="FM29">
        <f>IF($FL29&lt;N_Ed-1E-9*MAX(1,N_Ed),(FI29+FJ29)/2,FI29)</f>
        <v/>
      </c>
      <c r="FN29">
        <f>IF($FL29&lt;N_Ed-1E-9*MAX(1,N_Ed),FJ29,(FI29+FJ29)/2)</f>
        <v/>
      </c>
      <c r="FO29">
        <f>h_col*((FM29+FN29)/2)/(1-(FM29+FN29)/2)</f>
        <v/>
      </c>
      <c r="FP29">
        <f>(f_cd*b_col*((3*MIN(FO29,h_col)/7)+(4*MIN(FO29,h_col)/7)*(1-((4*MIN(FO29,h_col)/7)/(FO29-(3*MIN(FO29,h_col)/7)))^2/3))+$D29/2*((MAX(-f_yd,MIN(f_yd,200000*IF(FO29&lt;=h_col,0.0035*(FO29-d_2)/FO29,0.002*(FO29-d_2)/(FO29-3*h_col/7))))-f_cd*(1-(1-MAX(0,MIN(1,IF(FO29&lt;=h_col,0.0035*(FO29-d_2)/FO29,0.002*(FO29-d_2)/(FO29-3*h_col/7))/0.002)))^2))+(MAX(-f_yd,MIN(f_yd,200000*IF(FO29&lt;=h_col,0.0035*(FO29-(h_col-d_2))/FO29,0.002*(FO29-(h_col-d_2))/(FO29-3*h_col/7))))-f_cd*(1-(1-MAX(0,MIN(1,IF(FO29&lt;=h_col,0.0035*(FO29-(h_col-d_2))/FO29,0.002*(FO29-(h_col-d_2))/(FO29-3*h_col/7))/0.002)))^2))))/1000</f>
        <v/>
      </c>
      <c r="FQ29">
        <f>IF($FP29&lt;N_Ed-1E-9*MAX(1,N_Ed),(FM29+FN29)/2,FM29)</f>
        <v/>
      </c>
      <c r="FR29">
        <f>IF($FP29&lt;N_Ed-1E-9*MAX(1,N_Ed),FN29,(FM29+FN29)/2)</f>
        <v/>
      </c>
      <c r="FS29">
        <f>h_col*((FQ29+FR29)/2)/(1-(FQ29+FR29)/2)</f>
        <v/>
      </c>
      <c r="FT29">
        <f>(f_cd*b_col*((3*MIN(FS29,h_col)/7)+(4*MIN(FS29,h_col)/7)*(1-((4*MIN(FS29,h_col)/7)/(FS29-(3*MIN(FS29,h_col)/7)))^2/3))+$D29/2*((MAX(-f_yd,MIN(f_yd,200000*IF(FS29&lt;=h_col,0.0035*(FS29-d_2)/FS29,0.002*(FS29-d_2)/(FS29-3*h_col/7))))-f_cd*(1-(1-MAX(0,MIN(1,IF(FS29&lt;=h_col,0.0035*(FS29-d_2)/FS29,0.002*(FS29-d_2)/(FS29-3*h_col/7))/0.002)))^2))+(MAX(-f_yd,MIN(f_yd,200000*IF(FS29&lt;=h_col,0.0035*(FS29-(h_col-d_2))/FS29,0.002*(FS29-(h_col-d_2))/(FS29-3*h_col/7))))-f_cd*(1-(1-MAX(0,MIN(1,IF(FS29&lt;=h_col,0.0035*(FS29-(h_col-d_2))/FS29,0.002*(FS29-(h_col-d_2))/(FS29-3*h_col/7))/0.002)))^2))))/1000</f>
        <v/>
      </c>
      <c r="FU29">
        <f>IF($FT29&lt;N_Ed-1E-9*MAX(1,N_Ed),(FQ29+FR29)/2,FQ29)</f>
        <v/>
      </c>
      <c r="FV29">
        <f>IF($FT29&lt;N_Ed-1E-9*MAX(1,N_Ed),FR29,(FQ29+FR29)/2)</f>
        <v/>
      </c>
      <c r="FW29">
        <f>h_col*((FU29+FV29)/2)/(1-(FU29+FV29)/2)</f>
        <v/>
      </c>
      <c r="FX29">
        <f>(f_cd*b_col*((3*MIN(FW29,h_col)/7)+(4*MIN(FW29,h_col)/7)*(1-((4*MIN(FW29,h_col)/7)/(FW29-(3*MIN(FW29,h_col)/7)))^2/3))+$D29/2*((MAX(-f_yd,MIN(f_yd,200000*IF(FW29&lt;=h_col,0.0035*(FW29-d_2)/FW29,0.002*(FW29-d_2)/(FW29-3*h_col/7))))-f_cd*(1-(1-MAX(0,MIN(1,IF(FW29&lt;=h_col,0.0035*(FW29-d_2)/FW29,0.002*(FW29-d_2)/(FW29-3*h_col/7))/0.002)))^2))+(MAX(-f_yd,MIN(f_yd,200000*IF(FW29&lt;=h_col,0.0035*(FW29-(h_col-d_2))/FW29,0.002*(FW29-(h_col-d_2))/(FW29-3*h_col/7))))-f_cd*(1-(1-MAX(0,MIN(1,IF(FW29&lt;=h_col,0.0035*(FW29-(h_col-d_2))/FW29,0.002*(FW29-(h_col-d_2))/(FW29-3*h_col/7))/0.002)))^2))))/1000</f>
        <v/>
      </c>
      <c r="FY29">
        <f>IF($FX29&lt;N_Ed-1E-9*MAX(1,N_Ed),(FU29+FV29)/2,FU29)</f>
        <v/>
      </c>
      <c r="FZ29">
        <f>IF($FX29&lt;N_Ed-1E-9*MAX(1,N_Ed),FV29,(FU29+FV29)/2)</f>
        <v/>
      </c>
      <c r="GA29">
        <f>h_col*((FY29+FZ29)/2)/(1-(FY29+FZ29)/2)</f>
        <v/>
      </c>
      <c r="GB29">
        <f>(f_cd*b_col*((3*MIN(GA29,h_col)/7)+(4*MIN(GA29,h_col)/7)*(1-((4*MIN(GA29,h_col)/7)/(GA29-(3*MIN(GA29,h_col)/7)))^2/3))+$D29/2*((MAX(-f_yd,MIN(f_yd,200000*IF(GA29&lt;=h_col,0.0035*(GA29-d_2)/GA29,0.002*(GA29-d_2)/(GA29-3*h_col/7))))-f_cd*(1-(1-MAX(0,MIN(1,IF(GA29&lt;=h_col,0.0035*(GA29-d_2)/GA29,0.002*(GA29-d_2)/(GA29-3*h_col/7))/0.002)))^2))+(MAX(-f_yd,MIN(f_yd,200000*IF(GA29&lt;=h_col,0.0035*(GA29-(h_col-d_2))/GA29,0.002*(GA29-(h_col-d_2))/(GA29-3*h_col/7))))-f_cd*(1-(1-MAX(0,MIN(1,IF(GA29&lt;=h_col,0.0035*(GA29-(h_col-d_2))/GA29,0.002*(GA29-(h_col-d_2))/(GA29-3*h_col/7))/0.002)))^2))))/1000</f>
        <v/>
      </c>
      <c r="GC29">
        <f>IF($GB29&lt;N_Ed-1E-9*MAX(1,N_Ed),(FY29+FZ29)/2,FY29)</f>
        <v/>
      </c>
      <c r="GD29">
        <f>IF($GB29&lt;N_Ed-1E-9*MAX(1,N_Ed),FZ29,(FY29+FZ29)/2)</f>
        <v/>
      </c>
      <c r="GE29">
        <f>h_col*((GC29+GD29)/2)/(1-(GC29+GD29)/2)</f>
        <v/>
      </c>
      <c r="GF29">
        <f>(f_cd*b_col*((3*MIN(GE29,h_col)/7)+(4*MIN(GE29,h_col)/7)*(1-((4*MIN(GE29,h_col)/7)/(GE29-(3*MIN(GE29,h_col)/7)))^2/3))+$D29/2*((MAX(-f_yd,MIN(f_yd,200000*IF(GE29&lt;=h_col,0.0035*(GE29-d_2)/GE29,0.002*(GE29-d_2)/(GE29-3*h_col/7))))-f_cd*(1-(1-MAX(0,MIN(1,IF(GE29&lt;=h_col,0.0035*(GE29-d_2)/GE29,0.002*(GE29-d_2)/(GE29-3*h_col/7))/0.002)))^2))+(MAX(-f_yd,MIN(f_yd,200000*IF(GE29&lt;=h_col,0.0035*(GE29-(h_col-d_2))/GE29,0.002*(GE29-(h_col-d_2))/(GE29-3*h_col/7))))-f_cd*(1-(1-MAX(0,MIN(1,IF(GE29&lt;=h_col,0.0035*(GE29-(h_col-d_2))/GE29,0.002*(GE29-(h_col-d_2))/(GE29-3*h_col/7))/0.002)))^2))))/1000</f>
        <v/>
      </c>
      <c r="GG29">
        <f>IF($GF29&lt;N_Ed-1E-9*MAX(1,N_Ed),(GC29+GD29)/2,GC29)</f>
        <v/>
      </c>
      <c r="GH29">
        <f>IF($GF29&lt;N_Ed-1E-9*MAX(1,N_Ed),GD29,(GC29+GD29)/2)</f>
        <v/>
      </c>
      <c r="GI29">
        <f>h_col*((GG29+GH29)/2)/(1-(GG29+GH29)/2)</f>
        <v/>
      </c>
      <c r="GJ29">
        <f>(f_cd*b_col*((3*MIN(GI29,h_col)/7)+(4*MIN(GI29,h_col)/7)*(1-((4*MIN(GI29,h_col)/7)/(GI29-(3*MIN(GI29,h_col)/7)))^2/3))+$D29/2*((MAX(-f_yd,MIN(f_yd,200000*IF(GI29&lt;=h_col,0.0035*(GI29-d_2)/GI29,0.002*(GI29-d_2)/(GI29-3*h_col/7))))-f_cd*(1-(1-MAX(0,MIN(1,IF(GI29&lt;=h_col,0.0035*(GI29-d_2)/GI29,0.002*(GI29-d_2)/(GI29-3*h_col/7))/0.002)))^2))+(MAX(-f_yd,MIN(f_yd,200000*IF(GI29&lt;=h_col,0.0035*(GI29-(h_col-d_2))/GI29,0.002*(GI29-(h_col-d_2))/(GI29-3*h_col/7))))-f_cd*(1-(1-MAX(0,MIN(1,IF(GI29&lt;=h_col,0.0035*(GI29-(h_col-d_2))/GI29,0.002*(GI29-(h_col-d_2))/(GI29-3*h_col/7))/0.002)))^2))))/1000</f>
        <v/>
      </c>
      <c r="GK29">
        <f>IF($GJ29&lt;N_Ed-1E-9*MAX(1,N_Ed),(GG29+GH29)/2,GG29)</f>
        <v/>
      </c>
      <c r="GL29">
        <f>IF($GJ29&lt;N_Ed-1E-9*MAX(1,N_Ed),GH29,(GG29+GH29)/2)</f>
        <v/>
      </c>
      <c r="GM29">
        <f>h_col*((GK29+GL29)/2)/(1-(GK29+GL29)/2)</f>
        <v/>
      </c>
      <c r="GN29">
        <f>(f_cd*b_col*((3*MIN(GM29,h_col)/7)+(4*MIN(GM29,h_col)/7)*(1-((4*MIN(GM29,h_col)/7)/(GM29-(3*MIN(GM29,h_col)/7)))^2/3))+$D29/2*((MAX(-f_yd,MIN(f_yd,200000*IF(GM29&lt;=h_col,0.0035*(GM29-d_2)/GM29,0.002*(GM29-d_2)/(GM29-3*h_col/7))))-f_cd*(1-(1-MAX(0,MIN(1,IF(GM29&lt;=h_col,0.0035*(GM29-d_2)/GM29,0.002*(GM29-d_2)/(GM29-3*h_col/7))/0.002)))^2))+(MAX(-f_yd,MIN(f_yd,200000*IF(GM29&lt;=h_col,0.0035*(GM29-(h_col-d_2))/GM29,0.002*(GM29-(h_col-d_2))/(GM29-3*h_col/7))))-f_cd*(1-(1-MAX(0,MIN(1,IF(GM29&lt;=h_col,0.0035*(GM29-(h_col-d_2))/GM29,0.002*(GM29-(h_col-d_2))/(GM29-3*h_col/7))/0.002)))^2))))/1000</f>
        <v/>
      </c>
      <c r="GO29">
        <f>IF($GN29&lt;N_Ed-1E-9*MAX(1,N_Ed),(GK29+GL29)/2,GK29)</f>
        <v/>
      </c>
      <c r="GP29">
        <f>IF($GN29&lt;N_Ed-1E-9*MAX(1,N_Ed),GL29,(GK29+GL29)/2)</f>
        <v/>
      </c>
      <c r="GQ29">
        <f>h_col*((GO29+GP29)/2)/(1-(GO29+GP29)/2)</f>
        <v/>
      </c>
      <c r="GR29">
        <f>(f_cd*b_col*((3*MIN(GQ29,h_col)/7)+(4*MIN(GQ29,h_col)/7)*(1-((4*MIN(GQ29,h_col)/7)/(GQ29-(3*MIN(GQ29,h_col)/7)))^2/3))+$D29/2*((MAX(-f_yd,MIN(f_yd,200000*IF(GQ29&lt;=h_col,0.0035*(GQ29-d_2)/GQ29,0.002*(GQ29-d_2)/(GQ29-3*h_col/7))))-f_cd*(1-(1-MAX(0,MIN(1,IF(GQ29&lt;=h_col,0.0035*(GQ29-d_2)/GQ29,0.002*(GQ29-d_2)/(GQ29-3*h_col/7))/0.002)))^2))+(MAX(-f_yd,MIN(f_yd,200000*IF(GQ29&lt;=h_col,0.0035*(GQ29-(h_col-d_2))/GQ29,0.002*(GQ29-(h_col-d_2))/(GQ29-3*h_col/7))))-f_cd*(1-(1-MAX(0,MIN(1,IF(GQ29&lt;=h_col,0.0035*(GQ29-(h_col-d_2))/GQ29,0.002*(GQ29-(h_col-d_2))/(GQ29-3*h_col/7))/0.002)))^2))))/1000</f>
        <v/>
      </c>
      <c r="GS29">
        <f>IF($GR29&lt;N_Ed-1E-9*MAX(1,N_Ed),(GO29+GP29)/2,GO29)</f>
        <v/>
      </c>
      <c r="GT29">
        <f>IF($GR29&lt;N_Ed-1E-9*MAX(1,N_Ed),GP29,(GO29+GP29)/2)</f>
        <v/>
      </c>
      <c r="GU29">
        <f>h_col*((GS29+GT29)/2)/(1-(GS29+GT29)/2)</f>
        <v/>
      </c>
      <c r="GV29">
        <f>(f_cd*b_col*((3*MIN(GU29,h_col)/7)+(4*MIN(GU29,h_col)/7)*(1-((4*MIN(GU29,h_col)/7)/(GU29-(3*MIN(GU29,h_col)/7)))^2/3))+$D29/2*((MAX(-f_yd,MIN(f_yd,200000*IF(GU29&lt;=h_col,0.0035*(GU29-d_2)/GU29,0.002*(GU29-d_2)/(GU29-3*h_col/7))))-f_cd*(1-(1-MAX(0,MIN(1,IF(GU29&lt;=h_col,0.0035*(GU29-d_2)/GU29,0.002*(GU29-d_2)/(GU29-3*h_col/7))/0.002)))^2))+(MAX(-f_yd,MIN(f_yd,200000*IF(GU29&lt;=h_col,0.0035*(GU29-(h_col-d_2))/GU29,0.002*(GU29-(h_col-d_2))/(GU29-3*h_col/7))))-f_cd*(1-(1-MAX(0,MIN(1,IF(GU29&lt;=h_col,0.0035*(GU29-(h_col-d_2))/GU29,0.002*(GU29-(h_col-d_2))/(GU29-3*h_col/7))/0.002)))^2))))/1000</f>
        <v/>
      </c>
      <c r="GW29">
        <f>GU29</f>
        <v/>
      </c>
      <c r="GX29">
        <f>(f_cd*b_col*((3*MIN(GW29,h_col)/7)+(4*MIN(GW29,h_col)/7)*(1-((4*MIN(GW29,h_col)/7)/(GW29-(3*MIN(GW29,h_col)/7)))^2/3))+$D29/2*((MAX(-f_yd,MIN(f_yd,200000*IF(GW29&lt;=h_col,0.0035*(GW29-d_2)/GW29,0.002*(GW29-d_2)/(GW29-3*h_col/7))))-f_cd*(1-(1-MAX(0,MIN(1,IF(GW29&lt;=h_col,0.0035*(GW29-d_2)/GW29,0.002*(GW29-d_2)/(GW29-3*h_col/7))/0.002)))^2))+(MAX(-f_yd,MIN(f_yd,200000*IF(GW29&lt;=h_col,0.0035*(GW29-(h_col-d_2))/GW29,0.002*(GW29-(h_col-d_2))/(GW29-3*h_col/7))))-f_cd*(1-(1-MAX(0,MIN(1,IF(GW29&lt;=h_col,0.0035*(GW29-(h_col-d_2))/GW29,0.002*(GW29-(h_col-d_2))/(GW29-3*h_col/7))/0.002)))^2))))/1000</f>
        <v/>
      </c>
      <c r="GY29">
        <f>(f_cd*b_col*((3*MIN(GW29,h_col)/7)*(h_col/2-(3*MIN(GW29,h_col)/7)/2)+(4*MIN(GW29,h_col)/7)*((h_col/2-(3*MIN(GW29,h_col)/7))*(1-((4*MIN(GW29,h_col)/7)/(GW29-(3*MIN(GW29,h_col)/7)))^2/3)-(4*MIN(GW29,h_col)/7)*(0.5-((4*MIN(GW29,h_col)/7)/(GW29-(3*MIN(GW29,h_col)/7)))^2/4)))+$D29/2*((MAX(-f_yd,MIN(f_yd,200000*IF(GW29&lt;=h_col,0.0035*(GW29-d_2)/GW29,0.002*(GW29-d_2)/(GW29-3*h_col/7))))-f_cd*(1-(1-MAX(0,MIN(1,IF(GW29&lt;=h_col,0.0035*(GW29-d_2)/GW29,0.002*(GW29-d_2)/(GW29-3*h_col/7))/0.002)))^2))-(MAX(-f_yd,MIN(f_yd,200000*IF(GW29&lt;=h_col,0.0035*(GW29-(h_col-d_2))/GW29,0.002*(GW29-(h_col-d_2))/(GW29-3*h_col/7))))-f_cd*(1-(1-MAX(0,MIN(1,IF(GW29&lt;=h_col,0.0035*(GW29-(h_col-d_2))/GW29,0.002*(GW29-(h_col-d_2))/(GW29-3*h_col/7))/0.002)))^2)))*(h_col/2-d_2))/1E6</f>
        <v/>
      </c>
      <c r="GZ29">
        <f>GX29&gt;=N_Ed-1E-6*MAX(1,N_Ed)</f>
        <v/>
      </c>
      <c r="HA29">
        <f>IF(GZ29,GY29,-1E9)</f>
        <v/>
      </c>
    </row>
    <row r="30">
      <c r="A30" t="n">
        <v>25</v>
      </c>
      <c r="B30">
        <f>IF($HA29&gt;=M_d,$B29,$D29)</f>
        <v/>
      </c>
      <c r="C30">
        <f>IF($HA29&gt;=M_d,$D29,$C29)</f>
        <v/>
      </c>
      <c r="D30">
        <f>($B30+$C30)/2</f>
        <v/>
      </c>
      <c r="E30" t="n">
        <v>0</v>
      </c>
      <c r="F30">
        <f>1-1E-12</f>
        <v/>
      </c>
      <c r="G30">
        <f>h_col*((E30+F30)/2)/(1-(E30+F30)/2)</f>
        <v/>
      </c>
      <c r="H30">
        <f>(f_cd*b_col*((3*MIN(G30,h_col)/7)+(4*MIN(G30,h_col)/7)*(1-((4*MIN(G30,h_col)/7)/(G30-(3*MIN(G30,h_col)/7)))^2/3))+$D30/2*((MAX(-f_yd,MIN(f_yd,200000*IF(G30&lt;=h_col,0.0035*(G30-d_2)/G30,0.002*(G30-d_2)/(G30-3*h_col/7))))-f_cd*(1-(1-MAX(0,MIN(1,IF(G30&lt;=h_col,0.0035*(G30-d_2)/G30,0.002*(G30-d_2)/(G30-3*h_col/7))/0.002)))^2))+(MAX(-f_yd,MIN(f_yd,200000*IF(G30&lt;=h_col,0.0035*(G30-(h_col-d_2))/G30,0.002*(G30-(h_col-d_2))/(G30-3*h_col/7))))-f_cd*(1-(1-MAX(0,MIN(1,IF(G30&lt;=h_col,0.0035*(G30-(h_col-d_2))/G30,0.002*(G30-(h_col-d_2))/(G30-3*h_col/7))/0.002)))^2))))/1000</f>
        <v/>
      </c>
      <c r="I30">
        <f>IF($H30&lt;N_Ed-1E-9*MAX(1,N_Ed),(E30+F30)/2,E30)</f>
        <v/>
      </c>
      <c r="J30">
        <f>IF($H30&lt;N_Ed-1E-9*MAX(1,N_Ed),F30,(E30+F30)/2)</f>
        <v/>
      </c>
      <c r="K30">
        <f>h_col*((I30+J30)/2)/(1-(I30+J30)/2)</f>
        <v/>
      </c>
      <c r="L30">
        <f>(f_cd*b_col*((3*MIN(K30,h_col)/7)+(4*MIN(K30,h_col)/7)*(1-((4*MIN(K30,h_col)/7)/(K30-(3*MIN(K30,h_col)/7)))^2/3))+$D30/2*((MAX(-f_yd,MIN(f_yd,200000*IF(K30&lt;=h_col,0.0035*(K30-d_2)/K30,0.002*(K30-d_2)/(K30-3*h_col/7))))-f_cd*(1-(1-MAX(0,MIN(1,IF(K30&lt;=h_col,0.0035*(K30-d_2)/K30,0.002*(K30-d_2)/(K30-3*h_col/7))/0.002)))^2))+(MAX(-f_yd,MIN(f_yd,200000*IF(K30&lt;=h_col,0.0035*(K30-(h_col-d_2))/K30,0.002*(K30-(h_col-d_2))/(K30-3*h_col/7))))-f_cd*(1-(1-MAX(0,MIN(1,IF(K30&lt;=h_col,0.0035*(K30-(h_col-d_2))/K30,0.002*(K30-(h_col-d_2))/(K30-3*h_col/7))/0.002)))^2))))/1000</f>
        <v/>
      </c>
      <c r="M30">
        <f>IF($L30&lt;N_Ed-1E-9*MAX(1,N_Ed),(I30+J30)/2,I30)</f>
        <v/>
      </c>
      <c r="N30">
        <f>IF($L30&lt;N_Ed-1E-9*MAX(1,N_Ed),J30,(I30+J30)/2)</f>
        <v/>
      </c>
      <c r="O30">
        <f>h_col*((M30+N30)/2)/(1-(M30+N30)/2)</f>
        <v/>
      </c>
      <c r="P30">
        <f>(f_cd*b_col*((3*MIN(O30,h_col)/7)+(4*MIN(O30,h_col)/7)*(1-((4*MIN(O30,h_col)/7)/(O30-(3*MIN(O30,h_col)/7)))^2/3))+$D30/2*((MAX(-f_yd,MIN(f_yd,200000*IF(O30&lt;=h_col,0.0035*(O30-d_2)/O30,0.002*(O30-d_2)/(O30-3*h_col/7))))-f_cd*(1-(1-MAX(0,MIN(1,IF(O30&lt;=h_col,0.0035*(O30-d_2)/O30,0.002*(O30-d_2)/(O30-3*h_col/7))/0.002)))^2))+(MAX(-f_yd,MIN(f_yd,200000*IF(O30&lt;=h_col,0.0035*(O30-(h_col-d_2))/O30,0.002*(O30-(h_col-d_2))/(O30-3*h_col/7))))-f_cd*(1-(1-MAX(0,MIN(1,IF(O30&lt;=h_col,0.0035*(O30-(h_col-d_2))/O30,0.002*(O30-(h_col-d_2))/(O30-3*h_col/7))/0.002)))^2))))/1000</f>
        <v/>
      </c>
      <c r="Q30">
        <f>IF($P30&lt;N_Ed-1E-9*MAX(1,N_Ed),(M30+N30)/2,M30)</f>
        <v/>
      </c>
      <c r="R30">
        <f>IF($P30&lt;N_Ed-1E-9*MAX(1,N_Ed),N30,(M30+N30)/2)</f>
        <v/>
      </c>
      <c r="S30">
        <f>h_col*((Q30+R30)/2)/(1-(Q30+R30)/2)</f>
        <v/>
      </c>
      <c r="T30">
        <f>(f_cd*b_col*((3*MIN(S30,h_col)/7)+(4*MIN(S30,h_col)/7)*(1-((4*MIN(S30,h_col)/7)/(S30-(3*MIN(S30,h_col)/7)))^2/3))+$D30/2*((MAX(-f_yd,MIN(f_yd,200000*IF(S30&lt;=h_col,0.0035*(S30-d_2)/S30,0.002*(S30-d_2)/(S30-3*h_col/7))))-f_cd*(1-(1-MAX(0,MIN(1,IF(S30&lt;=h_col,0.0035*(S30-d_2)/S30,0.002*(S30-d_2)/(S30-3*h_col/7))/0.002)))^2))+(MAX(-f_yd,MIN(f_yd,200000*IF(S30&lt;=h_col,0.0035*(S30-(h_col-d_2))/S30,0.002*(S30-(h_col-d_2))/(S30-3*h_col/7))))-f_cd*(1-(1-MAX(0,MIN(1,IF(S30&lt;=h_col,0.0035*(S30-(h_col-d_2))/S30,0.002*(S30-(h_col-d_2))/(S30-3*h_col/7))/0.002)))^2))))/1000</f>
        <v/>
      </c>
      <c r="U30">
        <f>IF($T30&lt;N_Ed-1E-9*MAX(1,N_Ed),(Q30+R30)/2,Q30)</f>
        <v/>
      </c>
      <c r="V30">
        <f>IF($T30&lt;N_Ed-1E-9*MAX(1,N_Ed),R30,(Q30+R30)/2)</f>
        <v/>
      </c>
      <c r="W30">
        <f>h_col*((U30+V30)/2)/(1-(U30+V30)/2)</f>
        <v/>
      </c>
      <c r="X30">
        <f>(f_cd*b_col*((3*MIN(W30,h_col)/7)+(4*MIN(W30,h_col)/7)*(1-((4*MIN(W30,h_col)/7)/(W30-(3*MIN(W30,h_col)/7)))^2/3))+$D30/2*((MAX(-f_yd,MIN(f_yd,200000*IF(W30&lt;=h_col,0.0035*(W30-d_2)/W30,0.002*(W30-d_2)/(W30-3*h_col/7))))-f_cd*(1-(1-MAX(0,MIN(1,IF(W30&lt;=h_col,0.0035*(W30-d_2)/W30,0.002*(W30-d_2)/(W30-3*h_col/7))/0.002)))^2))+(MAX(-f_yd,MIN(f_yd,200000*IF(W30&lt;=h_col,0.0035*(W30-(h_col-d_2))/W30,0.002*(W30-(h_col-d_2))/(W30-3*h_col/7))))-f_cd*(1-(1-MAX(0,MIN(1,IF(W30&lt;=h_col,0.0035*(W30-(h_col-d_2))/W30,0.002*(W30-(h_col-d_2))/(W30-3*h_col/7))/0.002)))^2))))/1000</f>
        <v/>
      </c>
      <c r="Y30">
        <f>IF($X30&lt;N_Ed-1E-9*MAX(1,N_Ed),(U30+V30)/2,U30)</f>
        <v/>
      </c>
      <c r="Z30">
        <f>IF($X30&lt;N_Ed-1E-9*MAX(1,N_Ed),V30,(U30+V30)/2)</f>
        <v/>
      </c>
      <c r="AA30">
        <f>h_col*((Y30+Z30)/2)/(1-(Y30+Z30)/2)</f>
        <v/>
      </c>
      <c r="AB30">
        <f>(f_cd*b_col*((3*MIN(AA30,h_col)/7)+(4*MIN(AA30,h_col)/7)*(1-((4*MIN(AA30,h_col)/7)/(AA30-(3*MIN(AA30,h_col)/7)))^2/3))+$D30/2*((MAX(-f_yd,MIN(f_yd,200000*IF(AA30&lt;=h_col,0.0035*(AA30-d_2)/AA30,0.002*(AA30-d_2)/(AA30-3*h_col/7))))-f_cd*(1-(1-MAX(0,MIN(1,IF(AA30&lt;=h_col,0.0035*(AA30-d_2)/AA30,0.002*(AA30-d_2)/(AA30-3*h_col/7))/0.002)))^2))+(MAX(-f_yd,MIN(f_yd,200000*IF(AA30&lt;=h_col,0.0035*(AA30-(h_col-d_2))/AA30,0.002*(AA30-(h_col-d_2))/(AA30-3*h_col/7))))-f_cd*(1-(1-MAX(0,MIN(1,IF(AA30&lt;=h_col,0.0035*(AA30-(h_col-d_2))/AA30,0.002*(AA30-(h_col-d_2))/(AA30-3*h_col/7))/0.002)))^2))))/1000</f>
        <v/>
      </c>
      <c r="AC30">
        <f>IF($AB30&lt;N_Ed-1E-9*MAX(1,N_Ed),(Y30+Z30)/2,Y30)</f>
        <v/>
      </c>
      <c r="AD30">
        <f>IF($AB30&lt;N_Ed-1E-9*MAX(1,N_Ed),Z30,(Y30+Z30)/2)</f>
        <v/>
      </c>
      <c r="AE30">
        <f>h_col*((AC30+AD30)/2)/(1-(AC30+AD30)/2)</f>
        <v/>
      </c>
      <c r="AF30">
        <f>(f_cd*b_col*((3*MIN(AE30,h_col)/7)+(4*MIN(AE30,h_col)/7)*(1-((4*MIN(AE30,h_col)/7)/(AE30-(3*MIN(AE30,h_col)/7)))^2/3))+$D30/2*((MAX(-f_yd,MIN(f_yd,200000*IF(AE30&lt;=h_col,0.0035*(AE30-d_2)/AE30,0.002*(AE30-d_2)/(AE30-3*h_col/7))))-f_cd*(1-(1-MAX(0,MIN(1,IF(AE30&lt;=h_col,0.0035*(AE30-d_2)/AE30,0.002*(AE30-d_2)/(AE30-3*h_col/7))/0.002)))^2))+(MAX(-f_yd,MIN(f_yd,200000*IF(AE30&lt;=h_col,0.0035*(AE30-(h_col-d_2))/AE30,0.002*(AE30-(h_col-d_2))/(AE30-3*h_col/7))))-f_cd*(1-(1-MAX(0,MIN(1,IF(AE30&lt;=h_col,0.0035*(AE30-(h_col-d_2))/AE30,0.002*(AE30-(h_col-d_2))/(AE30-3*h_col/7))/0.002)))^2))))/1000</f>
        <v/>
      </c>
      <c r="AG30">
        <f>IF($AF30&lt;N_Ed-1E-9*MAX(1,N_Ed),(AC30+AD30)/2,AC30)</f>
        <v/>
      </c>
      <c r="AH30">
        <f>IF($AF30&lt;N_Ed-1E-9*MAX(1,N_Ed),AD30,(AC30+AD30)/2)</f>
        <v/>
      </c>
      <c r="AI30">
        <f>h_col*((AG30+AH30)/2)/(1-(AG30+AH30)/2)</f>
        <v/>
      </c>
      <c r="AJ30">
        <f>(f_cd*b_col*((3*MIN(AI30,h_col)/7)+(4*MIN(AI30,h_col)/7)*(1-((4*MIN(AI30,h_col)/7)/(AI30-(3*MIN(AI30,h_col)/7)))^2/3))+$D30/2*((MAX(-f_yd,MIN(f_yd,200000*IF(AI30&lt;=h_col,0.0035*(AI30-d_2)/AI30,0.002*(AI30-d_2)/(AI30-3*h_col/7))))-f_cd*(1-(1-MAX(0,MIN(1,IF(AI30&lt;=h_col,0.0035*(AI30-d_2)/AI30,0.002*(AI30-d_2)/(AI30-3*h_col/7))/0.002)))^2))+(MAX(-f_yd,MIN(f_yd,200000*IF(AI30&lt;=h_col,0.0035*(AI30-(h_col-d_2))/AI30,0.002*(AI30-(h_col-d_2))/(AI30-3*h_col/7))))-f_cd*(1-(1-MAX(0,MIN(1,IF(AI30&lt;=h_col,0.0035*(AI30-(h_col-d_2))/AI30,0.002*(AI30-(h_col-d_2))/(AI30-3*h_col/7))/0.002)))^2))))/1000</f>
        <v/>
      </c>
      <c r="AK30">
        <f>IF($AJ30&lt;N_Ed-1E-9*MAX(1,N_Ed),(AG30+AH30)/2,AG30)</f>
        <v/>
      </c>
      <c r="AL30">
        <f>IF($AJ30&lt;N_Ed-1E-9*MAX(1,N_Ed),AH30,(AG30+AH30)/2)</f>
        <v/>
      </c>
      <c r="AM30">
        <f>h_col*((AK30+AL30)/2)/(1-(AK30+AL30)/2)</f>
        <v/>
      </c>
      <c r="AN30">
        <f>(f_cd*b_col*((3*MIN(AM30,h_col)/7)+(4*MIN(AM30,h_col)/7)*(1-((4*MIN(AM30,h_col)/7)/(AM30-(3*MIN(AM30,h_col)/7)))^2/3))+$D30/2*((MAX(-f_yd,MIN(f_yd,200000*IF(AM30&lt;=h_col,0.0035*(AM30-d_2)/AM30,0.002*(AM30-d_2)/(AM30-3*h_col/7))))-f_cd*(1-(1-MAX(0,MIN(1,IF(AM30&lt;=h_col,0.0035*(AM30-d_2)/AM30,0.002*(AM30-d_2)/(AM30-3*h_col/7))/0.002)))^2))+(MAX(-f_yd,MIN(f_yd,200000*IF(AM30&lt;=h_col,0.0035*(AM30-(h_col-d_2))/AM30,0.002*(AM30-(h_col-d_2))/(AM30-3*h_col/7))))-f_cd*(1-(1-MAX(0,MIN(1,IF(AM30&lt;=h_col,0.0035*(AM30-(h_col-d_2))/AM30,0.002*(AM30-(h_col-d_2))/(AM30-3*h_col/7))/0.002)))^2))))/1000</f>
        <v/>
      </c>
      <c r="AO30">
        <f>IF($AN30&lt;N_Ed-1E-9*MAX(1,N_Ed),(AK30+AL30)/2,AK30)</f>
        <v/>
      </c>
      <c r="AP30">
        <f>IF($AN30&lt;N_Ed-1E-9*MAX(1,N_Ed),AL30,(AK30+AL30)/2)</f>
        <v/>
      </c>
      <c r="AQ30">
        <f>h_col*((AO30+AP30)/2)/(1-(AO30+AP30)/2)</f>
        <v/>
      </c>
      <c r="AR30">
        <f>(f_cd*b_col*((3*MIN(AQ30,h_col)/7)+(4*MIN(AQ30,h_col)/7)*(1-((4*MIN(AQ30,h_col)/7)/(AQ30-(3*MIN(AQ30,h_col)/7)))^2/3))+$D30/2*((MAX(-f_yd,MIN(f_yd,200000*IF(AQ30&lt;=h_col,0.0035*(AQ30-d_2)/AQ30,0.002*(AQ30-d_2)/(AQ30-3*h_col/7))))-f_cd*(1-(1-MAX(0,MIN(1,IF(AQ30&lt;=h_col,0.0035*(AQ30-d_2)/AQ30,0.002*(AQ30-d_2)/(AQ30-3*h_col/7))/0.002)))^2))+(MAX(-f_yd,MIN(f_yd,200000*IF(AQ30&lt;=h_col,0.0035*(AQ30-(h_col-d_2))/AQ30,0.002*(AQ30-(h_col-d_2))/(AQ30-3*h_col/7))))-f_cd*(1-(1-MAX(0,MIN(1,IF(AQ30&lt;=h_col,0.0035*(AQ30-(h_col-d_2))/AQ30,0.002*(AQ30-(h_col-d_2))/(AQ30-3*h_col/7))/0.002)))^2))))/1000</f>
        <v/>
      </c>
      <c r="AS30">
        <f>IF($AR30&lt;N_Ed-1E-9*MAX(1,N_Ed),(AO30+AP30)/2,AO30)</f>
        <v/>
      </c>
      <c r="AT30">
        <f>IF($AR30&lt;N_Ed-1E-9*MAX(1,N_Ed),AP30,(AO30+AP30)/2)</f>
        <v/>
      </c>
      <c r="AU30">
        <f>h_col*((AS30+AT30)/2)/(1-(AS30+AT30)/2)</f>
        <v/>
      </c>
      <c r="AV30">
        <f>(f_cd*b_col*((3*MIN(AU30,h_col)/7)+(4*MIN(AU30,h_col)/7)*(1-((4*MIN(AU30,h_col)/7)/(AU30-(3*MIN(AU30,h_col)/7)))^2/3))+$D30/2*((MAX(-f_yd,MIN(f_yd,200000*IF(AU30&lt;=h_col,0.0035*(AU30-d_2)/AU30,0.002*(AU30-d_2)/(AU30-3*h_col/7))))-f_cd*(1-(1-MAX(0,MIN(1,IF(AU30&lt;=h_col,0.0035*(AU30-d_2)/AU30,0.002*(AU30-d_2)/(AU30-3*h_col/7))/0.002)))^2))+(MAX(-f_yd,MIN(f_yd,200000*IF(AU30&lt;=h_col,0.0035*(AU30-(h_col-d_2))/AU30,0.002*(AU30-(h_col-d_2))/(AU30-3*h_col/7))))-f_cd*(1-(1-MAX(0,MIN(1,IF(AU30&lt;=h_col,0.0035*(AU30-(h_col-d_2))/AU30,0.002*(AU30-(h_col-d_2))/(AU30-3*h_col/7))/0.002)))^2))))/1000</f>
        <v/>
      </c>
      <c r="AW30">
        <f>IF($AV30&lt;N_Ed-1E-9*MAX(1,N_Ed),(AS30+AT30)/2,AS30)</f>
        <v/>
      </c>
      <c r="AX30">
        <f>IF($AV30&lt;N_Ed-1E-9*MAX(1,N_Ed),AT30,(AS30+AT30)/2)</f>
        <v/>
      </c>
      <c r="AY30">
        <f>h_col*((AW30+AX30)/2)/(1-(AW30+AX30)/2)</f>
        <v/>
      </c>
      <c r="AZ30">
        <f>(f_cd*b_col*((3*MIN(AY30,h_col)/7)+(4*MIN(AY30,h_col)/7)*(1-((4*MIN(AY30,h_col)/7)/(AY30-(3*MIN(AY30,h_col)/7)))^2/3))+$D30/2*((MAX(-f_yd,MIN(f_yd,200000*IF(AY30&lt;=h_col,0.0035*(AY30-d_2)/AY30,0.002*(AY30-d_2)/(AY30-3*h_col/7))))-f_cd*(1-(1-MAX(0,MIN(1,IF(AY30&lt;=h_col,0.0035*(AY30-d_2)/AY30,0.002*(AY30-d_2)/(AY30-3*h_col/7))/0.002)))^2))+(MAX(-f_yd,MIN(f_yd,200000*IF(AY30&lt;=h_col,0.0035*(AY30-(h_col-d_2))/AY30,0.002*(AY30-(h_col-d_2))/(AY30-3*h_col/7))))-f_cd*(1-(1-MAX(0,MIN(1,IF(AY30&lt;=h_col,0.0035*(AY30-(h_col-d_2))/AY30,0.002*(AY30-(h_col-d_2))/(AY30-3*h_col/7))/0.002)))^2))))/1000</f>
        <v/>
      </c>
      <c r="BA30">
        <f>IF($AZ30&lt;N_Ed-1E-9*MAX(1,N_Ed),(AW30+AX30)/2,AW30)</f>
        <v/>
      </c>
      <c r="BB30">
        <f>IF($AZ30&lt;N_Ed-1E-9*MAX(1,N_Ed),AX30,(AW30+AX30)/2)</f>
        <v/>
      </c>
      <c r="BC30">
        <f>h_col*((BA30+BB30)/2)/(1-(BA30+BB30)/2)</f>
        <v/>
      </c>
      <c r="BD30">
        <f>(f_cd*b_col*((3*MIN(BC30,h_col)/7)+(4*MIN(BC30,h_col)/7)*(1-((4*MIN(BC30,h_col)/7)/(BC30-(3*MIN(BC30,h_col)/7)))^2/3))+$D30/2*((MAX(-f_yd,MIN(f_yd,200000*IF(BC30&lt;=h_col,0.0035*(BC30-d_2)/BC30,0.002*(BC30-d_2)/(BC30-3*h_col/7))))-f_cd*(1-(1-MAX(0,MIN(1,IF(BC30&lt;=h_col,0.0035*(BC30-d_2)/BC30,0.002*(BC30-d_2)/(BC30-3*h_col/7))/0.002)))^2))+(MAX(-f_yd,MIN(f_yd,200000*IF(BC30&lt;=h_col,0.0035*(BC30-(h_col-d_2))/BC30,0.002*(BC30-(h_col-d_2))/(BC30-3*h_col/7))))-f_cd*(1-(1-MAX(0,MIN(1,IF(BC30&lt;=h_col,0.0035*(BC30-(h_col-d_2))/BC30,0.002*(BC30-(h_col-d_2))/(BC30-3*h_col/7))/0.002)))^2))))/1000</f>
        <v/>
      </c>
      <c r="BE30">
        <f>IF($BD30&lt;N_Ed-1E-9*MAX(1,N_Ed),(BA30+BB30)/2,BA30)</f>
        <v/>
      </c>
      <c r="BF30">
        <f>IF($BD30&lt;N_Ed-1E-9*MAX(1,N_Ed),BB30,(BA30+BB30)/2)</f>
        <v/>
      </c>
      <c r="BG30">
        <f>h_col*((BE30+BF30)/2)/(1-(BE30+BF30)/2)</f>
        <v/>
      </c>
      <c r="BH30">
        <f>(f_cd*b_col*((3*MIN(BG30,h_col)/7)+(4*MIN(BG30,h_col)/7)*(1-((4*MIN(BG30,h_col)/7)/(BG30-(3*MIN(BG30,h_col)/7)))^2/3))+$D30/2*((MAX(-f_yd,MIN(f_yd,200000*IF(BG30&lt;=h_col,0.0035*(BG30-d_2)/BG30,0.002*(BG30-d_2)/(BG30-3*h_col/7))))-f_cd*(1-(1-MAX(0,MIN(1,IF(BG30&lt;=h_col,0.0035*(BG30-d_2)/BG30,0.002*(BG30-d_2)/(BG30-3*h_col/7))/0.002)))^2))+(MAX(-f_yd,MIN(f_yd,200000*IF(BG30&lt;=h_col,0.0035*(BG30-(h_col-d_2))/BG30,0.002*(BG30-(h_col-d_2))/(BG30-3*h_col/7))))-f_cd*(1-(1-MAX(0,MIN(1,IF(BG30&lt;=h_col,0.0035*(BG30-(h_col-d_2))/BG30,0.002*(BG30-(h_col-d_2))/(BG30-3*h_col/7))/0.002)))^2))))/1000</f>
        <v/>
      </c>
      <c r="BI30">
        <f>IF($BH30&lt;N_Ed-1E-9*MAX(1,N_Ed),(BE30+BF30)/2,BE30)</f>
        <v/>
      </c>
      <c r="BJ30">
        <f>IF($BH30&lt;N_Ed-1E-9*MAX(1,N_Ed),BF30,(BE30+BF30)/2)</f>
        <v/>
      </c>
      <c r="BK30">
        <f>h_col*((BI30+BJ30)/2)/(1-(BI30+BJ30)/2)</f>
        <v/>
      </c>
      <c r="BL30">
        <f>(f_cd*b_col*((3*MIN(BK30,h_col)/7)+(4*MIN(BK30,h_col)/7)*(1-((4*MIN(BK30,h_col)/7)/(BK30-(3*MIN(BK30,h_col)/7)))^2/3))+$D30/2*((MAX(-f_yd,MIN(f_yd,200000*IF(BK30&lt;=h_col,0.0035*(BK30-d_2)/BK30,0.002*(BK30-d_2)/(BK30-3*h_col/7))))-f_cd*(1-(1-MAX(0,MIN(1,IF(BK30&lt;=h_col,0.0035*(BK30-d_2)/BK30,0.002*(BK30-d_2)/(BK30-3*h_col/7))/0.002)))^2))+(MAX(-f_yd,MIN(f_yd,200000*IF(BK30&lt;=h_col,0.0035*(BK30-(h_col-d_2))/BK30,0.002*(BK30-(h_col-d_2))/(BK30-3*h_col/7))))-f_cd*(1-(1-MAX(0,MIN(1,IF(BK30&lt;=h_col,0.0035*(BK30-(h_col-d_2))/BK30,0.002*(BK30-(h_col-d_2))/(BK30-3*h_col/7))/0.002)))^2))))/1000</f>
        <v/>
      </c>
      <c r="BM30">
        <f>IF($BL30&lt;N_Ed-1E-9*MAX(1,N_Ed),(BI30+BJ30)/2,BI30)</f>
        <v/>
      </c>
      <c r="BN30">
        <f>IF($BL30&lt;N_Ed-1E-9*MAX(1,N_Ed),BJ30,(BI30+BJ30)/2)</f>
        <v/>
      </c>
      <c r="BO30">
        <f>h_col*((BM30+BN30)/2)/(1-(BM30+BN30)/2)</f>
        <v/>
      </c>
      <c r="BP30">
        <f>(f_cd*b_col*((3*MIN(BO30,h_col)/7)+(4*MIN(BO30,h_col)/7)*(1-((4*MIN(BO30,h_col)/7)/(BO30-(3*MIN(BO30,h_col)/7)))^2/3))+$D30/2*((MAX(-f_yd,MIN(f_yd,200000*IF(BO30&lt;=h_col,0.0035*(BO30-d_2)/BO30,0.002*(BO30-d_2)/(BO30-3*h_col/7))))-f_cd*(1-(1-MAX(0,MIN(1,IF(BO30&lt;=h_col,0.0035*(BO30-d_2)/BO30,0.002*(BO30-d_2)/(BO30-3*h_col/7))/0.002)))^2))+(MAX(-f_yd,MIN(f_yd,200000*IF(BO30&lt;=h_col,0.0035*(BO30-(h_col-d_2))/BO30,0.002*(BO30-(h_col-d_2))/(BO30-3*h_col/7))))-f_cd*(1-(1-MAX(0,MIN(1,IF(BO30&lt;=h_col,0.0035*(BO30-(h_col-d_2))/BO30,0.002*(BO30-(h_col-d_2))/(BO30-3*h_col/7))/0.002)))^2))))/1000</f>
        <v/>
      </c>
      <c r="BQ30">
        <f>IF($BP30&lt;N_Ed-1E-9*MAX(1,N_Ed),(BM30+BN30)/2,BM30)</f>
        <v/>
      </c>
      <c r="BR30">
        <f>IF($BP30&lt;N_Ed-1E-9*MAX(1,N_Ed),BN30,(BM30+BN30)/2)</f>
        <v/>
      </c>
      <c r="BS30">
        <f>h_col*((BQ30+BR30)/2)/(1-(BQ30+BR30)/2)</f>
        <v/>
      </c>
      <c r="BT30">
        <f>(f_cd*b_col*((3*MIN(BS30,h_col)/7)+(4*MIN(BS30,h_col)/7)*(1-((4*MIN(BS30,h_col)/7)/(BS30-(3*MIN(BS30,h_col)/7)))^2/3))+$D30/2*((MAX(-f_yd,MIN(f_yd,200000*IF(BS30&lt;=h_col,0.0035*(BS30-d_2)/BS30,0.002*(BS30-d_2)/(BS30-3*h_col/7))))-f_cd*(1-(1-MAX(0,MIN(1,IF(BS30&lt;=h_col,0.0035*(BS30-d_2)/BS30,0.002*(BS30-d_2)/(BS30-3*h_col/7))/0.002)))^2))+(MAX(-f_yd,MIN(f_yd,200000*IF(BS30&lt;=h_col,0.0035*(BS30-(h_col-d_2))/BS30,0.002*(BS30-(h_col-d_2))/(BS30-3*h_col/7))))-f_cd*(1-(1-MAX(0,MIN(1,IF(BS30&lt;=h_col,0.0035*(BS30-(h_col-d_2))/BS30,0.002*(BS30-(h_col-d_2))/(BS30-3*h_col/7))/0.002)))^2))))/1000</f>
        <v/>
      </c>
      <c r="BU30">
        <f>IF($BT30&lt;N_Ed-1E-9*MAX(1,N_Ed),(BQ30+BR30)/2,BQ30)</f>
        <v/>
      </c>
      <c r="BV30">
        <f>IF($BT30&lt;N_Ed-1E-9*MAX(1,N_Ed),BR30,(BQ30+BR30)/2)</f>
        <v/>
      </c>
      <c r="BW30">
        <f>h_col*((BU30+BV30)/2)/(1-(BU30+BV30)/2)</f>
        <v/>
      </c>
      <c r="BX30">
        <f>(f_cd*b_col*((3*MIN(BW30,h_col)/7)+(4*MIN(BW30,h_col)/7)*(1-((4*MIN(BW30,h_col)/7)/(BW30-(3*MIN(BW30,h_col)/7)))^2/3))+$D30/2*((MAX(-f_yd,MIN(f_yd,200000*IF(BW30&lt;=h_col,0.0035*(BW30-d_2)/BW30,0.002*(BW30-d_2)/(BW30-3*h_col/7))))-f_cd*(1-(1-MAX(0,MIN(1,IF(BW30&lt;=h_col,0.0035*(BW30-d_2)/BW30,0.002*(BW30-d_2)/(BW30-3*h_col/7))/0.002)))^2))+(MAX(-f_yd,MIN(f_yd,200000*IF(BW30&lt;=h_col,0.0035*(BW30-(h_col-d_2))/BW30,0.002*(BW30-(h_col-d_2))/(BW30-3*h_col/7))))-f_cd*(1-(1-MAX(0,MIN(1,IF(BW30&lt;=h_col,0.0035*(BW30-(h_col-d_2))/BW30,0.002*(BW30-(h_col-d_2))/(BW30-3*h_col/7))/0.002)))^2))))/1000</f>
        <v/>
      </c>
      <c r="BY30">
        <f>IF($BX30&lt;N_Ed-1E-9*MAX(1,N_Ed),(BU30+BV30)/2,BU30)</f>
        <v/>
      </c>
      <c r="BZ30">
        <f>IF($BX30&lt;N_Ed-1E-9*MAX(1,N_Ed),BV30,(BU30+BV30)/2)</f>
        <v/>
      </c>
      <c r="CA30">
        <f>h_col*((BY30+BZ30)/2)/(1-(BY30+BZ30)/2)</f>
        <v/>
      </c>
      <c r="CB30">
        <f>(f_cd*b_col*((3*MIN(CA30,h_col)/7)+(4*MIN(CA30,h_col)/7)*(1-((4*MIN(CA30,h_col)/7)/(CA30-(3*MIN(CA30,h_col)/7)))^2/3))+$D30/2*((MAX(-f_yd,MIN(f_yd,200000*IF(CA30&lt;=h_col,0.0035*(CA30-d_2)/CA30,0.002*(CA30-d_2)/(CA30-3*h_col/7))))-f_cd*(1-(1-MAX(0,MIN(1,IF(CA30&lt;=h_col,0.0035*(CA30-d_2)/CA30,0.002*(CA30-d_2)/(CA30-3*h_col/7))/0.002)))^2))+(MAX(-f_yd,MIN(f_yd,200000*IF(CA30&lt;=h_col,0.0035*(CA30-(h_col-d_2))/CA30,0.002*(CA30-(h_col-d_2))/(CA30-3*h_col/7))))-f_cd*(1-(1-MAX(0,MIN(1,IF(CA30&lt;=h_col,0.0035*(CA30-(h_col-d_2))/CA30,0.002*(CA30-(h_col-d_2))/(CA30-3*h_col/7))/0.002)))^2))))/1000</f>
        <v/>
      </c>
      <c r="CC30">
        <f>IF($CB30&lt;N_Ed-1E-9*MAX(1,N_Ed),(BY30+BZ30)/2,BY30)</f>
        <v/>
      </c>
      <c r="CD30">
        <f>IF($CB30&lt;N_Ed-1E-9*MAX(1,N_Ed),BZ30,(BY30+BZ30)/2)</f>
        <v/>
      </c>
      <c r="CE30">
        <f>h_col*((CC30+CD30)/2)/(1-(CC30+CD30)/2)</f>
        <v/>
      </c>
      <c r="CF30">
        <f>(f_cd*b_col*((3*MIN(CE30,h_col)/7)+(4*MIN(CE30,h_col)/7)*(1-((4*MIN(CE30,h_col)/7)/(CE30-(3*MIN(CE30,h_col)/7)))^2/3))+$D30/2*((MAX(-f_yd,MIN(f_yd,200000*IF(CE30&lt;=h_col,0.0035*(CE30-d_2)/CE30,0.002*(CE30-d_2)/(CE30-3*h_col/7))))-f_cd*(1-(1-MAX(0,MIN(1,IF(CE30&lt;=h_col,0.0035*(CE30-d_2)/CE30,0.002*(CE30-d_2)/(CE30-3*h_col/7))/0.002)))^2))+(MAX(-f_yd,MIN(f_yd,200000*IF(CE30&lt;=h_col,0.0035*(CE30-(h_col-d_2))/CE30,0.002*(CE30-(h_col-d_2))/(CE30-3*h_col/7))))-f_cd*(1-(1-MAX(0,MIN(1,IF(CE30&lt;=h_col,0.0035*(CE30-(h_col-d_2))/CE30,0.002*(CE30-(h_col-d_2))/(CE30-3*h_col/7))/0.002)))^2))))/1000</f>
        <v/>
      </c>
      <c r="CG30">
        <f>IF($CF30&lt;N_Ed-1E-9*MAX(1,N_Ed),(CC30+CD30)/2,CC30)</f>
        <v/>
      </c>
      <c r="CH30">
        <f>IF($CF30&lt;N_Ed-1E-9*MAX(1,N_Ed),CD30,(CC30+CD30)/2)</f>
        <v/>
      </c>
      <c r="CI30">
        <f>h_col*((CG30+CH30)/2)/(1-(CG30+CH30)/2)</f>
        <v/>
      </c>
      <c r="CJ30">
        <f>(f_cd*b_col*((3*MIN(CI30,h_col)/7)+(4*MIN(CI30,h_col)/7)*(1-((4*MIN(CI30,h_col)/7)/(CI30-(3*MIN(CI30,h_col)/7)))^2/3))+$D30/2*((MAX(-f_yd,MIN(f_yd,200000*IF(CI30&lt;=h_col,0.0035*(CI30-d_2)/CI30,0.002*(CI30-d_2)/(CI30-3*h_col/7))))-f_cd*(1-(1-MAX(0,MIN(1,IF(CI30&lt;=h_col,0.0035*(CI30-d_2)/CI30,0.002*(CI30-d_2)/(CI30-3*h_col/7))/0.002)))^2))+(MAX(-f_yd,MIN(f_yd,200000*IF(CI30&lt;=h_col,0.0035*(CI30-(h_col-d_2))/CI30,0.002*(CI30-(h_col-d_2))/(CI30-3*h_col/7))))-f_cd*(1-(1-MAX(0,MIN(1,IF(CI30&lt;=h_col,0.0035*(CI30-(h_col-d_2))/CI30,0.002*(CI30-(h_col-d_2))/(CI30-3*h_col/7))/0.002)))^2))))/1000</f>
        <v/>
      </c>
      <c r="CK30">
        <f>IF($CJ30&lt;N_Ed-1E-9*MAX(1,N_Ed),(CG30+CH30)/2,CG30)</f>
        <v/>
      </c>
      <c r="CL30">
        <f>IF($CJ30&lt;N_Ed-1E-9*MAX(1,N_Ed),CH30,(CG30+CH30)/2)</f>
        <v/>
      </c>
      <c r="CM30">
        <f>h_col*((CK30+CL30)/2)/(1-(CK30+CL30)/2)</f>
        <v/>
      </c>
      <c r="CN30">
        <f>(f_cd*b_col*((3*MIN(CM30,h_col)/7)+(4*MIN(CM30,h_col)/7)*(1-((4*MIN(CM30,h_col)/7)/(CM30-(3*MIN(CM30,h_col)/7)))^2/3))+$D30/2*((MAX(-f_yd,MIN(f_yd,200000*IF(CM30&lt;=h_col,0.0035*(CM30-d_2)/CM30,0.002*(CM30-d_2)/(CM30-3*h_col/7))))-f_cd*(1-(1-MAX(0,MIN(1,IF(CM30&lt;=h_col,0.0035*(CM30-d_2)/CM30,0.002*(CM30-d_2)/(CM30-3*h_col/7))/0.002)))^2))+(MAX(-f_yd,MIN(f_yd,200000*IF(CM30&lt;=h_col,0.0035*(CM30-(h_col-d_2))/CM30,0.002*(CM30-(h_col-d_2))/(CM30-3*h_col/7))))-f_cd*(1-(1-MAX(0,MIN(1,IF(CM30&lt;=h_col,0.0035*(CM30-(h_col-d_2))/CM30,0.002*(CM30-(h_col-d_2))/(CM30-3*h_col/7))/0.002)))^2))))/1000</f>
        <v/>
      </c>
      <c r="CO30">
        <f>IF($CN30&lt;N_Ed-1E-9*MAX(1,N_Ed),(CK30+CL30)/2,CK30)</f>
        <v/>
      </c>
      <c r="CP30">
        <f>IF($CN30&lt;N_Ed-1E-9*MAX(1,N_Ed),CL30,(CK30+CL30)/2)</f>
        <v/>
      </c>
      <c r="CQ30">
        <f>h_col*((CO30+CP30)/2)/(1-(CO30+CP30)/2)</f>
        <v/>
      </c>
      <c r="CR30">
        <f>(f_cd*b_col*((3*MIN(CQ30,h_col)/7)+(4*MIN(CQ30,h_col)/7)*(1-((4*MIN(CQ30,h_col)/7)/(CQ30-(3*MIN(CQ30,h_col)/7)))^2/3))+$D30/2*((MAX(-f_yd,MIN(f_yd,200000*IF(CQ30&lt;=h_col,0.0035*(CQ30-d_2)/CQ30,0.002*(CQ30-d_2)/(CQ30-3*h_col/7))))-f_cd*(1-(1-MAX(0,MIN(1,IF(CQ30&lt;=h_col,0.0035*(CQ30-d_2)/CQ30,0.002*(CQ30-d_2)/(CQ30-3*h_col/7))/0.002)))^2))+(MAX(-f_yd,MIN(f_yd,200000*IF(CQ30&lt;=h_col,0.0035*(CQ30-(h_col-d_2))/CQ30,0.002*(CQ30-(h_col-d_2))/(CQ30-3*h_col/7))))-f_cd*(1-(1-MAX(0,MIN(1,IF(CQ30&lt;=h_col,0.0035*(CQ30-(h_col-d_2))/CQ30,0.002*(CQ30-(h_col-d_2))/(CQ30-3*h_col/7))/0.002)))^2))))/1000</f>
        <v/>
      </c>
      <c r="CS30">
        <f>IF($CR30&lt;N_Ed-1E-9*MAX(1,N_Ed),(CO30+CP30)/2,CO30)</f>
        <v/>
      </c>
      <c r="CT30">
        <f>IF($CR30&lt;N_Ed-1E-9*MAX(1,N_Ed),CP30,(CO30+CP30)/2)</f>
        <v/>
      </c>
      <c r="CU30">
        <f>h_col*((CS30+CT30)/2)/(1-(CS30+CT30)/2)</f>
        <v/>
      </c>
      <c r="CV30">
        <f>(f_cd*b_col*((3*MIN(CU30,h_col)/7)+(4*MIN(CU30,h_col)/7)*(1-((4*MIN(CU30,h_col)/7)/(CU30-(3*MIN(CU30,h_col)/7)))^2/3))+$D30/2*((MAX(-f_yd,MIN(f_yd,200000*IF(CU30&lt;=h_col,0.0035*(CU30-d_2)/CU30,0.002*(CU30-d_2)/(CU30-3*h_col/7))))-f_cd*(1-(1-MAX(0,MIN(1,IF(CU30&lt;=h_col,0.0035*(CU30-d_2)/CU30,0.002*(CU30-d_2)/(CU30-3*h_col/7))/0.002)))^2))+(MAX(-f_yd,MIN(f_yd,200000*IF(CU30&lt;=h_col,0.0035*(CU30-(h_col-d_2))/CU30,0.002*(CU30-(h_col-d_2))/(CU30-3*h_col/7))))-f_cd*(1-(1-MAX(0,MIN(1,IF(CU30&lt;=h_col,0.0035*(CU30-(h_col-d_2))/CU30,0.002*(CU30-(h_col-d_2))/(CU30-3*h_col/7))/0.002)))^2))))/1000</f>
        <v/>
      </c>
      <c r="CW30">
        <f>IF($CV30&lt;N_Ed-1E-9*MAX(1,N_Ed),(CS30+CT30)/2,CS30)</f>
        <v/>
      </c>
      <c r="CX30">
        <f>IF($CV30&lt;N_Ed-1E-9*MAX(1,N_Ed),CT30,(CS30+CT30)/2)</f>
        <v/>
      </c>
      <c r="CY30">
        <f>h_col*((CW30+CX30)/2)/(1-(CW30+CX30)/2)</f>
        <v/>
      </c>
      <c r="CZ30">
        <f>(f_cd*b_col*((3*MIN(CY30,h_col)/7)+(4*MIN(CY30,h_col)/7)*(1-((4*MIN(CY30,h_col)/7)/(CY30-(3*MIN(CY30,h_col)/7)))^2/3))+$D30/2*((MAX(-f_yd,MIN(f_yd,200000*IF(CY30&lt;=h_col,0.0035*(CY30-d_2)/CY30,0.002*(CY30-d_2)/(CY30-3*h_col/7))))-f_cd*(1-(1-MAX(0,MIN(1,IF(CY30&lt;=h_col,0.0035*(CY30-d_2)/CY30,0.002*(CY30-d_2)/(CY30-3*h_col/7))/0.002)))^2))+(MAX(-f_yd,MIN(f_yd,200000*IF(CY30&lt;=h_col,0.0035*(CY30-(h_col-d_2))/CY30,0.002*(CY30-(h_col-d_2))/(CY30-3*h_col/7))))-f_cd*(1-(1-MAX(0,MIN(1,IF(CY30&lt;=h_col,0.0035*(CY30-(h_col-d_2))/CY30,0.002*(CY30-(h_col-d_2))/(CY30-3*h_col/7))/0.002)))^2))))/1000</f>
        <v/>
      </c>
      <c r="DA30">
        <f>IF($CZ30&lt;N_Ed-1E-9*MAX(1,N_Ed),(CW30+CX30)/2,CW30)</f>
        <v/>
      </c>
      <c r="DB30">
        <f>IF($CZ30&lt;N_Ed-1E-9*MAX(1,N_Ed),CX30,(CW30+CX30)/2)</f>
        <v/>
      </c>
      <c r="DC30">
        <f>h_col*((DA30+DB30)/2)/(1-(DA30+DB30)/2)</f>
        <v/>
      </c>
      <c r="DD30">
        <f>(f_cd*b_col*((3*MIN(DC30,h_col)/7)+(4*MIN(DC30,h_col)/7)*(1-((4*MIN(DC30,h_col)/7)/(DC30-(3*MIN(DC30,h_col)/7)))^2/3))+$D30/2*((MAX(-f_yd,MIN(f_yd,200000*IF(DC30&lt;=h_col,0.0035*(DC30-d_2)/DC30,0.002*(DC30-d_2)/(DC30-3*h_col/7))))-f_cd*(1-(1-MAX(0,MIN(1,IF(DC30&lt;=h_col,0.0035*(DC30-d_2)/DC30,0.002*(DC30-d_2)/(DC30-3*h_col/7))/0.002)))^2))+(MAX(-f_yd,MIN(f_yd,200000*IF(DC30&lt;=h_col,0.0035*(DC30-(h_col-d_2))/DC30,0.002*(DC30-(h_col-d_2))/(DC30-3*h_col/7))))-f_cd*(1-(1-MAX(0,MIN(1,IF(DC30&lt;=h_col,0.0035*(DC30-(h_col-d_2))/DC30,0.002*(DC30-(h_col-d_2))/(DC30-3*h_col/7))/0.002)))^2))))/1000</f>
        <v/>
      </c>
      <c r="DE30">
        <f>IF($DD30&lt;N_Ed-1E-9*MAX(1,N_Ed),(DA30+DB30)/2,DA30)</f>
        <v/>
      </c>
      <c r="DF30">
        <f>IF($DD30&lt;N_Ed-1E-9*MAX(1,N_Ed),DB30,(DA30+DB30)/2)</f>
        <v/>
      </c>
      <c r="DG30">
        <f>h_col*((DE30+DF30)/2)/(1-(DE30+DF30)/2)</f>
        <v/>
      </c>
      <c r="DH30">
        <f>(f_cd*b_col*((3*MIN(DG30,h_col)/7)+(4*MIN(DG30,h_col)/7)*(1-((4*MIN(DG30,h_col)/7)/(DG30-(3*MIN(DG30,h_col)/7)))^2/3))+$D30/2*((MAX(-f_yd,MIN(f_yd,200000*IF(DG30&lt;=h_col,0.0035*(DG30-d_2)/DG30,0.002*(DG30-d_2)/(DG30-3*h_col/7))))-f_cd*(1-(1-MAX(0,MIN(1,IF(DG30&lt;=h_col,0.0035*(DG30-d_2)/DG30,0.002*(DG30-d_2)/(DG30-3*h_col/7))/0.002)))^2))+(MAX(-f_yd,MIN(f_yd,200000*IF(DG30&lt;=h_col,0.0035*(DG30-(h_col-d_2))/DG30,0.002*(DG30-(h_col-d_2))/(DG30-3*h_col/7))))-f_cd*(1-(1-MAX(0,MIN(1,IF(DG30&lt;=h_col,0.0035*(DG30-(h_col-d_2))/DG30,0.002*(DG30-(h_col-d_2))/(DG30-3*h_col/7))/0.002)))^2))))/1000</f>
        <v/>
      </c>
      <c r="DI30">
        <f>IF($DH30&lt;N_Ed-1E-9*MAX(1,N_Ed),(DE30+DF30)/2,DE30)</f>
        <v/>
      </c>
      <c r="DJ30">
        <f>IF($DH30&lt;N_Ed-1E-9*MAX(1,N_Ed),DF30,(DE30+DF30)/2)</f>
        <v/>
      </c>
      <c r="DK30">
        <f>h_col*((DI30+DJ30)/2)/(1-(DI30+DJ30)/2)</f>
        <v/>
      </c>
      <c r="DL30">
        <f>(f_cd*b_col*((3*MIN(DK30,h_col)/7)+(4*MIN(DK30,h_col)/7)*(1-((4*MIN(DK30,h_col)/7)/(DK30-(3*MIN(DK30,h_col)/7)))^2/3))+$D30/2*((MAX(-f_yd,MIN(f_yd,200000*IF(DK30&lt;=h_col,0.0035*(DK30-d_2)/DK30,0.002*(DK30-d_2)/(DK30-3*h_col/7))))-f_cd*(1-(1-MAX(0,MIN(1,IF(DK30&lt;=h_col,0.0035*(DK30-d_2)/DK30,0.002*(DK30-d_2)/(DK30-3*h_col/7))/0.002)))^2))+(MAX(-f_yd,MIN(f_yd,200000*IF(DK30&lt;=h_col,0.0035*(DK30-(h_col-d_2))/DK30,0.002*(DK30-(h_col-d_2))/(DK30-3*h_col/7))))-f_cd*(1-(1-MAX(0,MIN(1,IF(DK30&lt;=h_col,0.0035*(DK30-(h_col-d_2))/DK30,0.002*(DK30-(h_col-d_2))/(DK30-3*h_col/7))/0.002)))^2))))/1000</f>
        <v/>
      </c>
      <c r="DM30">
        <f>IF($DL30&lt;N_Ed-1E-9*MAX(1,N_Ed),(DI30+DJ30)/2,DI30)</f>
        <v/>
      </c>
      <c r="DN30">
        <f>IF($DL30&lt;N_Ed-1E-9*MAX(1,N_Ed),DJ30,(DI30+DJ30)/2)</f>
        <v/>
      </c>
      <c r="DO30">
        <f>h_col*((DM30+DN30)/2)/(1-(DM30+DN30)/2)</f>
        <v/>
      </c>
      <c r="DP30">
        <f>(f_cd*b_col*((3*MIN(DO30,h_col)/7)+(4*MIN(DO30,h_col)/7)*(1-((4*MIN(DO30,h_col)/7)/(DO30-(3*MIN(DO30,h_col)/7)))^2/3))+$D30/2*((MAX(-f_yd,MIN(f_yd,200000*IF(DO30&lt;=h_col,0.0035*(DO30-d_2)/DO30,0.002*(DO30-d_2)/(DO30-3*h_col/7))))-f_cd*(1-(1-MAX(0,MIN(1,IF(DO30&lt;=h_col,0.0035*(DO30-d_2)/DO30,0.002*(DO30-d_2)/(DO30-3*h_col/7))/0.002)))^2))+(MAX(-f_yd,MIN(f_yd,200000*IF(DO30&lt;=h_col,0.0035*(DO30-(h_col-d_2))/DO30,0.002*(DO30-(h_col-d_2))/(DO30-3*h_col/7))))-f_cd*(1-(1-MAX(0,MIN(1,IF(DO30&lt;=h_col,0.0035*(DO30-(h_col-d_2))/DO30,0.002*(DO30-(h_col-d_2))/(DO30-3*h_col/7))/0.002)))^2))))/1000</f>
        <v/>
      </c>
      <c r="DQ30">
        <f>IF($DP30&lt;N_Ed-1E-9*MAX(1,N_Ed),(DM30+DN30)/2,DM30)</f>
        <v/>
      </c>
      <c r="DR30">
        <f>IF($DP30&lt;N_Ed-1E-9*MAX(1,N_Ed),DN30,(DM30+DN30)/2)</f>
        <v/>
      </c>
      <c r="DS30">
        <f>h_col*((DQ30+DR30)/2)/(1-(DQ30+DR30)/2)</f>
        <v/>
      </c>
      <c r="DT30">
        <f>(f_cd*b_col*((3*MIN(DS30,h_col)/7)+(4*MIN(DS30,h_col)/7)*(1-((4*MIN(DS30,h_col)/7)/(DS30-(3*MIN(DS30,h_col)/7)))^2/3))+$D30/2*((MAX(-f_yd,MIN(f_yd,200000*IF(DS30&lt;=h_col,0.0035*(DS30-d_2)/DS30,0.002*(DS30-d_2)/(DS30-3*h_col/7))))-f_cd*(1-(1-MAX(0,MIN(1,IF(DS30&lt;=h_col,0.0035*(DS30-d_2)/DS30,0.002*(DS30-d_2)/(DS30-3*h_col/7))/0.002)))^2))+(MAX(-f_yd,MIN(f_yd,200000*IF(DS30&lt;=h_col,0.0035*(DS30-(h_col-d_2))/DS30,0.002*(DS30-(h_col-d_2))/(DS30-3*h_col/7))))-f_cd*(1-(1-MAX(0,MIN(1,IF(DS30&lt;=h_col,0.0035*(DS30-(h_col-d_2))/DS30,0.002*(DS30-(h_col-d_2))/(DS30-3*h_col/7))/0.002)))^2))))/1000</f>
        <v/>
      </c>
      <c r="DU30">
        <f>IF($DT30&lt;N_Ed-1E-9*MAX(1,N_Ed),(DQ30+DR30)/2,DQ30)</f>
        <v/>
      </c>
      <c r="DV30">
        <f>IF($DT30&lt;N_Ed-1E-9*MAX(1,N_Ed),DR30,(DQ30+DR30)/2)</f>
        <v/>
      </c>
      <c r="DW30">
        <f>h_col*((DU30+DV30)/2)/(1-(DU30+DV30)/2)</f>
        <v/>
      </c>
      <c r="DX30">
        <f>(f_cd*b_col*((3*MIN(DW30,h_col)/7)+(4*MIN(DW30,h_col)/7)*(1-((4*MIN(DW30,h_col)/7)/(DW30-(3*MIN(DW30,h_col)/7)))^2/3))+$D30/2*((MAX(-f_yd,MIN(f_yd,200000*IF(DW30&lt;=h_col,0.0035*(DW30-d_2)/DW30,0.002*(DW30-d_2)/(DW30-3*h_col/7))))-f_cd*(1-(1-MAX(0,MIN(1,IF(DW30&lt;=h_col,0.0035*(DW30-d_2)/DW30,0.002*(DW30-d_2)/(DW30-3*h_col/7))/0.002)))^2))+(MAX(-f_yd,MIN(f_yd,200000*IF(DW30&lt;=h_col,0.0035*(DW30-(h_col-d_2))/DW30,0.002*(DW30-(h_col-d_2))/(DW30-3*h_col/7))))-f_cd*(1-(1-MAX(0,MIN(1,IF(DW30&lt;=h_col,0.0035*(DW30-(h_col-d_2))/DW30,0.002*(DW30-(h_col-d_2))/(DW30-3*h_col/7))/0.002)))^2))))/1000</f>
        <v/>
      </c>
      <c r="DY30">
        <f>IF($DX30&lt;N_Ed-1E-9*MAX(1,N_Ed),(DU30+DV30)/2,DU30)</f>
        <v/>
      </c>
      <c r="DZ30">
        <f>IF($DX30&lt;N_Ed-1E-9*MAX(1,N_Ed),DV30,(DU30+DV30)/2)</f>
        <v/>
      </c>
      <c r="EA30">
        <f>h_col*((DY30+DZ30)/2)/(1-(DY30+DZ30)/2)</f>
        <v/>
      </c>
      <c r="EB30">
        <f>(f_cd*b_col*((3*MIN(EA30,h_col)/7)+(4*MIN(EA30,h_col)/7)*(1-((4*MIN(EA30,h_col)/7)/(EA30-(3*MIN(EA30,h_col)/7)))^2/3))+$D30/2*((MAX(-f_yd,MIN(f_yd,200000*IF(EA30&lt;=h_col,0.0035*(EA30-d_2)/EA30,0.002*(EA30-d_2)/(EA30-3*h_col/7))))-f_cd*(1-(1-MAX(0,MIN(1,IF(EA30&lt;=h_col,0.0035*(EA30-d_2)/EA30,0.002*(EA30-d_2)/(EA30-3*h_col/7))/0.002)))^2))+(MAX(-f_yd,MIN(f_yd,200000*IF(EA30&lt;=h_col,0.0035*(EA30-(h_col-d_2))/EA30,0.002*(EA30-(h_col-d_2))/(EA30-3*h_col/7))))-f_cd*(1-(1-MAX(0,MIN(1,IF(EA30&lt;=h_col,0.0035*(EA30-(h_col-d_2))/EA30,0.002*(EA30-(h_col-d_2))/(EA30-3*h_col/7))/0.002)))^2))))/1000</f>
        <v/>
      </c>
      <c r="EC30">
        <f>IF($EB30&lt;N_Ed-1E-9*MAX(1,N_Ed),(DY30+DZ30)/2,DY30)</f>
        <v/>
      </c>
      <c r="ED30">
        <f>IF($EB30&lt;N_Ed-1E-9*MAX(1,N_Ed),DZ30,(DY30+DZ30)/2)</f>
        <v/>
      </c>
      <c r="EE30">
        <f>h_col*((EC30+ED30)/2)/(1-(EC30+ED30)/2)</f>
        <v/>
      </c>
      <c r="EF30">
        <f>(f_cd*b_col*((3*MIN(EE30,h_col)/7)+(4*MIN(EE30,h_col)/7)*(1-((4*MIN(EE30,h_col)/7)/(EE30-(3*MIN(EE30,h_col)/7)))^2/3))+$D30/2*((MAX(-f_yd,MIN(f_yd,200000*IF(EE30&lt;=h_col,0.0035*(EE30-d_2)/EE30,0.002*(EE30-d_2)/(EE30-3*h_col/7))))-f_cd*(1-(1-MAX(0,MIN(1,IF(EE30&lt;=h_col,0.0035*(EE30-d_2)/EE30,0.002*(EE30-d_2)/(EE30-3*h_col/7))/0.002)))^2))+(MAX(-f_yd,MIN(f_yd,200000*IF(EE30&lt;=h_col,0.0035*(EE30-(h_col-d_2))/EE30,0.002*(EE30-(h_col-d_2))/(EE30-3*h_col/7))))-f_cd*(1-(1-MAX(0,MIN(1,IF(EE30&lt;=h_col,0.0035*(EE30-(h_col-d_2))/EE30,0.002*(EE30-(h_col-d_2))/(EE30-3*h_col/7))/0.002)))^2))))/1000</f>
        <v/>
      </c>
      <c r="EG30">
        <f>IF($EF30&lt;N_Ed-1E-9*MAX(1,N_Ed),(EC30+ED30)/2,EC30)</f>
        <v/>
      </c>
      <c r="EH30">
        <f>IF($EF30&lt;N_Ed-1E-9*MAX(1,N_Ed),ED30,(EC30+ED30)/2)</f>
        <v/>
      </c>
      <c r="EI30">
        <f>h_col*((EG30+EH30)/2)/(1-(EG30+EH30)/2)</f>
        <v/>
      </c>
      <c r="EJ30">
        <f>(f_cd*b_col*((3*MIN(EI30,h_col)/7)+(4*MIN(EI30,h_col)/7)*(1-((4*MIN(EI30,h_col)/7)/(EI30-(3*MIN(EI30,h_col)/7)))^2/3))+$D30/2*((MAX(-f_yd,MIN(f_yd,200000*IF(EI30&lt;=h_col,0.0035*(EI30-d_2)/EI30,0.002*(EI30-d_2)/(EI30-3*h_col/7))))-f_cd*(1-(1-MAX(0,MIN(1,IF(EI30&lt;=h_col,0.0035*(EI30-d_2)/EI30,0.002*(EI30-d_2)/(EI30-3*h_col/7))/0.002)))^2))+(MAX(-f_yd,MIN(f_yd,200000*IF(EI30&lt;=h_col,0.0035*(EI30-(h_col-d_2))/EI30,0.002*(EI30-(h_col-d_2))/(EI30-3*h_col/7))))-f_cd*(1-(1-MAX(0,MIN(1,IF(EI30&lt;=h_col,0.0035*(EI30-(h_col-d_2))/EI30,0.002*(EI30-(h_col-d_2))/(EI30-3*h_col/7))/0.002)))^2))))/1000</f>
        <v/>
      </c>
      <c r="EK30">
        <f>IF($EJ30&lt;N_Ed-1E-9*MAX(1,N_Ed),(EG30+EH30)/2,EG30)</f>
        <v/>
      </c>
      <c r="EL30">
        <f>IF($EJ30&lt;N_Ed-1E-9*MAX(1,N_Ed),EH30,(EG30+EH30)/2)</f>
        <v/>
      </c>
      <c r="EM30">
        <f>h_col*((EK30+EL30)/2)/(1-(EK30+EL30)/2)</f>
        <v/>
      </c>
      <c r="EN30">
        <f>(f_cd*b_col*((3*MIN(EM30,h_col)/7)+(4*MIN(EM30,h_col)/7)*(1-((4*MIN(EM30,h_col)/7)/(EM30-(3*MIN(EM30,h_col)/7)))^2/3))+$D30/2*((MAX(-f_yd,MIN(f_yd,200000*IF(EM30&lt;=h_col,0.0035*(EM30-d_2)/EM30,0.002*(EM30-d_2)/(EM30-3*h_col/7))))-f_cd*(1-(1-MAX(0,MIN(1,IF(EM30&lt;=h_col,0.0035*(EM30-d_2)/EM30,0.002*(EM30-d_2)/(EM30-3*h_col/7))/0.002)))^2))+(MAX(-f_yd,MIN(f_yd,200000*IF(EM30&lt;=h_col,0.0035*(EM30-(h_col-d_2))/EM30,0.002*(EM30-(h_col-d_2))/(EM30-3*h_col/7))))-f_cd*(1-(1-MAX(0,MIN(1,IF(EM30&lt;=h_col,0.0035*(EM30-(h_col-d_2))/EM30,0.002*(EM30-(h_col-d_2))/(EM30-3*h_col/7))/0.002)))^2))))/1000</f>
        <v/>
      </c>
      <c r="EO30">
        <f>IF($EN30&lt;N_Ed-1E-9*MAX(1,N_Ed),(EK30+EL30)/2,EK30)</f>
        <v/>
      </c>
      <c r="EP30">
        <f>IF($EN30&lt;N_Ed-1E-9*MAX(1,N_Ed),EL30,(EK30+EL30)/2)</f>
        <v/>
      </c>
      <c r="EQ30">
        <f>h_col*((EO30+EP30)/2)/(1-(EO30+EP30)/2)</f>
        <v/>
      </c>
      <c r="ER30">
        <f>(f_cd*b_col*((3*MIN(EQ30,h_col)/7)+(4*MIN(EQ30,h_col)/7)*(1-((4*MIN(EQ30,h_col)/7)/(EQ30-(3*MIN(EQ30,h_col)/7)))^2/3))+$D30/2*((MAX(-f_yd,MIN(f_yd,200000*IF(EQ30&lt;=h_col,0.0035*(EQ30-d_2)/EQ30,0.002*(EQ30-d_2)/(EQ30-3*h_col/7))))-f_cd*(1-(1-MAX(0,MIN(1,IF(EQ30&lt;=h_col,0.0035*(EQ30-d_2)/EQ30,0.002*(EQ30-d_2)/(EQ30-3*h_col/7))/0.002)))^2))+(MAX(-f_yd,MIN(f_yd,200000*IF(EQ30&lt;=h_col,0.0035*(EQ30-(h_col-d_2))/EQ30,0.002*(EQ30-(h_col-d_2))/(EQ30-3*h_col/7))))-f_cd*(1-(1-MAX(0,MIN(1,IF(EQ30&lt;=h_col,0.0035*(EQ30-(h_col-d_2))/EQ30,0.002*(EQ30-(h_col-d_2))/(EQ30-3*h_col/7))/0.002)))^2))))/1000</f>
        <v/>
      </c>
      <c r="ES30">
        <f>IF($ER30&lt;N_Ed-1E-9*MAX(1,N_Ed),(EO30+EP30)/2,EO30)</f>
        <v/>
      </c>
      <c r="ET30">
        <f>IF($ER30&lt;N_Ed-1E-9*MAX(1,N_Ed),EP30,(EO30+EP30)/2)</f>
        <v/>
      </c>
      <c r="EU30">
        <f>h_col*((ES30+ET30)/2)/(1-(ES30+ET30)/2)</f>
        <v/>
      </c>
      <c r="EV30">
        <f>(f_cd*b_col*((3*MIN(EU30,h_col)/7)+(4*MIN(EU30,h_col)/7)*(1-((4*MIN(EU30,h_col)/7)/(EU30-(3*MIN(EU30,h_col)/7)))^2/3))+$D30/2*((MAX(-f_yd,MIN(f_yd,200000*IF(EU30&lt;=h_col,0.0035*(EU30-d_2)/EU30,0.002*(EU30-d_2)/(EU30-3*h_col/7))))-f_cd*(1-(1-MAX(0,MIN(1,IF(EU30&lt;=h_col,0.0035*(EU30-d_2)/EU30,0.002*(EU30-d_2)/(EU30-3*h_col/7))/0.002)))^2))+(MAX(-f_yd,MIN(f_yd,200000*IF(EU30&lt;=h_col,0.0035*(EU30-(h_col-d_2))/EU30,0.002*(EU30-(h_col-d_2))/(EU30-3*h_col/7))))-f_cd*(1-(1-MAX(0,MIN(1,IF(EU30&lt;=h_col,0.0035*(EU30-(h_col-d_2))/EU30,0.002*(EU30-(h_col-d_2))/(EU30-3*h_col/7))/0.002)))^2))))/1000</f>
        <v/>
      </c>
      <c r="EW30">
        <f>IF($EV30&lt;N_Ed-1E-9*MAX(1,N_Ed),(ES30+ET30)/2,ES30)</f>
        <v/>
      </c>
      <c r="EX30">
        <f>IF($EV30&lt;N_Ed-1E-9*MAX(1,N_Ed),ET30,(ES30+ET30)/2)</f>
        <v/>
      </c>
      <c r="EY30">
        <f>h_col*((EW30+EX30)/2)/(1-(EW30+EX30)/2)</f>
        <v/>
      </c>
      <c r="EZ30">
        <f>(f_cd*b_col*((3*MIN(EY30,h_col)/7)+(4*MIN(EY30,h_col)/7)*(1-((4*MIN(EY30,h_col)/7)/(EY30-(3*MIN(EY30,h_col)/7)))^2/3))+$D30/2*((MAX(-f_yd,MIN(f_yd,200000*IF(EY30&lt;=h_col,0.0035*(EY30-d_2)/EY30,0.002*(EY30-d_2)/(EY30-3*h_col/7))))-f_cd*(1-(1-MAX(0,MIN(1,IF(EY30&lt;=h_col,0.0035*(EY30-d_2)/EY30,0.002*(EY30-d_2)/(EY30-3*h_col/7))/0.002)))^2))+(MAX(-f_yd,MIN(f_yd,200000*IF(EY30&lt;=h_col,0.0035*(EY30-(h_col-d_2))/EY30,0.002*(EY30-(h_col-d_2))/(EY30-3*h_col/7))))-f_cd*(1-(1-MAX(0,MIN(1,IF(EY30&lt;=h_col,0.0035*(EY30-(h_col-d_2))/EY30,0.002*(EY30-(h_col-d_2))/(EY30-3*h_col/7))/0.002)))^2))))/1000</f>
        <v/>
      </c>
      <c r="FA30">
        <f>IF($EZ30&lt;N_Ed-1E-9*MAX(1,N_Ed),(EW30+EX30)/2,EW30)</f>
        <v/>
      </c>
      <c r="FB30">
        <f>IF($EZ30&lt;N_Ed-1E-9*MAX(1,N_Ed),EX30,(EW30+EX30)/2)</f>
        <v/>
      </c>
      <c r="FC30">
        <f>h_col*((FA30+FB30)/2)/(1-(FA30+FB30)/2)</f>
        <v/>
      </c>
      <c r="FD30">
        <f>(f_cd*b_col*((3*MIN(FC30,h_col)/7)+(4*MIN(FC30,h_col)/7)*(1-((4*MIN(FC30,h_col)/7)/(FC30-(3*MIN(FC30,h_col)/7)))^2/3))+$D30/2*((MAX(-f_yd,MIN(f_yd,200000*IF(FC30&lt;=h_col,0.0035*(FC30-d_2)/FC30,0.002*(FC30-d_2)/(FC30-3*h_col/7))))-f_cd*(1-(1-MAX(0,MIN(1,IF(FC30&lt;=h_col,0.0035*(FC30-d_2)/FC30,0.002*(FC30-d_2)/(FC30-3*h_col/7))/0.002)))^2))+(MAX(-f_yd,MIN(f_yd,200000*IF(FC30&lt;=h_col,0.0035*(FC30-(h_col-d_2))/FC30,0.002*(FC30-(h_col-d_2))/(FC30-3*h_col/7))))-f_cd*(1-(1-MAX(0,MIN(1,IF(FC30&lt;=h_col,0.0035*(FC30-(h_col-d_2))/FC30,0.002*(FC30-(h_col-d_2))/(FC30-3*h_col/7))/0.002)))^2))))/1000</f>
        <v/>
      </c>
      <c r="FE30">
        <f>IF($FD30&lt;N_Ed-1E-9*MAX(1,N_Ed),(FA30+FB30)/2,FA30)</f>
        <v/>
      </c>
      <c r="FF30">
        <f>IF($FD30&lt;N_Ed-1E-9*MAX(1,N_Ed),FB30,(FA30+FB30)/2)</f>
        <v/>
      </c>
      <c r="FG30">
        <f>h_col*((FE30+FF30)/2)/(1-(FE30+FF30)/2)</f>
        <v/>
      </c>
      <c r="FH30">
        <f>(f_cd*b_col*((3*MIN(FG30,h_col)/7)+(4*MIN(FG30,h_col)/7)*(1-((4*MIN(FG30,h_col)/7)/(FG30-(3*MIN(FG30,h_col)/7)))^2/3))+$D30/2*((MAX(-f_yd,MIN(f_yd,200000*IF(FG30&lt;=h_col,0.0035*(FG30-d_2)/FG30,0.002*(FG30-d_2)/(FG30-3*h_col/7))))-f_cd*(1-(1-MAX(0,MIN(1,IF(FG30&lt;=h_col,0.0035*(FG30-d_2)/FG30,0.002*(FG30-d_2)/(FG30-3*h_col/7))/0.002)))^2))+(MAX(-f_yd,MIN(f_yd,200000*IF(FG30&lt;=h_col,0.0035*(FG30-(h_col-d_2))/FG30,0.002*(FG30-(h_col-d_2))/(FG30-3*h_col/7))))-f_cd*(1-(1-MAX(0,MIN(1,IF(FG30&lt;=h_col,0.0035*(FG30-(h_col-d_2))/FG30,0.002*(FG30-(h_col-d_2))/(FG30-3*h_col/7))/0.002)))^2))))/1000</f>
        <v/>
      </c>
      <c r="FI30">
        <f>IF($FH30&lt;N_Ed-1E-9*MAX(1,N_Ed),(FE30+FF30)/2,FE30)</f>
        <v/>
      </c>
      <c r="FJ30">
        <f>IF($FH30&lt;N_Ed-1E-9*MAX(1,N_Ed),FF30,(FE30+FF30)/2)</f>
        <v/>
      </c>
      <c r="FK30">
        <f>h_col*((FI30+FJ30)/2)/(1-(FI30+FJ30)/2)</f>
        <v/>
      </c>
      <c r="FL30">
        <f>(f_cd*b_col*((3*MIN(FK30,h_col)/7)+(4*MIN(FK30,h_col)/7)*(1-((4*MIN(FK30,h_col)/7)/(FK30-(3*MIN(FK30,h_col)/7)))^2/3))+$D30/2*((MAX(-f_yd,MIN(f_yd,200000*IF(FK30&lt;=h_col,0.0035*(FK30-d_2)/FK30,0.002*(FK30-d_2)/(FK30-3*h_col/7))))-f_cd*(1-(1-MAX(0,MIN(1,IF(FK30&lt;=h_col,0.0035*(FK30-d_2)/FK30,0.002*(FK30-d_2)/(FK30-3*h_col/7))/0.002)))^2))+(MAX(-f_yd,MIN(f_yd,200000*IF(FK30&lt;=h_col,0.0035*(FK30-(h_col-d_2))/FK30,0.002*(FK30-(h_col-d_2))/(FK30-3*h_col/7))))-f_cd*(1-(1-MAX(0,MIN(1,IF(FK30&lt;=h_col,0.0035*(FK30-(h_col-d_2))/FK30,0.002*(FK30-(h_col-d_2))/(FK30-3*h_col/7))/0.002)))^2))))/1000</f>
        <v/>
      </c>
      <c r="FM30">
        <f>IF($FL30&lt;N_Ed-1E-9*MAX(1,N_Ed),(FI30+FJ30)/2,FI30)</f>
        <v/>
      </c>
      <c r="FN30">
        <f>IF($FL30&lt;N_Ed-1E-9*MAX(1,N_Ed),FJ30,(FI30+FJ30)/2)</f>
        <v/>
      </c>
      <c r="FO30">
        <f>h_col*((FM30+FN30)/2)/(1-(FM30+FN30)/2)</f>
        <v/>
      </c>
      <c r="FP30">
        <f>(f_cd*b_col*((3*MIN(FO30,h_col)/7)+(4*MIN(FO30,h_col)/7)*(1-((4*MIN(FO30,h_col)/7)/(FO30-(3*MIN(FO30,h_col)/7)))^2/3))+$D30/2*((MAX(-f_yd,MIN(f_yd,200000*IF(FO30&lt;=h_col,0.0035*(FO30-d_2)/FO30,0.002*(FO30-d_2)/(FO30-3*h_col/7))))-f_cd*(1-(1-MAX(0,MIN(1,IF(FO30&lt;=h_col,0.0035*(FO30-d_2)/FO30,0.002*(FO30-d_2)/(FO30-3*h_col/7))/0.002)))^2))+(MAX(-f_yd,MIN(f_yd,200000*IF(FO30&lt;=h_col,0.0035*(FO30-(h_col-d_2))/FO30,0.002*(FO30-(h_col-d_2))/(FO30-3*h_col/7))))-f_cd*(1-(1-MAX(0,MIN(1,IF(FO30&lt;=h_col,0.0035*(FO30-(h_col-d_2))/FO30,0.002*(FO30-(h_col-d_2))/(FO30-3*h_col/7))/0.002)))^2))))/1000</f>
        <v/>
      </c>
      <c r="FQ30">
        <f>IF($FP30&lt;N_Ed-1E-9*MAX(1,N_Ed),(FM30+FN30)/2,FM30)</f>
        <v/>
      </c>
      <c r="FR30">
        <f>IF($FP30&lt;N_Ed-1E-9*MAX(1,N_Ed),FN30,(FM30+FN30)/2)</f>
        <v/>
      </c>
      <c r="FS30">
        <f>h_col*((FQ30+FR30)/2)/(1-(FQ30+FR30)/2)</f>
        <v/>
      </c>
      <c r="FT30">
        <f>(f_cd*b_col*((3*MIN(FS30,h_col)/7)+(4*MIN(FS30,h_col)/7)*(1-((4*MIN(FS30,h_col)/7)/(FS30-(3*MIN(FS30,h_col)/7)))^2/3))+$D30/2*((MAX(-f_yd,MIN(f_yd,200000*IF(FS30&lt;=h_col,0.0035*(FS30-d_2)/FS30,0.002*(FS30-d_2)/(FS30-3*h_col/7))))-f_cd*(1-(1-MAX(0,MIN(1,IF(FS30&lt;=h_col,0.0035*(FS30-d_2)/FS30,0.002*(FS30-d_2)/(FS30-3*h_col/7))/0.002)))^2))+(MAX(-f_yd,MIN(f_yd,200000*IF(FS30&lt;=h_col,0.0035*(FS30-(h_col-d_2))/FS30,0.002*(FS30-(h_col-d_2))/(FS30-3*h_col/7))))-f_cd*(1-(1-MAX(0,MIN(1,IF(FS30&lt;=h_col,0.0035*(FS30-(h_col-d_2))/FS30,0.002*(FS30-(h_col-d_2))/(FS30-3*h_col/7))/0.002)))^2))))/1000</f>
        <v/>
      </c>
      <c r="FU30">
        <f>IF($FT30&lt;N_Ed-1E-9*MAX(1,N_Ed),(FQ30+FR30)/2,FQ30)</f>
        <v/>
      </c>
      <c r="FV30">
        <f>IF($FT30&lt;N_Ed-1E-9*MAX(1,N_Ed),FR30,(FQ30+FR30)/2)</f>
        <v/>
      </c>
      <c r="FW30">
        <f>h_col*((FU30+FV30)/2)/(1-(FU30+FV30)/2)</f>
        <v/>
      </c>
      <c r="FX30">
        <f>(f_cd*b_col*((3*MIN(FW30,h_col)/7)+(4*MIN(FW30,h_col)/7)*(1-((4*MIN(FW30,h_col)/7)/(FW30-(3*MIN(FW30,h_col)/7)))^2/3))+$D30/2*((MAX(-f_yd,MIN(f_yd,200000*IF(FW30&lt;=h_col,0.0035*(FW30-d_2)/FW30,0.002*(FW30-d_2)/(FW30-3*h_col/7))))-f_cd*(1-(1-MAX(0,MIN(1,IF(FW30&lt;=h_col,0.0035*(FW30-d_2)/FW30,0.002*(FW30-d_2)/(FW30-3*h_col/7))/0.002)))^2))+(MAX(-f_yd,MIN(f_yd,200000*IF(FW30&lt;=h_col,0.0035*(FW30-(h_col-d_2))/FW30,0.002*(FW30-(h_col-d_2))/(FW30-3*h_col/7))))-f_cd*(1-(1-MAX(0,MIN(1,IF(FW30&lt;=h_col,0.0035*(FW30-(h_col-d_2))/FW30,0.002*(FW30-(h_col-d_2))/(FW30-3*h_col/7))/0.002)))^2))))/1000</f>
        <v/>
      </c>
      <c r="FY30">
        <f>IF($FX30&lt;N_Ed-1E-9*MAX(1,N_Ed),(FU30+FV30)/2,FU30)</f>
        <v/>
      </c>
      <c r="FZ30">
        <f>IF($FX30&lt;N_Ed-1E-9*MAX(1,N_Ed),FV30,(FU30+FV30)/2)</f>
        <v/>
      </c>
      <c r="GA30">
        <f>h_col*((FY30+FZ30)/2)/(1-(FY30+FZ30)/2)</f>
        <v/>
      </c>
      <c r="GB30">
        <f>(f_cd*b_col*((3*MIN(GA30,h_col)/7)+(4*MIN(GA30,h_col)/7)*(1-((4*MIN(GA30,h_col)/7)/(GA30-(3*MIN(GA30,h_col)/7)))^2/3))+$D30/2*((MAX(-f_yd,MIN(f_yd,200000*IF(GA30&lt;=h_col,0.0035*(GA30-d_2)/GA30,0.002*(GA30-d_2)/(GA30-3*h_col/7))))-f_cd*(1-(1-MAX(0,MIN(1,IF(GA30&lt;=h_col,0.0035*(GA30-d_2)/GA30,0.002*(GA30-d_2)/(GA30-3*h_col/7))/0.002)))^2))+(MAX(-f_yd,MIN(f_yd,200000*IF(GA30&lt;=h_col,0.0035*(GA30-(h_col-d_2))/GA30,0.002*(GA30-(h_col-d_2))/(GA30-3*h_col/7))))-f_cd*(1-(1-MAX(0,MIN(1,IF(GA30&lt;=h_col,0.0035*(GA30-(h_col-d_2))/GA30,0.002*(GA30-(h_col-d_2))/(GA30-3*h_col/7))/0.002)))^2))))/1000</f>
        <v/>
      </c>
      <c r="GC30">
        <f>IF($GB30&lt;N_Ed-1E-9*MAX(1,N_Ed),(FY30+FZ30)/2,FY30)</f>
        <v/>
      </c>
      <c r="GD30">
        <f>IF($GB30&lt;N_Ed-1E-9*MAX(1,N_Ed),FZ30,(FY30+FZ30)/2)</f>
        <v/>
      </c>
      <c r="GE30">
        <f>h_col*((GC30+GD30)/2)/(1-(GC30+GD30)/2)</f>
        <v/>
      </c>
      <c r="GF30">
        <f>(f_cd*b_col*((3*MIN(GE30,h_col)/7)+(4*MIN(GE30,h_col)/7)*(1-((4*MIN(GE30,h_col)/7)/(GE30-(3*MIN(GE30,h_col)/7)))^2/3))+$D30/2*((MAX(-f_yd,MIN(f_yd,200000*IF(GE30&lt;=h_col,0.0035*(GE30-d_2)/GE30,0.002*(GE30-d_2)/(GE30-3*h_col/7))))-f_cd*(1-(1-MAX(0,MIN(1,IF(GE30&lt;=h_col,0.0035*(GE30-d_2)/GE30,0.002*(GE30-d_2)/(GE30-3*h_col/7))/0.002)))^2))+(MAX(-f_yd,MIN(f_yd,200000*IF(GE30&lt;=h_col,0.0035*(GE30-(h_col-d_2))/GE30,0.002*(GE30-(h_col-d_2))/(GE30-3*h_col/7))))-f_cd*(1-(1-MAX(0,MIN(1,IF(GE30&lt;=h_col,0.0035*(GE30-(h_col-d_2))/GE30,0.002*(GE30-(h_col-d_2))/(GE30-3*h_col/7))/0.002)))^2))))/1000</f>
        <v/>
      </c>
      <c r="GG30">
        <f>IF($GF30&lt;N_Ed-1E-9*MAX(1,N_Ed),(GC30+GD30)/2,GC30)</f>
        <v/>
      </c>
      <c r="GH30">
        <f>IF($GF30&lt;N_Ed-1E-9*MAX(1,N_Ed),GD30,(GC30+GD30)/2)</f>
        <v/>
      </c>
      <c r="GI30">
        <f>h_col*((GG30+GH30)/2)/(1-(GG30+GH30)/2)</f>
        <v/>
      </c>
      <c r="GJ30">
        <f>(f_cd*b_col*((3*MIN(GI30,h_col)/7)+(4*MIN(GI30,h_col)/7)*(1-((4*MIN(GI30,h_col)/7)/(GI30-(3*MIN(GI30,h_col)/7)))^2/3))+$D30/2*((MAX(-f_yd,MIN(f_yd,200000*IF(GI30&lt;=h_col,0.0035*(GI30-d_2)/GI30,0.002*(GI30-d_2)/(GI30-3*h_col/7))))-f_cd*(1-(1-MAX(0,MIN(1,IF(GI30&lt;=h_col,0.0035*(GI30-d_2)/GI30,0.002*(GI30-d_2)/(GI30-3*h_col/7))/0.002)))^2))+(MAX(-f_yd,MIN(f_yd,200000*IF(GI30&lt;=h_col,0.0035*(GI30-(h_col-d_2))/GI30,0.002*(GI30-(h_col-d_2))/(GI30-3*h_col/7))))-f_cd*(1-(1-MAX(0,MIN(1,IF(GI30&lt;=h_col,0.0035*(GI30-(h_col-d_2))/GI30,0.002*(GI30-(h_col-d_2))/(GI30-3*h_col/7))/0.002)))^2))))/1000</f>
        <v/>
      </c>
      <c r="GK30">
        <f>IF($GJ30&lt;N_Ed-1E-9*MAX(1,N_Ed),(GG30+GH30)/2,GG30)</f>
        <v/>
      </c>
      <c r="GL30">
        <f>IF($GJ30&lt;N_Ed-1E-9*MAX(1,N_Ed),GH30,(GG30+GH30)/2)</f>
        <v/>
      </c>
      <c r="GM30">
        <f>h_col*((GK30+GL30)/2)/(1-(GK30+GL30)/2)</f>
        <v/>
      </c>
      <c r="GN30">
        <f>(f_cd*b_col*((3*MIN(GM30,h_col)/7)+(4*MIN(GM30,h_col)/7)*(1-((4*MIN(GM30,h_col)/7)/(GM30-(3*MIN(GM30,h_col)/7)))^2/3))+$D30/2*((MAX(-f_yd,MIN(f_yd,200000*IF(GM30&lt;=h_col,0.0035*(GM30-d_2)/GM30,0.002*(GM30-d_2)/(GM30-3*h_col/7))))-f_cd*(1-(1-MAX(0,MIN(1,IF(GM30&lt;=h_col,0.0035*(GM30-d_2)/GM30,0.002*(GM30-d_2)/(GM30-3*h_col/7))/0.002)))^2))+(MAX(-f_yd,MIN(f_yd,200000*IF(GM30&lt;=h_col,0.0035*(GM30-(h_col-d_2))/GM30,0.002*(GM30-(h_col-d_2))/(GM30-3*h_col/7))))-f_cd*(1-(1-MAX(0,MIN(1,IF(GM30&lt;=h_col,0.0035*(GM30-(h_col-d_2))/GM30,0.002*(GM30-(h_col-d_2))/(GM30-3*h_col/7))/0.002)))^2))))/1000</f>
        <v/>
      </c>
      <c r="GO30">
        <f>IF($GN30&lt;N_Ed-1E-9*MAX(1,N_Ed),(GK30+GL30)/2,GK30)</f>
        <v/>
      </c>
      <c r="GP30">
        <f>IF($GN30&lt;N_Ed-1E-9*MAX(1,N_Ed),GL30,(GK30+GL30)/2)</f>
        <v/>
      </c>
      <c r="GQ30">
        <f>h_col*((GO30+GP30)/2)/(1-(GO30+GP30)/2)</f>
        <v/>
      </c>
      <c r="GR30">
        <f>(f_cd*b_col*((3*MIN(GQ30,h_col)/7)+(4*MIN(GQ30,h_col)/7)*(1-((4*MIN(GQ30,h_col)/7)/(GQ30-(3*MIN(GQ30,h_col)/7)))^2/3))+$D30/2*((MAX(-f_yd,MIN(f_yd,200000*IF(GQ30&lt;=h_col,0.0035*(GQ30-d_2)/GQ30,0.002*(GQ30-d_2)/(GQ30-3*h_col/7))))-f_cd*(1-(1-MAX(0,MIN(1,IF(GQ30&lt;=h_col,0.0035*(GQ30-d_2)/GQ30,0.002*(GQ30-d_2)/(GQ30-3*h_col/7))/0.002)))^2))+(MAX(-f_yd,MIN(f_yd,200000*IF(GQ30&lt;=h_col,0.0035*(GQ30-(h_col-d_2))/GQ30,0.002*(GQ30-(h_col-d_2))/(GQ30-3*h_col/7))))-f_cd*(1-(1-MAX(0,MIN(1,IF(GQ30&lt;=h_col,0.0035*(GQ30-(h_col-d_2))/GQ30,0.002*(GQ30-(h_col-d_2))/(GQ30-3*h_col/7))/0.002)))^2))))/1000</f>
        <v/>
      </c>
      <c r="GS30">
        <f>IF($GR30&lt;N_Ed-1E-9*MAX(1,N_Ed),(GO30+GP30)/2,GO30)</f>
        <v/>
      </c>
      <c r="GT30">
        <f>IF($GR30&lt;N_Ed-1E-9*MAX(1,N_Ed),GP30,(GO30+GP30)/2)</f>
        <v/>
      </c>
      <c r="GU30">
        <f>h_col*((GS30+GT30)/2)/(1-(GS30+GT30)/2)</f>
        <v/>
      </c>
      <c r="GV30">
        <f>(f_cd*b_col*((3*MIN(GU30,h_col)/7)+(4*MIN(GU30,h_col)/7)*(1-((4*MIN(GU30,h_col)/7)/(GU30-(3*MIN(GU30,h_col)/7)))^2/3))+$D30/2*((MAX(-f_yd,MIN(f_yd,200000*IF(GU30&lt;=h_col,0.0035*(GU30-d_2)/GU30,0.002*(GU30-d_2)/(GU30-3*h_col/7))))-f_cd*(1-(1-MAX(0,MIN(1,IF(GU30&lt;=h_col,0.0035*(GU30-d_2)/GU30,0.002*(GU30-d_2)/(GU30-3*h_col/7))/0.002)))^2))+(MAX(-f_yd,MIN(f_yd,200000*IF(GU30&lt;=h_col,0.0035*(GU30-(h_col-d_2))/GU30,0.002*(GU30-(h_col-d_2))/(GU30-3*h_col/7))))-f_cd*(1-(1-MAX(0,MIN(1,IF(GU30&lt;=h_col,0.0035*(GU30-(h_col-d_2))/GU30,0.002*(GU30-(h_col-d_2))/(GU30-3*h_col/7))/0.002)))^2))))/1000</f>
        <v/>
      </c>
      <c r="GW30">
        <f>GU30</f>
        <v/>
      </c>
      <c r="GX30">
        <f>(f_cd*b_col*((3*MIN(GW30,h_col)/7)+(4*MIN(GW30,h_col)/7)*(1-((4*MIN(GW30,h_col)/7)/(GW30-(3*MIN(GW30,h_col)/7)))^2/3))+$D30/2*((MAX(-f_yd,MIN(f_yd,200000*IF(GW30&lt;=h_col,0.0035*(GW30-d_2)/GW30,0.002*(GW30-d_2)/(GW30-3*h_col/7))))-f_cd*(1-(1-MAX(0,MIN(1,IF(GW30&lt;=h_col,0.0035*(GW30-d_2)/GW30,0.002*(GW30-d_2)/(GW30-3*h_col/7))/0.002)))^2))+(MAX(-f_yd,MIN(f_yd,200000*IF(GW30&lt;=h_col,0.0035*(GW30-(h_col-d_2))/GW30,0.002*(GW30-(h_col-d_2))/(GW30-3*h_col/7))))-f_cd*(1-(1-MAX(0,MIN(1,IF(GW30&lt;=h_col,0.0035*(GW30-(h_col-d_2))/GW30,0.002*(GW30-(h_col-d_2))/(GW30-3*h_col/7))/0.002)))^2))))/1000</f>
        <v/>
      </c>
      <c r="GY30">
        <f>(f_cd*b_col*((3*MIN(GW30,h_col)/7)*(h_col/2-(3*MIN(GW30,h_col)/7)/2)+(4*MIN(GW30,h_col)/7)*((h_col/2-(3*MIN(GW30,h_col)/7))*(1-((4*MIN(GW30,h_col)/7)/(GW30-(3*MIN(GW30,h_col)/7)))^2/3)-(4*MIN(GW30,h_col)/7)*(0.5-((4*MIN(GW30,h_col)/7)/(GW30-(3*MIN(GW30,h_col)/7)))^2/4)))+$D30/2*((MAX(-f_yd,MIN(f_yd,200000*IF(GW30&lt;=h_col,0.0035*(GW30-d_2)/GW30,0.002*(GW30-d_2)/(GW30-3*h_col/7))))-f_cd*(1-(1-MAX(0,MIN(1,IF(GW30&lt;=h_col,0.0035*(GW30-d_2)/GW30,0.002*(GW30-d_2)/(GW30-3*h_col/7))/0.002)))^2))-(MAX(-f_yd,MIN(f_yd,200000*IF(GW30&lt;=h_col,0.0035*(GW30-(h_col-d_2))/GW30,0.002*(GW30-(h_col-d_2))/(GW30-3*h_col/7))))-f_cd*(1-(1-MAX(0,MIN(1,IF(GW30&lt;=h_col,0.0035*(GW30-(h_col-d_2))/GW30,0.002*(GW30-(h_col-d_2))/(GW30-3*h_col/7))/0.002)))^2)))*(h_col/2-d_2))/1E6</f>
        <v/>
      </c>
      <c r="GZ30">
        <f>GX30&gt;=N_Ed-1E-6*MAX(1,N_Ed)</f>
        <v/>
      </c>
      <c r="HA30">
        <f>IF(GZ30,GY30,-1E9)</f>
        <v/>
      </c>
    </row>
    <row r="31">
      <c r="A31" t="n">
        <v>26</v>
      </c>
      <c r="B31">
        <f>IF($HA30&gt;=M_d,$B30,$D30)</f>
        <v/>
      </c>
      <c r="C31">
        <f>IF($HA30&gt;=M_d,$D30,$C30)</f>
        <v/>
      </c>
      <c r="D31">
        <f>($B31+$C31)/2</f>
        <v/>
      </c>
      <c r="E31" t="n">
        <v>0</v>
      </c>
      <c r="F31">
        <f>1-1E-12</f>
        <v/>
      </c>
      <c r="G31">
        <f>h_col*((E31+F31)/2)/(1-(E31+F31)/2)</f>
        <v/>
      </c>
      <c r="H31">
        <f>(f_cd*b_col*((3*MIN(G31,h_col)/7)+(4*MIN(G31,h_col)/7)*(1-((4*MIN(G31,h_col)/7)/(G31-(3*MIN(G31,h_col)/7)))^2/3))+$D31/2*((MAX(-f_yd,MIN(f_yd,200000*IF(G31&lt;=h_col,0.0035*(G31-d_2)/G31,0.002*(G31-d_2)/(G31-3*h_col/7))))-f_cd*(1-(1-MAX(0,MIN(1,IF(G31&lt;=h_col,0.0035*(G31-d_2)/G31,0.002*(G31-d_2)/(G31-3*h_col/7))/0.002)))^2))+(MAX(-f_yd,MIN(f_yd,200000*IF(G31&lt;=h_col,0.0035*(G31-(h_col-d_2))/G31,0.002*(G31-(h_col-d_2))/(G31-3*h_col/7))))-f_cd*(1-(1-MAX(0,MIN(1,IF(G31&lt;=h_col,0.0035*(G31-(h_col-d_2))/G31,0.002*(G31-(h_col-d_2))/(G31-3*h_col/7))/0.002)))^2))))/1000</f>
        <v/>
      </c>
      <c r="I31">
        <f>IF($H31&lt;N_Ed-1E-9*MAX(1,N_Ed),(E31+F31)/2,E31)</f>
        <v/>
      </c>
      <c r="J31">
        <f>IF($H31&lt;N_Ed-1E-9*MAX(1,N_Ed),F31,(E31+F31)/2)</f>
        <v/>
      </c>
      <c r="K31">
        <f>h_col*((I31+J31)/2)/(1-(I31+J31)/2)</f>
        <v/>
      </c>
      <c r="L31">
        <f>(f_cd*b_col*((3*MIN(K31,h_col)/7)+(4*MIN(K31,h_col)/7)*(1-((4*MIN(K31,h_col)/7)/(K31-(3*MIN(K31,h_col)/7)))^2/3))+$D31/2*((MAX(-f_yd,MIN(f_yd,200000*IF(K31&lt;=h_col,0.0035*(K31-d_2)/K31,0.002*(K31-d_2)/(K31-3*h_col/7))))-f_cd*(1-(1-MAX(0,MIN(1,IF(K31&lt;=h_col,0.0035*(K31-d_2)/K31,0.002*(K31-d_2)/(K31-3*h_col/7))/0.002)))^2))+(MAX(-f_yd,MIN(f_yd,200000*IF(K31&lt;=h_col,0.0035*(K31-(h_col-d_2))/K31,0.002*(K31-(h_col-d_2))/(K31-3*h_col/7))))-f_cd*(1-(1-MAX(0,MIN(1,IF(K31&lt;=h_col,0.0035*(K31-(h_col-d_2))/K31,0.002*(K31-(h_col-d_2))/(K31-3*h_col/7))/0.002)))^2))))/1000</f>
        <v/>
      </c>
      <c r="M31">
        <f>IF($L31&lt;N_Ed-1E-9*MAX(1,N_Ed),(I31+J31)/2,I31)</f>
        <v/>
      </c>
      <c r="N31">
        <f>IF($L31&lt;N_Ed-1E-9*MAX(1,N_Ed),J31,(I31+J31)/2)</f>
        <v/>
      </c>
      <c r="O31">
        <f>h_col*((M31+N31)/2)/(1-(M31+N31)/2)</f>
        <v/>
      </c>
      <c r="P31">
        <f>(f_cd*b_col*((3*MIN(O31,h_col)/7)+(4*MIN(O31,h_col)/7)*(1-((4*MIN(O31,h_col)/7)/(O31-(3*MIN(O31,h_col)/7)))^2/3))+$D31/2*((MAX(-f_yd,MIN(f_yd,200000*IF(O31&lt;=h_col,0.0035*(O31-d_2)/O31,0.002*(O31-d_2)/(O31-3*h_col/7))))-f_cd*(1-(1-MAX(0,MIN(1,IF(O31&lt;=h_col,0.0035*(O31-d_2)/O31,0.002*(O31-d_2)/(O31-3*h_col/7))/0.002)))^2))+(MAX(-f_yd,MIN(f_yd,200000*IF(O31&lt;=h_col,0.0035*(O31-(h_col-d_2))/O31,0.002*(O31-(h_col-d_2))/(O31-3*h_col/7))))-f_cd*(1-(1-MAX(0,MIN(1,IF(O31&lt;=h_col,0.0035*(O31-(h_col-d_2))/O31,0.002*(O31-(h_col-d_2))/(O31-3*h_col/7))/0.002)))^2))))/1000</f>
        <v/>
      </c>
      <c r="Q31">
        <f>IF($P31&lt;N_Ed-1E-9*MAX(1,N_Ed),(M31+N31)/2,M31)</f>
        <v/>
      </c>
      <c r="R31">
        <f>IF($P31&lt;N_Ed-1E-9*MAX(1,N_Ed),N31,(M31+N31)/2)</f>
        <v/>
      </c>
      <c r="S31">
        <f>h_col*((Q31+R31)/2)/(1-(Q31+R31)/2)</f>
        <v/>
      </c>
      <c r="T31">
        <f>(f_cd*b_col*((3*MIN(S31,h_col)/7)+(4*MIN(S31,h_col)/7)*(1-((4*MIN(S31,h_col)/7)/(S31-(3*MIN(S31,h_col)/7)))^2/3))+$D31/2*((MAX(-f_yd,MIN(f_yd,200000*IF(S31&lt;=h_col,0.0035*(S31-d_2)/S31,0.002*(S31-d_2)/(S31-3*h_col/7))))-f_cd*(1-(1-MAX(0,MIN(1,IF(S31&lt;=h_col,0.0035*(S31-d_2)/S31,0.002*(S31-d_2)/(S31-3*h_col/7))/0.002)))^2))+(MAX(-f_yd,MIN(f_yd,200000*IF(S31&lt;=h_col,0.0035*(S31-(h_col-d_2))/S31,0.002*(S31-(h_col-d_2))/(S31-3*h_col/7))))-f_cd*(1-(1-MAX(0,MIN(1,IF(S31&lt;=h_col,0.0035*(S31-(h_col-d_2))/S31,0.002*(S31-(h_col-d_2))/(S31-3*h_col/7))/0.002)))^2))))/1000</f>
        <v/>
      </c>
      <c r="U31">
        <f>IF($T31&lt;N_Ed-1E-9*MAX(1,N_Ed),(Q31+R31)/2,Q31)</f>
        <v/>
      </c>
      <c r="V31">
        <f>IF($T31&lt;N_Ed-1E-9*MAX(1,N_Ed),R31,(Q31+R31)/2)</f>
        <v/>
      </c>
      <c r="W31">
        <f>h_col*((U31+V31)/2)/(1-(U31+V31)/2)</f>
        <v/>
      </c>
      <c r="X31">
        <f>(f_cd*b_col*((3*MIN(W31,h_col)/7)+(4*MIN(W31,h_col)/7)*(1-((4*MIN(W31,h_col)/7)/(W31-(3*MIN(W31,h_col)/7)))^2/3))+$D31/2*((MAX(-f_yd,MIN(f_yd,200000*IF(W31&lt;=h_col,0.0035*(W31-d_2)/W31,0.002*(W31-d_2)/(W31-3*h_col/7))))-f_cd*(1-(1-MAX(0,MIN(1,IF(W31&lt;=h_col,0.0035*(W31-d_2)/W31,0.002*(W31-d_2)/(W31-3*h_col/7))/0.002)))^2))+(MAX(-f_yd,MIN(f_yd,200000*IF(W31&lt;=h_col,0.0035*(W31-(h_col-d_2))/W31,0.002*(W31-(h_col-d_2))/(W31-3*h_col/7))))-f_cd*(1-(1-MAX(0,MIN(1,IF(W31&lt;=h_col,0.0035*(W31-(h_col-d_2))/W31,0.002*(W31-(h_col-d_2))/(W31-3*h_col/7))/0.002)))^2))))/1000</f>
        <v/>
      </c>
      <c r="Y31">
        <f>IF($X31&lt;N_Ed-1E-9*MAX(1,N_Ed),(U31+V31)/2,U31)</f>
        <v/>
      </c>
      <c r="Z31">
        <f>IF($X31&lt;N_Ed-1E-9*MAX(1,N_Ed),V31,(U31+V31)/2)</f>
        <v/>
      </c>
      <c r="AA31">
        <f>h_col*((Y31+Z31)/2)/(1-(Y31+Z31)/2)</f>
        <v/>
      </c>
      <c r="AB31">
        <f>(f_cd*b_col*((3*MIN(AA31,h_col)/7)+(4*MIN(AA31,h_col)/7)*(1-((4*MIN(AA31,h_col)/7)/(AA31-(3*MIN(AA31,h_col)/7)))^2/3))+$D31/2*((MAX(-f_yd,MIN(f_yd,200000*IF(AA31&lt;=h_col,0.0035*(AA31-d_2)/AA31,0.002*(AA31-d_2)/(AA31-3*h_col/7))))-f_cd*(1-(1-MAX(0,MIN(1,IF(AA31&lt;=h_col,0.0035*(AA31-d_2)/AA31,0.002*(AA31-d_2)/(AA31-3*h_col/7))/0.002)))^2))+(MAX(-f_yd,MIN(f_yd,200000*IF(AA31&lt;=h_col,0.0035*(AA31-(h_col-d_2))/AA31,0.002*(AA31-(h_col-d_2))/(AA31-3*h_col/7))))-f_cd*(1-(1-MAX(0,MIN(1,IF(AA31&lt;=h_col,0.0035*(AA31-(h_col-d_2))/AA31,0.002*(AA31-(h_col-d_2))/(AA31-3*h_col/7))/0.002)))^2))))/1000</f>
        <v/>
      </c>
      <c r="AC31">
        <f>IF($AB31&lt;N_Ed-1E-9*MAX(1,N_Ed),(Y31+Z31)/2,Y31)</f>
        <v/>
      </c>
      <c r="AD31">
        <f>IF($AB31&lt;N_Ed-1E-9*MAX(1,N_Ed),Z31,(Y31+Z31)/2)</f>
        <v/>
      </c>
      <c r="AE31">
        <f>h_col*((AC31+AD31)/2)/(1-(AC31+AD31)/2)</f>
        <v/>
      </c>
      <c r="AF31">
        <f>(f_cd*b_col*((3*MIN(AE31,h_col)/7)+(4*MIN(AE31,h_col)/7)*(1-((4*MIN(AE31,h_col)/7)/(AE31-(3*MIN(AE31,h_col)/7)))^2/3))+$D31/2*((MAX(-f_yd,MIN(f_yd,200000*IF(AE31&lt;=h_col,0.0035*(AE31-d_2)/AE31,0.002*(AE31-d_2)/(AE31-3*h_col/7))))-f_cd*(1-(1-MAX(0,MIN(1,IF(AE31&lt;=h_col,0.0035*(AE31-d_2)/AE31,0.002*(AE31-d_2)/(AE31-3*h_col/7))/0.002)))^2))+(MAX(-f_yd,MIN(f_yd,200000*IF(AE31&lt;=h_col,0.0035*(AE31-(h_col-d_2))/AE31,0.002*(AE31-(h_col-d_2))/(AE31-3*h_col/7))))-f_cd*(1-(1-MAX(0,MIN(1,IF(AE31&lt;=h_col,0.0035*(AE31-(h_col-d_2))/AE31,0.002*(AE31-(h_col-d_2))/(AE31-3*h_col/7))/0.002)))^2))))/1000</f>
        <v/>
      </c>
      <c r="AG31">
        <f>IF($AF31&lt;N_Ed-1E-9*MAX(1,N_Ed),(AC31+AD31)/2,AC31)</f>
        <v/>
      </c>
      <c r="AH31">
        <f>IF($AF31&lt;N_Ed-1E-9*MAX(1,N_Ed),AD31,(AC31+AD31)/2)</f>
        <v/>
      </c>
      <c r="AI31">
        <f>h_col*((AG31+AH31)/2)/(1-(AG31+AH31)/2)</f>
        <v/>
      </c>
      <c r="AJ31">
        <f>(f_cd*b_col*((3*MIN(AI31,h_col)/7)+(4*MIN(AI31,h_col)/7)*(1-((4*MIN(AI31,h_col)/7)/(AI31-(3*MIN(AI31,h_col)/7)))^2/3))+$D31/2*((MAX(-f_yd,MIN(f_yd,200000*IF(AI31&lt;=h_col,0.0035*(AI31-d_2)/AI31,0.002*(AI31-d_2)/(AI31-3*h_col/7))))-f_cd*(1-(1-MAX(0,MIN(1,IF(AI31&lt;=h_col,0.0035*(AI31-d_2)/AI31,0.002*(AI31-d_2)/(AI31-3*h_col/7))/0.002)))^2))+(MAX(-f_yd,MIN(f_yd,200000*IF(AI31&lt;=h_col,0.0035*(AI31-(h_col-d_2))/AI31,0.002*(AI31-(h_col-d_2))/(AI31-3*h_col/7))))-f_cd*(1-(1-MAX(0,MIN(1,IF(AI31&lt;=h_col,0.0035*(AI31-(h_col-d_2))/AI31,0.002*(AI31-(h_col-d_2))/(AI31-3*h_col/7))/0.002)))^2))))/1000</f>
        <v/>
      </c>
      <c r="AK31">
        <f>IF($AJ31&lt;N_Ed-1E-9*MAX(1,N_Ed),(AG31+AH31)/2,AG31)</f>
        <v/>
      </c>
      <c r="AL31">
        <f>IF($AJ31&lt;N_Ed-1E-9*MAX(1,N_Ed),AH31,(AG31+AH31)/2)</f>
        <v/>
      </c>
      <c r="AM31">
        <f>h_col*((AK31+AL31)/2)/(1-(AK31+AL31)/2)</f>
        <v/>
      </c>
      <c r="AN31">
        <f>(f_cd*b_col*((3*MIN(AM31,h_col)/7)+(4*MIN(AM31,h_col)/7)*(1-((4*MIN(AM31,h_col)/7)/(AM31-(3*MIN(AM31,h_col)/7)))^2/3))+$D31/2*((MAX(-f_yd,MIN(f_yd,200000*IF(AM31&lt;=h_col,0.0035*(AM31-d_2)/AM31,0.002*(AM31-d_2)/(AM31-3*h_col/7))))-f_cd*(1-(1-MAX(0,MIN(1,IF(AM31&lt;=h_col,0.0035*(AM31-d_2)/AM31,0.002*(AM31-d_2)/(AM31-3*h_col/7))/0.002)))^2))+(MAX(-f_yd,MIN(f_yd,200000*IF(AM31&lt;=h_col,0.0035*(AM31-(h_col-d_2))/AM31,0.002*(AM31-(h_col-d_2))/(AM31-3*h_col/7))))-f_cd*(1-(1-MAX(0,MIN(1,IF(AM31&lt;=h_col,0.0035*(AM31-(h_col-d_2))/AM31,0.002*(AM31-(h_col-d_2))/(AM31-3*h_col/7))/0.002)))^2))))/1000</f>
        <v/>
      </c>
      <c r="AO31">
        <f>IF($AN31&lt;N_Ed-1E-9*MAX(1,N_Ed),(AK31+AL31)/2,AK31)</f>
        <v/>
      </c>
      <c r="AP31">
        <f>IF($AN31&lt;N_Ed-1E-9*MAX(1,N_Ed),AL31,(AK31+AL31)/2)</f>
        <v/>
      </c>
      <c r="AQ31">
        <f>h_col*((AO31+AP31)/2)/(1-(AO31+AP31)/2)</f>
        <v/>
      </c>
      <c r="AR31">
        <f>(f_cd*b_col*((3*MIN(AQ31,h_col)/7)+(4*MIN(AQ31,h_col)/7)*(1-((4*MIN(AQ31,h_col)/7)/(AQ31-(3*MIN(AQ31,h_col)/7)))^2/3))+$D31/2*((MAX(-f_yd,MIN(f_yd,200000*IF(AQ31&lt;=h_col,0.0035*(AQ31-d_2)/AQ31,0.002*(AQ31-d_2)/(AQ31-3*h_col/7))))-f_cd*(1-(1-MAX(0,MIN(1,IF(AQ31&lt;=h_col,0.0035*(AQ31-d_2)/AQ31,0.002*(AQ31-d_2)/(AQ31-3*h_col/7))/0.002)))^2))+(MAX(-f_yd,MIN(f_yd,200000*IF(AQ31&lt;=h_col,0.0035*(AQ31-(h_col-d_2))/AQ31,0.002*(AQ31-(h_col-d_2))/(AQ31-3*h_col/7))))-f_cd*(1-(1-MAX(0,MIN(1,IF(AQ31&lt;=h_col,0.0035*(AQ31-(h_col-d_2))/AQ31,0.002*(AQ31-(h_col-d_2))/(AQ31-3*h_col/7))/0.002)))^2))))/1000</f>
        <v/>
      </c>
      <c r="AS31">
        <f>IF($AR31&lt;N_Ed-1E-9*MAX(1,N_Ed),(AO31+AP31)/2,AO31)</f>
        <v/>
      </c>
      <c r="AT31">
        <f>IF($AR31&lt;N_Ed-1E-9*MAX(1,N_Ed),AP31,(AO31+AP31)/2)</f>
        <v/>
      </c>
      <c r="AU31">
        <f>h_col*((AS31+AT31)/2)/(1-(AS31+AT31)/2)</f>
        <v/>
      </c>
      <c r="AV31">
        <f>(f_cd*b_col*((3*MIN(AU31,h_col)/7)+(4*MIN(AU31,h_col)/7)*(1-((4*MIN(AU31,h_col)/7)/(AU31-(3*MIN(AU31,h_col)/7)))^2/3))+$D31/2*((MAX(-f_yd,MIN(f_yd,200000*IF(AU31&lt;=h_col,0.0035*(AU31-d_2)/AU31,0.002*(AU31-d_2)/(AU31-3*h_col/7))))-f_cd*(1-(1-MAX(0,MIN(1,IF(AU31&lt;=h_col,0.0035*(AU31-d_2)/AU31,0.002*(AU31-d_2)/(AU31-3*h_col/7))/0.002)))^2))+(MAX(-f_yd,MIN(f_yd,200000*IF(AU31&lt;=h_col,0.0035*(AU31-(h_col-d_2))/AU31,0.002*(AU31-(h_col-d_2))/(AU31-3*h_col/7))))-f_cd*(1-(1-MAX(0,MIN(1,IF(AU31&lt;=h_col,0.0035*(AU31-(h_col-d_2))/AU31,0.002*(AU31-(h_col-d_2))/(AU31-3*h_col/7))/0.002)))^2))))/1000</f>
        <v/>
      </c>
      <c r="AW31">
        <f>IF($AV31&lt;N_Ed-1E-9*MAX(1,N_Ed),(AS31+AT31)/2,AS31)</f>
        <v/>
      </c>
      <c r="AX31">
        <f>IF($AV31&lt;N_Ed-1E-9*MAX(1,N_Ed),AT31,(AS31+AT31)/2)</f>
        <v/>
      </c>
      <c r="AY31">
        <f>h_col*((AW31+AX31)/2)/(1-(AW31+AX31)/2)</f>
        <v/>
      </c>
      <c r="AZ31">
        <f>(f_cd*b_col*((3*MIN(AY31,h_col)/7)+(4*MIN(AY31,h_col)/7)*(1-((4*MIN(AY31,h_col)/7)/(AY31-(3*MIN(AY31,h_col)/7)))^2/3))+$D31/2*((MAX(-f_yd,MIN(f_yd,200000*IF(AY31&lt;=h_col,0.0035*(AY31-d_2)/AY31,0.002*(AY31-d_2)/(AY31-3*h_col/7))))-f_cd*(1-(1-MAX(0,MIN(1,IF(AY31&lt;=h_col,0.0035*(AY31-d_2)/AY31,0.002*(AY31-d_2)/(AY31-3*h_col/7))/0.002)))^2))+(MAX(-f_yd,MIN(f_yd,200000*IF(AY31&lt;=h_col,0.0035*(AY31-(h_col-d_2))/AY31,0.002*(AY31-(h_col-d_2))/(AY31-3*h_col/7))))-f_cd*(1-(1-MAX(0,MIN(1,IF(AY31&lt;=h_col,0.0035*(AY31-(h_col-d_2))/AY31,0.002*(AY31-(h_col-d_2))/(AY31-3*h_col/7))/0.002)))^2))))/1000</f>
        <v/>
      </c>
      <c r="BA31">
        <f>IF($AZ31&lt;N_Ed-1E-9*MAX(1,N_Ed),(AW31+AX31)/2,AW31)</f>
        <v/>
      </c>
      <c r="BB31">
        <f>IF($AZ31&lt;N_Ed-1E-9*MAX(1,N_Ed),AX31,(AW31+AX31)/2)</f>
        <v/>
      </c>
      <c r="BC31">
        <f>h_col*((BA31+BB31)/2)/(1-(BA31+BB31)/2)</f>
        <v/>
      </c>
      <c r="BD31">
        <f>(f_cd*b_col*((3*MIN(BC31,h_col)/7)+(4*MIN(BC31,h_col)/7)*(1-((4*MIN(BC31,h_col)/7)/(BC31-(3*MIN(BC31,h_col)/7)))^2/3))+$D31/2*((MAX(-f_yd,MIN(f_yd,200000*IF(BC31&lt;=h_col,0.0035*(BC31-d_2)/BC31,0.002*(BC31-d_2)/(BC31-3*h_col/7))))-f_cd*(1-(1-MAX(0,MIN(1,IF(BC31&lt;=h_col,0.0035*(BC31-d_2)/BC31,0.002*(BC31-d_2)/(BC31-3*h_col/7))/0.002)))^2))+(MAX(-f_yd,MIN(f_yd,200000*IF(BC31&lt;=h_col,0.0035*(BC31-(h_col-d_2))/BC31,0.002*(BC31-(h_col-d_2))/(BC31-3*h_col/7))))-f_cd*(1-(1-MAX(0,MIN(1,IF(BC31&lt;=h_col,0.0035*(BC31-(h_col-d_2))/BC31,0.002*(BC31-(h_col-d_2))/(BC31-3*h_col/7))/0.002)))^2))))/1000</f>
        <v/>
      </c>
      <c r="BE31">
        <f>IF($BD31&lt;N_Ed-1E-9*MAX(1,N_Ed),(BA31+BB31)/2,BA31)</f>
        <v/>
      </c>
      <c r="BF31">
        <f>IF($BD31&lt;N_Ed-1E-9*MAX(1,N_Ed),BB31,(BA31+BB31)/2)</f>
        <v/>
      </c>
      <c r="BG31">
        <f>h_col*((BE31+BF31)/2)/(1-(BE31+BF31)/2)</f>
        <v/>
      </c>
      <c r="BH31">
        <f>(f_cd*b_col*((3*MIN(BG31,h_col)/7)+(4*MIN(BG31,h_col)/7)*(1-((4*MIN(BG31,h_col)/7)/(BG31-(3*MIN(BG31,h_col)/7)))^2/3))+$D31/2*((MAX(-f_yd,MIN(f_yd,200000*IF(BG31&lt;=h_col,0.0035*(BG31-d_2)/BG31,0.002*(BG31-d_2)/(BG31-3*h_col/7))))-f_cd*(1-(1-MAX(0,MIN(1,IF(BG31&lt;=h_col,0.0035*(BG31-d_2)/BG31,0.002*(BG31-d_2)/(BG31-3*h_col/7))/0.002)))^2))+(MAX(-f_yd,MIN(f_yd,200000*IF(BG31&lt;=h_col,0.0035*(BG31-(h_col-d_2))/BG31,0.002*(BG31-(h_col-d_2))/(BG31-3*h_col/7))))-f_cd*(1-(1-MAX(0,MIN(1,IF(BG31&lt;=h_col,0.0035*(BG31-(h_col-d_2))/BG31,0.002*(BG31-(h_col-d_2))/(BG31-3*h_col/7))/0.002)))^2))))/1000</f>
        <v/>
      </c>
      <c r="BI31">
        <f>IF($BH31&lt;N_Ed-1E-9*MAX(1,N_Ed),(BE31+BF31)/2,BE31)</f>
        <v/>
      </c>
      <c r="BJ31">
        <f>IF($BH31&lt;N_Ed-1E-9*MAX(1,N_Ed),BF31,(BE31+BF31)/2)</f>
        <v/>
      </c>
      <c r="BK31">
        <f>h_col*((BI31+BJ31)/2)/(1-(BI31+BJ31)/2)</f>
        <v/>
      </c>
      <c r="BL31">
        <f>(f_cd*b_col*((3*MIN(BK31,h_col)/7)+(4*MIN(BK31,h_col)/7)*(1-((4*MIN(BK31,h_col)/7)/(BK31-(3*MIN(BK31,h_col)/7)))^2/3))+$D31/2*((MAX(-f_yd,MIN(f_yd,200000*IF(BK31&lt;=h_col,0.0035*(BK31-d_2)/BK31,0.002*(BK31-d_2)/(BK31-3*h_col/7))))-f_cd*(1-(1-MAX(0,MIN(1,IF(BK31&lt;=h_col,0.0035*(BK31-d_2)/BK31,0.002*(BK31-d_2)/(BK31-3*h_col/7))/0.002)))^2))+(MAX(-f_yd,MIN(f_yd,200000*IF(BK31&lt;=h_col,0.0035*(BK31-(h_col-d_2))/BK31,0.002*(BK31-(h_col-d_2))/(BK31-3*h_col/7))))-f_cd*(1-(1-MAX(0,MIN(1,IF(BK31&lt;=h_col,0.0035*(BK31-(h_col-d_2))/BK31,0.002*(BK31-(h_col-d_2))/(BK31-3*h_col/7))/0.002)))^2))))/1000</f>
        <v/>
      </c>
      <c r="BM31">
        <f>IF($BL31&lt;N_Ed-1E-9*MAX(1,N_Ed),(BI31+BJ31)/2,BI31)</f>
        <v/>
      </c>
      <c r="BN31">
        <f>IF($BL31&lt;N_Ed-1E-9*MAX(1,N_Ed),BJ31,(BI31+BJ31)/2)</f>
        <v/>
      </c>
      <c r="BO31">
        <f>h_col*((BM31+BN31)/2)/(1-(BM31+BN31)/2)</f>
        <v/>
      </c>
      <c r="BP31">
        <f>(f_cd*b_col*((3*MIN(BO31,h_col)/7)+(4*MIN(BO31,h_col)/7)*(1-((4*MIN(BO31,h_col)/7)/(BO31-(3*MIN(BO31,h_col)/7)))^2/3))+$D31/2*((MAX(-f_yd,MIN(f_yd,200000*IF(BO31&lt;=h_col,0.0035*(BO31-d_2)/BO31,0.002*(BO31-d_2)/(BO31-3*h_col/7))))-f_cd*(1-(1-MAX(0,MIN(1,IF(BO31&lt;=h_col,0.0035*(BO31-d_2)/BO31,0.002*(BO31-d_2)/(BO31-3*h_col/7))/0.002)))^2))+(MAX(-f_yd,MIN(f_yd,200000*IF(BO31&lt;=h_col,0.0035*(BO31-(h_col-d_2))/BO31,0.002*(BO31-(h_col-d_2))/(BO31-3*h_col/7))))-f_cd*(1-(1-MAX(0,MIN(1,IF(BO31&lt;=h_col,0.0035*(BO31-(h_col-d_2))/BO31,0.002*(BO31-(h_col-d_2))/(BO31-3*h_col/7))/0.002)))^2))))/1000</f>
        <v/>
      </c>
      <c r="BQ31">
        <f>IF($BP31&lt;N_Ed-1E-9*MAX(1,N_Ed),(BM31+BN31)/2,BM31)</f>
        <v/>
      </c>
      <c r="BR31">
        <f>IF($BP31&lt;N_Ed-1E-9*MAX(1,N_Ed),BN31,(BM31+BN31)/2)</f>
        <v/>
      </c>
      <c r="BS31">
        <f>h_col*((BQ31+BR31)/2)/(1-(BQ31+BR31)/2)</f>
        <v/>
      </c>
      <c r="BT31">
        <f>(f_cd*b_col*((3*MIN(BS31,h_col)/7)+(4*MIN(BS31,h_col)/7)*(1-((4*MIN(BS31,h_col)/7)/(BS31-(3*MIN(BS31,h_col)/7)))^2/3))+$D31/2*((MAX(-f_yd,MIN(f_yd,200000*IF(BS31&lt;=h_col,0.0035*(BS31-d_2)/BS31,0.002*(BS31-d_2)/(BS31-3*h_col/7))))-f_cd*(1-(1-MAX(0,MIN(1,IF(BS31&lt;=h_col,0.0035*(BS31-d_2)/BS31,0.002*(BS31-d_2)/(BS31-3*h_col/7))/0.002)))^2))+(MAX(-f_yd,MIN(f_yd,200000*IF(BS31&lt;=h_col,0.0035*(BS31-(h_col-d_2))/BS31,0.002*(BS31-(h_col-d_2))/(BS31-3*h_col/7))))-f_cd*(1-(1-MAX(0,MIN(1,IF(BS31&lt;=h_col,0.0035*(BS31-(h_col-d_2))/BS31,0.002*(BS31-(h_col-d_2))/(BS31-3*h_col/7))/0.002)))^2))))/1000</f>
        <v/>
      </c>
      <c r="BU31">
        <f>IF($BT31&lt;N_Ed-1E-9*MAX(1,N_Ed),(BQ31+BR31)/2,BQ31)</f>
        <v/>
      </c>
      <c r="BV31">
        <f>IF($BT31&lt;N_Ed-1E-9*MAX(1,N_Ed),BR31,(BQ31+BR31)/2)</f>
        <v/>
      </c>
      <c r="BW31">
        <f>h_col*((BU31+BV31)/2)/(1-(BU31+BV31)/2)</f>
        <v/>
      </c>
      <c r="BX31">
        <f>(f_cd*b_col*((3*MIN(BW31,h_col)/7)+(4*MIN(BW31,h_col)/7)*(1-((4*MIN(BW31,h_col)/7)/(BW31-(3*MIN(BW31,h_col)/7)))^2/3))+$D31/2*((MAX(-f_yd,MIN(f_yd,200000*IF(BW31&lt;=h_col,0.0035*(BW31-d_2)/BW31,0.002*(BW31-d_2)/(BW31-3*h_col/7))))-f_cd*(1-(1-MAX(0,MIN(1,IF(BW31&lt;=h_col,0.0035*(BW31-d_2)/BW31,0.002*(BW31-d_2)/(BW31-3*h_col/7))/0.002)))^2))+(MAX(-f_yd,MIN(f_yd,200000*IF(BW31&lt;=h_col,0.0035*(BW31-(h_col-d_2))/BW31,0.002*(BW31-(h_col-d_2))/(BW31-3*h_col/7))))-f_cd*(1-(1-MAX(0,MIN(1,IF(BW31&lt;=h_col,0.0035*(BW31-(h_col-d_2))/BW31,0.002*(BW31-(h_col-d_2))/(BW31-3*h_col/7))/0.002)))^2))))/1000</f>
        <v/>
      </c>
      <c r="BY31">
        <f>IF($BX31&lt;N_Ed-1E-9*MAX(1,N_Ed),(BU31+BV31)/2,BU31)</f>
        <v/>
      </c>
      <c r="BZ31">
        <f>IF($BX31&lt;N_Ed-1E-9*MAX(1,N_Ed),BV31,(BU31+BV31)/2)</f>
        <v/>
      </c>
      <c r="CA31">
        <f>h_col*((BY31+BZ31)/2)/(1-(BY31+BZ31)/2)</f>
        <v/>
      </c>
      <c r="CB31">
        <f>(f_cd*b_col*((3*MIN(CA31,h_col)/7)+(4*MIN(CA31,h_col)/7)*(1-((4*MIN(CA31,h_col)/7)/(CA31-(3*MIN(CA31,h_col)/7)))^2/3))+$D31/2*((MAX(-f_yd,MIN(f_yd,200000*IF(CA31&lt;=h_col,0.0035*(CA31-d_2)/CA31,0.002*(CA31-d_2)/(CA31-3*h_col/7))))-f_cd*(1-(1-MAX(0,MIN(1,IF(CA31&lt;=h_col,0.0035*(CA31-d_2)/CA31,0.002*(CA31-d_2)/(CA31-3*h_col/7))/0.002)))^2))+(MAX(-f_yd,MIN(f_yd,200000*IF(CA31&lt;=h_col,0.0035*(CA31-(h_col-d_2))/CA31,0.002*(CA31-(h_col-d_2))/(CA31-3*h_col/7))))-f_cd*(1-(1-MAX(0,MIN(1,IF(CA31&lt;=h_col,0.0035*(CA31-(h_col-d_2))/CA31,0.002*(CA31-(h_col-d_2))/(CA31-3*h_col/7))/0.002)))^2))))/1000</f>
        <v/>
      </c>
      <c r="CC31">
        <f>IF($CB31&lt;N_Ed-1E-9*MAX(1,N_Ed),(BY31+BZ31)/2,BY31)</f>
        <v/>
      </c>
      <c r="CD31">
        <f>IF($CB31&lt;N_Ed-1E-9*MAX(1,N_Ed),BZ31,(BY31+BZ31)/2)</f>
        <v/>
      </c>
      <c r="CE31">
        <f>h_col*((CC31+CD31)/2)/(1-(CC31+CD31)/2)</f>
        <v/>
      </c>
      <c r="CF31">
        <f>(f_cd*b_col*((3*MIN(CE31,h_col)/7)+(4*MIN(CE31,h_col)/7)*(1-((4*MIN(CE31,h_col)/7)/(CE31-(3*MIN(CE31,h_col)/7)))^2/3))+$D31/2*((MAX(-f_yd,MIN(f_yd,200000*IF(CE31&lt;=h_col,0.0035*(CE31-d_2)/CE31,0.002*(CE31-d_2)/(CE31-3*h_col/7))))-f_cd*(1-(1-MAX(0,MIN(1,IF(CE31&lt;=h_col,0.0035*(CE31-d_2)/CE31,0.002*(CE31-d_2)/(CE31-3*h_col/7))/0.002)))^2))+(MAX(-f_yd,MIN(f_yd,200000*IF(CE31&lt;=h_col,0.0035*(CE31-(h_col-d_2))/CE31,0.002*(CE31-(h_col-d_2))/(CE31-3*h_col/7))))-f_cd*(1-(1-MAX(0,MIN(1,IF(CE31&lt;=h_col,0.0035*(CE31-(h_col-d_2))/CE31,0.002*(CE31-(h_col-d_2))/(CE31-3*h_col/7))/0.002)))^2))))/1000</f>
        <v/>
      </c>
      <c r="CG31">
        <f>IF($CF31&lt;N_Ed-1E-9*MAX(1,N_Ed),(CC31+CD31)/2,CC31)</f>
        <v/>
      </c>
      <c r="CH31">
        <f>IF($CF31&lt;N_Ed-1E-9*MAX(1,N_Ed),CD31,(CC31+CD31)/2)</f>
        <v/>
      </c>
      <c r="CI31">
        <f>h_col*((CG31+CH31)/2)/(1-(CG31+CH31)/2)</f>
        <v/>
      </c>
      <c r="CJ31">
        <f>(f_cd*b_col*((3*MIN(CI31,h_col)/7)+(4*MIN(CI31,h_col)/7)*(1-((4*MIN(CI31,h_col)/7)/(CI31-(3*MIN(CI31,h_col)/7)))^2/3))+$D31/2*((MAX(-f_yd,MIN(f_yd,200000*IF(CI31&lt;=h_col,0.0035*(CI31-d_2)/CI31,0.002*(CI31-d_2)/(CI31-3*h_col/7))))-f_cd*(1-(1-MAX(0,MIN(1,IF(CI31&lt;=h_col,0.0035*(CI31-d_2)/CI31,0.002*(CI31-d_2)/(CI31-3*h_col/7))/0.002)))^2))+(MAX(-f_yd,MIN(f_yd,200000*IF(CI31&lt;=h_col,0.0035*(CI31-(h_col-d_2))/CI31,0.002*(CI31-(h_col-d_2))/(CI31-3*h_col/7))))-f_cd*(1-(1-MAX(0,MIN(1,IF(CI31&lt;=h_col,0.0035*(CI31-(h_col-d_2))/CI31,0.002*(CI31-(h_col-d_2))/(CI31-3*h_col/7))/0.002)))^2))))/1000</f>
        <v/>
      </c>
      <c r="CK31">
        <f>IF($CJ31&lt;N_Ed-1E-9*MAX(1,N_Ed),(CG31+CH31)/2,CG31)</f>
        <v/>
      </c>
      <c r="CL31">
        <f>IF($CJ31&lt;N_Ed-1E-9*MAX(1,N_Ed),CH31,(CG31+CH31)/2)</f>
        <v/>
      </c>
      <c r="CM31">
        <f>h_col*((CK31+CL31)/2)/(1-(CK31+CL31)/2)</f>
        <v/>
      </c>
      <c r="CN31">
        <f>(f_cd*b_col*((3*MIN(CM31,h_col)/7)+(4*MIN(CM31,h_col)/7)*(1-((4*MIN(CM31,h_col)/7)/(CM31-(3*MIN(CM31,h_col)/7)))^2/3))+$D31/2*((MAX(-f_yd,MIN(f_yd,200000*IF(CM31&lt;=h_col,0.0035*(CM31-d_2)/CM31,0.002*(CM31-d_2)/(CM31-3*h_col/7))))-f_cd*(1-(1-MAX(0,MIN(1,IF(CM31&lt;=h_col,0.0035*(CM31-d_2)/CM31,0.002*(CM31-d_2)/(CM31-3*h_col/7))/0.002)))^2))+(MAX(-f_yd,MIN(f_yd,200000*IF(CM31&lt;=h_col,0.0035*(CM31-(h_col-d_2))/CM31,0.002*(CM31-(h_col-d_2))/(CM31-3*h_col/7))))-f_cd*(1-(1-MAX(0,MIN(1,IF(CM31&lt;=h_col,0.0035*(CM31-(h_col-d_2))/CM31,0.002*(CM31-(h_col-d_2))/(CM31-3*h_col/7))/0.002)))^2))))/1000</f>
        <v/>
      </c>
      <c r="CO31">
        <f>IF($CN31&lt;N_Ed-1E-9*MAX(1,N_Ed),(CK31+CL31)/2,CK31)</f>
        <v/>
      </c>
      <c r="CP31">
        <f>IF($CN31&lt;N_Ed-1E-9*MAX(1,N_Ed),CL31,(CK31+CL31)/2)</f>
        <v/>
      </c>
      <c r="CQ31">
        <f>h_col*((CO31+CP31)/2)/(1-(CO31+CP31)/2)</f>
        <v/>
      </c>
      <c r="CR31">
        <f>(f_cd*b_col*((3*MIN(CQ31,h_col)/7)+(4*MIN(CQ31,h_col)/7)*(1-((4*MIN(CQ31,h_col)/7)/(CQ31-(3*MIN(CQ31,h_col)/7)))^2/3))+$D31/2*((MAX(-f_yd,MIN(f_yd,200000*IF(CQ31&lt;=h_col,0.0035*(CQ31-d_2)/CQ31,0.002*(CQ31-d_2)/(CQ31-3*h_col/7))))-f_cd*(1-(1-MAX(0,MIN(1,IF(CQ31&lt;=h_col,0.0035*(CQ31-d_2)/CQ31,0.002*(CQ31-d_2)/(CQ31-3*h_col/7))/0.002)))^2))+(MAX(-f_yd,MIN(f_yd,200000*IF(CQ31&lt;=h_col,0.0035*(CQ31-(h_col-d_2))/CQ31,0.002*(CQ31-(h_col-d_2))/(CQ31-3*h_col/7))))-f_cd*(1-(1-MAX(0,MIN(1,IF(CQ31&lt;=h_col,0.0035*(CQ31-(h_col-d_2))/CQ31,0.002*(CQ31-(h_col-d_2))/(CQ31-3*h_col/7))/0.002)))^2))))/1000</f>
        <v/>
      </c>
      <c r="CS31">
        <f>IF($CR31&lt;N_Ed-1E-9*MAX(1,N_Ed),(CO31+CP31)/2,CO31)</f>
        <v/>
      </c>
      <c r="CT31">
        <f>IF($CR31&lt;N_Ed-1E-9*MAX(1,N_Ed),CP31,(CO31+CP31)/2)</f>
        <v/>
      </c>
      <c r="CU31">
        <f>h_col*((CS31+CT31)/2)/(1-(CS31+CT31)/2)</f>
        <v/>
      </c>
      <c r="CV31">
        <f>(f_cd*b_col*((3*MIN(CU31,h_col)/7)+(4*MIN(CU31,h_col)/7)*(1-((4*MIN(CU31,h_col)/7)/(CU31-(3*MIN(CU31,h_col)/7)))^2/3))+$D31/2*((MAX(-f_yd,MIN(f_yd,200000*IF(CU31&lt;=h_col,0.0035*(CU31-d_2)/CU31,0.002*(CU31-d_2)/(CU31-3*h_col/7))))-f_cd*(1-(1-MAX(0,MIN(1,IF(CU31&lt;=h_col,0.0035*(CU31-d_2)/CU31,0.002*(CU31-d_2)/(CU31-3*h_col/7))/0.002)))^2))+(MAX(-f_yd,MIN(f_yd,200000*IF(CU31&lt;=h_col,0.0035*(CU31-(h_col-d_2))/CU31,0.002*(CU31-(h_col-d_2))/(CU31-3*h_col/7))))-f_cd*(1-(1-MAX(0,MIN(1,IF(CU31&lt;=h_col,0.0035*(CU31-(h_col-d_2))/CU31,0.002*(CU31-(h_col-d_2))/(CU31-3*h_col/7))/0.002)))^2))))/1000</f>
        <v/>
      </c>
      <c r="CW31">
        <f>IF($CV31&lt;N_Ed-1E-9*MAX(1,N_Ed),(CS31+CT31)/2,CS31)</f>
        <v/>
      </c>
      <c r="CX31">
        <f>IF($CV31&lt;N_Ed-1E-9*MAX(1,N_Ed),CT31,(CS31+CT31)/2)</f>
        <v/>
      </c>
      <c r="CY31">
        <f>h_col*((CW31+CX31)/2)/(1-(CW31+CX31)/2)</f>
        <v/>
      </c>
      <c r="CZ31">
        <f>(f_cd*b_col*((3*MIN(CY31,h_col)/7)+(4*MIN(CY31,h_col)/7)*(1-((4*MIN(CY31,h_col)/7)/(CY31-(3*MIN(CY31,h_col)/7)))^2/3))+$D31/2*((MAX(-f_yd,MIN(f_yd,200000*IF(CY31&lt;=h_col,0.0035*(CY31-d_2)/CY31,0.002*(CY31-d_2)/(CY31-3*h_col/7))))-f_cd*(1-(1-MAX(0,MIN(1,IF(CY31&lt;=h_col,0.0035*(CY31-d_2)/CY31,0.002*(CY31-d_2)/(CY31-3*h_col/7))/0.002)))^2))+(MAX(-f_yd,MIN(f_yd,200000*IF(CY31&lt;=h_col,0.0035*(CY31-(h_col-d_2))/CY31,0.002*(CY31-(h_col-d_2))/(CY31-3*h_col/7))))-f_cd*(1-(1-MAX(0,MIN(1,IF(CY31&lt;=h_col,0.0035*(CY31-(h_col-d_2))/CY31,0.002*(CY31-(h_col-d_2))/(CY31-3*h_col/7))/0.002)))^2))))/1000</f>
        <v/>
      </c>
      <c r="DA31">
        <f>IF($CZ31&lt;N_Ed-1E-9*MAX(1,N_Ed),(CW31+CX31)/2,CW31)</f>
        <v/>
      </c>
      <c r="DB31">
        <f>IF($CZ31&lt;N_Ed-1E-9*MAX(1,N_Ed),CX31,(CW31+CX31)/2)</f>
        <v/>
      </c>
      <c r="DC31">
        <f>h_col*((DA31+DB31)/2)/(1-(DA31+DB31)/2)</f>
        <v/>
      </c>
      <c r="DD31">
        <f>(f_cd*b_col*((3*MIN(DC31,h_col)/7)+(4*MIN(DC31,h_col)/7)*(1-((4*MIN(DC31,h_col)/7)/(DC31-(3*MIN(DC31,h_col)/7)))^2/3))+$D31/2*((MAX(-f_yd,MIN(f_yd,200000*IF(DC31&lt;=h_col,0.0035*(DC31-d_2)/DC31,0.002*(DC31-d_2)/(DC31-3*h_col/7))))-f_cd*(1-(1-MAX(0,MIN(1,IF(DC31&lt;=h_col,0.0035*(DC31-d_2)/DC31,0.002*(DC31-d_2)/(DC31-3*h_col/7))/0.002)))^2))+(MAX(-f_yd,MIN(f_yd,200000*IF(DC31&lt;=h_col,0.0035*(DC31-(h_col-d_2))/DC31,0.002*(DC31-(h_col-d_2))/(DC31-3*h_col/7))))-f_cd*(1-(1-MAX(0,MIN(1,IF(DC31&lt;=h_col,0.0035*(DC31-(h_col-d_2))/DC31,0.002*(DC31-(h_col-d_2))/(DC31-3*h_col/7))/0.002)))^2))))/1000</f>
        <v/>
      </c>
      <c r="DE31">
        <f>IF($DD31&lt;N_Ed-1E-9*MAX(1,N_Ed),(DA31+DB31)/2,DA31)</f>
        <v/>
      </c>
      <c r="DF31">
        <f>IF($DD31&lt;N_Ed-1E-9*MAX(1,N_Ed),DB31,(DA31+DB31)/2)</f>
        <v/>
      </c>
      <c r="DG31">
        <f>h_col*((DE31+DF31)/2)/(1-(DE31+DF31)/2)</f>
        <v/>
      </c>
      <c r="DH31">
        <f>(f_cd*b_col*((3*MIN(DG31,h_col)/7)+(4*MIN(DG31,h_col)/7)*(1-((4*MIN(DG31,h_col)/7)/(DG31-(3*MIN(DG31,h_col)/7)))^2/3))+$D31/2*((MAX(-f_yd,MIN(f_yd,200000*IF(DG31&lt;=h_col,0.0035*(DG31-d_2)/DG31,0.002*(DG31-d_2)/(DG31-3*h_col/7))))-f_cd*(1-(1-MAX(0,MIN(1,IF(DG31&lt;=h_col,0.0035*(DG31-d_2)/DG31,0.002*(DG31-d_2)/(DG31-3*h_col/7))/0.002)))^2))+(MAX(-f_yd,MIN(f_yd,200000*IF(DG31&lt;=h_col,0.0035*(DG31-(h_col-d_2))/DG31,0.002*(DG31-(h_col-d_2))/(DG31-3*h_col/7))))-f_cd*(1-(1-MAX(0,MIN(1,IF(DG31&lt;=h_col,0.0035*(DG31-(h_col-d_2))/DG31,0.002*(DG31-(h_col-d_2))/(DG31-3*h_col/7))/0.002)))^2))))/1000</f>
        <v/>
      </c>
      <c r="DI31">
        <f>IF($DH31&lt;N_Ed-1E-9*MAX(1,N_Ed),(DE31+DF31)/2,DE31)</f>
        <v/>
      </c>
      <c r="DJ31">
        <f>IF($DH31&lt;N_Ed-1E-9*MAX(1,N_Ed),DF31,(DE31+DF31)/2)</f>
        <v/>
      </c>
      <c r="DK31">
        <f>h_col*((DI31+DJ31)/2)/(1-(DI31+DJ31)/2)</f>
        <v/>
      </c>
      <c r="DL31">
        <f>(f_cd*b_col*((3*MIN(DK31,h_col)/7)+(4*MIN(DK31,h_col)/7)*(1-((4*MIN(DK31,h_col)/7)/(DK31-(3*MIN(DK31,h_col)/7)))^2/3))+$D31/2*((MAX(-f_yd,MIN(f_yd,200000*IF(DK31&lt;=h_col,0.0035*(DK31-d_2)/DK31,0.002*(DK31-d_2)/(DK31-3*h_col/7))))-f_cd*(1-(1-MAX(0,MIN(1,IF(DK31&lt;=h_col,0.0035*(DK31-d_2)/DK31,0.002*(DK31-d_2)/(DK31-3*h_col/7))/0.002)))^2))+(MAX(-f_yd,MIN(f_yd,200000*IF(DK31&lt;=h_col,0.0035*(DK31-(h_col-d_2))/DK31,0.002*(DK31-(h_col-d_2))/(DK31-3*h_col/7))))-f_cd*(1-(1-MAX(0,MIN(1,IF(DK31&lt;=h_col,0.0035*(DK31-(h_col-d_2))/DK31,0.002*(DK31-(h_col-d_2))/(DK31-3*h_col/7))/0.002)))^2))))/1000</f>
        <v/>
      </c>
      <c r="DM31">
        <f>IF($DL31&lt;N_Ed-1E-9*MAX(1,N_Ed),(DI31+DJ31)/2,DI31)</f>
        <v/>
      </c>
      <c r="DN31">
        <f>IF($DL31&lt;N_Ed-1E-9*MAX(1,N_Ed),DJ31,(DI31+DJ31)/2)</f>
        <v/>
      </c>
      <c r="DO31">
        <f>h_col*((DM31+DN31)/2)/(1-(DM31+DN31)/2)</f>
        <v/>
      </c>
      <c r="DP31">
        <f>(f_cd*b_col*((3*MIN(DO31,h_col)/7)+(4*MIN(DO31,h_col)/7)*(1-((4*MIN(DO31,h_col)/7)/(DO31-(3*MIN(DO31,h_col)/7)))^2/3))+$D31/2*((MAX(-f_yd,MIN(f_yd,200000*IF(DO31&lt;=h_col,0.0035*(DO31-d_2)/DO31,0.002*(DO31-d_2)/(DO31-3*h_col/7))))-f_cd*(1-(1-MAX(0,MIN(1,IF(DO31&lt;=h_col,0.0035*(DO31-d_2)/DO31,0.002*(DO31-d_2)/(DO31-3*h_col/7))/0.002)))^2))+(MAX(-f_yd,MIN(f_yd,200000*IF(DO31&lt;=h_col,0.0035*(DO31-(h_col-d_2))/DO31,0.002*(DO31-(h_col-d_2))/(DO31-3*h_col/7))))-f_cd*(1-(1-MAX(0,MIN(1,IF(DO31&lt;=h_col,0.0035*(DO31-(h_col-d_2))/DO31,0.002*(DO31-(h_col-d_2))/(DO31-3*h_col/7))/0.002)))^2))))/1000</f>
        <v/>
      </c>
      <c r="DQ31">
        <f>IF($DP31&lt;N_Ed-1E-9*MAX(1,N_Ed),(DM31+DN31)/2,DM31)</f>
        <v/>
      </c>
      <c r="DR31">
        <f>IF($DP31&lt;N_Ed-1E-9*MAX(1,N_Ed),DN31,(DM31+DN31)/2)</f>
        <v/>
      </c>
      <c r="DS31">
        <f>h_col*((DQ31+DR31)/2)/(1-(DQ31+DR31)/2)</f>
        <v/>
      </c>
      <c r="DT31">
        <f>(f_cd*b_col*((3*MIN(DS31,h_col)/7)+(4*MIN(DS31,h_col)/7)*(1-((4*MIN(DS31,h_col)/7)/(DS31-(3*MIN(DS31,h_col)/7)))^2/3))+$D31/2*((MAX(-f_yd,MIN(f_yd,200000*IF(DS31&lt;=h_col,0.0035*(DS31-d_2)/DS31,0.002*(DS31-d_2)/(DS31-3*h_col/7))))-f_cd*(1-(1-MAX(0,MIN(1,IF(DS31&lt;=h_col,0.0035*(DS31-d_2)/DS31,0.002*(DS31-d_2)/(DS31-3*h_col/7))/0.002)))^2))+(MAX(-f_yd,MIN(f_yd,200000*IF(DS31&lt;=h_col,0.0035*(DS31-(h_col-d_2))/DS31,0.002*(DS31-(h_col-d_2))/(DS31-3*h_col/7))))-f_cd*(1-(1-MAX(0,MIN(1,IF(DS31&lt;=h_col,0.0035*(DS31-(h_col-d_2))/DS31,0.002*(DS31-(h_col-d_2))/(DS31-3*h_col/7))/0.002)))^2))))/1000</f>
        <v/>
      </c>
      <c r="DU31">
        <f>IF($DT31&lt;N_Ed-1E-9*MAX(1,N_Ed),(DQ31+DR31)/2,DQ31)</f>
        <v/>
      </c>
      <c r="DV31">
        <f>IF($DT31&lt;N_Ed-1E-9*MAX(1,N_Ed),DR31,(DQ31+DR31)/2)</f>
        <v/>
      </c>
      <c r="DW31">
        <f>h_col*((DU31+DV31)/2)/(1-(DU31+DV31)/2)</f>
        <v/>
      </c>
      <c r="DX31">
        <f>(f_cd*b_col*((3*MIN(DW31,h_col)/7)+(4*MIN(DW31,h_col)/7)*(1-((4*MIN(DW31,h_col)/7)/(DW31-(3*MIN(DW31,h_col)/7)))^2/3))+$D31/2*((MAX(-f_yd,MIN(f_yd,200000*IF(DW31&lt;=h_col,0.0035*(DW31-d_2)/DW31,0.002*(DW31-d_2)/(DW31-3*h_col/7))))-f_cd*(1-(1-MAX(0,MIN(1,IF(DW31&lt;=h_col,0.0035*(DW31-d_2)/DW31,0.002*(DW31-d_2)/(DW31-3*h_col/7))/0.002)))^2))+(MAX(-f_yd,MIN(f_yd,200000*IF(DW31&lt;=h_col,0.0035*(DW31-(h_col-d_2))/DW31,0.002*(DW31-(h_col-d_2))/(DW31-3*h_col/7))))-f_cd*(1-(1-MAX(0,MIN(1,IF(DW31&lt;=h_col,0.0035*(DW31-(h_col-d_2))/DW31,0.002*(DW31-(h_col-d_2))/(DW31-3*h_col/7))/0.002)))^2))))/1000</f>
        <v/>
      </c>
      <c r="DY31">
        <f>IF($DX31&lt;N_Ed-1E-9*MAX(1,N_Ed),(DU31+DV31)/2,DU31)</f>
        <v/>
      </c>
      <c r="DZ31">
        <f>IF($DX31&lt;N_Ed-1E-9*MAX(1,N_Ed),DV31,(DU31+DV31)/2)</f>
        <v/>
      </c>
      <c r="EA31">
        <f>h_col*((DY31+DZ31)/2)/(1-(DY31+DZ31)/2)</f>
        <v/>
      </c>
      <c r="EB31">
        <f>(f_cd*b_col*((3*MIN(EA31,h_col)/7)+(4*MIN(EA31,h_col)/7)*(1-((4*MIN(EA31,h_col)/7)/(EA31-(3*MIN(EA31,h_col)/7)))^2/3))+$D31/2*((MAX(-f_yd,MIN(f_yd,200000*IF(EA31&lt;=h_col,0.0035*(EA31-d_2)/EA31,0.002*(EA31-d_2)/(EA31-3*h_col/7))))-f_cd*(1-(1-MAX(0,MIN(1,IF(EA31&lt;=h_col,0.0035*(EA31-d_2)/EA31,0.002*(EA31-d_2)/(EA31-3*h_col/7))/0.002)))^2))+(MAX(-f_yd,MIN(f_yd,200000*IF(EA31&lt;=h_col,0.0035*(EA31-(h_col-d_2))/EA31,0.002*(EA31-(h_col-d_2))/(EA31-3*h_col/7))))-f_cd*(1-(1-MAX(0,MIN(1,IF(EA31&lt;=h_col,0.0035*(EA31-(h_col-d_2))/EA31,0.002*(EA31-(h_col-d_2))/(EA31-3*h_col/7))/0.002)))^2))))/1000</f>
        <v/>
      </c>
      <c r="EC31">
        <f>IF($EB31&lt;N_Ed-1E-9*MAX(1,N_Ed),(DY31+DZ31)/2,DY31)</f>
        <v/>
      </c>
      <c r="ED31">
        <f>IF($EB31&lt;N_Ed-1E-9*MAX(1,N_Ed),DZ31,(DY31+DZ31)/2)</f>
        <v/>
      </c>
      <c r="EE31">
        <f>h_col*((EC31+ED31)/2)/(1-(EC31+ED31)/2)</f>
        <v/>
      </c>
      <c r="EF31">
        <f>(f_cd*b_col*((3*MIN(EE31,h_col)/7)+(4*MIN(EE31,h_col)/7)*(1-((4*MIN(EE31,h_col)/7)/(EE31-(3*MIN(EE31,h_col)/7)))^2/3))+$D31/2*((MAX(-f_yd,MIN(f_yd,200000*IF(EE31&lt;=h_col,0.0035*(EE31-d_2)/EE31,0.002*(EE31-d_2)/(EE31-3*h_col/7))))-f_cd*(1-(1-MAX(0,MIN(1,IF(EE31&lt;=h_col,0.0035*(EE31-d_2)/EE31,0.002*(EE31-d_2)/(EE31-3*h_col/7))/0.002)))^2))+(MAX(-f_yd,MIN(f_yd,200000*IF(EE31&lt;=h_col,0.0035*(EE31-(h_col-d_2))/EE31,0.002*(EE31-(h_col-d_2))/(EE31-3*h_col/7))))-f_cd*(1-(1-MAX(0,MIN(1,IF(EE31&lt;=h_col,0.0035*(EE31-(h_col-d_2))/EE31,0.002*(EE31-(h_col-d_2))/(EE31-3*h_col/7))/0.002)))^2))))/1000</f>
        <v/>
      </c>
      <c r="EG31">
        <f>IF($EF31&lt;N_Ed-1E-9*MAX(1,N_Ed),(EC31+ED31)/2,EC31)</f>
        <v/>
      </c>
      <c r="EH31">
        <f>IF($EF31&lt;N_Ed-1E-9*MAX(1,N_Ed),ED31,(EC31+ED31)/2)</f>
        <v/>
      </c>
      <c r="EI31">
        <f>h_col*((EG31+EH31)/2)/(1-(EG31+EH31)/2)</f>
        <v/>
      </c>
      <c r="EJ31">
        <f>(f_cd*b_col*((3*MIN(EI31,h_col)/7)+(4*MIN(EI31,h_col)/7)*(1-((4*MIN(EI31,h_col)/7)/(EI31-(3*MIN(EI31,h_col)/7)))^2/3))+$D31/2*((MAX(-f_yd,MIN(f_yd,200000*IF(EI31&lt;=h_col,0.0035*(EI31-d_2)/EI31,0.002*(EI31-d_2)/(EI31-3*h_col/7))))-f_cd*(1-(1-MAX(0,MIN(1,IF(EI31&lt;=h_col,0.0035*(EI31-d_2)/EI31,0.002*(EI31-d_2)/(EI31-3*h_col/7))/0.002)))^2))+(MAX(-f_yd,MIN(f_yd,200000*IF(EI31&lt;=h_col,0.0035*(EI31-(h_col-d_2))/EI31,0.002*(EI31-(h_col-d_2))/(EI31-3*h_col/7))))-f_cd*(1-(1-MAX(0,MIN(1,IF(EI31&lt;=h_col,0.0035*(EI31-(h_col-d_2))/EI31,0.002*(EI31-(h_col-d_2))/(EI31-3*h_col/7))/0.002)))^2))))/1000</f>
        <v/>
      </c>
      <c r="EK31">
        <f>IF($EJ31&lt;N_Ed-1E-9*MAX(1,N_Ed),(EG31+EH31)/2,EG31)</f>
        <v/>
      </c>
      <c r="EL31">
        <f>IF($EJ31&lt;N_Ed-1E-9*MAX(1,N_Ed),EH31,(EG31+EH31)/2)</f>
        <v/>
      </c>
      <c r="EM31">
        <f>h_col*((EK31+EL31)/2)/(1-(EK31+EL31)/2)</f>
        <v/>
      </c>
      <c r="EN31">
        <f>(f_cd*b_col*((3*MIN(EM31,h_col)/7)+(4*MIN(EM31,h_col)/7)*(1-((4*MIN(EM31,h_col)/7)/(EM31-(3*MIN(EM31,h_col)/7)))^2/3))+$D31/2*((MAX(-f_yd,MIN(f_yd,200000*IF(EM31&lt;=h_col,0.0035*(EM31-d_2)/EM31,0.002*(EM31-d_2)/(EM31-3*h_col/7))))-f_cd*(1-(1-MAX(0,MIN(1,IF(EM31&lt;=h_col,0.0035*(EM31-d_2)/EM31,0.002*(EM31-d_2)/(EM31-3*h_col/7))/0.002)))^2))+(MAX(-f_yd,MIN(f_yd,200000*IF(EM31&lt;=h_col,0.0035*(EM31-(h_col-d_2))/EM31,0.002*(EM31-(h_col-d_2))/(EM31-3*h_col/7))))-f_cd*(1-(1-MAX(0,MIN(1,IF(EM31&lt;=h_col,0.0035*(EM31-(h_col-d_2))/EM31,0.002*(EM31-(h_col-d_2))/(EM31-3*h_col/7))/0.002)))^2))))/1000</f>
        <v/>
      </c>
      <c r="EO31">
        <f>IF($EN31&lt;N_Ed-1E-9*MAX(1,N_Ed),(EK31+EL31)/2,EK31)</f>
        <v/>
      </c>
      <c r="EP31">
        <f>IF($EN31&lt;N_Ed-1E-9*MAX(1,N_Ed),EL31,(EK31+EL31)/2)</f>
        <v/>
      </c>
      <c r="EQ31">
        <f>h_col*((EO31+EP31)/2)/(1-(EO31+EP31)/2)</f>
        <v/>
      </c>
      <c r="ER31">
        <f>(f_cd*b_col*((3*MIN(EQ31,h_col)/7)+(4*MIN(EQ31,h_col)/7)*(1-((4*MIN(EQ31,h_col)/7)/(EQ31-(3*MIN(EQ31,h_col)/7)))^2/3))+$D31/2*((MAX(-f_yd,MIN(f_yd,200000*IF(EQ31&lt;=h_col,0.0035*(EQ31-d_2)/EQ31,0.002*(EQ31-d_2)/(EQ31-3*h_col/7))))-f_cd*(1-(1-MAX(0,MIN(1,IF(EQ31&lt;=h_col,0.0035*(EQ31-d_2)/EQ31,0.002*(EQ31-d_2)/(EQ31-3*h_col/7))/0.002)))^2))+(MAX(-f_yd,MIN(f_yd,200000*IF(EQ31&lt;=h_col,0.0035*(EQ31-(h_col-d_2))/EQ31,0.002*(EQ31-(h_col-d_2))/(EQ31-3*h_col/7))))-f_cd*(1-(1-MAX(0,MIN(1,IF(EQ31&lt;=h_col,0.0035*(EQ31-(h_col-d_2))/EQ31,0.002*(EQ31-(h_col-d_2))/(EQ31-3*h_col/7))/0.002)))^2))))/1000</f>
        <v/>
      </c>
      <c r="ES31">
        <f>IF($ER31&lt;N_Ed-1E-9*MAX(1,N_Ed),(EO31+EP31)/2,EO31)</f>
        <v/>
      </c>
      <c r="ET31">
        <f>IF($ER31&lt;N_Ed-1E-9*MAX(1,N_Ed),EP31,(EO31+EP31)/2)</f>
        <v/>
      </c>
      <c r="EU31">
        <f>h_col*((ES31+ET31)/2)/(1-(ES31+ET31)/2)</f>
        <v/>
      </c>
      <c r="EV31">
        <f>(f_cd*b_col*((3*MIN(EU31,h_col)/7)+(4*MIN(EU31,h_col)/7)*(1-((4*MIN(EU31,h_col)/7)/(EU31-(3*MIN(EU31,h_col)/7)))^2/3))+$D31/2*((MAX(-f_yd,MIN(f_yd,200000*IF(EU31&lt;=h_col,0.0035*(EU31-d_2)/EU31,0.002*(EU31-d_2)/(EU31-3*h_col/7))))-f_cd*(1-(1-MAX(0,MIN(1,IF(EU31&lt;=h_col,0.0035*(EU31-d_2)/EU31,0.002*(EU31-d_2)/(EU31-3*h_col/7))/0.002)))^2))+(MAX(-f_yd,MIN(f_yd,200000*IF(EU31&lt;=h_col,0.0035*(EU31-(h_col-d_2))/EU31,0.002*(EU31-(h_col-d_2))/(EU31-3*h_col/7))))-f_cd*(1-(1-MAX(0,MIN(1,IF(EU31&lt;=h_col,0.0035*(EU31-(h_col-d_2))/EU31,0.002*(EU31-(h_col-d_2))/(EU31-3*h_col/7))/0.002)))^2))))/1000</f>
        <v/>
      </c>
      <c r="EW31">
        <f>IF($EV31&lt;N_Ed-1E-9*MAX(1,N_Ed),(ES31+ET31)/2,ES31)</f>
        <v/>
      </c>
      <c r="EX31">
        <f>IF($EV31&lt;N_Ed-1E-9*MAX(1,N_Ed),ET31,(ES31+ET31)/2)</f>
        <v/>
      </c>
      <c r="EY31">
        <f>h_col*((EW31+EX31)/2)/(1-(EW31+EX31)/2)</f>
        <v/>
      </c>
      <c r="EZ31">
        <f>(f_cd*b_col*((3*MIN(EY31,h_col)/7)+(4*MIN(EY31,h_col)/7)*(1-((4*MIN(EY31,h_col)/7)/(EY31-(3*MIN(EY31,h_col)/7)))^2/3))+$D31/2*((MAX(-f_yd,MIN(f_yd,200000*IF(EY31&lt;=h_col,0.0035*(EY31-d_2)/EY31,0.002*(EY31-d_2)/(EY31-3*h_col/7))))-f_cd*(1-(1-MAX(0,MIN(1,IF(EY31&lt;=h_col,0.0035*(EY31-d_2)/EY31,0.002*(EY31-d_2)/(EY31-3*h_col/7))/0.002)))^2))+(MAX(-f_yd,MIN(f_yd,200000*IF(EY31&lt;=h_col,0.0035*(EY31-(h_col-d_2))/EY31,0.002*(EY31-(h_col-d_2))/(EY31-3*h_col/7))))-f_cd*(1-(1-MAX(0,MIN(1,IF(EY31&lt;=h_col,0.0035*(EY31-(h_col-d_2))/EY31,0.002*(EY31-(h_col-d_2))/(EY31-3*h_col/7))/0.002)))^2))))/1000</f>
        <v/>
      </c>
      <c r="FA31">
        <f>IF($EZ31&lt;N_Ed-1E-9*MAX(1,N_Ed),(EW31+EX31)/2,EW31)</f>
        <v/>
      </c>
      <c r="FB31">
        <f>IF($EZ31&lt;N_Ed-1E-9*MAX(1,N_Ed),EX31,(EW31+EX31)/2)</f>
        <v/>
      </c>
      <c r="FC31">
        <f>h_col*((FA31+FB31)/2)/(1-(FA31+FB31)/2)</f>
        <v/>
      </c>
      <c r="FD31">
        <f>(f_cd*b_col*((3*MIN(FC31,h_col)/7)+(4*MIN(FC31,h_col)/7)*(1-((4*MIN(FC31,h_col)/7)/(FC31-(3*MIN(FC31,h_col)/7)))^2/3))+$D31/2*((MAX(-f_yd,MIN(f_yd,200000*IF(FC31&lt;=h_col,0.0035*(FC31-d_2)/FC31,0.002*(FC31-d_2)/(FC31-3*h_col/7))))-f_cd*(1-(1-MAX(0,MIN(1,IF(FC31&lt;=h_col,0.0035*(FC31-d_2)/FC31,0.002*(FC31-d_2)/(FC31-3*h_col/7))/0.002)))^2))+(MAX(-f_yd,MIN(f_yd,200000*IF(FC31&lt;=h_col,0.0035*(FC31-(h_col-d_2))/FC31,0.002*(FC31-(h_col-d_2))/(FC31-3*h_col/7))))-f_cd*(1-(1-MAX(0,MIN(1,IF(FC31&lt;=h_col,0.0035*(FC31-(h_col-d_2))/FC31,0.002*(FC31-(h_col-d_2))/(FC31-3*h_col/7))/0.002)))^2))))/1000</f>
        <v/>
      </c>
      <c r="FE31">
        <f>IF($FD31&lt;N_Ed-1E-9*MAX(1,N_Ed),(FA31+FB31)/2,FA31)</f>
        <v/>
      </c>
      <c r="FF31">
        <f>IF($FD31&lt;N_Ed-1E-9*MAX(1,N_Ed),FB31,(FA31+FB31)/2)</f>
        <v/>
      </c>
      <c r="FG31">
        <f>h_col*((FE31+FF31)/2)/(1-(FE31+FF31)/2)</f>
        <v/>
      </c>
      <c r="FH31">
        <f>(f_cd*b_col*((3*MIN(FG31,h_col)/7)+(4*MIN(FG31,h_col)/7)*(1-((4*MIN(FG31,h_col)/7)/(FG31-(3*MIN(FG31,h_col)/7)))^2/3))+$D31/2*((MAX(-f_yd,MIN(f_yd,200000*IF(FG31&lt;=h_col,0.0035*(FG31-d_2)/FG31,0.002*(FG31-d_2)/(FG31-3*h_col/7))))-f_cd*(1-(1-MAX(0,MIN(1,IF(FG31&lt;=h_col,0.0035*(FG31-d_2)/FG31,0.002*(FG31-d_2)/(FG31-3*h_col/7))/0.002)))^2))+(MAX(-f_yd,MIN(f_yd,200000*IF(FG31&lt;=h_col,0.0035*(FG31-(h_col-d_2))/FG31,0.002*(FG31-(h_col-d_2))/(FG31-3*h_col/7))))-f_cd*(1-(1-MAX(0,MIN(1,IF(FG31&lt;=h_col,0.0035*(FG31-(h_col-d_2))/FG31,0.002*(FG31-(h_col-d_2))/(FG31-3*h_col/7))/0.002)))^2))))/1000</f>
        <v/>
      </c>
      <c r="FI31">
        <f>IF($FH31&lt;N_Ed-1E-9*MAX(1,N_Ed),(FE31+FF31)/2,FE31)</f>
        <v/>
      </c>
      <c r="FJ31">
        <f>IF($FH31&lt;N_Ed-1E-9*MAX(1,N_Ed),FF31,(FE31+FF31)/2)</f>
        <v/>
      </c>
      <c r="FK31">
        <f>h_col*((FI31+FJ31)/2)/(1-(FI31+FJ31)/2)</f>
        <v/>
      </c>
      <c r="FL31">
        <f>(f_cd*b_col*((3*MIN(FK31,h_col)/7)+(4*MIN(FK31,h_col)/7)*(1-((4*MIN(FK31,h_col)/7)/(FK31-(3*MIN(FK31,h_col)/7)))^2/3))+$D31/2*((MAX(-f_yd,MIN(f_yd,200000*IF(FK31&lt;=h_col,0.0035*(FK31-d_2)/FK31,0.002*(FK31-d_2)/(FK31-3*h_col/7))))-f_cd*(1-(1-MAX(0,MIN(1,IF(FK31&lt;=h_col,0.0035*(FK31-d_2)/FK31,0.002*(FK31-d_2)/(FK31-3*h_col/7))/0.002)))^2))+(MAX(-f_yd,MIN(f_yd,200000*IF(FK31&lt;=h_col,0.0035*(FK31-(h_col-d_2))/FK31,0.002*(FK31-(h_col-d_2))/(FK31-3*h_col/7))))-f_cd*(1-(1-MAX(0,MIN(1,IF(FK31&lt;=h_col,0.0035*(FK31-(h_col-d_2))/FK31,0.002*(FK31-(h_col-d_2))/(FK31-3*h_col/7))/0.002)))^2))))/1000</f>
        <v/>
      </c>
      <c r="FM31">
        <f>IF($FL31&lt;N_Ed-1E-9*MAX(1,N_Ed),(FI31+FJ31)/2,FI31)</f>
        <v/>
      </c>
      <c r="FN31">
        <f>IF($FL31&lt;N_Ed-1E-9*MAX(1,N_Ed),FJ31,(FI31+FJ31)/2)</f>
        <v/>
      </c>
      <c r="FO31">
        <f>h_col*((FM31+FN31)/2)/(1-(FM31+FN31)/2)</f>
        <v/>
      </c>
      <c r="FP31">
        <f>(f_cd*b_col*((3*MIN(FO31,h_col)/7)+(4*MIN(FO31,h_col)/7)*(1-((4*MIN(FO31,h_col)/7)/(FO31-(3*MIN(FO31,h_col)/7)))^2/3))+$D31/2*((MAX(-f_yd,MIN(f_yd,200000*IF(FO31&lt;=h_col,0.0035*(FO31-d_2)/FO31,0.002*(FO31-d_2)/(FO31-3*h_col/7))))-f_cd*(1-(1-MAX(0,MIN(1,IF(FO31&lt;=h_col,0.0035*(FO31-d_2)/FO31,0.002*(FO31-d_2)/(FO31-3*h_col/7))/0.002)))^2))+(MAX(-f_yd,MIN(f_yd,200000*IF(FO31&lt;=h_col,0.0035*(FO31-(h_col-d_2))/FO31,0.002*(FO31-(h_col-d_2))/(FO31-3*h_col/7))))-f_cd*(1-(1-MAX(0,MIN(1,IF(FO31&lt;=h_col,0.0035*(FO31-(h_col-d_2))/FO31,0.002*(FO31-(h_col-d_2))/(FO31-3*h_col/7))/0.002)))^2))))/1000</f>
        <v/>
      </c>
      <c r="FQ31">
        <f>IF($FP31&lt;N_Ed-1E-9*MAX(1,N_Ed),(FM31+FN31)/2,FM31)</f>
        <v/>
      </c>
      <c r="FR31">
        <f>IF($FP31&lt;N_Ed-1E-9*MAX(1,N_Ed),FN31,(FM31+FN31)/2)</f>
        <v/>
      </c>
      <c r="FS31">
        <f>h_col*((FQ31+FR31)/2)/(1-(FQ31+FR31)/2)</f>
        <v/>
      </c>
      <c r="FT31">
        <f>(f_cd*b_col*((3*MIN(FS31,h_col)/7)+(4*MIN(FS31,h_col)/7)*(1-((4*MIN(FS31,h_col)/7)/(FS31-(3*MIN(FS31,h_col)/7)))^2/3))+$D31/2*((MAX(-f_yd,MIN(f_yd,200000*IF(FS31&lt;=h_col,0.0035*(FS31-d_2)/FS31,0.002*(FS31-d_2)/(FS31-3*h_col/7))))-f_cd*(1-(1-MAX(0,MIN(1,IF(FS31&lt;=h_col,0.0035*(FS31-d_2)/FS31,0.002*(FS31-d_2)/(FS31-3*h_col/7))/0.002)))^2))+(MAX(-f_yd,MIN(f_yd,200000*IF(FS31&lt;=h_col,0.0035*(FS31-(h_col-d_2))/FS31,0.002*(FS31-(h_col-d_2))/(FS31-3*h_col/7))))-f_cd*(1-(1-MAX(0,MIN(1,IF(FS31&lt;=h_col,0.0035*(FS31-(h_col-d_2))/FS31,0.002*(FS31-(h_col-d_2))/(FS31-3*h_col/7))/0.002)))^2))))/1000</f>
        <v/>
      </c>
      <c r="FU31">
        <f>IF($FT31&lt;N_Ed-1E-9*MAX(1,N_Ed),(FQ31+FR31)/2,FQ31)</f>
        <v/>
      </c>
      <c r="FV31">
        <f>IF($FT31&lt;N_Ed-1E-9*MAX(1,N_Ed),FR31,(FQ31+FR31)/2)</f>
        <v/>
      </c>
      <c r="FW31">
        <f>h_col*((FU31+FV31)/2)/(1-(FU31+FV31)/2)</f>
        <v/>
      </c>
      <c r="FX31">
        <f>(f_cd*b_col*((3*MIN(FW31,h_col)/7)+(4*MIN(FW31,h_col)/7)*(1-((4*MIN(FW31,h_col)/7)/(FW31-(3*MIN(FW31,h_col)/7)))^2/3))+$D31/2*((MAX(-f_yd,MIN(f_yd,200000*IF(FW31&lt;=h_col,0.0035*(FW31-d_2)/FW31,0.002*(FW31-d_2)/(FW31-3*h_col/7))))-f_cd*(1-(1-MAX(0,MIN(1,IF(FW31&lt;=h_col,0.0035*(FW31-d_2)/FW31,0.002*(FW31-d_2)/(FW31-3*h_col/7))/0.002)))^2))+(MAX(-f_yd,MIN(f_yd,200000*IF(FW31&lt;=h_col,0.0035*(FW31-(h_col-d_2))/FW31,0.002*(FW31-(h_col-d_2))/(FW31-3*h_col/7))))-f_cd*(1-(1-MAX(0,MIN(1,IF(FW31&lt;=h_col,0.0035*(FW31-(h_col-d_2))/FW31,0.002*(FW31-(h_col-d_2))/(FW31-3*h_col/7))/0.002)))^2))))/1000</f>
        <v/>
      </c>
      <c r="FY31">
        <f>IF($FX31&lt;N_Ed-1E-9*MAX(1,N_Ed),(FU31+FV31)/2,FU31)</f>
        <v/>
      </c>
      <c r="FZ31">
        <f>IF($FX31&lt;N_Ed-1E-9*MAX(1,N_Ed),FV31,(FU31+FV31)/2)</f>
        <v/>
      </c>
      <c r="GA31">
        <f>h_col*((FY31+FZ31)/2)/(1-(FY31+FZ31)/2)</f>
        <v/>
      </c>
      <c r="GB31">
        <f>(f_cd*b_col*((3*MIN(GA31,h_col)/7)+(4*MIN(GA31,h_col)/7)*(1-((4*MIN(GA31,h_col)/7)/(GA31-(3*MIN(GA31,h_col)/7)))^2/3))+$D31/2*((MAX(-f_yd,MIN(f_yd,200000*IF(GA31&lt;=h_col,0.0035*(GA31-d_2)/GA31,0.002*(GA31-d_2)/(GA31-3*h_col/7))))-f_cd*(1-(1-MAX(0,MIN(1,IF(GA31&lt;=h_col,0.0035*(GA31-d_2)/GA31,0.002*(GA31-d_2)/(GA31-3*h_col/7))/0.002)))^2))+(MAX(-f_yd,MIN(f_yd,200000*IF(GA31&lt;=h_col,0.0035*(GA31-(h_col-d_2))/GA31,0.002*(GA31-(h_col-d_2))/(GA31-3*h_col/7))))-f_cd*(1-(1-MAX(0,MIN(1,IF(GA31&lt;=h_col,0.0035*(GA31-(h_col-d_2))/GA31,0.002*(GA31-(h_col-d_2))/(GA31-3*h_col/7))/0.002)))^2))))/1000</f>
        <v/>
      </c>
      <c r="GC31">
        <f>IF($GB31&lt;N_Ed-1E-9*MAX(1,N_Ed),(FY31+FZ31)/2,FY31)</f>
        <v/>
      </c>
      <c r="GD31">
        <f>IF($GB31&lt;N_Ed-1E-9*MAX(1,N_Ed),FZ31,(FY31+FZ31)/2)</f>
        <v/>
      </c>
      <c r="GE31">
        <f>h_col*((GC31+GD31)/2)/(1-(GC31+GD31)/2)</f>
        <v/>
      </c>
      <c r="GF31">
        <f>(f_cd*b_col*((3*MIN(GE31,h_col)/7)+(4*MIN(GE31,h_col)/7)*(1-((4*MIN(GE31,h_col)/7)/(GE31-(3*MIN(GE31,h_col)/7)))^2/3))+$D31/2*((MAX(-f_yd,MIN(f_yd,200000*IF(GE31&lt;=h_col,0.0035*(GE31-d_2)/GE31,0.002*(GE31-d_2)/(GE31-3*h_col/7))))-f_cd*(1-(1-MAX(0,MIN(1,IF(GE31&lt;=h_col,0.0035*(GE31-d_2)/GE31,0.002*(GE31-d_2)/(GE31-3*h_col/7))/0.002)))^2))+(MAX(-f_yd,MIN(f_yd,200000*IF(GE31&lt;=h_col,0.0035*(GE31-(h_col-d_2))/GE31,0.002*(GE31-(h_col-d_2))/(GE31-3*h_col/7))))-f_cd*(1-(1-MAX(0,MIN(1,IF(GE31&lt;=h_col,0.0035*(GE31-(h_col-d_2))/GE31,0.002*(GE31-(h_col-d_2))/(GE31-3*h_col/7))/0.002)))^2))))/1000</f>
        <v/>
      </c>
      <c r="GG31">
        <f>IF($GF31&lt;N_Ed-1E-9*MAX(1,N_Ed),(GC31+GD31)/2,GC31)</f>
        <v/>
      </c>
      <c r="GH31">
        <f>IF($GF31&lt;N_Ed-1E-9*MAX(1,N_Ed),GD31,(GC31+GD31)/2)</f>
        <v/>
      </c>
      <c r="GI31">
        <f>h_col*((GG31+GH31)/2)/(1-(GG31+GH31)/2)</f>
        <v/>
      </c>
      <c r="GJ31">
        <f>(f_cd*b_col*((3*MIN(GI31,h_col)/7)+(4*MIN(GI31,h_col)/7)*(1-((4*MIN(GI31,h_col)/7)/(GI31-(3*MIN(GI31,h_col)/7)))^2/3))+$D31/2*((MAX(-f_yd,MIN(f_yd,200000*IF(GI31&lt;=h_col,0.0035*(GI31-d_2)/GI31,0.002*(GI31-d_2)/(GI31-3*h_col/7))))-f_cd*(1-(1-MAX(0,MIN(1,IF(GI31&lt;=h_col,0.0035*(GI31-d_2)/GI31,0.002*(GI31-d_2)/(GI31-3*h_col/7))/0.002)))^2))+(MAX(-f_yd,MIN(f_yd,200000*IF(GI31&lt;=h_col,0.0035*(GI31-(h_col-d_2))/GI31,0.002*(GI31-(h_col-d_2))/(GI31-3*h_col/7))))-f_cd*(1-(1-MAX(0,MIN(1,IF(GI31&lt;=h_col,0.0035*(GI31-(h_col-d_2))/GI31,0.002*(GI31-(h_col-d_2))/(GI31-3*h_col/7))/0.002)))^2))))/1000</f>
        <v/>
      </c>
      <c r="GK31">
        <f>IF($GJ31&lt;N_Ed-1E-9*MAX(1,N_Ed),(GG31+GH31)/2,GG31)</f>
        <v/>
      </c>
      <c r="GL31">
        <f>IF($GJ31&lt;N_Ed-1E-9*MAX(1,N_Ed),GH31,(GG31+GH31)/2)</f>
        <v/>
      </c>
      <c r="GM31">
        <f>h_col*((GK31+GL31)/2)/(1-(GK31+GL31)/2)</f>
        <v/>
      </c>
      <c r="GN31">
        <f>(f_cd*b_col*((3*MIN(GM31,h_col)/7)+(4*MIN(GM31,h_col)/7)*(1-((4*MIN(GM31,h_col)/7)/(GM31-(3*MIN(GM31,h_col)/7)))^2/3))+$D31/2*((MAX(-f_yd,MIN(f_yd,200000*IF(GM31&lt;=h_col,0.0035*(GM31-d_2)/GM31,0.002*(GM31-d_2)/(GM31-3*h_col/7))))-f_cd*(1-(1-MAX(0,MIN(1,IF(GM31&lt;=h_col,0.0035*(GM31-d_2)/GM31,0.002*(GM31-d_2)/(GM31-3*h_col/7))/0.002)))^2))+(MAX(-f_yd,MIN(f_yd,200000*IF(GM31&lt;=h_col,0.0035*(GM31-(h_col-d_2))/GM31,0.002*(GM31-(h_col-d_2))/(GM31-3*h_col/7))))-f_cd*(1-(1-MAX(0,MIN(1,IF(GM31&lt;=h_col,0.0035*(GM31-(h_col-d_2))/GM31,0.002*(GM31-(h_col-d_2))/(GM31-3*h_col/7))/0.002)))^2))))/1000</f>
        <v/>
      </c>
      <c r="GO31">
        <f>IF($GN31&lt;N_Ed-1E-9*MAX(1,N_Ed),(GK31+GL31)/2,GK31)</f>
        <v/>
      </c>
      <c r="GP31">
        <f>IF($GN31&lt;N_Ed-1E-9*MAX(1,N_Ed),GL31,(GK31+GL31)/2)</f>
        <v/>
      </c>
      <c r="GQ31">
        <f>h_col*((GO31+GP31)/2)/(1-(GO31+GP31)/2)</f>
        <v/>
      </c>
      <c r="GR31">
        <f>(f_cd*b_col*((3*MIN(GQ31,h_col)/7)+(4*MIN(GQ31,h_col)/7)*(1-((4*MIN(GQ31,h_col)/7)/(GQ31-(3*MIN(GQ31,h_col)/7)))^2/3))+$D31/2*((MAX(-f_yd,MIN(f_yd,200000*IF(GQ31&lt;=h_col,0.0035*(GQ31-d_2)/GQ31,0.002*(GQ31-d_2)/(GQ31-3*h_col/7))))-f_cd*(1-(1-MAX(0,MIN(1,IF(GQ31&lt;=h_col,0.0035*(GQ31-d_2)/GQ31,0.002*(GQ31-d_2)/(GQ31-3*h_col/7))/0.002)))^2))+(MAX(-f_yd,MIN(f_yd,200000*IF(GQ31&lt;=h_col,0.0035*(GQ31-(h_col-d_2))/GQ31,0.002*(GQ31-(h_col-d_2))/(GQ31-3*h_col/7))))-f_cd*(1-(1-MAX(0,MIN(1,IF(GQ31&lt;=h_col,0.0035*(GQ31-(h_col-d_2))/GQ31,0.002*(GQ31-(h_col-d_2))/(GQ31-3*h_col/7))/0.002)))^2))))/1000</f>
        <v/>
      </c>
      <c r="GS31">
        <f>IF($GR31&lt;N_Ed-1E-9*MAX(1,N_Ed),(GO31+GP31)/2,GO31)</f>
        <v/>
      </c>
      <c r="GT31">
        <f>IF($GR31&lt;N_Ed-1E-9*MAX(1,N_Ed),GP31,(GO31+GP31)/2)</f>
        <v/>
      </c>
      <c r="GU31">
        <f>h_col*((GS31+GT31)/2)/(1-(GS31+GT31)/2)</f>
        <v/>
      </c>
      <c r="GV31">
        <f>(f_cd*b_col*((3*MIN(GU31,h_col)/7)+(4*MIN(GU31,h_col)/7)*(1-((4*MIN(GU31,h_col)/7)/(GU31-(3*MIN(GU31,h_col)/7)))^2/3))+$D31/2*((MAX(-f_yd,MIN(f_yd,200000*IF(GU31&lt;=h_col,0.0035*(GU31-d_2)/GU31,0.002*(GU31-d_2)/(GU31-3*h_col/7))))-f_cd*(1-(1-MAX(0,MIN(1,IF(GU31&lt;=h_col,0.0035*(GU31-d_2)/GU31,0.002*(GU31-d_2)/(GU31-3*h_col/7))/0.002)))^2))+(MAX(-f_yd,MIN(f_yd,200000*IF(GU31&lt;=h_col,0.0035*(GU31-(h_col-d_2))/GU31,0.002*(GU31-(h_col-d_2))/(GU31-3*h_col/7))))-f_cd*(1-(1-MAX(0,MIN(1,IF(GU31&lt;=h_col,0.0035*(GU31-(h_col-d_2))/GU31,0.002*(GU31-(h_col-d_2))/(GU31-3*h_col/7))/0.002)))^2))))/1000</f>
        <v/>
      </c>
      <c r="GW31">
        <f>GU31</f>
        <v/>
      </c>
      <c r="GX31">
        <f>(f_cd*b_col*((3*MIN(GW31,h_col)/7)+(4*MIN(GW31,h_col)/7)*(1-((4*MIN(GW31,h_col)/7)/(GW31-(3*MIN(GW31,h_col)/7)))^2/3))+$D31/2*((MAX(-f_yd,MIN(f_yd,200000*IF(GW31&lt;=h_col,0.0035*(GW31-d_2)/GW31,0.002*(GW31-d_2)/(GW31-3*h_col/7))))-f_cd*(1-(1-MAX(0,MIN(1,IF(GW31&lt;=h_col,0.0035*(GW31-d_2)/GW31,0.002*(GW31-d_2)/(GW31-3*h_col/7))/0.002)))^2))+(MAX(-f_yd,MIN(f_yd,200000*IF(GW31&lt;=h_col,0.0035*(GW31-(h_col-d_2))/GW31,0.002*(GW31-(h_col-d_2))/(GW31-3*h_col/7))))-f_cd*(1-(1-MAX(0,MIN(1,IF(GW31&lt;=h_col,0.0035*(GW31-(h_col-d_2))/GW31,0.002*(GW31-(h_col-d_2))/(GW31-3*h_col/7))/0.002)))^2))))/1000</f>
        <v/>
      </c>
      <c r="GY31">
        <f>(f_cd*b_col*((3*MIN(GW31,h_col)/7)*(h_col/2-(3*MIN(GW31,h_col)/7)/2)+(4*MIN(GW31,h_col)/7)*((h_col/2-(3*MIN(GW31,h_col)/7))*(1-((4*MIN(GW31,h_col)/7)/(GW31-(3*MIN(GW31,h_col)/7)))^2/3)-(4*MIN(GW31,h_col)/7)*(0.5-((4*MIN(GW31,h_col)/7)/(GW31-(3*MIN(GW31,h_col)/7)))^2/4)))+$D31/2*((MAX(-f_yd,MIN(f_yd,200000*IF(GW31&lt;=h_col,0.0035*(GW31-d_2)/GW31,0.002*(GW31-d_2)/(GW31-3*h_col/7))))-f_cd*(1-(1-MAX(0,MIN(1,IF(GW31&lt;=h_col,0.0035*(GW31-d_2)/GW31,0.002*(GW31-d_2)/(GW31-3*h_col/7))/0.002)))^2))-(MAX(-f_yd,MIN(f_yd,200000*IF(GW31&lt;=h_col,0.0035*(GW31-(h_col-d_2))/GW31,0.002*(GW31-(h_col-d_2))/(GW31-3*h_col/7))))-f_cd*(1-(1-MAX(0,MIN(1,IF(GW31&lt;=h_col,0.0035*(GW31-(h_col-d_2))/GW31,0.002*(GW31-(h_col-d_2))/(GW31-3*h_col/7))/0.002)))^2)))*(h_col/2-d_2))/1E6</f>
        <v/>
      </c>
      <c r="GZ31">
        <f>GX31&gt;=N_Ed-1E-6*MAX(1,N_Ed)</f>
        <v/>
      </c>
      <c r="HA31">
        <f>IF(GZ31,GY31,-1E9)</f>
        <v/>
      </c>
    </row>
    <row r="32">
      <c r="A32" t="n">
        <v>27</v>
      </c>
      <c r="B32">
        <f>IF($HA31&gt;=M_d,$B31,$D31)</f>
        <v/>
      </c>
      <c r="C32">
        <f>IF($HA31&gt;=M_d,$D31,$C31)</f>
        <v/>
      </c>
      <c r="D32">
        <f>($B32+$C32)/2</f>
        <v/>
      </c>
      <c r="E32" t="n">
        <v>0</v>
      </c>
      <c r="F32">
        <f>1-1E-12</f>
        <v/>
      </c>
      <c r="G32">
        <f>h_col*((E32+F32)/2)/(1-(E32+F32)/2)</f>
        <v/>
      </c>
      <c r="H32">
        <f>(f_cd*b_col*((3*MIN(G32,h_col)/7)+(4*MIN(G32,h_col)/7)*(1-((4*MIN(G32,h_col)/7)/(G32-(3*MIN(G32,h_col)/7)))^2/3))+$D32/2*((MAX(-f_yd,MIN(f_yd,200000*IF(G32&lt;=h_col,0.0035*(G32-d_2)/G32,0.002*(G32-d_2)/(G32-3*h_col/7))))-f_cd*(1-(1-MAX(0,MIN(1,IF(G32&lt;=h_col,0.0035*(G32-d_2)/G32,0.002*(G32-d_2)/(G32-3*h_col/7))/0.002)))^2))+(MAX(-f_yd,MIN(f_yd,200000*IF(G32&lt;=h_col,0.0035*(G32-(h_col-d_2))/G32,0.002*(G32-(h_col-d_2))/(G32-3*h_col/7))))-f_cd*(1-(1-MAX(0,MIN(1,IF(G32&lt;=h_col,0.0035*(G32-(h_col-d_2))/G32,0.002*(G32-(h_col-d_2))/(G32-3*h_col/7))/0.002)))^2))))/1000</f>
        <v/>
      </c>
      <c r="I32">
        <f>IF($H32&lt;N_Ed-1E-9*MAX(1,N_Ed),(E32+F32)/2,E32)</f>
        <v/>
      </c>
      <c r="J32">
        <f>IF($H32&lt;N_Ed-1E-9*MAX(1,N_Ed),F32,(E32+F32)/2)</f>
        <v/>
      </c>
      <c r="K32">
        <f>h_col*((I32+J32)/2)/(1-(I32+J32)/2)</f>
        <v/>
      </c>
      <c r="L32">
        <f>(f_cd*b_col*((3*MIN(K32,h_col)/7)+(4*MIN(K32,h_col)/7)*(1-((4*MIN(K32,h_col)/7)/(K32-(3*MIN(K32,h_col)/7)))^2/3))+$D32/2*((MAX(-f_yd,MIN(f_yd,200000*IF(K32&lt;=h_col,0.0035*(K32-d_2)/K32,0.002*(K32-d_2)/(K32-3*h_col/7))))-f_cd*(1-(1-MAX(0,MIN(1,IF(K32&lt;=h_col,0.0035*(K32-d_2)/K32,0.002*(K32-d_2)/(K32-3*h_col/7))/0.002)))^2))+(MAX(-f_yd,MIN(f_yd,200000*IF(K32&lt;=h_col,0.0035*(K32-(h_col-d_2))/K32,0.002*(K32-(h_col-d_2))/(K32-3*h_col/7))))-f_cd*(1-(1-MAX(0,MIN(1,IF(K32&lt;=h_col,0.0035*(K32-(h_col-d_2))/K32,0.002*(K32-(h_col-d_2))/(K32-3*h_col/7))/0.002)))^2))))/1000</f>
        <v/>
      </c>
      <c r="M32">
        <f>IF($L32&lt;N_Ed-1E-9*MAX(1,N_Ed),(I32+J32)/2,I32)</f>
        <v/>
      </c>
      <c r="N32">
        <f>IF($L32&lt;N_Ed-1E-9*MAX(1,N_Ed),J32,(I32+J32)/2)</f>
        <v/>
      </c>
      <c r="O32">
        <f>h_col*((M32+N32)/2)/(1-(M32+N32)/2)</f>
        <v/>
      </c>
      <c r="P32">
        <f>(f_cd*b_col*((3*MIN(O32,h_col)/7)+(4*MIN(O32,h_col)/7)*(1-((4*MIN(O32,h_col)/7)/(O32-(3*MIN(O32,h_col)/7)))^2/3))+$D32/2*((MAX(-f_yd,MIN(f_yd,200000*IF(O32&lt;=h_col,0.0035*(O32-d_2)/O32,0.002*(O32-d_2)/(O32-3*h_col/7))))-f_cd*(1-(1-MAX(0,MIN(1,IF(O32&lt;=h_col,0.0035*(O32-d_2)/O32,0.002*(O32-d_2)/(O32-3*h_col/7))/0.002)))^2))+(MAX(-f_yd,MIN(f_yd,200000*IF(O32&lt;=h_col,0.0035*(O32-(h_col-d_2))/O32,0.002*(O32-(h_col-d_2))/(O32-3*h_col/7))))-f_cd*(1-(1-MAX(0,MIN(1,IF(O32&lt;=h_col,0.0035*(O32-(h_col-d_2))/O32,0.002*(O32-(h_col-d_2))/(O32-3*h_col/7))/0.002)))^2))))/1000</f>
        <v/>
      </c>
      <c r="Q32">
        <f>IF($P32&lt;N_Ed-1E-9*MAX(1,N_Ed),(M32+N32)/2,M32)</f>
        <v/>
      </c>
      <c r="R32">
        <f>IF($P32&lt;N_Ed-1E-9*MAX(1,N_Ed),N32,(M32+N32)/2)</f>
        <v/>
      </c>
      <c r="S32">
        <f>h_col*((Q32+R32)/2)/(1-(Q32+R32)/2)</f>
        <v/>
      </c>
      <c r="T32">
        <f>(f_cd*b_col*((3*MIN(S32,h_col)/7)+(4*MIN(S32,h_col)/7)*(1-((4*MIN(S32,h_col)/7)/(S32-(3*MIN(S32,h_col)/7)))^2/3))+$D32/2*((MAX(-f_yd,MIN(f_yd,200000*IF(S32&lt;=h_col,0.0035*(S32-d_2)/S32,0.002*(S32-d_2)/(S32-3*h_col/7))))-f_cd*(1-(1-MAX(0,MIN(1,IF(S32&lt;=h_col,0.0035*(S32-d_2)/S32,0.002*(S32-d_2)/(S32-3*h_col/7))/0.002)))^2))+(MAX(-f_yd,MIN(f_yd,200000*IF(S32&lt;=h_col,0.0035*(S32-(h_col-d_2))/S32,0.002*(S32-(h_col-d_2))/(S32-3*h_col/7))))-f_cd*(1-(1-MAX(0,MIN(1,IF(S32&lt;=h_col,0.0035*(S32-(h_col-d_2))/S32,0.002*(S32-(h_col-d_2))/(S32-3*h_col/7))/0.002)))^2))))/1000</f>
        <v/>
      </c>
      <c r="U32">
        <f>IF($T32&lt;N_Ed-1E-9*MAX(1,N_Ed),(Q32+R32)/2,Q32)</f>
        <v/>
      </c>
      <c r="V32">
        <f>IF($T32&lt;N_Ed-1E-9*MAX(1,N_Ed),R32,(Q32+R32)/2)</f>
        <v/>
      </c>
      <c r="W32">
        <f>h_col*((U32+V32)/2)/(1-(U32+V32)/2)</f>
        <v/>
      </c>
      <c r="X32">
        <f>(f_cd*b_col*((3*MIN(W32,h_col)/7)+(4*MIN(W32,h_col)/7)*(1-((4*MIN(W32,h_col)/7)/(W32-(3*MIN(W32,h_col)/7)))^2/3))+$D32/2*((MAX(-f_yd,MIN(f_yd,200000*IF(W32&lt;=h_col,0.0035*(W32-d_2)/W32,0.002*(W32-d_2)/(W32-3*h_col/7))))-f_cd*(1-(1-MAX(0,MIN(1,IF(W32&lt;=h_col,0.0035*(W32-d_2)/W32,0.002*(W32-d_2)/(W32-3*h_col/7))/0.002)))^2))+(MAX(-f_yd,MIN(f_yd,200000*IF(W32&lt;=h_col,0.0035*(W32-(h_col-d_2))/W32,0.002*(W32-(h_col-d_2))/(W32-3*h_col/7))))-f_cd*(1-(1-MAX(0,MIN(1,IF(W32&lt;=h_col,0.0035*(W32-(h_col-d_2))/W32,0.002*(W32-(h_col-d_2))/(W32-3*h_col/7))/0.002)))^2))))/1000</f>
        <v/>
      </c>
      <c r="Y32">
        <f>IF($X32&lt;N_Ed-1E-9*MAX(1,N_Ed),(U32+V32)/2,U32)</f>
        <v/>
      </c>
      <c r="Z32">
        <f>IF($X32&lt;N_Ed-1E-9*MAX(1,N_Ed),V32,(U32+V32)/2)</f>
        <v/>
      </c>
      <c r="AA32">
        <f>h_col*((Y32+Z32)/2)/(1-(Y32+Z32)/2)</f>
        <v/>
      </c>
      <c r="AB32">
        <f>(f_cd*b_col*((3*MIN(AA32,h_col)/7)+(4*MIN(AA32,h_col)/7)*(1-((4*MIN(AA32,h_col)/7)/(AA32-(3*MIN(AA32,h_col)/7)))^2/3))+$D32/2*((MAX(-f_yd,MIN(f_yd,200000*IF(AA32&lt;=h_col,0.0035*(AA32-d_2)/AA32,0.002*(AA32-d_2)/(AA32-3*h_col/7))))-f_cd*(1-(1-MAX(0,MIN(1,IF(AA32&lt;=h_col,0.0035*(AA32-d_2)/AA32,0.002*(AA32-d_2)/(AA32-3*h_col/7))/0.002)))^2))+(MAX(-f_yd,MIN(f_yd,200000*IF(AA32&lt;=h_col,0.0035*(AA32-(h_col-d_2))/AA32,0.002*(AA32-(h_col-d_2))/(AA32-3*h_col/7))))-f_cd*(1-(1-MAX(0,MIN(1,IF(AA32&lt;=h_col,0.0035*(AA32-(h_col-d_2))/AA32,0.002*(AA32-(h_col-d_2))/(AA32-3*h_col/7))/0.002)))^2))))/1000</f>
        <v/>
      </c>
      <c r="AC32">
        <f>IF($AB32&lt;N_Ed-1E-9*MAX(1,N_Ed),(Y32+Z32)/2,Y32)</f>
        <v/>
      </c>
      <c r="AD32">
        <f>IF($AB32&lt;N_Ed-1E-9*MAX(1,N_Ed),Z32,(Y32+Z32)/2)</f>
        <v/>
      </c>
      <c r="AE32">
        <f>h_col*((AC32+AD32)/2)/(1-(AC32+AD32)/2)</f>
        <v/>
      </c>
      <c r="AF32">
        <f>(f_cd*b_col*((3*MIN(AE32,h_col)/7)+(4*MIN(AE32,h_col)/7)*(1-((4*MIN(AE32,h_col)/7)/(AE32-(3*MIN(AE32,h_col)/7)))^2/3))+$D32/2*((MAX(-f_yd,MIN(f_yd,200000*IF(AE32&lt;=h_col,0.0035*(AE32-d_2)/AE32,0.002*(AE32-d_2)/(AE32-3*h_col/7))))-f_cd*(1-(1-MAX(0,MIN(1,IF(AE32&lt;=h_col,0.0035*(AE32-d_2)/AE32,0.002*(AE32-d_2)/(AE32-3*h_col/7))/0.002)))^2))+(MAX(-f_yd,MIN(f_yd,200000*IF(AE32&lt;=h_col,0.0035*(AE32-(h_col-d_2))/AE32,0.002*(AE32-(h_col-d_2))/(AE32-3*h_col/7))))-f_cd*(1-(1-MAX(0,MIN(1,IF(AE32&lt;=h_col,0.0035*(AE32-(h_col-d_2))/AE32,0.002*(AE32-(h_col-d_2))/(AE32-3*h_col/7))/0.002)))^2))))/1000</f>
        <v/>
      </c>
      <c r="AG32">
        <f>IF($AF32&lt;N_Ed-1E-9*MAX(1,N_Ed),(AC32+AD32)/2,AC32)</f>
        <v/>
      </c>
      <c r="AH32">
        <f>IF($AF32&lt;N_Ed-1E-9*MAX(1,N_Ed),AD32,(AC32+AD32)/2)</f>
        <v/>
      </c>
      <c r="AI32">
        <f>h_col*((AG32+AH32)/2)/(1-(AG32+AH32)/2)</f>
        <v/>
      </c>
      <c r="AJ32">
        <f>(f_cd*b_col*((3*MIN(AI32,h_col)/7)+(4*MIN(AI32,h_col)/7)*(1-((4*MIN(AI32,h_col)/7)/(AI32-(3*MIN(AI32,h_col)/7)))^2/3))+$D32/2*((MAX(-f_yd,MIN(f_yd,200000*IF(AI32&lt;=h_col,0.0035*(AI32-d_2)/AI32,0.002*(AI32-d_2)/(AI32-3*h_col/7))))-f_cd*(1-(1-MAX(0,MIN(1,IF(AI32&lt;=h_col,0.0035*(AI32-d_2)/AI32,0.002*(AI32-d_2)/(AI32-3*h_col/7))/0.002)))^2))+(MAX(-f_yd,MIN(f_yd,200000*IF(AI32&lt;=h_col,0.0035*(AI32-(h_col-d_2))/AI32,0.002*(AI32-(h_col-d_2))/(AI32-3*h_col/7))))-f_cd*(1-(1-MAX(0,MIN(1,IF(AI32&lt;=h_col,0.0035*(AI32-(h_col-d_2))/AI32,0.002*(AI32-(h_col-d_2))/(AI32-3*h_col/7))/0.002)))^2))))/1000</f>
        <v/>
      </c>
      <c r="AK32">
        <f>IF($AJ32&lt;N_Ed-1E-9*MAX(1,N_Ed),(AG32+AH32)/2,AG32)</f>
        <v/>
      </c>
      <c r="AL32">
        <f>IF($AJ32&lt;N_Ed-1E-9*MAX(1,N_Ed),AH32,(AG32+AH32)/2)</f>
        <v/>
      </c>
      <c r="AM32">
        <f>h_col*((AK32+AL32)/2)/(1-(AK32+AL32)/2)</f>
        <v/>
      </c>
      <c r="AN32">
        <f>(f_cd*b_col*((3*MIN(AM32,h_col)/7)+(4*MIN(AM32,h_col)/7)*(1-((4*MIN(AM32,h_col)/7)/(AM32-(3*MIN(AM32,h_col)/7)))^2/3))+$D32/2*((MAX(-f_yd,MIN(f_yd,200000*IF(AM32&lt;=h_col,0.0035*(AM32-d_2)/AM32,0.002*(AM32-d_2)/(AM32-3*h_col/7))))-f_cd*(1-(1-MAX(0,MIN(1,IF(AM32&lt;=h_col,0.0035*(AM32-d_2)/AM32,0.002*(AM32-d_2)/(AM32-3*h_col/7))/0.002)))^2))+(MAX(-f_yd,MIN(f_yd,200000*IF(AM32&lt;=h_col,0.0035*(AM32-(h_col-d_2))/AM32,0.002*(AM32-(h_col-d_2))/(AM32-3*h_col/7))))-f_cd*(1-(1-MAX(0,MIN(1,IF(AM32&lt;=h_col,0.0035*(AM32-(h_col-d_2))/AM32,0.002*(AM32-(h_col-d_2))/(AM32-3*h_col/7))/0.002)))^2))))/1000</f>
        <v/>
      </c>
      <c r="AO32">
        <f>IF($AN32&lt;N_Ed-1E-9*MAX(1,N_Ed),(AK32+AL32)/2,AK32)</f>
        <v/>
      </c>
      <c r="AP32">
        <f>IF($AN32&lt;N_Ed-1E-9*MAX(1,N_Ed),AL32,(AK32+AL32)/2)</f>
        <v/>
      </c>
      <c r="AQ32">
        <f>h_col*((AO32+AP32)/2)/(1-(AO32+AP32)/2)</f>
        <v/>
      </c>
      <c r="AR32">
        <f>(f_cd*b_col*((3*MIN(AQ32,h_col)/7)+(4*MIN(AQ32,h_col)/7)*(1-((4*MIN(AQ32,h_col)/7)/(AQ32-(3*MIN(AQ32,h_col)/7)))^2/3))+$D32/2*((MAX(-f_yd,MIN(f_yd,200000*IF(AQ32&lt;=h_col,0.0035*(AQ32-d_2)/AQ32,0.002*(AQ32-d_2)/(AQ32-3*h_col/7))))-f_cd*(1-(1-MAX(0,MIN(1,IF(AQ32&lt;=h_col,0.0035*(AQ32-d_2)/AQ32,0.002*(AQ32-d_2)/(AQ32-3*h_col/7))/0.002)))^2))+(MAX(-f_yd,MIN(f_yd,200000*IF(AQ32&lt;=h_col,0.0035*(AQ32-(h_col-d_2))/AQ32,0.002*(AQ32-(h_col-d_2))/(AQ32-3*h_col/7))))-f_cd*(1-(1-MAX(0,MIN(1,IF(AQ32&lt;=h_col,0.0035*(AQ32-(h_col-d_2))/AQ32,0.002*(AQ32-(h_col-d_2))/(AQ32-3*h_col/7))/0.002)))^2))))/1000</f>
        <v/>
      </c>
      <c r="AS32">
        <f>IF($AR32&lt;N_Ed-1E-9*MAX(1,N_Ed),(AO32+AP32)/2,AO32)</f>
        <v/>
      </c>
      <c r="AT32">
        <f>IF($AR32&lt;N_Ed-1E-9*MAX(1,N_Ed),AP32,(AO32+AP32)/2)</f>
        <v/>
      </c>
      <c r="AU32">
        <f>h_col*((AS32+AT32)/2)/(1-(AS32+AT32)/2)</f>
        <v/>
      </c>
      <c r="AV32">
        <f>(f_cd*b_col*((3*MIN(AU32,h_col)/7)+(4*MIN(AU32,h_col)/7)*(1-((4*MIN(AU32,h_col)/7)/(AU32-(3*MIN(AU32,h_col)/7)))^2/3))+$D32/2*((MAX(-f_yd,MIN(f_yd,200000*IF(AU32&lt;=h_col,0.0035*(AU32-d_2)/AU32,0.002*(AU32-d_2)/(AU32-3*h_col/7))))-f_cd*(1-(1-MAX(0,MIN(1,IF(AU32&lt;=h_col,0.0035*(AU32-d_2)/AU32,0.002*(AU32-d_2)/(AU32-3*h_col/7))/0.002)))^2))+(MAX(-f_yd,MIN(f_yd,200000*IF(AU32&lt;=h_col,0.0035*(AU32-(h_col-d_2))/AU32,0.002*(AU32-(h_col-d_2))/(AU32-3*h_col/7))))-f_cd*(1-(1-MAX(0,MIN(1,IF(AU32&lt;=h_col,0.0035*(AU32-(h_col-d_2))/AU32,0.002*(AU32-(h_col-d_2))/(AU32-3*h_col/7))/0.002)))^2))))/1000</f>
        <v/>
      </c>
      <c r="AW32">
        <f>IF($AV32&lt;N_Ed-1E-9*MAX(1,N_Ed),(AS32+AT32)/2,AS32)</f>
        <v/>
      </c>
      <c r="AX32">
        <f>IF($AV32&lt;N_Ed-1E-9*MAX(1,N_Ed),AT32,(AS32+AT32)/2)</f>
        <v/>
      </c>
      <c r="AY32">
        <f>h_col*((AW32+AX32)/2)/(1-(AW32+AX32)/2)</f>
        <v/>
      </c>
      <c r="AZ32">
        <f>(f_cd*b_col*((3*MIN(AY32,h_col)/7)+(4*MIN(AY32,h_col)/7)*(1-((4*MIN(AY32,h_col)/7)/(AY32-(3*MIN(AY32,h_col)/7)))^2/3))+$D32/2*((MAX(-f_yd,MIN(f_yd,200000*IF(AY32&lt;=h_col,0.0035*(AY32-d_2)/AY32,0.002*(AY32-d_2)/(AY32-3*h_col/7))))-f_cd*(1-(1-MAX(0,MIN(1,IF(AY32&lt;=h_col,0.0035*(AY32-d_2)/AY32,0.002*(AY32-d_2)/(AY32-3*h_col/7))/0.002)))^2))+(MAX(-f_yd,MIN(f_yd,200000*IF(AY32&lt;=h_col,0.0035*(AY32-(h_col-d_2))/AY32,0.002*(AY32-(h_col-d_2))/(AY32-3*h_col/7))))-f_cd*(1-(1-MAX(0,MIN(1,IF(AY32&lt;=h_col,0.0035*(AY32-(h_col-d_2))/AY32,0.002*(AY32-(h_col-d_2))/(AY32-3*h_col/7))/0.002)))^2))))/1000</f>
        <v/>
      </c>
      <c r="BA32">
        <f>IF($AZ32&lt;N_Ed-1E-9*MAX(1,N_Ed),(AW32+AX32)/2,AW32)</f>
        <v/>
      </c>
      <c r="BB32">
        <f>IF($AZ32&lt;N_Ed-1E-9*MAX(1,N_Ed),AX32,(AW32+AX32)/2)</f>
        <v/>
      </c>
      <c r="BC32">
        <f>h_col*((BA32+BB32)/2)/(1-(BA32+BB32)/2)</f>
        <v/>
      </c>
      <c r="BD32">
        <f>(f_cd*b_col*((3*MIN(BC32,h_col)/7)+(4*MIN(BC32,h_col)/7)*(1-((4*MIN(BC32,h_col)/7)/(BC32-(3*MIN(BC32,h_col)/7)))^2/3))+$D32/2*((MAX(-f_yd,MIN(f_yd,200000*IF(BC32&lt;=h_col,0.0035*(BC32-d_2)/BC32,0.002*(BC32-d_2)/(BC32-3*h_col/7))))-f_cd*(1-(1-MAX(0,MIN(1,IF(BC32&lt;=h_col,0.0035*(BC32-d_2)/BC32,0.002*(BC32-d_2)/(BC32-3*h_col/7))/0.002)))^2))+(MAX(-f_yd,MIN(f_yd,200000*IF(BC32&lt;=h_col,0.0035*(BC32-(h_col-d_2))/BC32,0.002*(BC32-(h_col-d_2))/(BC32-3*h_col/7))))-f_cd*(1-(1-MAX(0,MIN(1,IF(BC32&lt;=h_col,0.0035*(BC32-(h_col-d_2))/BC32,0.002*(BC32-(h_col-d_2))/(BC32-3*h_col/7))/0.002)))^2))))/1000</f>
        <v/>
      </c>
      <c r="BE32">
        <f>IF($BD32&lt;N_Ed-1E-9*MAX(1,N_Ed),(BA32+BB32)/2,BA32)</f>
        <v/>
      </c>
      <c r="BF32">
        <f>IF($BD32&lt;N_Ed-1E-9*MAX(1,N_Ed),BB32,(BA32+BB32)/2)</f>
        <v/>
      </c>
      <c r="BG32">
        <f>h_col*((BE32+BF32)/2)/(1-(BE32+BF32)/2)</f>
        <v/>
      </c>
      <c r="BH32">
        <f>(f_cd*b_col*((3*MIN(BG32,h_col)/7)+(4*MIN(BG32,h_col)/7)*(1-((4*MIN(BG32,h_col)/7)/(BG32-(3*MIN(BG32,h_col)/7)))^2/3))+$D32/2*((MAX(-f_yd,MIN(f_yd,200000*IF(BG32&lt;=h_col,0.0035*(BG32-d_2)/BG32,0.002*(BG32-d_2)/(BG32-3*h_col/7))))-f_cd*(1-(1-MAX(0,MIN(1,IF(BG32&lt;=h_col,0.0035*(BG32-d_2)/BG32,0.002*(BG32-d_2)/(BG32-3*h_col/7))/0.002)))^2))+(MAX(-f_yd,MIN(f_yd,200000*IF(BG32&lt;=h_col,0.0035*(BG32-(h_col-d_2))/BG32,0.002*(BG32-(h_col-d_2))/(BG32-3*h_col/7))))-f_cd*(1-(1-MAX(0,MIN(1,IF(BG32&lt;=h_col,0.0035*(BG32-(h_col-d_2))/BG32,0.002*(BG32-(h_col-d_2))/(BG32-3*h_col/7))/0.002)))^2))))/1000</f>
        <v/>
      </c>
      <c r="BI32">
        <f>IF($BH32&lt;N_Ed-1E-9*MAX(1,N_Ed),(BE32+BF32)/2,BE32)</f>
        <v/>
      </c>
      <c r="BJ32">
        <f>IF($BH32&lt;N_Ed-1E-9*MAX(1,N_Ed),BF32,(BE32+BF32)/2)</f>
        <v/>
      </c>
      <c r="BK32">
        <f>h_col*((BI32+BJ32)/2)/(1-(BI32+BJ32)/2)</f>
        <v/>
      </c>
      <c r="BL32">
        <f>(f_cd*b_col*((3*MIN(BK32,h_col)/7)+(4*MIN(BK32,h_col)/7)*(1-((4*MIN(BK32,h_col)/7)/(BK32-(3*MIN(BK32,h_col)/7)))^2/3))+$D32/2*((MAX(-f_yd,MIN(f_yd,200000*IF(BK32&lt;=h_col,0.0035*(BK32-d_2)/BK32,0.002*(BK32-d_2)/(BK32-3*h_col/7))))-f_cd*(1-(1-MAX(0,MIN(1,IF(BK32&lt;=h_col,0.0035*(BK32-d_2)/BK32,0.002*(BK32-d_2)/(BK32-3*h_col/7))/0.002)))^2))+(MAX(-f_yd,MIN(f_yd,200000*IF(BK32&lt;=h_col,0.0035*(BK32-(h_col-d_2))/BK32,0.002*(BK32-(h_col-d_2))/(BK32-3*h_col/7))))-f_cd*(1-(1-MAX(0,MIN(1,IF(BK32&lt;=h_col,0.0035*(BK32-(h_col-d_2))/BK32,0.002*(BK32-(h_col-d_2))/(BK32-3*h_col/7))/0.002)))^2))))/1000</f>
        <v/>
      </c>
      <c r="BM32">
        <f>IF($BL32&lt;N_Ed-1E-9*MAX(1,N_Ed),(BI32+BJ32)/2,BI32)</f>
        <v/>
      </c>
      <c r="BN32">
        <f>IF($BL32&lt;N_Ed-1E-9*MAX(1,N_Ed),BJ32,(BI32+BJ32)/2)</f>
        <v/>
      </c>
      <c r="BO32">
        <f>h_col*((BM32+BN32)/2)/(1-(BM32+BN32)/2)</f>
        <v/>
      </c>
      <c r="BP32">
        <f>(f_cd*b_col*((3*MIN(BO32,h_col)/7)+(4*MIN(BO32,h_col)/7)*(1-((4*MIN(BO32,h_col)/7)/(BO32-(3*MIN(BO32,h_col)/7)))^2/3))+$D32/2*((MAX(-f_yd,MIN(f_yd,200000*IF(BO32&lt;=h_col,0.0035*(BO32-d_2)/BO32,0.002*(BO32-d_2)/(BO32-3*h_col/7))))-f_cd*(1-(1-MAX(0,MIN(1,IF(BO32&lt;=h_col,0.0035*(BO32-d_2)/BO32,0.002*(BO32-d_2)/(BO32-3*h_col/7))/0.002)))^2))+(MAX(-f_yd,MIN(f_yd,200000*IF(BO32&lt;=h_col,0.0035*(BO32-(h_col-d_2))/BO32,0.002*(BO32-(h_col-d_2))/(BO32-3*h_col/7))))-f_cd*(1-(1-MAX(0,MIN(1,IF(BO32&lt;=h_col,0.0035*(BO32-(h_col-d_2))/BO32,0.002*(BO32-(h_col-d_2))/(BO32-3*h_col/7))/0.002)))^2))))/1000</f>
        <v/>
      </c>
      <c r="BQ32">
        <f>IF($BP32&lt;N_Ed-1E-9*MAX(1,N_Ed),(BM32+BN32)/2,BM32)</f>
        <v/>
      </c>
      <c r="BR32">
        <f>IF($BP32&lt;N_Ed-1E-9*MAX(1,N_Ed),BN32,(BM32+BN32)/2)</f>
        <v/>
      </c>
      <c r="BS32">
        <f>h_col*((BQ32+BR32)/2)/(1-(BQ32+BR32)/2)</f>
        <v/>
      </c>
      <c r="BT32">
        <f>(f_cd*b_col*((3*MIN(BS32,h_col)/7)+(4*MIN(BS32,h_col)/7)*(1-((4*MIN(BS32,h_col)/7)/(BS32-(3*MIN(BS32,h_col)/7)))^2/3))+$D32/2*((MAX(-f_yd,MIN(f_yd,200000*IF(BS32&lt;=h_col,0.0035*(BS32-d_2)/BS32,0.002*(BS32-d_2)/(BS32-3*h_col/7))))-f_cd*(1-(1-MAX(0,MIN(1,IF(BS32&lt;=h_col,0.0035*(BS32-d_2)/BS32,0.002*(BS32-d_2)/(BS32-3*h_col/7))/0.002)))^2))+(MAX(-f_yd,MIN(f_yd,200000*IF(BS32&lt;=h_col,0.0035*(BS32-(h_col-d_2))/BS32,0.002*(BS32-(h_col-d_2))/(BS32-3*h_col/7))))-f_cd*(1-(1-MAX(0,MIN(1,IF(BS32&lt;=h_col,0.0035*(BS32-(h_col-d_2))/BS32,0.002*(BS32-(h_col-d_2))/(BS32-3*h_col/7))/0.002)))^2))))/1000</f>
        <v/>
      </c>
      <c r="BU32">
        <f>IF($BT32&lt;N_Ed-1E-9*MAX(1,N_Ed),(BQ32+BR32)/2,BQ32)</f>
        <v/>
      </c>
      <c r="BV32">
        <f>IF($BT32&lt;N_Ed-1E-9*MAX(1,N_Ed),BR32,(BQ32+BR32)/2)</f>
        <v/>
      </c>
      <c r="BW32">
        <f>h_col*((BU32+BV32)/2)/(1-(BU32+BV32)/2)</f>
        <v/>
      </c>
      <c r="BX32">
        <f>(f_cd*b_col*((3*MIN(BW32,h_col)/7)+(4*MIN(BW32,h_col)/7)*(1-((4*MIN(BW32,h_col)/7)/(BW32-(3*MIN(BW32,h_col)/7)))^2/3))+$D32/2*((MAX(-f_yd,MIN(f_yd,200000*IF(BW32&lt;=h_col,0.0035*(BW32-d_2)/BW32,0.002*(BW32-d_2)/(BW32-3*h_col/7))))-f_cd*(1-(1-MAX(0,MIN(1,IF(BW32&lt;=h_col,0.0035*(BW32-d_2)/BW32,0.002*(BW32-d_2)/(BW32-3*h_col/7))/0.002)))^2))+(MAX(-f_yd,MIN(f_yd,200000*IF(BW32&lt;=h_col,0.0035*(BW32-(h_col-d_2))/BW32,0.002*(BW32-(h_col-d_2))/(BW32-3*h_col/7))))-f_cd*(1-(1-MAX(0,MIN(1,IF(BW32&lt;=h_col,0.0035*(BW32-(h_col-d_2))/BW32,0.002*(BW32-(h_col-d_2))/(BW32-3*h_col/7))/0.002)))^2))))/1000</f>
        <v/>
      </c>
      <c r="BY32">
        <f>IF($BX32&lt;N_Ed-1E-9*MAX(1,N_Ed),(BU32+BV32)/2,BU32)</f>
        <v/>
      </c>
      <c r="BZ32">
        <f>IF($BX32&lt;N_Ed-1E-9*MAX(1,N_Ed),BV32,(BU32+BV32)/2)</f>
        <v/>
      </c>
      <c r="CA32">
        <f>h_col*((BY32+BZ32)/2)/(1-(BY32+BZ32)/2)</f>
        <v/>
      </c>
      <c r="CB32">
        <f>(f_cd*b_col*((3*MIN(CA32,h_col)/7)+(4*MIN(CA32,h_col)/7)*(1-((4*MIN(CA32,h_col)/7)/(CA32-(3*MIN(CA32,h_col)/7)))^2/3))+$D32/2*((MAX(-f_yd,MIN(f_yd,200000*IF(CA32&lt;=h_col,0.0035*(CA32-d_2)/CA32,0.002*(CA32-d_2)/(CA32-3*h_col/7))))-f_cd*(1-(1-MAX(0,MIN(1,IF(CA32&lt;=h_col,0.0035*(CA32-d_2)/CA32,0.002*(CA32-d_2)/(CA32-3*h_col/7))/0.002)))^2))+(MAX(-f_yd,MIN(f_yd,200000*IF(CA32&lt;=h_col,0.0035*(CA32-(h_col-d_2))/CA32,0.002*(CA32-(h_col-d_2))/(CA32-3*h_col/7))))-f_cd*(1-(1-MAX(0,MIN(1,IF(CA32&lt;=h_col,0.0035*(CA32-(h_col-d_2))/CA32,0.002*(CA32-(h_col-d_2))/(CA32-3*h_col/7))/0.002)))^2))))/1000</f>
        <v/>
      </c>
      <c r="CC32">
        <f>IF($CB32&lt;N_Ed-1E-9*MAX(1,N_Ed),(BY32+BZ32)/2,BY32)</f>
        <v/>
      </c>
      <c r="CD32">
        <f>IF($CB32&lt;N_Ed-1E-9*MAX(1,N_Ed),BZ32,(BY32+BZ32)/2)</f>
        <v/>
      </c>
      <c r="CE32">
        <f>h_col*((CC32+CD32)/2)/(1-(CC32+CD32)/2)</f>
        <v/>
      </c>
      <c r="CF32">
        <f>(f_cd*b_col*((3*MIN(CE32,h_col)/7)+(4*MIN(CE32,h_col)/7)*(1-((4*MIN(CE32,h_col)/7)/(CE32-(3*MIN(CE32,h_col)/7)))^2/3))+$D32/2*((MAX(-f_yd,MIN(f_yd,200000*IF(CE32&lt;=h_col,0.0035*(CE32-d_2)/CE32,0.002*(CE32-d_2)/(CE32-3*h_col/7))))-f_cd*(1-(1-MAX(0,MIN(1,IF(CE32&lt;=h_col,0.0035*(CE32-d_2)/CE32,0.002*(CE32-d_2)/(CE32-3*h_col/7))/0.002)))^2))+(MAX(-f_yd,MIN(f_yd,200000*IF(CE32&lt;=h_col,0.0035*(CE32-(h_col-d_2))/CE32,0.002*(CE32-(h_col-d_2))/(CE32-3*h_col/7))))-f_cd*(1-(1-MAX(0,MIN(1,IF(CE32&lt;=h_col,0.0035*(CE32-(h_col-d_2))/CE32,0.002*(CE32-(h_col-d_2))/(CE32-3*h_col/7))/0.002)))^2))))/1000</f>
        <v/>
      </c>
      <c r="CG32">
        <f>IF($CF32&lt;N_Ed-1E-9*MAX(1,N_Ed),(CC32+CD32)/2,CC32)</f>
        <v/>
      </c>
      <c r="CH32">
        <f>IF($CF32&lt;N_Ed-1E-9*MAX(1,N_Ed),CD32,(CC32+CD32)/2)</f>
        <v/>
      </c>
      <c r="CI32">
        <f>h_col*((CG32+CH32)/2)/(1-(CG32+CH32)/2)</f>
        <v/>
      </c>
      <c r="CJ32">
        <f>(f_cd*b_col*((3*MIN(CI32,h_col)/7)+(4*MIN(CI32,h_col)/7)*(1-((4*MIN(CI32,h_col)/7)/(CI32-(3*MIN(CI32,h_col)/7)))^2/3))+$D32/2*((MAX(-f_yd,MIN(f_yd,200000*IF(CI32&lt;=h_col,0.0035*(CI32-d_2)/CI32,0.002*(CI32-d_2)/(CI32-3*h_col/7))))-f_cd*(1-(1-MAX(0,MIN(1,IF(CI32&lt;=h_col,0.0035*(CI32-d_2)/CI32,0.002*(CI32-d_2)/(CI32-3*h_col/7))/0.002)))^2))+(MAX(-f_yd,MIN(f_yd,200000*IF(CI32&lt;=h_col,0.0035*(CI32-(h_col-d_2))/CI32,0.002*(CI32-(h_col-d_2))/(CI32-3*h_col/7))))-f_cd*(1-(1-MAX(0,MIN(1,IF(CI32&lt;=h_col,0.0035*(CI32-(h_col-d_2))/CI32,0.002*(CI32-(h_col-d_2))/(CI32-3*h_col/7))/0.002)))^2))))/1000</f>
        <v/>
      </c>
      <c r="CK32">
        <f>IF($CJ32&lt;N_Ed-1E-9*MAX(1,N_Ed),(CG32+CH32)/2,CG32)</f>
        <v/>
      </c>
      <c r="CL32">
        <f>IF($CJ32&lt;N_Ed-1E-9*MAX(1,N_Ed),CH32,(CG32+CH32)/2)</f>
        <v/>
      </c>
      <c r="CM32">
        <f>h_col*((CK32+CL32)/2)/(1-(CK32+CL32)/2)</f>
        <v/>
      </c>
      <c r="CN32">
        <f>(f_cd*b_col*((3*MIN(CM32,h_col)/7)+(4*MIN(CM32,h_col)/7)*(1-((4*MIN(CM32,h_col)/7)/(CM32-(3*MIN(CM32,h_col)/7)))^2/3))+$D32/2*((MAX(-f_yd,MIN(f_yd,200000*IF(CM32&lt;=h_col,0.0035*(CM32-d_2)/CM32,0.002*(CM32-d_2)/(CM32-3*h_col/7))))-f_cd*(1-(1-MAX(0,MIN(1,IF(CM32&lt;=h_col,0.0035*(CM32-d_2)/CM32,0.002*(CM32-d_2)/(CM32-3*h_col/7))/0.002)))^2))+(MAX(-f_yd,MIN(f_yd,200000*IF(CM32&lt;=h_col,0.0035*(CM32-(h_col-d_2))/CM32,0.002*(CM32-(h_col-d_2))/(CM32-3*h_col/7))))-f_cd*(1-(1-MAX(0,MIN(1,IF(CM32&lt;=h_col,0.0035*(CM32-(h_col-d_2))/CM32,0.002*(CM32-(h_col-d_2))/(CM32-3*h_col/7))/0.002)))^2))))/1000</f>
        <v/>
      </c>
      <c r="CO32">
        <f>IF($CN32&lt;N_Ed-1E-9*MAX(1,N_Ed),(CK32+CL32)/2,CK32)</f>
        <v/>
      </c>
      <c r="CP32">
        <f>IF($CN32&lt;N_Ed-1E-9*MAX(1,N_Ed),CL32,(CK32+CL32)/2)</f>
        <v/>
      </c>
      <c r="CQ32">
        <f>h_col*((CO32+CP32)/2)/(1-(CO32+CP32)/2)</f>
        <v/>
      </c>
      <c r="CR32">
        <f>(f_cd*b_col*((3*MIN(CQ32,h_col)/7)+(4*MIN(CQ32,h_col)/7)*(1-((4*MIN(CQ32,h_col)/7)/(CQ32-(3*MIN(CQ32,h_col)/7)))^2/3))+$D32/2*((MAX(-f_yd,MIN(f_yd,200000*IF(CQ32&lt;=h_col,0.0035*(CQ32-d_2)/CQ32,0.002*(CQ32-d_2)/(CQ32-3*h_col/7))))-f_cd*(1-(1-MAX(0,MIN(1,IF(CQ32&lt;=h_col,0.0035*(CQ32-d_2)/CQ32,0.002*(CQ32-d_2)/(CQ32-3*h_col/7))/0.002)))^2))+(MAX(-f_yd,MIN(f_yd,200000*IF(CQ32&lt;=h_col,0.0035*(CQ32-(h_col-d_2))/CQ32,0.002*(CQ32-(h_col-d_2))/(CQ32-3*h_col/7))))-f_cd*(1-(1-MAX(0,MIN(1,IF(CQ32&lt;=h_col,0.0035*(CQ32-(h_col-d_2))/CQ32,0.002*(CQ32-(h_col-d_2))/(CQ32-3*h_col/7))/0.002)))^2))))/1000</f>
        <v/>
      </c>
      <c r="CS32">
        <f>IF($CR32&lt;N_Ed-1E-9*MAX(1,N_Ed),(CO32+CP32)/2,CO32)</f>
        <v/>
      </c>
      <c r="CT32">
        <f>IF($CR32&lt;N_Ed-1E-9*MAX(1,N_Ed),CP32,(CO32+CP32)/2)</f>
        <v/>
      </c>
      <c r="CU32">
        <f>h_col*((CS32+CT32)/2)/(1-(CS32+CT32)/2)</f>
        <v/>
      </c>
      <c r="CV32">
        <f>(f_cd*b_col*((3*MIN(CU32,h_col)/7)+(4*MIN(CU32,h_col)/7)*(1-((4*MIN(CU32,h_col)/7)/(CU32-(3*MIN(CU32,h_col)/7)))^2/3))+$D32/2*((MAX(-f_yd,MIN(f_yd,200000*IF(CU32&lt;=h_col,0.0035*(CU32-d_2)/CU32,0.002*(CU32-d_2)/(CU32-3*h_col/7))))-f_cd*(1-(1-MAX(0,MIN(1,IF(CU32&lt;=h_col,0.0035*(CU32-d_2)/CU32,0.002*(CU32-d_2)/(CU32-3*h_col/7))/0.002)))^2))+(MAX(-f_yd,MIN(f_yd,200000*IF(CU32&lt;=h_col,0.0035*(CU32-(h_col-d_2))/CU32,0.002*(CU32-(h_col-d_2))/(CU32-3*h_col/7))))-f_cd*(1-(1-MAX(0,MIN(1,IF(CU32&lt;=h_col,0.0035*(CU32-(h_col-d_2))/CU32,0.002*(CU32-(h_col-d_2))/(CU32-3*h_col/7))/0.002)))^2))))/1000</f>
        <v/>
      </c>
      <c r="CW32">
        <f>IF($CV32&lt;N_Ed-1E-9*MAX(1,N_Ed),(CS32+CT32)/2,CS32)</f>
        <v/>
      </c>
      <c r="CX32">
        <f>IF($CV32&lt;N_Ed-1E-9*MAX(1,N_Ed),CT32,(CS32+CT32)/2)</f>
        <v/>
      </c>
      <c r="CY32">
        <f>h_col*((CW32+CX32)/2)/(1-(CW32+CX32)/2)</f>
        <v/>
      </c>
      <c r="CZ32">
        <f>(f_cd*b_col*((3*MIN(CY32,h_col)/7)+(4*MIN(CY32,h_col)/7)*(1-((4*MIN(CY32,h_col)/7)/(CY32-(3*MIN(CY32,h_col)/7)))^2/3))+$D32/2*((MAX(-f_yd,MIN(f_yd,200000*IF(CY32&lt;=h_col,0.0035*(CY32-d_2)/CY32,0.002*(CY32-d_2)/(CY32-3*h_col/7))))-f_cd*(1-(1-MAX(0,MIN(1,IF(CY32&lt;=h_col,0.0035*(CY32-d_2)/CY32,0.002*(CY32-d_2)/(CY32-3*h_col/7))/0.002)))^2))+(MAX(-f_yd,MIN(f_yd,200000*IF(CY32&lt;=h_col,0.0035*(CY32-(h_col-d_2))/CY32,0.002*(CY32-(h_col-d_2))/(CY32-3*h_col/7))))-f_cd*(1-(1-MAX(0,MIN(1,IF(CY32&lt;=h_col,0.0035*(CY32-(h_col-d_2))/CY32,0.002*(CY32-(h_col-d_2))/(CY32-3*h_col/7))/0.002)))^2))))/1000</f>
        <v/>
      </c>
      <c r="DA32">
        <f>IF($CZ32&lt;N_Ed-1E-9*MAX(1,N_Ed),(CW32+CX32)/2,CW32)</f>
        <v/>
      </c>
      <c r="DB32">
        <f>IF($CZ32&lt;N_Ed-1E-9*MAX(1,N_Ed),CX32,(CW32+CX32)/2)</f>
        <v/>
      </c>
      <c r="DC32">
        <f>h_col*((DA32+DB32)/2)/(1-(DA32+DB32)/2)</f>
        <v/>
      </c>
      <c r="DD32">
        <f>(f_cd*b_col*((3*MIN(DC32,h_col)/7)+(4*MIN(DC32,h_col)/7)*(1-((4*MIN(DC32,h_col)/7)/(DC32-(3*MIN(DC32,h_col)/7)))^2/3))+$D32/2*((MAX(-f_yd,MIN(f_yd,200000*IF(DC32&lt;=h_col,0.0035*(DC32-d_2)/DC32,0.002*(DC32-d_2)/(DC32-3*h_col/7))))-f_cd*(1-(1-MAX(0,MIN(1,IF(DC32&lt;=h_col,0.0035*(DC32-d_2)/DC32,0.002*(DC32-d_2)/(DC32-3*h_col/7))/0.002)))^2))+(MAX(-f_yd,MIN(f_yd,200000*IF(DC32&lt;=h_col,0.0035*(DC32-(h_col-d_2))/DC32,0.002*(DC32-(h_col-d_2))/(DC32-3*h_col/7))))-f_cd*(1-(1-MAX(0,MIN(1,IF(DC32&lt;=h_col,0.0035*(DC32-(h_col-d_2))/DC32,0.002*(DC32-(h_col-d_2))/(DC32-3*h_col/7))/0.002)))^2))))/1000</f>
        <v/>
      </c>
      <c r="DE32">
        <f>IF($DD32&lt;N_Ed-1E-9*MAX(1,N_Ed),(DA32+DB32)/2,DA32)</f>
        <v/>
      </c>
      <c r="DF32">
        <f>IF($DD32&lt;N_Ed-1E-9*MAX(1,N_Ed),DB32,(DA32+DB32)/2)</f>
        <v/>
      </c>
      <c r="DG32">
        <f>h_col*((DE32+DF32)/2)/(1-(DE32+DF32)/2)</f>
        <v/>
      </c>
      <c r="DH32">
        <f>(f_cd*b_col*((3*MIN(DG32,h_col)/7)+(4*MIN(DG32,h_col)/7)*(1-((4*MIN(DG32,h_col)/7)/(DG32-(3*MIN(DG32,h_col)/7)))^2/3))+$D32/2*((MAX(-f_yd,MIN(f_yd,200000*IF(DG32&lt;=h_col,0.0035*(DG32-d_2)/DG32,0.002*(DG32-d_2)/(DG32-3*h_col/7))))-f_cd*(1-(1-MAX(0,MIN(1,IF(DG32&lt;=h_col,0.0035*(DG32-d_2)/DG32,0.002*(DG32-d_2)/(DG32-3*h_col/7))/0.002)))^2))+(MAX(-f_yd,MIN(f_yd,200000*IF(DG32&lt;=h_col,0.0035*(DG32-(h_col-d_2))/DG32,0.002*(DG32-(h_col-d_2))/(DG32-3*h_col/7))))-f_cd*(1-(1-MAX(0,MIN(1,IF(DG32&lt;=h_col,0.0035*(DG32-(h_col-d_2))/DG32,0.002*(DG32-(h_col-d_2))/(DG32-3*h_col/7))/0.002)))^2))))/1000</f>
        <v/>
      </c>
      <c r="DI32">
        <f>IF($DH32&lt;N_Ed-1E-9*MAX(1,N_Ed),(DE32+DF32)/2,DE32)</f>
        <v/>
      </c>
      <c r="DJ32">
        <f>IF($DH32&lt;N_Ed-1E-9*MAX(1,N_Ed),DF32,(DE32+DF32)/2)</f>
        <v/>
      </c>
      <c r="DK32">
        <f>h_col*((DI32+DJ32)/2)/(1-(DI32+DJ32)/2)</f>
        <v/>
      </c>
      <c r="DL32">
        <f>(f_cd*b_col*((3*MIN(DK32,h_col)/7)+(4*MIN(DK32,h_col)/7)*(1-((4*MIN(DK32,h_col)/7)/(DK32-(3*MIN(DK32,h_col)/7)))^2/3))+$D32/2*((MAX(-f_yd,MIN(f_yd,200000*IF(DK32&lt;=h_col,0.0035*(DK32-d_2)/DK32,0.002*(DK32-d_2)/(DK32-3*h_col/7))))-f_cd*(1-(1-MAX(0,MIN(1,IF(DK32&lt;=h_col,0.0035*(DK32-d_2)/DK32,0.002*(DK32-d_2)/(DK32-3*h_col/7))/0.002)))^2))+(MAX(-f_yd,MIN(f_yd,200000*IF(DK32&lt;=h_col,0.0035*(DK32-(h_col-d_2))/DK32,0.002*(DK32-(h_col-d_2))/(DK32-3*h_col/7))))-f_cd*(1-(1-MAX(0,MIN(1,IF(DK32&lt;=h_col,0.0035*(DK32-(h_col-d_2))/DK32,0.002*(DK32-(h_col-d_2))/(DK32-3*h_col/7))/0.002)))^2))))/1000</f>
        <v/>
      </c>
      <c r="DM32">
        <f>IF($DL32&lt;N_Ed-1E-9*MAX(1,N_Ed),(DI32+DJ32)/2,DI32)</f>
        <v/>
      </c>
      <c r="DN32">
        <f>IF($DL32&lt;N_Ed-1E-9*MAX(1,N_Ed),DJ32,(DI32+DJ32)/2)</f>
        <v/>
      </c>
      <c r="DO32">
        <f>h_col*((DM32+DN32)/2)/(1-(DM32+DN32)/2)</f>
        <v/>
      </c>
      <c r="DP32">
        <f>(f_cd*b_col*((3*MIN(DO32,h_col)/7)+(4*MIN(DO32,h_col)/7)*(1-((4*MIN(DO32,h_col)/7)/(DO32-(3*MIN(DO32,h_col)/7)))^2/3))+$D32/2*((MAX(-f_yd,MIN(f_yd,200000*IF(DO32&lt;=h_col,0.0035*(DO32-d_2)/DO32,0.002*(DO32-d_2)/(DO32-3*h_col/7))))-f_cd*(1-(1-MAX(0,MIN(1,IF(DO32&lt;=h_col,0.0035*(DO32-d_2)/DO32,0.002*(DO32-d_2)/(DO32-3*h_col/7))/0.002)))^2))+(MAX(-f_yd,MIN(f_yd,200000*IF(DO32&lt;=h_col,0.0035*(DO32-(h_col-d_2))/DO32,0.002*(DO32-(h_col-d_2))/(DO32-3*h_col/7))))-f_cd*(1-(1-MAX(0,MIN(1,IF(DO32&lt;=h_col,0.0035*(DO32-(h_col-d_2))/DO32,0.002*(DO32-(h_col-d_2))/(DO32-3*h_col/7))/0.002)))^2))))/1000</f>
        <v/>
      </c>
      <c r="DQ32">
        <f>IF($DP32&lt;N_Ed-1E-9*MAX(1,N_Ed),(DM32+DN32)/2,DM32)</f>
        <v/>
      </c>
      <c r="DR32">
        <f>IF($DP32&lt;N_Ed-1E-9*MAX(1,N_Ed),DN32,(DM32+DN32)/2)</f>
        <v/>
      </c>
      <c r="DS32">
        <f>h_col*((DQ32+DR32)/2)/(1-(DQ32+DR32)/2)</f>
        <v/>
      </c>
      <c r="DT32">
        <f>(f_cd*b_col*((3*MIN(DS32,h_col)/7)+(4*MIN(DS32,h_col)/7)*(1-((4*MIN(DS32,h_col)/7)/(DS32-(3*MIN(DS32,h_col)/7)))^2/3))+$D32/2*((MAX(-f_yd,MIN(f_yd,200000*IF(DS32&lt;=h_col,0.0035*(DS32-d_2)/DS32,0.002*(DS32-d_2)/(DS32-3*h_col/7))))-f_cd*(1-(1-MAX(0,MIN(1,IF(DS32&lt;=h_col,0.0035*(DS32-d_2)/DS32,0.002*(DS32-d_2)/(DS32-3*h_col/7))/0.002)))^2))+(MAX(-f_yd,MIN(f_yd,200000*IF(DS32&lt;=h_col,0.0035*(DS32-(h_col-d_2))/DS32,0.002*(DS32-(h_col-d_2))/(DS32-3*h_col/7))))-f_cd*(1-(1-MAX(0,MIN(1,IF(DS32&lt;=h_col,0.0035*(DS32-(h_col-d_2))/DS32,0.002*(DS32-(h_col-d_2))/(DS32-3*h_col/7))/0.002)))^2))))/1000</f>
        <v/>
      </c>
      <c r="DU32">
        <f>IF($DT32&lt;N_Ed-1E-9*MAX(1,N_Ed),(DQ32+DR32)/2,DQ32)</f>
        <v/>
      </c>
      <c r="DV32">
        <f>IF($DT32&lt;N_Ed-1E-9*MAX(1,N_Ed),DR32,(DQ32+DR32)/2)</f>
        <v/>
      </c>
      <c r="DW32">
        <f>h_col*((DU32+DV32)/2)/(1-(DU32+DV32)/2)</f>
        <v/>
      </c>
      <c r="DX32">
        <f>(f_cd*b_col*((3*MIN(DW32,h_col)/7)+(4*MIN(DW32,h_col)/7)*(1-((4*MIN(DW32,h_col)/7)/(DW32-(3*MIN(DW32,h_col)/7)))^2/3))+$D32/2*((MAX(-f_yd,MIN(f_yd,200000*IF(DW32&lt;=h_col,0.0035*(DW32-d_2)/DW32,0.002*(DW32-d_2)/(DW32-3*h_col/7))))-f_cd*(1-(1-MAX(0,MIN(1,IF(DW32&lt;=h_col,0.0035*(DW32-d_2)/DW32,0.002*(DW32-d_2)/(DW32-3*h_col/7))/0.002)))^2))+(MAX(-f_yd,MIN(f_yd,200000*IF(DW32&lt;=h_col,0.0035*(DW32-(h_col-d_2))/DW32,0.002*(DW32-(h_col-d_2))/(DW32-3*h_col/7))))-f_cd*(1-(1-MAX(0,MIN(1,IF(DW32&lt;=h_col,0.0035*(DW32-(h_col-d_2))/DW32,0.002*(DW32-(h_col-d_2))/(DW32-3*h_col/7))/0.002)))^2))))/1000</f>
        <v/>
      </c>
      <c r="DY32">
        <f>IF($DX32&lt;N_Ed-1E-9*MAX(1,N_Ed),(DU32+DV32)/2,DU32)</f>
        <v/>
      </c>
      <c r="DZ32">
        <f>IF($DX32&lt;N_Ed-1E-9*MAX(1,N_Ed),DV32,(DU32+DV32)/2)</f>
        <v/>
      </c>
      <c r="EA32">
        <f>h_col*((DY32+DZ32)/2)/(1-(DY32+DZ32)/2)</f>
        <v/>
      </c>
      <c r="EB32">
        <f>(f_cd*b_col*((3*MIN(EA32,h_col)/7)+(4*MIN(EA32,h_col)/7)*(1-((4*MIN(EA32,h_col)/7)/(EA32-(3*MIN(EA32,h_col)/7)))^2/3))+$D32/2*((MAX(-f_yd,MIN(f_yd,200000*IF(EA32&lt;=h_col,0.0035*(EA32-d_2)/EA32,0.002*(EA32-d_2)/(EA32-3*h_col/7))))-f_cd*(1-(1-MAX(0,MIN(1,IF(EA32&lt;=h_col,0.0035*(EA32-d_2)/EA32,0.002*(EA32-d_2)/(EA32-3*h_col/7))/0.002)))^2))+(MAX(-f_yd,MIN(f_yd,200000*IF(EA32&lt;=h_col,0.0035*(EA32-(h_col-d_2))/EA32,0.002*(EA32-(h_col-d_2))/(EA32-3*h_col/7))))-f_cd*(1-(1-MAX(0,MIN(1,IF(EA32&lt;=h_col,0.0035*(EA32-(h_col-d_2))/EA32,0.002*(EA32-(h_col-d_2))/(EA32-3*h_col/7))/0.002)))^2))))/1000</f>
        <v/>
      </c>
      <c r="EC32">
        <f>IF($EB32&lt;N_Ed-1E-9*MAX(1,N_Ed),(DY32+DZ32)/2,DY32)</f>
        <v/>
      </c>
      <c r="ED32">
        <f>IF($EB32&lt;N_Ed-1E-9*MAX(1,N_Ed),DZ32,(DY32+DZ32)/2)</f>
        <v/>
      </c>
      <c r="EE32">
        <f>h_col*((EC32+ED32)/2)/(1-(EC32+ED32)/2)</f>
        <v/>
      </c>
      <c r="EF32">
        <f>(f_cd*b_col*((3*MIN(EE32,h_col)/7)+(4*MIN(EE32,h_col)/7)*(1-((4*MIN(EE32,h_col)/7)/(EE32-(3*MIN(EE32,h_col)/7)))^2/3))+$D32/2*((MAX(-f_yd,MIN(f_yd,200000*IF(EE32&lt;=h_col,0.0035*(EE32-d_2)/EE32,0.002*(EE32-d_2)/(EE32-3*h_col/7))))-f_cd*(1-(1-MAX(0,MIN(1,IF(EE32&lt;=h_col,0.0035*(EE32-d_2)/EE32,0.002*(EE32-d_2)/(EE32-3*h_col/7))/0.002)))^2))+(MAX(-f_yd,MIN(f_yd,200000*IF(EE32&lt;=h_col,0.0035*(EE32-(h_col-d_2))/EE32,0.002*(EE32-(h_col-d_2))/(EE32-3*h_col/7))))-f_cd*(1-(1-MAX(0,MIN(1,IF(EE32&lt;=h_col,0.0035*(EE32-(h_col-d_2))/EE32,0.002*(EE32-(h_col-d_2))/(EE32-3*h_col/7))/0.002)))^2))))/1000</f>
        <v/>
      </c>
      <c r="EG32">
        <f>IF($EF32&lt;N_Ed-1E-9*MAX(1,N_Ed),(EC32+ED32)/2,EC32)</f>
        <v/>
      </c>
      <c r="EH32">
        <f>IF($EF32&lt;N_Ed-1E-9*MAX(1,N_Ed),ED32,(EC32+ED32)/2)</f>
        <v/>
      </c>
      <c r="EI32">
        <f>h_col*((EG32+EH32)/2)/(1-(EG32+EH32)/2)</f>
        <v/>
      </c>
      <c r="EJ32">
        <f>(f_cd*b_col*((3*MIN(EI32,h_col)/7)+(4*MIN(EI32,h_col)/7)*(1-((4*MIN(EI32,h_col)/7)/(EI32-(3*MIN(EI32,h_col)/7)))^2/3))+$D32/2*((MAX(-f_yd,MIN(f_yd,200000*IF(EI32&lt;=h_col,0.0035*(EI32-d_2)/EI32,0.002*(EI32-d_2)/(EI32-3*h_col/7))))-f_cd*(1-(1-MAX(0,MIN(1,IF(EI32&lt;=h_col,0.0035*(EI32-d_2)/EI32,0.002*(EI32-d_2)/(EI32-3*h_col/7))/0.002)))^2))+(MAX(-f_yd,MIN(f_yd,200000*IF(EI32&lt;=h_col,0.0035*(EI32-(h_col-d_2))/EI32,0.002*(EI32-(h_col-d_2))/(EI32-3*h_col/7))))-f_cd*(1-(1-MAX(0,MIN(1,IF(EI32&lt;=h_col,0.0035*(EI32-(h_col-d_2))/EI32,0.002*(EI32-(h_col-d_2))/(EI32-3*h_col/7))/0.002)))^2))))/1000</f>
        <v/>
      </c>
      <c r="EK32">
        <f>IF($EJ32&lt;N_Ed-1E-9*MAX(1,N_Ed),(EG32+EH32)/2,EG32)</f>
        <v/>
      </c>
      <c r="EL32">
        <f>IF($EJ32&lt;N_Ed-1E-9*MAX(1,N_Ed),EH32,(EG32+EH32)/2)</f>
        <v/>
      </c>
      <c r="EM32">
        <f>h_col*((EK32+EL32)/2)/(1-(EK32+EL32)/2)</f>
        <v/>
      </c>
      <c r="EN32">
        <f>(f_cd*b_col*((3*MIN(EM32,h_col)/7)+(4*MIN(EM32,h_col)/7)*(1-((4*MIN(EM32,h_col)/7)/(EM32-(3*MIN(EM32,h_col)/7)))^2/3))+$D32/2*((MAX(-f_yd,MIN(f_yd,200000*IF(EM32&lt;=h_col,0.0035*(EM32-d_2)/EM32,0.002*(EM32-d_2)/(EM32-3*h_col/7))))-f_cd*(1-(1-MAX(0,MIN(1,IF(EM32&lt;=h_col,0.0035*(EM32-d_2)/EM32,0.002*(EM32-d_2)/(EM32-3*h_col/7))/0.002)))^2))+(MAX(-f_yd,MIN(f_yd,200000*IF(EM32&lt;=h_col,0.0035*(EM32-(h_col-d_2))/EM32,0.002*(EM32-(h_col-d_2))/(EM32-3*h_col/7))))-f_cd*(1-(1-MAX(0,MIN(1,IF(EM32&lt;=h_col,0.0035*(EM32-(h_col-d_2))/EM32,0.002*(EM32-(h_col-d_2))/(EM32-3*h_col/7))/0.002)))^2))))/1000</f>
        <v/>
      </c>
      <c r="EO32">
        <f>IF($EN32&lt;N_Ed-1E-9*MAX(1,N_Ed),(EK32+EL32)/2,EK32)</f>
        <v/>
      </c>
      <c r="EP32">
        <f>IF($EN32&lt;N_Ed-1E-9*MAX(1,N_Ed),EL32,(EK32+EL32)/2)</f>
        <v/>
      </c>
      <c r="EQ32">
        <f>h_col*((EO32+EP32)/2)/(1-(EO32+EP32)/2)</f>
        <v/>
      </c>
      <c r="ER32">
        <f>(f_cd*b_col*((3*MIN(EQ32,h_col)/7)+(4*MIN(EQ32,h_col)/7)*(1-((4*MIN(EQ32,h_col)/7)/(EQ32-(3*MIN(EQ32,h_col)/7)))^2/3))+$D32/2*((MAX(-f_yd,MIN(f_yd,200000*IF(EQ32&lt;=h_col,0.0035*(EQ32-d_2)/EQ32,0.002*(EQ32-d_2)/(EQ32-3*h_col/7))))-f_cd*(1-(1-MAX(0,MIN(1,IF(EQ32&lt;=h_col,0.0035*(EQ32-d_2)/EQ32,0.002*(EQ32-d_2)/(EQ32-3*h_col/7))/0.002)))^2))+(MAX(-f_yd,MIN(f_yd,200000*IF(EQ32&lt;=h_col,0.0035*(EQ32-(h_col-d_2))/EQ32,0.002*(EQ32-(h_col-d_2))/(EQ32-3*h_col/7))))-f_cd*(1-(1-MAX(0,MIN(1,IF(EQ32&lt;=h_col,0.0035*(EQ32-(h_col-d_2))/EQ32,0.002*(EQ32-(h_col-d_2))/(EQ32-3*h_col/7))/0.002)))^2))))/1000</f>
        <v/>
      </c>
      <c r="ES32">
        <f>IF($ER32&lt;N_Ed-1E-9*MAX(1,N_Ed),(EO32+EP32)/2,EO32)</f>
        <v/>
      </c>
      <c r="ET32">
        <f>IF($ER32&lt;N_Ed-1E-9*MAX(1,N_Ed),EP32,(EO32+EP32)/2)</f>
        <v/>
      </c>
      <c r="EU32">
        <f>h_col*((ES32+ET32)/2)/(1-(ES32+ET32)/2)</f>
        <v/>
      </c>
      <c r="EV32">
        <f>(f_cd*b_col*((3*MIN(EU32,h_col)/7)+(4*MIN(EU32,h_col)/7)*(1-((4*MIN(EU32,h_col)/7)/(EU32-(3*MIN(EU32,h_col)/7)))^2/3))+$D32/2*((MAX(-f_yd,MIN(f_yd,200000*IF(EU32&lt;=h_col,0.0035*(EU32-d_2)/EU32,0.002*(EU32-d_2)/(EU32-3*h_col/7))))-f_cd*(1-(1-MAX(0,MIN(1,IF(EU32&lt;=h_col,0.0035*(EU32-d_2)/EU32,0.002*(EU32-d_2)/(EU32-3*h_col/7))/0.002)))^2))+(MAX(-f_yd,MIN(f_yd,200000*IF(EU32&lt;=h_col,0.0035*(EU32-(h_col-d_2))/EU32,0.002*(EU32-(h_col-d_2))/(EU32-3*h_col/7))))-f_cd*(1-(1-MAX(0,MIN(1,IF(EU32&lt;=h_col,0.0035*(EU32-(h_col-d_2))/EU32,0.002*(EU32-(h_col-d_2))/(EU32-3*h_col/7))/0.002)))^2))))/1000</f>
        <v/>
      </c>
      <c r="EW32">
        <f>IF($EV32&lt;N_Ed-1E-9*MAX(1,N_Ed),(ES32+ET32)/2,ES32)</f>
        <v/>
      </c>
      <c r="EX32">
        <f>IF($EV32&lt;N_Ed-1E-9*MAX(1,N_Ed),ET32,(ES32+ET32)/2)</f>
        <v/>
      </c>
      <c r="EY32">
        <f>h_col*((EW32+EX32)/2)/(1-(EW32+EX32)/2)</f>
        <v/>
      </c>
      <c r="EZ32">
        <f>(f_cd*b_col*((3*MIN(EY32,h_col)/7)+(4*MIN(EY32,h_col)/7)*(1-((4*MIN(EY32,h_col)/7)/(EY32-(3*MIN(EY32,h_col)/7)))^2/3))+$D32/2*((MAX(-f_yd,MIN(f_yd,200000*IF(EY32&lt;=h_col,0.0035*(EY32-d_2)/EY32,0.002*(EY32-d_2)/(EY32-3*h_col/7))))-f_cd*(1-(1-MAX(0,MIN(1,IF(EY32&lt;=h_col,0.0035*(EY32-d_2)/EY32,0.002*(EY32-d_2)/(EY32-3*h_col/7))/0.002)))^2))+(MAX(-f_yd,MIN(f_yd,200000*IF(EY32&lt;=h_col,0.0035*(EY32-(h_col-d_2))/EY32,0.002*(EY32-(h_col-d_2))/(EY32-3*h_col/7))))-f_cd*(1-(1-MAX(0,MIN(1,IF(EY32&lt;=h_col,0.0035*(EY32-(h_col-d_2))/EY32,0.002*(EY32-(h_col-d_2))/(EY32-3*h_col/7))/0.002)))^2))))/1000</f>
        <v/>
      </c>
      <c r="FA32">
        <f>IF($EZ32&lt;N_Ed-1E-9*MAX(1,N_Ed),(EW32+EX32)/2,EW32)</f>
        <v/>
      </c>
      <c r="FB32">
        <f>IF($EZ32&lt;N_Ed-1E-9*MAX(1,N_Ed),EX32,(EW32+EX32)/2)</f>
        <v/>
      </c>
      <c r="FC32">
        <f>h_col*((FA32+FB32)/2)/(1-(FA32+FB32)/2)</f>
        <v/>
      </c>
      <c r="FD32">
        <f>(f_cd*b_col*((3*MIN(FC32,h_col)/7)+(4*MIN(FC32,h_col)/7)*(1-((4*MIN(FC32,h_col)/7)/(FC32-(3*MIN(FC32,h_col)/7)))^2/3))+$D32/2*((MAX(-f_yd,MIN(f_yd,200000*IF(FC32&lt;=h_col,0.0035*(FC32-d_2)/FC32,0.002*(FC32-d_2)/(FC32-3*h_col/7))))-f_cd*(1-(1-MAX(0,MIN(1,IF(FC32&lt;=h_col,0.0035*(FC32-d_2)/FC32,0.002*(FC32-d_2)/(FC32-3*h_col/7))/0.002)))^2))+(MAX(-f_yd,MIN(f_yd,200000*IF(FC32&lt;=h_col,0.0035*(FC32-(h_col-d_2))/FC32,0.002*(FC32-(h_col-d_2))/(FC32-3*h_col/7))))-f_cd*(1-(1-MAX(0,MIN(1,IF(FC32&lt;=h_col,0.0035*(FC32-(h_col-d_2))/FC32,0.002*(FC32-(h_col-d_2))/(FC32-3*h_col/7))/0.002)))^2))))/1000</f>
        <v/>
      </c>
      <c r="FE32">
        <f>IF($FD32&lt;N_Ed-1E-9*MAX(1,N_Ed),(FA32+FB32)/2,FA32)</f>
        <v/>
      </c>
      <c r="FF32">
        <f>IF($FD32&lt;N_Ed-1E-9*MAX(1,N_Ed),FB32,(FA32+FB32)/2)</f>
        <v/>
      </c>
      <c r="FG32">
        <f>h_col*((FE32+FF32)/2)/(1-(FE32+FF32)/2)</f>
        <v/>
      </c>
      <c r="FH32">
        <f>(f_cd*b_col*((3*MIN(FG32,h_col)/7)+(4*MIN(FG32,h_col)/7)*(1-((4*MIN(FG32,h_col)/7)/(FG32-(3*MIN(FG32,h_col)/7)))^2/3))+$D32/2*((MAX(-f_yd,MIN(f_yd,200000*IF(FG32&lt;=h_col,0.0035*(FG32-d_2)/FG32,0.002*(FG32-d_2)/(FG32-3*h_col/7))))-f_cd*(1-(1-MAX(0,MIN(1,IF(FG32&lt;=h_col,0.0035*(FG32-d_2)/FG32,0.002*(FG32-d_2)/(FG32-3*h_col/7))/0.002)))^2))+(MAX(-f_yd,MIN(f_yd,200000*IF(FG32&lt;=h_col,0.0035*(FG32-(h_col-d_2))/FG32,0.002*(FG32-(h_col-d_2))/(FG32-3*h_col/7))))-f_cd*(1-(1-MAX(0,MIN(1,IF(FG32&lt;=h_col,0.0035*(FG32-(h_col-d_2))/FG32,0.002*(FG32-(h_col-d_2))/(FG32-3*h_col/7))/0.002)))^2))))/1000</f>
        <v/>
      </c>
      <c r="FI32">
        <f>IF($FH32&lt;N_Ed-1E-9*MAX(1,N_Ed),(FE32+FF32)/2,FE32)</f>
        <v/>
      </c>
      <c r="FJ32">
        <f>IF($FH32&lt;N_Ed-1E-9*MAX(1,N_Ed),FF32,(FE32+FF32)/2)</f>
        <v/>
      </c>
      <c r="FK32">
        <f>h_col*((FI32+FJ32)/2)/(1-(FI32+FJ32)/2)</f>
        <v/>
      </c>
      <c r="FL32">
        <f>(f_cd*b_col*((3*MIN(FK32,h_col)/7)+(4*MIN(FK32,h_col)/7)*(1-((4*MIN(FK32,h_col)/7)/(FK32-(3*MIN(FK32,h_col)/7)))^2/3))+$D32/2*((MAX(-f_yd,MIN(f_yd,200000*IF(FK32&lt;=h_col,0.0035*(FK32-d_2)/FK32,0.002*(FK32-d_2)/(FK32-3*h_col/7))))-f_cd*(1-(1-MAX(0,MIN(1,IF(FK32&lt;=h_col,0.0035*(FK32-d_2)/FK32,0.002*(FK32-d_2)/(FK32-3*h_col/7))/0.002)))^2))+(MAX(-f_yd,MIN(f_yd,200000*IF(FK32&lt;=h_col,0.0035*(FK32-(h_col-d_2))/FK32,0.002*(FK32-(h_col-d_2))/(FK32-3*h_col/7))))-f_cd*(1-(1-MAX(0,MIN(1,IF(FK32&lt;=h_col,0.0035*(FK32-(h_col-d_2))/FK32,0.002*(FK32-(h_col-d_2))/(FK32-3*h_col/7))/0.002)))^2))))/1000</f>
        <v/>
      </c>
      <c r="FM32">
        <f>IF($FL32&lt;N_Ed-1E-9*MAX(1,N_Ed),(FI32+FJ32)/2,FI32)</f>
        <v/>
      </c>
      <c r="FN32">
        <f>IF($FL32&lt;N_Ed-1E-9*MAX(1,N_Ed),FJ32,(FI32+FJ32)/2)</f>
        <v/>
      </c>
      <c r="FO32">
        <f>h_col*((FM32+FN32)/2)/(1-(FM32+FN32)/2)</f>
        <v/>
      </c>
      <c r="FP32">
        <f>(f_cd*b_col*((3*MIN(FO32,h_col)/7)+(4*MIN(FO32,h_col)/7)*(1-((4*MIN(FO32,h_col)/7)/(FO32-(3*MIN(FO32,h_col)/7)))^2/3))+$D32/2*((MAX(-f_yd,MIN(f_yd,200000*IF(FO32&lt;=h_col,0.0035*(FO32-d_2)/FO32,0.002*(FO32-d_2)/(FO32-3*h_col/7))))-f_cd*(1-(1-MAX(0,MIN(1,IF(FO32&lt;=h_col,0.0035*(FO32-d_2)/FO32,0.002*(FO32-d_2)/(FO32-3*h_col/7))/0.002)))^2))+(MAX(-f_yd,MIN(f_yd,200000*IF(FO32&lt;=h_col,0.0035*(FO32-(h_col-d_2))/FO32,0.002*(FO32-(h_col-d_2))/(FO32-3*h_col/7))))-f_cd*(1-(1-MAX(0,MIN(1,IF(FO32&lt;=h_col,0.0035*(FO32-(h_col-d_2))/FO32,0.002*(FO32-(h_col-d_2))/(FO32-3*h_col/7))/0.002)))^2))))/1000</f>
        <v/>
      </c>
      <c r="FQ32">
        <f>IF($FP32&lt;N_Ed-1E-9*MAX(1,N_Ed),(FM32+FN32)/2,FM32)</f>
        <v/>
      </c>
      <c r="FR32">
        <f>IF($FP32&lt;N_Ed-1E-9*MAX(1,N_Ed),FN32,(FM32+FN32)/2)</f>
        <v/>
      </c>
      <c r="FS32">
        <f>h_col*((FQ32+FR32)/2)/(1-(FQ32+FR32)/2)</f>
        <v/>
      </c>
      <c r="FT32">
        <f>(f_cd*b_col*((3*MIN(FS32,h_col)/7)+(4*MIN(FS32,h_col)/7)*(1-((4*MIN(FS32,h_col)/7)/(FS32-(3*MIN(FS32,h_col)/7)))^2/3))+$D32/2*((MAX(-f_yd,MIN(f_yd,200000*IF(FS32&lt;=h_col,0.0035*(FS32-d_2)/FS32,0.002*(FS32-d_2)/(FS32-3*h_col/7))))-f_cd*(1-(1-MAX(0,MIN(1,IF(FS32&lt;=h_col,0.0035*(FS32-d_2)/FS32,0.002*(FS32-d_2)/(FS32-3*h_col/7))/0.002)))^2))+(MAX(-f_yd,MIN(f_yd,200000*IF(FS32&lt;=h_col,0.0035*(FS32-(h_col-d_2))/FS32,0.002*(FS32-(h_col-d_2))/(FS32-3*h_col/7))))-f_cd*(1-(1-MAX(0,MIN(1,IF(FS32&lt;=h_col,0.0035*(FS32-(h_col-d_2))/FS32,0.002*(FS32-(h_col-d_2))/(FS32-3*h_col/7))/0.002)))^2))))/1000</f>
        <v/>
      </c>
      <c r="FU32">
        <f>IF($FT32&lt;N_Ed-1E-9*MAX(1,N_Ed),(FQ32+FR32)/2,FQ32)</f>
        <v/>
      </c>
      <c r="FV32">
        <f>IF($FT32&lt;N_Ed-1E-9*MAX(1,N_Ed),FR32,(FQ32+FR32)/2)</f>
        <v/>
      </c>
      <c r="FW32">
        <f>h_col*((FU32+FV32)/2)/(1-(FU32+FV32)/2)</f>
        <v/>
      </c>
      <c r="FX32">
        <f>(f_cd*b_col*((3*MIN(FW32,h_col)/7)+(4*MIN(FW32,h_col)/7)*(1-((4*MIN(FW32,h_col)/7)/(FW32-(3*MIN(FW32,h_col)/7)))^2/3))+$D32/2*((MAX(-f_yd,MIN(f_yd,200000*IF(FW32&lt;=h_col,0.0035*(FW32-d_2)/FW32,0.002*(FW32-d_2)/(FW32-3*h_col/7))))-f_cd*(1-(1-MAX(0,MIN(1,IF(FW32&lt;=h_col,0.0035*(FW32-d_2)/FW32,0.002*(FW32-d_2)/(FW32-3*h_col/7))/0.002)))^2))+(MAX(-f_yd,MIN(f_yd,200000*IF(FW32&lt;=h_col,0.0035*(FW32-(h_col-d_2))/FW32,0.002*(FW32-(h_col-d_2))/(FW32-3*h_col/7))))-f_cd*(1-(1-MAX(0,MIN(1,IF(FW32&lt;=h_col,0.0035*(FW32-(h_col-d_2))/FW32,0.002*(FW32-(h_col-d_2))/(FW32-3*h_col/7))/0.002)))^2))))/1000</f>
        <v/>
      </c>
      <c r="FY32">
        <f>IF($FX32&lt;N_Ed-1E-9*MAX(1,N_Ed),(FU32+FV32)/2,FU32)</f>
        <v/>
      </c>
      <c r="FZ32">
        <f>IF($FX32&lt;N_Ed-1E-9*MAX(1,N_Ed),FV32,(FU32+FV32)/2)</f>
        <v/>
      </c>
      <c r="GA32">
        <f>h_col*((FY32+FZ32)/2)/(1-(FY32+FZ32)/2)</f>
        <v/>
      </c>
      <c r="GB32">
        <f>(f_cd*b_col*((3*MIN(GA32,h_col)/7)+(4*MIN(GA32,h_col)/7)*(1-((4*MIN(GA32,h_col)/7)/(GA32-(3*MIN(GA32,h_col)/7)))^2/3))+$D32/2*((MAX(-f_yd,MIN(f_yd,200000*IF(GA32&lt;=h_col,0.0035*(GA32-d_2)/GA32,0.002*(GA32-d_2)/(GA32-3*h_col/7))))-f_cd*(1-(1-MAX(0,MIN(1,IF(GA32&lt;=h_col,0.0035*(GA32-d_2)/GA32,0.002*(GA32-d_2)/(GA32-3*h_col/7))/0.002)))^2))+(MAX(-f_yd,MIN(f_yd,200000*IF(GA32&lt;=h_col,0.0035*(GA32-(h_col-d_2))/GA32,0.002*(GA32-(h_col-d_2))/(GA32-3*h_col/7))))-f_cd*(1-(1-MAX(0,MIN(1,IF(GA32&lt;=h_col,0.0035*(GA32-(h_col-d_2))/GA32,0.002*(GA32-(h_col-d_2))/(GA32-3*h_col/7))/0.002)))^2))))/1000</f>
        <v/>
      </c>
      <c r="GC32">
        <f>IF($GB32&lt;N_Ed-1E-9*MAX(1,N_Ed),(FY32+FZ32)/2,FY32)</f>
        <v/>
      </c>
      <c r="GD32">
        <f>IF($GB32&lt;N_Ed-1E-9*MAX(1,N_Ed),FZ32,(FY32+FZ32)/2)</f>
        <v/>
      </c>
      <c r="GE32">
        <f>h_col*((GC32+GD32)/2)/(1-(GC32+GD32)/2)</f>
        <v/>
      </c>
      <c r="GF32">
        <f>(f_cd*b_col*((3*MIN(GE32,h_col)/7)+(4*MIN(GE32,h_col)/7)*(1-((4*MIN(GE32,h_col)/7)/(GE32-(3*MIN(GE32,h_col)/7)))^2/3))+$D32/2*((MAX(-f_yd,MIN(f_yd,200000*IF(GE32&lt;=h_col,0.0035*(GE32-d_2)/GE32,0.002*(GE32-d_2)/(GE32-3*h_col/7))))-f_cd*(1-(1-MAX(0,MIN(1,IF(GE32&lt;=h_col,0.0035*(GE32-d_2)/GE32,0.002*(GE32-d_2)/(GE32-3*h_col/7))/0.002)))^2))+(MAX(-f_yd,MIN(f_yd,200000*IF(GE32&lt;=h_col,0.0035*(GE32-(h_col-d_2))/GE32,0.002*(GE32-(h_col-d_2))/(GE32-3*h_col/7))))-f_cd*(1-(1-MAX(0,MIN(1,IF(GE32&lt;=h_col,0.0035*(GE32-(h_col-d_2))/GE32,0.002*(GE32-(h_col-d_2))/(GE32-3*h_col/7))/0.002)))^2))))/1000</f>
        <v/>
      </c>
      <c r="GG32">
        <f>IF($GF32&lt;N_Ed-1E-9*MAX(1,N_Ed),(GC32+GD32)/2,GC32)</f>
        <v/>
      </c>
      <c r="GH32">
        <f>IF($GF32&lt;N_Ed-1E-9*MAX(1,N_Ed),GD32,(GC32+GD32)/2)</f>
        <v/>
      </c>
      <c r="GI32">
        <f>h_col*((GG32+GH32)/2)/(1-(GG32+GH32)/2)</f>
        <v/>
      </c>
      <c r="GJ32">
        <f>(f_cd*b_col*((3*MIN(GI32,h_col)/7)+(4*MIN(GI32,h_col)/7)*(1-((4*MIN(GI32,h_col)/7)/(GI32-(3*MIN(GI32,h_col)/7)))^2/3))+$D32/2*((MAX(-f_yd,MIN(f_yd,200000*IF(GI32&lt;=h_col,0.0035*(GI32-d_2)/GI32,0.002*(GI32-d_2)/(GI32-3*h_col/7))))-f_cd*(1-(1-MAX(0,MIN(1,IF(GI32&lt;=h_col,0.0035*(GI32-d_2)/GI32,0.002*(GI32-d_2)/(GI32-3*h_col/7))/0.002)))^2))+(MAX(-f_yd,MIN(f_yd,200000*IF(GI32&lt;=h_col,0.0035*(GI32-(h_col-d_2))/GI32,0.002*(GI32-(h_col-d_2))/(GI32-3*h_col/7))))-f_cd*(1-(1-MAX(0,MIN(1,IF(GI32&lt;=h_col,0.0035*(GI32-(h_col-d_2))/GI32,0.002*(GI32-(h_col-d_2))/(GI32-3*h_col/7))/0.002)))^2))))/1000</f>
        <v/>
      </c>
      <c r="GK32">
        <f>IF($GJ32&lt;N_Ed-1E-9*MAX(1,N_Ed),(GG32+GH32)/2,GG32)</f>
        <v/>
      </c>
      <c r="GL32">
        <f>IF($GJ32&lt;N_Ed-1E-9*MAX(1,N_Ed),GH32,(GG32+GH32)/2)</f>
        <v/>
      </c>
      <c r="GM32">
        <f>h_col*((GK32+GL32)/2)/(1-(GK32+GL32)/2)</f>
        <v/>
      </c>
      <c r="GN32">
        <f>(f_cd*b_col*((3*MIN(GM32,h_col)/7)+(4*MIN(GM32,h_col)/7)*(1-((4*MIN(GM32,h_col)/7)/(GM32-(3*MIN(GM32,h_col)/7)))^2/3))+$D32/2*((MAX(-f_yd,MIN(f_yd,200000*IF(GM32&lt;=h_col,0.0035*(GM32-d_2)/GM32,0.002*(GM32-d_2)/(GM32-3*h_col/7))))-f_cd*(1-(1-MAX(0,MIN(1,IF(GM32&lt;=h_col,0.0035*(GM32-d_2)/GM32,0.002*(GM32-d_2)/(GM32-3*h_col/7))/0.002)))^2))+(MAX(-f_yd,MIN(f_yd,200000*IF(GM32&lt;=h_col,0.0035*(GM32-(h_col-d_2))/GM32,0.002*(GM32-(h_col-d_2))/(GM32-3*h_col/7))))-f_cd*(1-(1-MAX(0,MIN(1,IF(GM32&lt;=h_col,0.0035*(GM32-(h_col-d_2))/GM32,0.002*(GM32-(h_col-d_2))/(GM32-3*h_col/7))/0.002)))^2))))/1000</f>
        <v/>
      </c>
      <c r="GO32">
        <f>IF($GN32&lt;N_Ed-1E-9*MAX(1,N_Ed),(GK32+GL32)/2,GK32)</f>
        <v/>
      </c>
      <c r="GP32">
        <f>IF($GN32&lt;N_Ed-1E-9*MAX(1,N_Ed),GL32,(GK32+GL32)/2)</f>
        <v/>
      </c>
      <c r="GQ32">
        <f>h_col*((GO32+GP32)/2)/(1-(GO32+GP32)/2)</f>
        <v/>
      </c>
      <c r="GR32">
        <f>(f_cd*b_col*((3*MIN(GQ32,h_col)/7)+(4*MIN(GQ32,h_col)/7)*(1-((4*MIN(GQ32,h_col)/7)/(GQ32-(3*MIN(GQ32,h_col)/7)))^2/3))+$D32/2*((MAX(-f_yd,MIN(f_yd,200000*IF(GQ32&lt;=h_col,0.0035*(GQ32-d_2)/GQ32,0.002*(GQ32-d_2)/(GQ32-3*h_col/7))))-f_cd*(1-(1-MAX(0,MIN(1,IF(GQ32&lt;=h_col,0.0035*(GQ32-d_2)/GQ32,0.002*(GQ32-d_2)/(GQ32-3*h_col/7))/0.002)))^2))+(MAX(-f_yd,MIN(f_yd,200000*IF(GQ32&lt;=h_col,0.0035*(GQ32-(h_col-d_2))/GQ32,0.002*(GQ32-(h_col-d_2))/(GQ32-3*h_col/7))))-f_cd*(1-(1-MAX(0,MIN(1,IF(GQ32&lt;=h_col,0.0035*(GQ32-(h_col-d_2))/GQ32,0.002*(GQ32-(h_col-d_2))/(GQ32-3*h_col/7))/0.002)))^2))))/1000</f>
        <v/>
      </c>
      <c r="GS32">
        <f>IF($GR32&lt;N_Ed-1E-9*MAX(1,N_Ed),(GO32+GP32)/2,GO32)</f>
        <v/>
      </c>
      <c r="GT32">
        <f>IF($GR32&lt;N_Ed-1E-9*MAX(1,N_Ed),GP32,(GO32+GP32)/2)</f>
        <v/>
      </c>
      <c r="GU32">
        <f>h_col*((GS32+GT32)/2)/(1-(GS32+GT32)/2)</f>
        <v/>
      </c>
      <c r="GV32">
        <f>(f_cd*b_col*((3*MIN(GU32,h_col)/7)+(4*MIN(GU32,h_col)/7)*(1-((4*MIN(GU32,h_col)/7)/(GU32-(3*MIN(GU32,h_col)/7)))^2/3))+$D32/2*((MAX(-f_yd,MIN(f_yd,200000*IF(GU32&lt;=h_col,0.0035*(GU32-d_2)/GU32,0.002*(GU32-d_2)/(GU32-3*h_col/7))))-f_cd*(1-(1-MAX(0,MIN(1,IF(GU32&lt;=h_col,0.0035*(GU32-d_2)/GU32,0.002*(GU32-d_2)/(GU32-3*h_col/7))/0.002)))^2))+(MAX(-f_yd,MIN(f_yd,200000*IF(GU32&lt;=h_col,0.0035*(GU32-(h_col-d_2))/GU32,0.002*(GU32-(h_col-d_2))/(GU32-3*h_col/7))))-f_cd*(1-(1-MAX(0,MIN(1,IF(GU32&lt;=h_col,0.0035*(GU32-(h_col-d_2))/GU32,0.002*(GU32-(h_col-d_2))/(GU32-3*h_col/7))/0.002)))^2))))/1000</f>
        <v/>
      </c>
      <c r="GW32">
        <f>GU32</f>
        <v/>
      </c>
      <c r="GX32">
        <f>(f_cd*b_col*((3*MIN(GW32,h_col)/7)+(4*MIN(GW32,h_col)/7)*(1-((4*MIN(GW32,h_col)/7)/(GW32-(3*MIN(GW32,h_col)/7)))^2/3))+$D32/2*((MAX(-f_yd,MIN(f_yd,200000*IF(GW32&lt;=h_col,0.0035*(GW32-d_2)/GW32,0.002*(GW32-d_2)/(GW32-3*h_col/7))))-f_cd*(1-(1-MAX(0,MIN(1,IF(GW32&lt;=h_col,0.0035*(GW32-d_2)/GW32,0.002*(GW32-d_2)/(GW32-3*h_col/7))/0.002)))^2))+(MAX(-f_yd,MIN(f_yd,200000*IF(GW32&lt;=h_col,0.0035*(GW32-(h_col-d_2))/GW32,0.002*(GW32-(h_col-d_2))/(GW32-3*h_col/7))))-f_cd*(1-(1-MAX(0,MIN(1,IF(GW32&lt;=h_col,0.0035*(GW32-(h_col-d_2))/GW32,0.002*(GW32-(h_col-d_2))/(GW32-3*h_col/7))/0.002)))^2))))/1000</f>
        <v/>
      </c>
      <c r="GY32">
        <f>(f_cd*b_col*((3*MIN(GW32,h_col)/7)*(h_col/2-(3*MIN(GW32,h_col)/7)/2)+(4*MIN(GW32,h_col)/7)*((h_col/2-(3*MIN(GW32,h_col)/7))*(1-((4*MIN(GW32,h_col)/7)/(GW32-(3*MIN(GW32,h_col)/7)))^2/3)-(4*MIN(GW32,h_col)/7)*(0.5-((4*MIN(GW32,h_col)/7)/(GW32-(3*MIN(GW32,h_col)/7)))^2/4)))+$D32/2*((MAX(-f_yd,MIN(f_yd,200000*IF(GW32&lt;=h_col,0.0035*(GW32-d_2)/GW32,0.002*(GW32-d_2)/(GW32-3*h_col/7))))-f_cd*(1-(1-MAX(0,MIN(1,IF(GW32&lt;=h_col,0.0035*(GW32-d_2)/GW32,0.002*(GW32-d_2)/(GW32-3*h_col/7))/0.002)))^2))-(MAX(-f_yd,MIN(f_yd,200000*IF(GW32&lt;=h_col,0.0035*(GW32-(h_col-d_2))/GW32,0.002*(GW32-(h_col-d_2))/(GW32-3*h_col/7))))-f_cd*(1-(1-MAX(0,MIN(1,IF(GW32&lt;=h_col,0.0035*(GW32-(h_col-d_2))/GW32,0.002*(GW32-(h_col-d_2))/(GW32-3*h_col/7))/0.002)))^2)))*(h_col/2-d_2))/1E6</f>
        <v/>
      </c>
      <c r="GZ32">
        <f>GX32&gt;=N_Ed-1E-6*MAX(1,N_Ed)</f>
        <v/>
      </c>
      <c r="HA32">
        <f>IF(GZ32,GY32,-1E9)</f>
        <v/>
      </c>
    </row>
    <row r="33">
      <c r="A33" t="n">
        <v>28</v>
      </c>
      <c r="B33">
        <f>IF($HA32&gt;=M_d,$B32,$D32)</f>
        <v/>
      </c>
      <c r="C33">
        <f>IF($HA32&gt;=M_d,$D32,$C32)</f>
        <v/>
      </c>
      <c r="D33">
        <f>($B33+$C33)/2</f>
        <v/>
      </c>
      <c r="E33" t="n">
        <v>0</v>
      </c>
      <c r="F33">
        <f>1-1E-12</f>
        <v/>
      </c>
      <c r="G33">
        <f>h_col*((E33+F33)/2)/(1-(E33+F33)/2)</f>
        <v/>
      </c>
      <c r="H33">
        <f>(f_cd*b_col*((3*MIN(G33,h_col)/7)+(4*MIN(G33,h_col)/7)*(1-((4*MIN(G33,h_col)/7)/(G33-(3*MIN(G33,h_col)/7)))^2/3))+$D33/2*((MAX(-f_yd,MIN(f_yd,200000*IF(G33&lt;=h_col,0.0035*(G33-d_2)/G33,0.002*(G33-d_2)/(G33-3*h_col/7))))-f_cd*(1-(1-MAX(0,MIN(1,IF(G33&lt;=h_col,0.0035*(G33-d_2)/G33,0.002*(G33-d_2)/(G33-3*h_col/7))/0.002)))^2))+(MAX(-f_yd,MIN(f_yd,200000*IF(G33&lt;=h_col,0.0035*(G33-(h_col-d_2))/G33,0.002*(G33-(h_col-d_2))/(G33-3*h_col/7))))-f_cd*(1-(1-MAX(0,MIN(1,IF(G33&lt;=h_col,0.0035*(G33-(h_col-d_2))/G33,0.002*(G33-(h_col-d_2))/(G33-3*h_col/7))/0.002)))^2))))/1000</f>
        <v/>
      </c>
      <c r="I33">
        <f>IF($H33&lt;N_Ed-1E-9*MAX(1,N_Ed),(E33+F33)/2,E33)</f>
        <v/>
      </c>
      <c r="J33">
        <f>IF($H33&lt;N_Ed-1E-9*MAX(1,N_Ed),F33,(E33+F33)/2)</f>
        <v/>
      </c>
      <c r="K33">
        <f>h_col*((I33+J33)/2)/(1-(I33+J33)/2)</f>
        <v/>
      </c>
      <c r="L33">
        <f>(f_cd*b_col*((3*MIN(K33,h_col)/7)+(4*MIN(K33,h_col)/7)*(1-((4*MIN(K33,h_col)/7)/(K33-(3*MIN(K33,h_col)/7)))^2/3))+$D33/2*((MAX(-f_yd,MIN(f_yd,200000*IF(K33&lt;=h_col,0.0035*(K33-d_2)/K33,0.002*(K33-d_2)/(K33-3*h_col/7))))-f_cd*(1-(1-MAX(0,MIN(1,IF(K33&lt;=h_col,0.0035*(K33-d_2)/K33,0.002*(K33-d_2)/(K33-3*h_col/7))/0.002)))^2))+(MAX(-f_yd,MIN(f_yd,200000*IF(K33&lt;=h_col,0.0035*(K33-(h_col-d_2))/K33,0.002*(K33-(h_col-d_2))/(K33-3*h_col/7))))-f_cd*(1-(1-MAX(0,MIN(1,IF(K33&lt;=h_col,0.0035*(K33-(h_col-d_2))/K33,0.002*(K33-(h_col-d_2))/(K33-3*h_col/7))/0.002)))^2))))/1000</f>
        <v/>
      </c>
      <c r="M33">
        <f>IF($L33&lt;N_Ed-1E-9*MAX(1,N_Ed),(I33+J33)/2,I33)</f>
        <v/>
      </c>
      <c r="N33">
        <f>IF($L33&lt;N_Ed-1E-9*MAX(1,N_Ed),J33,(I33+J33)/2)</f>
        <v/>
      </c>
      <c r="O33">
        <f>h_col*((M33+N33)/2)/(1-(M33+N33)/2)</f>
        <v/>
      </c>
      <c r="P33">
        <f>(f_cd*b_col*((3*MIN(O33,h_col)/7)+(4*MIN(O33,h_col)/7)*(1-((4*MIN(O33,h_col)/7)/(O33-(3*MIN(O33,h_col)/7)))^2/3))+$D33/2*((MAX(-f_yd,MIN(f_yd,200000*IF(O33&lt;=h_col,0.0035*(O33-d_2)/O33,0.002*(O33-d_2)/(O33-3*h_col/7))))-f_cd*(1-(1-MAX(0,MIN(1,IF(O33&lt;=h_col,0.0035*(O33-d_2)/O33,0.002*(O33-d_2)/(O33-3*h_col/7))/0.002)))^2))+(MAX(-f_yd,MIN(f_yd,200000*IF(O33&lt;=h_col,0.0035*(O33-(h_col-d_2))/O33,0.002*(O33-(h_col-d_2))/(O33-3*h_col/7))))-f_cd*(1-(1-MAX(0,MIN(1,IF(O33&lt;=h_col,0.0035*(O33-(h_col-d_2))/O33,0.002*(O33-(h_col-d_2))/(O33-3*h_col/7))/0.002)))^2))))/1000</f>
        <v/>
      </c>
      <c r="Q33">
        <f>IF($P33&lt;N_Ed-1E-9*MAX(1,N_Ed),(M33+N33)/2,M33)</f>
        <v/>
      </c>
      <c r="R33">
        <f>IF($P33&lt;N_Ed-1E-9*MAX(1,N_Ed),N33,(M33+N33)/2)</f>
        <v/>
      </c>
      <c r="S33">
        <f>h_col*((Q33+R33)/2)/(1-(Q33+R33)/2)</f>
        <v/>
      </c>
      <c r="T33">
        <f>(f_cd*b_col*((3*MIN(S33,h_col)/7)+(4*MIN(S33,h_col)/7)*(1-((4*MIN(S33,h_col)/7)/(S33-(3*MIN(S33,h_col)/7)))^2/3))+$D33/2*((MAX(-f_yd,MIN(f_yd,200000*IF(S33&lt;=h_col,0.0035*(S33-d_2)/S33,0.002*(S33-d_2)/(S33-3*h_col/7))))-f_cd*(1-(1-MAX(0,MIN(1,IF(S33&lt;=h_col,0.0035*(S33-d_2)/S33,0.002*(S33-d_2)/(S33-3*h_col/7))/0.002)))^2))+(MAX(-f_yd,MIN(f_yd,200000*IF(S33&lt;=h_col,0.0035*(S33-(h_col-d_2))/S33,0.002*(S33-(h_col-d_2))/(S33-3*h_col/7))))-f_cd*(1-(1-MAX(0,MIN(1,IF(S33&lt;=h_col,0.0035*(S33-(h_col-d_2))/S33,0.002*(S33-(h_col-d_2))/(S33-3*h_col/7))/0.002)))^2))))/1000</f>
        <v/>
      </c>
      <c r="U33">
        <f>IF($T33&lt;N_Ed-1E-9*MAX(1,N_Ed),(Q33+R33)/2,Q33)</f>
        <v/>
      </c>
      <c r="V33">
        <f>IF($T33&lt;N_Ed-1E-9*MAX(1,N_Ed),R33,(Q33+R33)/2)</f>
        <v/>
      </c>
      <c r="W33">
        <f>h_col*((U33+V33)/2)/(1-(U33+V33)/2)</f>
        <v/>
      </c>
      <c r="X33">
        <f>(f_cd*b_col*((3*MIN(W33,h_col)/7)+(4*MIN(W33,h_col)/7)*(1-((4*MIN(W33,h_col)/7)/(W33-(3*MIN(W33,h_col)/7)))^2/3))+$D33/2*((MAX(-f_yd,MIN(f_yd,200000*IF(W33&lt;=h_col,0.0035*(W33-d_2)/W33,0.002*(W33-d_2)/(W33-3*h_col/7))))-f_cd*(1-(1-MAX(0,MIN(1,IF(W33&lt;=h_col,0.0035*(W33-d_2)/W33,0.002*(W33-d_2)/(W33-3*h_col/7))/0.002)))^2))+(MAX(-f_yd,MIN(f_yd,200000*IF(W33&lt;=h_col,0.0035*(W33-(h_col-d_2))/W33,0.002*(W33-(h_col-d_2))/(W33-3*h_col/7))))-f_cd*(1-(1-MAX(0,MIN(1,IF(W33&lt;=h_col,0.0035*(W33-(h_col-d_2))/W33,0.002*(W33-(h_col-d_2))/(W33-3*h_col/7))/0.002)))^2))))/1000</f>
        <v/>
      </c>
      <c r="Y33">
        <f>IF($X33&lt;N_Ed-1E-9*MAX(1,N_Ed),(U33+V33)/2,U33)</f>
        <v/>
      </c>
      <c r="Z33">
        <f>IF($X33&lt;N_Ed-1E-9*MAX(1,N_Ed),V33,(U33+V33)/2)</f>
        <v/>
      </c>
      <c r="AA33">
        <f>h_col*((Y33+Z33)/2)/(1-(Y33+Z33)/2)</f>
        <v/>
      </c>
      <c r="AB33">
        <f>(f_cd*b_col*((3*MIN(AA33,h_col)/7)+(4*MIN(AA33,h_col)/7)*(1-((4*MIN(AA33,h_col)/7)/(AA33-(3*MIN(AA33,h_col)/7)))^2/3))+$D33/2*((MAX(-f_yd,MIN(f_yd,200000*IF(AA33&lt;=h_col,0.0035*(AA33-d_2)/AA33,0.002*(AA33-d_2)/(AA33-3*h_col/7))))-f_cd*(1-(1-MAX(0,MIN(1,IF(AA33&lt;=h_col,0.0035*(AA33-d_2)/AA33,0.002*(AA33-d_2)/(AA33-3*h_col/7))/0.002)))^2))+(MAX(-f_yd,MIN(f_yd,200000*IF(AA33&lt;=h_col,0.0035*(AA33-(h_col-d_2))/AA33,0.002*(AA33-(h_col-d_2))/(AA33-3*h_col/7))))-f_cd*(1-(1-MAX(0,MIN(1,IF(AA33&lt;=h_col,0.0035*(AA33-(h_col-d_2))/AA33,0.002*(AA33-(h_col-d_2))/(AA33-3*h_col/7))/0.002)))^2))))/1000</f>
        <v/>
      </c>
      <c r="AC33">
        <f>IF($AB33&lt;N_Ed-1E-9*MAX(1,N_Ed),(Y33+Z33)/2,Y33)</f>
        <v/>
      </c>
      <c r="AD33">
        <f>IF($AB33&lt;N_Ed-1E-9*MAX(1,N_Ed),Z33,(Y33+Z33)/2)</f>
        <v/>
      </c>
      <c r="AE33">
        <f>h_col*((AC33+AD33)/2)/(1-(AC33+AD33)/2)</f>
        <v/>
      </c>
      <c r="AF33">
        <f>(f_cd*b_col*((3*MIN(AE33,h_col)/7)+(4*MIN(AE33,h_col)/7)*(1-((4*MIN(AE33,h_col)/7)/(AE33-(3*MIN(AE33,h_col)/7)))^2/3))+$D33/2*((MAX(-f_yd,MIN(f_yd,200000*IF(AE33&lt;=h_col,0.0035*(AE33-d_2)/AE33,0.002*(AE33-d_2)/(AE33-3*h_col/7))))-f_cd*(1-(1-MAX(0,MIN(1,IF(AE33&lt;=h_col,0.0035*(AE33-d_2)/AE33,0.002*(AE33-d_2)/(AE33-3*h_col/7))/0.002)))^2))+(MAX(-f_yd,MIN(f_yd,200000*IF(AE33&lt;=h_col,0.0035*(AE33-(h_col-d_2))/AE33,0.002*(AE33-(h_col-d_2))/(AE33-3*h_col/7))))-f_cd*(1-(1-MAX(0,MIN(1,IF(AE33&lt;=h_col,0.0035*(AE33-(h_col-d_2))/AE33,0.002*(AE33-(h_col-d_2))/(AE33-3*h_col/7))/0.002)))^2))))/1000</f>
        <v/>
      </c>
      <c r="AG33">
        <f>IF($AF33&lt;N_Ed-1E-9*MAX(1,N_Ed),(AC33+AD33)/2,AC33)</f>
        <v/>
      </c>
      <c r="AH33">
        <f>IF($AF33&lt;N_Ed-1E-9*MAX(1,N_Ed),AD33,(AC33+AD33)/2)</f>
        <v/>
      </c>
      <c r="AI33">
        <f>h_col*((AG33+AH33)/2)/(1-(AG33+AH33)/2)</f>
        <v/>
      </c>
      <c r="AJ33">
        <f>(f_cd*b_col*((3*MIN(AI33,h_col)/7)+(4*MIN(AI33,h_col)/7)*(1-((4*MIN(AI33,h_col)/7)/(AI33-(3*MIN(AI33,h_col)/7)))^2/3))+$D33/2*((MAX(-f_yd,MIN(f_yd,200000*IF(AI33&lt;=h_col,0.0035*(AI33-d_2)/AI33,0.002*(AI33-d_2)/(AI33-3*h_col/7))))-f_cd*(1-(1-MAX(0,MIN(1,IF(AI33&lt;=h_col,0.0035*(AI33-d_2)/AI33,0.002*(AI33-d_2)/(AI33-3*h_col/7))/0.002)))^2))+(MAX(-f_yd,MIN(f_yd,200000*IF(AI33&lt;=h_col,0.0035*(AI33-(h_col-d_2))/AI33,0.002*(AI33-(h_col-d_2))/(AI33-3*h_col/7))))-f_cd*(1-(1-MAX(0,MIN(1,IF(AI33&lt;=h_col,0.0035*(AI33-(h_col-d_2))/AI33,0.002*(AI33-(h_col-d_2))/(AI33-3*h_col/7))/0.002)))^2))))/1000</f>
        <v/>
      </c>
      <c r="AK33">
        <f>IF($AJ33&lt;N_Ed-1E-9*MAX(1,N_Ed),(AG33+AH33)/2,AG33)</f>
        <v/>
      </c>
      <c r="AL33">
        <f>IF($AJ33&lt;N_Ed-1E-9*MAX(1,N_Ed),AH33,(AG33+AH33)/2)</f>
        <v/>
      </c>
      <c r="AM33">
        <f>h_col*((AK33+AL33)/2)/(1-(AK33+AL33)/2)</f>
        <v/>
      </c>
      <c r="AN33">
        <f>(f_cd*b_col*((3*MIN(AM33,h_col)/7)+(4*MIN(AM33,h_col)/7)*(1-((4*MIN(AM33,h_col)/7)/(AM33-(3*MIN(AM33,h_col)/7)))^2/3))+$D33/2*((MAX(-f_yd,MIN(f_yd,200000*IF(AM33&lt;=h_col,0.0035*(AM33-d_2)/AM33,0.002*(AM33-d_2)/(AM33-3*h_col/7))))-f_cd*(1-(1-MAX(0,MIN(1,IF(AM33&lt;=h_col,0.0035*(AM33-d_2)/AM33,0.002*(AM33-d_2)/(AM33-3*h_col/7))/0.002)))^2))+(MAX(-f_yd,MIN(f_yd,200000*IF(AM33&lt;=h_col,0.0035*(AM33-(h_col-d_2))/AM33,0.002*(AM33-(h_col-d_2))/(AM33-3*h_col/7))))-f_cd*(1-(1-MAX(0,MIN(1,IF(AM33&lt;=h_col,0.0035*(AM33-(h_col-d_2))/AM33,0.002*(AM33-(h_col-d_2))/(AM33-3*h_col/7))/0.002)))^2))))/1000</f>
        <v/>
      </c>
      <c r="AO33">
        <f>IF($AN33&lt;N_Ed-1E-9*MAX(1,N_Ed),(AK33+AL33)/2,AK33)</f>
        <v/>
      </c>
      <c r="AP33">
        <f>IF($AN33&lt;N_Ed-1E-9*MAX(1,N_Ed),AL33,(AK33+AL33)/2)</f>
        <v/>
      </c>
      <c r="AQ33">
        <f>h_col*((AO33+AP33)/2)/(1-(AO33+AP33)/2)</f>
        <v/>
      </c>
      <c r="AR33">
        <f>(f_cd*b_col*((3*MIN(AQ33,h_col)/7)+(4*MIN(AQ33,h_col)/7)*(1-((4*MIN(AQ33,h_col)/7)/(AQ33-(3*MIN(AQ33,h_col)/7)))^2/3))+$D33/2*((MAX(-f_yd,MIN(f_yd,200000*IF(AQ33&lt;=h_col,0.0035*(AQ33-d_2)/AQ33,0.002*(AQ33-d_2)/(AQ33-3*h_col/7))))-f_cd*(1-(1-MAX(0,MIN(1,IF(AQ33&lt;=h_col,0.0035*(AQ33-d_2)/AQ33,0.002*(AQ33-d_2)/(AQ33-3*h_col/7))/0.002)))^2))+(MAX(-f_yd,MIN(f_yd,200000*IF(AQ33&lt;=h_col,0.0035*(AQ33-(h_col-d_2))/AQ33,0.002*(AQ33-(h_col-d_2))/(AQ33-3*h_col/7))))-f_cd*(1-(1-MAX(0,MIN(1,IF(AQ33&lt;=h_col,0.0035*(AQ33-(h_col-d_2))/AQ33,0.002*(AQ33-(h_col-d_2))/(AQ33-3*h_col/7))/0.002)))^2))))/1000</f>
        <v/>
      </c>
      <c r="AS33">
        <f>IF($AR33&lt;N_Ed-1E-9*MAX(1,N_Ed),(AO33+AP33)/2,AO33)</f>
        <v/>
      </c>
      <c r="AT33">
        <f>IF($AR33&lt;N_Ed-1E-9*MAX(1,N_Ed),AP33,(AO33+AP33)/2)</f>
        <v/>
      </c>
      <c r="AU33">
        <f>h_col*((AS33+AT33)/2)/(1-(AS33+AT33)/2)</f>
        <v/>
      </c>
      <c r="AV33">
        <f>(f_cd*b_col*((3*MIN(AU33,h_col)/7)+(4*MIN(AU33,h_col)/7)*(1-((4*MIN(AU33,h_col)/7)/(AU33-(3*MIN(AU33,h_col)/7)))^2/3))+$D33/2*((MAX(-f_yd,MIN(f_yd,200000*IF(AU33&lt;=h_col,0.0035*(AU33-d_2)/AU33,0.002*(AU33-d_2)/(AU33-3*h_col/7))))-f_cd*(1-(1-MAX(0,MIN(1,IF(AU33&lt;=h_col,0.0035*(AU33-d_2)/AU33,0.002*(AU33-d_2)/(AU33-3*h_col/7))/0.002)))^2))+(MAX(-f_yd,MIN(f_yd,200000*IF(AU33&lt;=h_col,0.0035*(AU33-(h_col-d_2))/AU33,0.002*(AU33-(h_col-d_2))/(AU33-3*h_col/7))))-f_cd*(1-(1-MAX(0,MIN(1,IF(AU33&lt;=h_col,0.0035*(AU33-(h_col-d_2))/AU33,0.002*(AU33-(h_col-d_2))/(AU33-3*h_col/7))/0.002)))^2))))/1000</f>
        <v/>
      </c>
      <c r="AW33">
        <f>IF($AV33&lt;N_Ed-1E-9*MAX(1,N_Ed),(AS33+AT33)/2,AS33)</f>
        <v/>
      </c>
      <c r="AX33">
        <f>IF($AV33&lt;N_Ed-1E-9*MAX(1,N_Ed),AT33,(AS33+AT33)/2)</f>
        <v/>
      </c>
      <c r="AY33">
        <f>h_col*((AW33+AX33)/2)/(1-(AW33+AX33)/2)</f>
        <v/>
      </c>
      <c r="AZ33">
        <f>(f_cd*b_col*((3*MIN(AY33,h_col)/7)+(4*MIN(AY33,h_col)/7)*(1-((4*MIN(AY33,h_col)/7)/(AY33-(3*MIN(AY33,h_col)/7)))^2/3))+$D33/2*((MAX(-f_yd,MIN(f_yd,200000*IF(AY33&lt;=h_col,0.0035*(AY33-d_2)/AY33,0.002*(AY33-d_2)/(AY33-3*h_col/7))))-f_cd*(1-(1-MAX(0,MIN(1,IF(AY33&lt;=h_col,0.0035*(AY33-d_2)/AY33,0.002*(AY33-d_2)/(AY33-3*h_col/7))/0.002)))^2))+(MAX(-f_yd,MIN(f_yd,200000*IF(AY33&lt;=h_col,0.0035*(AY33-(h_col-d_2))/AY33,0.002*(AY33-(h_col-d_2))/(AY33-3*h_col/7))))-f_cd*(1-(1-MAX(0,MIN(1,IF(AY33&lt;=h_col,0.0035*(AY33-(h_col-d_2))/AY33,0.002*(AY33-(h_col-d_2))/(AY33-3*h_col/7))/0.002)))^2))))/1000</f>
        <v/>
      </c>
      <c r="BA33">
        <f>IF($AZ33&lt;N_Ed-1E-9*MAX(1,N_Ed),(AW33+AX33)/2,AW33)</f>
        <v/>
      </c>
      <c r="BB33">
        <f>IF($AZ33&lt;N_Ed-1E-9*MAX(1,N_Ed),AX33,(AW33+AX33)/2)</f>
        <v/>
      </c>
      <c r="BC33">
        <f>h_col*((BA33+BB33)/2)/(1-(BA33+BB33)/2)</f>
        <v/>
      </c>
      <c r="BD33">
        <f>(f_cd*b_col*((3*MIN(BC33,h_col)/7)+(4*MIN(BC33,h_col)/7)*(1-((4*MIN(BC33,h_col)/7)/(BC33-(3*MIN(BC33,h_col)/7)))^2/3))+$D33/2*((MAX(-f_yd,MIN(f_yd,200000*IF(BC33&lt;=h_col,0.0035*(BC33-d_2)/BC33,0.002*(BC33-d_2)/(BC33-3*h_col/7))))-f_cd*(1-(1-MAX(0,MIN(1,IF(BC33&lt;=h_col,0.0035*(BC33-d_2)/BC33,0.002*(BC33-d_2)/(BC33-3*h_col/7))/0.002)))^2))+(MAX(-f_yd,MIN(f_yd,200000*IF(BC33&lt;=h_col,0.0035*(BC33-(h_col-d_2))/BC33,0.002*(BC33-(h_col-d_2))/(BC33-3*h_col/7))))-f_cd*(1-(1-MAX(0,MIN(1,IF(BC33&lt;=h_col,0.0035*(BC33-(h_col-d_2))/BC33,0.002*(BC33-(h_col-d_2))/(BC33-3*h_col/7))/0.002)))^2))))/1000</f>
        <v/>
      </c>
      <c r="BE33">
        <f>IF($BD33&lt;N_Ed-1E-9*MAX(1,N_Ed),(BA33+BB33)/2,BA33)</f>
        <v/>
      </c>
      <c r="BF33">
        <f>IF($BD33&lt;N_Ed-1E-9*MAX(1,N_Ed),BB33,(BA33+BB33)/2)</f>
        <v/>
      </c>
      <c r="BG33">
        <f>h_col*((BE33+BF33)/2)/(1-(BE33+BF33)/2)</f>
        <v/>
      </c>
      <c r="BH33">
        <f>(f_cd*b_col*((3*MIN(BG33,h_col)/7)+(4*MIN(BG33,h_col)/7)*(1-((4*MIN(BG33,h_col)/7)/(BG33-(3*MIN(BG33,h_col)/7)))^2/3))+$D33/2*((MAX(-f_yd,MIN(f_yd,200000*IF(BG33&lt;=h_col,0.0035*(BG33-d_2)/BG33,0.002*(BG33-d_2)/(BG33-3*h_col/7))))-f_cd*(1-(1-MAX(0,MIN(1,IF(BG33&lt;=h_col,0.0035*(BG33-d_2)/BG33,0.002*(BG33-d_2)/(BG33-3*h_col/7))/0.002)))^2))+(MAX(-f_yd,MIN(f_yd,200000*IF(BG33&lt;=h_col,0.0035*(BG33-(h_col-d_2))/BG33,0.002*(BG33-(h_col-d_2))/(BG33-3*h_col/7))))-f_cd*(1-(1-MAX(0,MIN(1,IF(BG33&lt;=h_col,0.0035*(BG33-(h_col-d_2))/BG33,0.002*(BG33-(h_col-d_2))/(BG33-3*h_col/7))/0.002)))^2))))/1000</f>
        <v/>
      </c>
      <c r="BI33">
        <f>IF($BH33&lt;N_Ed-1E-9*MAX(1,N_Ed),(BE33+BF33)/2,BE33)</f>
        <v/>
      </c>
      <c r="BJ33">
        <f>IF($BH33&lt;N_Ed-1E-9*MAX(1,N_Ed),BF33,(BE33+BF33)/2)</f>
        <v/>
      </c>
      <c r="BK33">
        <f>h_col*((BI33+BJ33)/2)/(1-(BI33+BJ33)/2)</f>
        <v/>
      </c>
      <c r="BL33">
        <f>(f_cd*b_col*((3*MIN(BK33,h_col)/7)+(4*MIN(BK33,h_col)/7)*(1-((4*MIN(BK33,h_col)/7)/(BK33-(3*MIN(BK33,h_col)/7)))^2/3))+$D33/2*((MAX(-f_yd,MIN(f_yd,200000*IF(BK33&lt;=h_col,0.0035*(BK33-d_2)/BK33,0.002*(BK33-d_2)/(BK33-3*h_col/7))))-f_cd*(1-(1-MAX(0,MIN(1,IF(BK33&lt;=h_col,0.0035*(BK33-d_2)/BK33,0.002*(BK33-d_2)/(BK33-3*h_col/7))/0.002)))^2))+(MAX(-f_yd,MIN(f_yd,200000*IF(BK33&lt;=h_col,0.0035*(BK33-(h_col-d_2))/BK33,0.002*(BK33-(h_col-d_2))/(BK33-3*h_col/7))))-f_cd*(1-(1-MAX(0,MIN(1,IF(BK33&lt;=h_col,0.0035*(BK33-(h_col-d_2))/BK33,0.002*(BK33-(h_col-d_2))/(BK33-3*h_col/7))/0.002)))^2))))/1000</f>
        <v/>
      </c>
      <c r="BM33">
        <f>IF($BL33&lt;N_Ed-1E-9*MAX(1,N_Ed),(BI33+BJ33)/2,BI33)</f>
        <v/>
      </c>
      <c r="BN33">
        <f>IF($BL33&lt;N_Ed-1E-9*MAX(1,N_Ed),BJ33,(BI33+BJ33)/2)</f>
        <v/>
      </c>
      <c r="BO33">
        <f>h_col*((BM33+BN33)/2)/(1-(BM33+BN33)/2)</f>
        <v/>
      </c>
      <c r="BP33">
        <f>(f_cd*b_col*((3*MIN(BO33,h_col)/7)+(4*MIN(BO33,h_col)/7)*(1-((4*MIN(BO33,h_col)/7)/(BO33-(3*MIN(BO33,h_col)/7)))^2/3))+$D33/2*((MAX(-f_yd,MIN(f_yd,200000*IF(BO33&lt;=h_col,0.0035*(BO33-d_2)/BO33,0.002*(BO33-d_2)/(BO33-3*h_col/7))))-f_cd*(1-(1-MAX(0,MIN(1,IF(BO33&lt;=h_col,0.0035*(BO33-d_2)/BO33,0.002*(BO33-d_2)/(BO33-3*h_col/7))/0.002)))^2))+(MAX(-f_yd,MIN(f_yd,200000*IF(BO33&lt;=h_col,0.0035*(BO33-(h_col-d_2))/BO33,0.002*(BO33-(h_col-d_2))/(BO33-3*h_col/7))))-f_cd*(1-(1-MAX(0,MIN(1,IF(BO33&lt;=h_col,0.0035*(BO33-(h_col-d_2))/BO33,0.002*(BO33-(h_col-d_2))/(BO33-3*h_col/7))/0.002)))^2))))/1000</f>
        <v/>
      </c>
      <c r="BQ33">
        <f>IF($BP33&lt;N_Ed-1E-9*MAX(1,N_Ed),(BM33+BN33)/2,BM33)</f>
        <v/>
      </c>
      <c r="BR33">
        <f>IF($BP33&lt;N_Ed-1E-9*MAX(1,N_Ed),BN33,(BM33+BN33)/2)</f>
        <v/>
      </c>
      <c r="BS33">
        <f>h_col*((BQ33+BR33)/2)/(1-(BQ33+BR33)/2)</f>
        <v/>
      </c>
      <c r="BT33">
        <f>(f_cd*b_col*((3*MIN(BS33,h_col)/7)+(4*MIN(BS33,h_col)/7)*(1-((4*MIN(BS33,h_col)/7)/(BS33-(3*MIN(BS33,h_col)/7)))^2/3))+$D33/2*((MAX(-f_yd,MIN(f_yd,200000*IF(BS33&lt;=h_col,0.0035*(BS33-d_2)/BS33,0.002*(BS33-d_2)/(BS33-3*h_col/7))))-f_cd*(1-(1-MAX(0,MIN(1,IF(BS33&lt;=h_col,0.0035*(BS33-d_2)/BS33,0.002*(BS33-d_2)/(BS33-3*h_col/7))/0.002)))^2))+(MAX(-f_yd,MIN(f_yd,200000*IF(BS33&lt;=h_col,0.0035*(BS33-(h_col-d_2))/BS33,0.002*(BS33-(h_col-d_2))/(BS33-3*h_col/7))))-f_cd*(1-(1-MAX(0,MIN(1,IF(BS33&lt;=h_col,0.0035*(BS33-(h_col-d_2))/BS33,0.002*(BS33-(h_col-d_2))/(BS33-3*h_col/7))/0.002)))^2))))/1000</f>
        <v/>
      </c>
      <c r="BU33">
        <f>IF($BT33&lt;N_Ed-1E-9*MAX(1,N_Ed),(BQ33+BR33)/2,BQ33)</f>
        <v/>
      </c>
      <c r="BV33">
        <f>IF($BT33&lt;N_Ed-1E-9*MAX(1,N_Ed),BR33,(BQ33+BR33)/2)</f>
        <v/>
      </c>
      <c r="BW33">
        <f>h_col*((BU33+BV33)/2)/(1-(BU33+BV33)/2)</f>
        <v/>
      </c>
      <c r="BX33">
        <f>(f_cd*b_col*((3*MIN(BW33,h_col)/7)+(4*MIN(BW33,h_col)/7)*(1-((4*MIN(BW33,h_col)/7)/(BW33-(3*MIN(BW33,h_col)/7)))^2/3))+$D33/2*((MAX(-f_yd,MIN(f_yd,200000*IF(BW33&lt;=h_col,0.0035*(BW33-d_2)/BW33,0.002*(BW33-d_2)/(BW33-3*h_col/7))))-f_cd*(1-(1-MAX(0,MIN(1,IF(BW33&lt;=h_col,0.0035*(BW33-d_2)/BW33,0.002*(BW33-d_2)/(BW33-3*h_col/7))/0.002)))^2))+(MAX(-f_yd,MIN(f_yd,200000*IF(BW33&lt;=h_col,0.0035*(BW33-(h_col-d_2))/BW33,0.002*(BW33-(h_col-d_2))/(BW33-3*h_col/7))))-f_cd*(1-(1-MAX(0,MIN(1,IF(BW33&lt;=h_col,0.0035*(BW33-(h_col-d_2))/BW33,0.002*(BW33-(h_col-d_2))/(BW33-3*h_col/7))/0.002)))^2))))/1000</f>
        <v/>
      </c>
      <c r="BY33">
        <f>IF($BX33&lt;N_Ed-1E-9*MAX(1,N_Ed),(BU33+BV33)/2,BU33)</f>
        <v/>
      </c>
      <c r="BZ33">
        <f>IF($BX33&lt;N_Ed-1E-9*MAX(1,N_Ed),BV33,(BU33+BV33)/2)</f>
        <v/>
      </c>
      <c r="CA33">
        <f>h_col*((BY33+BZ33)/2)/(1-(BY33+BZ33)/2)</f>
        <v/>
      </c>
      <c r="CB33">
        <f>(f_cd*b_col*((3*MIN(CA33,h_col)/7)+(4*MIN(CA33,h_col)/7)*(1-((4*MIN(CA33,h_col)/7)/(CA33-(3*MIN(CA33,h_col)/7)))^2/3))+$D33/2*((MAX(-f_yd,MIN(f_yd,200000*IF(CA33&lt;=h_col,0.0035*(CA33-d_2)/CA33,0.002*(CA33-d_2)/(CA33-3*h_col/7))))-f_cd*(1-(1-MAX(0,MIN(1,IF(CA33&lt;=h_col,0.0035*(CA33-d_2)/CA33,0.002*(CA33-d_2)/(CA33-3*h_col/7))/0.002)))^2))+(MAX(-f_yd,MIN(f_yd,200000*IF(CA33&lt;=h_col,0.0035*(CA33-(h_col-d_2))/CA33,0.002*(CA33-(h_col-d_2))/(CA33-3*h_col/7))))-f_cd*(1-(1-MAX(0,MIN(1,IF(CA33&lt;=h_col,0.0035*(CA33-(h_col-d_2))/CA33,0.002*(CA33-(h_col-d_2))/(CA33-3*h_col/7))/0.002)))^2))))/1000</f>
        <v/>
      </c>
      <c r="CC33">
        <f>IF($CB33&lt;N_Ed-1E-9*MAX(1,N_Ed),(BY33+BZ33)/2,BY33)</f>
        <v/>
      </c>
      <c r="CD33">
        <f>IF($CB33&lt;N_Ed-1E-9*MAX(1,N_Ed),BZ33,(BY33+BZ33)/2)</f>
        <v/>
      </c>
      <c r="CE33">
        <f>h_col*((CC33+CD33)/2)/(1-(CC33+CD33)/2)</f>
        <v/>
      </c>
      <c r="CF33">
        <f>(f_cd*b_col*((3*MIN(CE33,h_col)/7)+(4*MIN(CE33,h_col)/7)*(1-((4*MIN(CE33,h_col)/7)/(CE33-(3*MIN(CE33,h_col)/7)))^2/3))+$D33/2*((MAX(-f_yd,MIN(f_yd,200000*IF(CE33&lt;=h_col,0.0035*(CE33-d_2)/CE33,0.002*(CE33-d_2)/(CE33-3*h_col/7))))-f_cd*(1-(1-MAX(0,MIN(1,IF(CE33&lt;=h_col,0.0035*(CE33-d_2)/CE33,0.002*(CE33-d_2)/(CE33-3*h_col/7))/0.002)))^2))+(MAX(-f_yd,MIN(f_yd,200000*IF(CE33&lt;=h_col,0.0035*(CE33-(h_col-d_2))/CE33,0.002*(CE33-(h_col-d_2))/(CE33-3*h_col/7))))-f_cd*(1-(1-MAX(0,MIN(1,IF(CE33&lt;=h_col,0.0035*(CE33-(h_col-d_2))/CE33,0.002*(CE33-(h_col-d_2))/(CE33-3*h_col/7))/0.002)))^2))))/1000</f>
        <v/>
      </c>
      <c r="CG33">
        <f>IF($CF33&lt;N_Ed-1E-9*MAX(1,N_Ed),(CC33+CD33)/2,CC33)</f>
        <v/>
      </c>
      <c r="CH33">
        <f>IF($CF33&lt;N_Ed-1E-9*MAX(1,N_Ed),CD33,(CC33+CD33)/2)</f>
        <v/>
      </c>
      <c r="CI33">
        <f>h_col*((CG33+CH33)/2)/(1-(CG33+CH33)/2)</f>
        <v/>
      </c>
      <c r="CJ33">
        <f>(f_cd*b_col*((3*MIN(CI33,h_col)/7)+(4*MIN(CI33,h_col)/7)*(1-((4*MIN(CI33,h_col)/7)/(CI33-(3*MIN(CI33,h_col)/7)))^2/3))+$D33/2*((MAX(-f_yd,MIN(f_yd,200000*IF(CI33&lt;=h_col,0.0035*(CI33-d_2)/CI33,0.002*(CI33-d_2)/(CI33-3*h_col/7))))-f_cd*(1-(1-MAX(0,MIN(1,IF(CI33&lt;=h_col,0.0035*(CI33-d_2)/CI33,0.002*(CI33-d_2)/(CI33-3*h_col/7))/0.002)))^2))+(MAX(-f_yd,MIN(f_yd,200000*IF(CI33&lt;=h_col,0.0035*(CI33-(h_col-d_2))/CI33,0.002*(CI33-(h_col-d_2))/(CI33-3*h_col/7))))-f_cd*(1-(1-MAX(0,MIN(1,IF(CI33&lt;=h_col,0.0035*(CI33-(h_col-d_2))/CI33,0.002*(CI33-(h_col-d_2))/(CI33-3*h_col/7))/0.002)))^2))))/1000</f>
        <v/>
      </c>
      <c r="CK33">
        <f>IF($CJ33&lt;N_Ed-1E-9*MAX(1,N_Ed),(CG33+CH33)/2,CG33)</f>
        <v/>
      </c>
      <c r="CL33">
        <f>IF($CJ33&lt;N_Ed-1E-9*MAX(1,N_Ed),CH33,(CG33+CH33)/2)</f>
        <v/>
      </c>
      <c r="CM33">
        <f>h_col*((CK33+CL33)/2)/(1-(CK33+CL33)/2)</f>
        <v/>
      </c>
      <c r="CN33">
        <f>(f_cd*b_col*((3*MIN(CM33,h_col)/7)+(4*MIN(CM33,h_col)/7)*(1-((4*MIN(CM33,h_col)/7)/(CM33-(3*MIN(CM33,h_col)/7)))^2/3))+$D33/2*((MAX(-f_yd,MIN(f_yd,200000*IF(CM33&lt;=h_col,0.0035*(CM33-d_2)/CM33,0.002*(CM33-d_2)/(CM33-3*h_col/7))))-f_cd*(1-(1-MAX(0,MIN(1,IF(CM33&lt;=h_col,0.0035*(CM33-d_2)/CM33,0.002*(CM33-d_2)/(CM33-3*h_col/7))/0.002)))^2))+(MAX(-f_yd,MIN(f_yd,200000*IF(CM33&lt;=h_col,0.0035*(CM33-(h_col-d_2))/CM33,0.002*(CM33-(h_col-d_2))/(CM33-3*h_col/7))))-f_cd*(1-(1-MAX(0,MIN(1,IF(CM33&lt;=h_col,0.0035*(CM33-(h_col-d_2))/CM33,0.002*(CM33-(h_col-d_2))/(CM33-3*h_col/7))/0.002)))^2))))/1000</f>
        <v/>
      </c>
      <c r="CO33">
        <f>IF($CN33&lt;N_Ed-1E-9*MAX(1,N_Ed),(CK33+CL33)/2,CK33)</f>
        <v/>
      </c>
      <c r="CP33">
        <f>IF($CN33&lt;N_Ed-1E-9*MAX(1,N_Ed),CL33,(CK33+CL33)/2)</f>
        <v/>
      </c>
      <c r="CQ33">
        <f>h_col*((CO33+CP33)/2)/(1-(CO33+CP33)/2)</f>
        <v/>
      </c>
      <c r="CR33">
        <f>(f_cd*b_col*((3*MIN(CQ33,h_col)/7)+(4*MIN(CQ33,h_col)/7)*(1-((4*MIN(CQ33,h_col)/7)/(CQ33-(3*MIN(CQ33,h_col)/7)))^2/3))+$D33/2*((MAX(-f_yd,MIN(f_yd,200000*IF(CQ33&lt;=h_col,0.0035*(CQ33-d_2)/CQ33,0.002*(CQ33-d_2)/(CQ33-3*h_col/7))))-f_cd*(1-(1-MAX(0,MIN(1,IF(CQ33&lt;=h_col,0.0035*(CQ33-d_2)/CQ33,0.002*(CQ33-d_2)/(CQ33-3*h_col/7))/0.002)))^2))+(MAX(-f_yd,MIN(f_yd,200000*IF(CQ33&lt;=h_col,0.0035*(CQ33-(h_col-d_2))/CQ33,0.002*(CQ33-(h_col-d_2))/(CQ33-3*h_col/7))))-f_cd*(1-(1-MAX(0,MIN(1,IF(CQ33&lt;=h_col,0.0035*(CQ33-(h_col-d_2))/CQ33,0.002*(CQ33-(h_col-d_2))/(CQ33-3*h_col/7))/0.002)))^2))))/1000</f>
        <v/>
      </c>
      <c r="CS33">
        <f>IF($CR33&lt;N_Ed-1E-9*MAX(1,N_Ed),(CO33+CP33)/2,CO33)</f>
        <v/>
      </c>
      <c r="CT33">
        <f>IF($CR33&lt;N_Ed-1E-9*MAX(1,N_Ed),CP33,(CO33+CP33)/2)</f>
        <v/>
      </c>
      <c r="CU33">
        <f>h_col*((CS33+CT33)/2)/(1-(CS33+CT33)/2)</f>
        <v/>
      </c>
      <c r="CV33">
        <f>(f_cd*b_col*((3*MIN(CU33,h_col)/7)+(4*MIN(CU33,h_col)/7)*(1-((4*MIN(CU33,h_col)/7)/(CU33-(3*MIN(CU33,h_col)/7)))^2/3))+$D33/2*((MAX(-f_yd,MIN(f_yd,200000*IF(CU33&lt;=h_col,0.0035*(CU33-d_2)/CU33,0.002*(CU33-d_2)/(CU33-3*h_col/7))))-f_cd*(1-(1-MAX(0,MIN(1,IF(CU33&lt;=h_col,0.0035*(CU33-d_2)/CU33,0.002*(CU33-d_2)/(CU33-3*h_col/7))/0.002)))^2))+(MAX(-f_yd,MIN(f_yd,200000*IF(CU33&lt;=h_col,0.0035*(CU33-(h_col-d_2))/CU33,0.002*(CU33-(h_col-d_2))/(CU33-3*h_col/7))))-f_cd*(1-(1-MAX(0,MIN(1,IF(CU33&lt;=h_col,0.0035*(CU33-(h_col-d_2))/CU33,0.002*(CU33-(h_col-d_2))/(CU33-3*h_col/7))/0.002)))^2))))/1000</f>
        <v/>
      </c>
      <c r="CW33">
        <f>IF($CV33&lt;N_Ed-1E-9*MAX(1,N_Ed),(CS33+CT33)/2,CS33)</f>
        <v/>
      </c>
      <c r="CX33">
        <f>IF($CV33&lt;N_Ed-1E-9*MAX(1,N_Ed),CT33,(CS33+CT33)/2)</f>
        <v/>
      </c>
      <c r="CY33">
        <f>h_col*((CW33+CX33)/2)/(1-(CW33+CX33)/2)</f>
        <v/>
      </c>
      <c r="CZ33">
        <f>(f_cd*b_col*((3*MIN(CY33,h_col)/7)+(4*MIN(CY33,h_col)/7)*(1-((4*MIN(CY33,h_col)/7)/(CY33-(3*MIN(CY33,h_col)/7)))^2/3))+$D33/2*((MAX(-f_yd,MIN(f_yd,200000*IF(CY33&lt;=h_col,0.0035*(CY33-d_2)/CY33,0.002*(CY33-d_2)/(CY33-3*h_col/7))))-f_cd*(1-(1-MAX(0,MIN(1,IF(CY33&lt;=h_col,0.0035*(CY33-d_2)/CY33,0.002*(CY33-d_2)/(CY33-3*h_col/7))/0.002)))^2))+(MAX(-f_yd,MIN(f_yd,200000*IF(CY33&lt;=h_col,0.0035*(CY33-(h_col-d_2))/CY33,0.002*(CY33-(h_col-d_2))/(CY33-3*h_col/7))))-f_cd*(1-(1-MAX(0,MIN(1,IF(CY33&lt;=h_col,0.0035*(CY33-(h_col-d_2))/CY33,0.002*(CY33-(h_col-d_2))/(CY33-3*h_col/7))/0.002)))^2))))/1000</f>
        <v/>
      </c>
      <c r="DA33">
        <f>IF($CZ33&lt;N_Ed-1E-9*MAX(1,N_Ed),(CW33+CX33)/2,CW33)</f>
        <v/>
      </c>
      <c r="DB33">
        <f>IF($CZ33&lt;N_Ed-1E-9*MAX(1,N_Ed),CX33,(CW33+CX33)/2)</f>
        <v/>
      </c>
      <c r="DC33">
        <f>h_col*((DA33+DB33)/2)/(1-(DA33+DB33)/2)</f>
        <v/>
      </c>
      <c r="DD33">
        <f>(f_cd*b_col*((3*MIN(DC33,h_col)/7)+(4*MIN(DC33,h_col)/7)*(1-((4*MIN(DC33,h_col)/7)/(DC33-(3*MIN(DC33,h_col)/7)))^2/3))+$D33/2*((MAX(-f_yd,MIN(f_yd,200000*IF(DC33&lt;=h_col,0.0035*(DC33-d_2)/DC33,0.002*(DC33-d_2)/(DC33-3*h_col/7))))-f_cd*(1-(1-MAX(0,MIN(1,IF(DC33&lt;=h_col,0.0035*(DC33-d_2)/DC33,0.002*(DC33-d_2)/(DC33-3*h_col/7))/0.002)))^2))+(MAX(-f_yd,MIN(f_yd,200000*IF(DC33&lt;=h_col,0.0035*(DC33-(h_col-d_2))/DC33,0.002*(DC33-(h_col-d_2))/(DC33-3*h_col/7))))-f_cd*(1-(1-MAX(0,MIN(1,IF(DC33&lt;=h_col,0.0035*(DC33-(h_col-d_2))/DC33,0.002*(DC33-(h_col-d_2))/(DC33-3*h_col/7))/0.002)))^2))))/1000</f>
        <v/>
      </c>
      <c r="DE33">
        <f>IF($DD33&lt;N_Ed-1E-9*MAX(1,N_Ed),(DA33+DB33)/2,DA33)</f>
        <v/>
      </c>
      <c r="DF33">
        <f>IF($DD33&lt;N_Ed-1E-9*MAX(1,N_Ed),DB33,(DA33+DB33)/2)</f>
        <v/>
      </c>
      <c r="DG33">
        <f>h_col*((DE33+DF33)/2)/(1-(DE33+DF33)/2)</f>
        <v/>
      </c>
      <c r="DH33">
        <f>(f_cd*b_col*((3*MIN(DG33,h_col)/7)+(4*MIN(DG33,h_col)/7)*(1-((4*MIN(DG33,h_col)/7)/(DG33-(3*MIN(DG33,h_col)/7)))^2/3))+$D33/2*((MAX(-f_yd,MIN(f_yd,200000*IF(DG33&lt;=h_col,0.0035*(DG33-d_2)/DG33,0.002*(DG33-d_2)/(DG33-3*h_col/7))))-f_cd*(1-(1-MAX(0,MIN(1,IF(DG33&lt;=h_col,0.0035*(DG33-d_2)/DG33,0.002*(DG33-d_2)/(DG33-3*h_col/7))/0.002)))^2))+(MAX(-f_yd,MIN(f_yd,200000*IF(DG33&lt;=h_col,0.0035*(DG33-(h_col-d_2))/DG33,0.002*(DG33-(h_col-d_2))/(DG33-3*h_col/7))))-f_cd*(1-(1-MAX(0,MIN(1,IF(DG33&lt;=h_col,0.0035*(DG33-(h_col-d_2))/DG33,0.002*(DG33-(h_col-d_2))/(DG33-3*h_col/7))/0.002)))^2))))/1000</f>
        <v/>
      </c>
      <c r="DI33">
        <f>IF($DH33&lt;N_Ed-1E-9*MAX(1,N_Ed),(DE33+DF33)/2,DE33)</f>
        <v/>
      </c>
      <c r="DJ33">
        <f>IF($DH33&lt;N_Ed-1E-9*MAX(1,N_Ed),DF33,(DE33+DF33)/2)</f>
        <v/>
      </c>
      <c r="DK33">
        <f>h_col*((DI33+DJ33)/2)/(1-(DI33+DJ33)/2)</f>
        <v/>
      </c>
      <c r="DL33">
        <f>(f_cd*b_col*((3*MIN(DK33,h_col)/7)+(4*MIN(DK33,h_col)/7)*(1-((4*MIN(DK33,h_col)/7)/(DK33-(3*MIN(DK33,h_col)/7)))^2/3))+$D33/2*((MAX(-f_yd,MIN(f_yd,200000*IF(DK33&lt;=h_col,0.0035*(DK33-d_2)/DK33,0.002*(DK33-d_2)/(DK33-3*h_col/7))))-f_cd*(1-(1-MAX(0,MIN(1,IF(DK33&lt;=h_col,0.0035*(DK33-d_2)/DK33,0.002*(DK33-d_2)/(DK33-3*h_col/7))/0.002)))^2))+(MAX(-f_yd,MIN(f_yd,200000*IF(DK33&lt;=h_col,0.0035*(DK33-(h_col-d_2))/DK33,0.002*(DK33-(h_col-d_2))/(DK33-3*h_col/7))))-f_cd*(1-(1-MAX(0,MIN(1,IF(DK33&lt;=h_col,0.0035*(DK33-(h_col-d_2))/DK33,0.002*(DK33-(h_col-d_2))/(DK33-3*h_col/7))/0.002)))^2))))/1000</f>
        <v/>
      </c>
      <c r="DM33">
        <f>IF($DL33&lt;N_Ed-1E-9*MAX(1,N_Ed),(DI33+DJ33)/2,DI33)</f>
        <v/>
      </c>
      <c r="DN33">
        <f>IF($DL33&lt;N_Ed-1E-9*MAX(1,N_Ed),DJ33,(DI33+DJ33)/2)</f>
        <v/>
      </c>
      <c r="DO33">
        <f>h_col*((DM33+DN33)/2)/(1-(DM33+DN33)/2)</f>
        <v/>
      </c>
      <c r="DP33">
        <f>(f_cd*b_col*((3*MIN(DO33,h_col)/7)+(4*MIN(DO33,h_col)/7)*(1-((4*MIN(DO33,h_col)/7)/(DO33-(3*MIN(DO33,h_col)/7)))^2/3))+$D33/2*((MAX(-f_yd,MIN(f_yd,200000*IF(DO33&lt;=h_col,0.0035*(DO33-d_2)/DO33,0.002*(DO33-d_2)/(DO33-3*h_col/7))))-f_cd*(1-(1-MAX(0,MIN(1,IF(DO33&lt;=h_col,0.0035*(DO33-d_2)/DO33,0.002*(DO33-d_2)/(DO33-3*h_col/7))/0.002)))^2))+(MAX(-f_yd,MIN(f_yd,200000*IF(DO33&lt;=h_col,0.0035*(DO33-(h_col-d_2))/DO33,0.002*(DO33-(h_col-d_2))/(DO33-3*h_col/7))))-f_cd*(1-(1-MAX(0,MIN(1,IF(DO33&lt;=h_col,0.0035*(DO33-(h_col-d_2))/DO33,0.002*(DO33-(h_col-d_2))/(DO33-3*h_col/7))/0.002)))^2))))/1000</f>
        <v/>
      </c>
      <c r="DQ33">
        <f>IF($DP33&lt;N_Ed-1E-9*MAX(1,N_Ed),(DM33+DN33)/2,DM33)</f>
        <v/>
      </c>
      <c r="DR33">
        <f>IF($DP33&lt;N_Ed-1E-9*MAX(1,N_Ed),DN33,(DM33+DN33)/2)</f>
        <v/>
      </c>
      <c r="DS33">
        <f>h_col*((DQ33+DR33)/2)/(1-(DQ33+DR33)/2)</f>
        <v/>
      </c>
      <c r="DT33">
        <f>(f_cd*b_col*((3*MIN(DS33,h_col)/7)+(4*MIN(DS33,h_col)/7)*(1-((4*MIN(DS33,h_col)/7)/(DS33-(3*MIN(DS33,h_col)/7)))^2/3))+$D33/2*((MAX(-f_yd,MIN(f_yd,200000*IF(DS33&lt;=h_col,0.0035*(DS33-d_2)/DS33,0.002*(DS33-d_2)/(DS33-3*h_col/7))))-f_cd*(1-(1-MAX(0,MIN(1,IF(DS33&lt;=h_col,0.0035*(DS33-d_2)/DS33,0.002*(DS33-d_2)/(DS33-3*h_col/7))/0.002)))^2))+(MAX(-f_yd,MIN(f_yd,200000*IF(DS33&lt;=h_col,0.0035*(DS33-(h_col-d_2))/DS33,0.002*(DS33-(h_col-d_2))/(DS33-3*h_col/7))))-f_cd*(1-(1-MAX(0,MIN(1,IF(DS33&lt;=h_col,0.0035*(DS33-(h_col-d_2))/DS33,0.002*(DS33-(h_col-d_2))/(DS33-3*h_col/7))/0.002)))^2))))/1000</f>
        <v/>
      </c>
      <c r="DU33">
        <f>IF($DT33&lt;N_Ed-1E-9*MAX(1,N_Ed),(DQ33+DR33)/2,DQ33)</f>
        <v/>
      </c>
      <c r="DV33">
        <f>IF($DT33&lt;N_Ed-1E-9*MAX(1,N_Ed),DR33,(DQ33+DR33)/2)</f>
        <v/>
      </c>
      <c r="DW33">
        <f>h_col*((DU33+DV33)/2)/(1-(DU33+DV33)/2)</f>
        <v/>
      </c>
      <c r="DX33">
        <f>(f_cd*b_col*((3*MIN(DW33,h_col)/7)+(4*MIN(DW33,h_col)/7)*(1-((4*MIN(DW33,h_col)/7)/(DW33-(3*MIN(DW33,h_col)/7)))^2/3))+$D33/2*((MAX(-f_yd,MIN(f_yd,200000*IF(DW33&lt;=h_col,0.0035*(DW33-d_2)/DW33,0.002*(DW33-d_2)/(DW33-3*h_col/7))))-f_cd*(1-(1-MAX(0,MIN(1,IF(DW33&lt;=h_col,0.0035*(DW33-d_2)/DW33,0.002*(DW33-d_2)/(DW33-3*h_col/7))/0.002)))^2))+(MAX(-f_yd,MIN(f_yd,200000*IF(DW33&lt;=h_col,0.0035*(DW33-(h_col-d_2))/DW33,0.002*(DW33-(h_col-d_2))/(DW33-3*h_col/7))))-f_cd*(1-(1-MAX(0,MIN(1,IF(DW33&lt;=h_col,0.0035*(DW33-(h_col-d_2))/DW33,0.002*(DW33-(h_col-d_2))/(DW33-3*h_col/7))/0.002)))^2))))/1000</f>
        <v/>
      </c>
      <c r="DY33">
        <f>IF($DX33&lt;N_Ed-1E-9*MAX(1,N_Ed),(DU33+DV33)/2,DU33)</f>
        <v/>
      </c>
      <c r="DZ33">
        <f>IF($DX33&lt;N_Ed-1E-9*MAX(1,N_Ed),DV33,(DU33+DV33)/2)</f>
        <v/>
      </c>
      <c r="EA33">
        <f>h_col*((DY33+DZ33)/2)/(1-(DY33+DZ33)/2)</f>
        <v/>
      </c>
      <c r="EB33">
        <f>(f_cd*b_col*((3*MIN(EA33,h_col)/7)+(4*MIN(EA33,h_col)/7)*(1-((4*MIN(EA33,h_col)/7)/(EA33-(3*MIN(EA33,h_col)/7)))^2/3))+$D33/2*((MAX(-f_yd,MIN(f_yd,200000*IF(EA33&lt;=h_col,0.0035*(EA33-d_2)/EA33,0.002*(EA33-d_2)/(EA33-3*h_col/7))))-f_cd*(1-(1-MAX(0,MIN(1,IF(EA33&lt;=h_col,0.0035*(EA33-d_2)/EA33,0.002*(EA33-d_2)/(EA33-3*h_col/7))/0.002)))^2))+(MAX(-f_yd,MIN(f_yd,200000*IF(EA33&lt;=h_col,0.0035*(EA33-(h_col-d_2))/EA33,0.002*(EA33-(h_col-d_2))/(EA33-3*h_col/7))))-f_cd*(1-(1-MAX(0,MIN(1,IF(EA33&lt;=h_col,0.0035*(EA33-(h_col-d_2))/EA33,0.002*(EA33-(h_col-d_2))/(EA33-3*h_col/7))/0.002)))^2))))/1000</f>
        <v/>
      </c>
      <c r="EC33">
        <f>IF($EB33&lt;N_Ed-1E-9*MAX(1,N_Ed),(DY33+DZ33)/2,DY33)</f>
        <v/>
      </c>
      <c r="ED33">
        <f>IF($EB33&lt;N_Ed-1E-9*MAX(1,N_Ed),DZ33,(DY33+DZ33)/2)</f>
        <v/>
      </c>
      <c r="EE33">
        <f>h_col*((EC33+ED33)/2)/(1-(EC33+ED33)/2)</f>
        <v/>
      </c>
      <c r="EF33">
        <f>(f_cd*b_col*((3*MIN(EE33,h_col)/7)+(4*MIN(EE33,h_col)/7)*(1-((4*MIN(EE33,h_col)/7)/(EE33-(3*MIN(EE33,h_col)/7)))^2/3))+$D33/2*((MAX(-f_yd,MIN(f_yd,200000*IF(EE33&lt;=h_col,0.0035*(EE33-d_2)/EE33,0.002*(EE33-d_2)/(EE33-3*h_col/7))))-f_cd*(1-(1-MAX(0,MIN(1,IF(EE33&lt;=h_col,0.0035*(EE33-d_2)/EE33,0.002*(EE33-d_2)/(EE33-3*h_col/7))/0.002)))^2))+(MAX(-f_yd,MIN(f_yd,200000*IF(EE33&lt;=h_col,0.0035*(EE33-(h_col-d_2))/EE33,0.002*(EE33-(h_col-d_2))/(EE33-3*h_col/7))))-f_cd*(1-(1-MAX(0,MIN(1,IF(EE33&lt;=h_col,0.0035*(EE33-(h_col-d_2))/EE33,0.002*(EE33-(h_col-d_2))/(EE33-3*h_col/7))/0.002)))^2))))/1000</f>
        <v/>
      </c>
      <c r="EG33">
        <f>IF($EF33&lt;N_Ed-1E-9*MAX(1,N_Ed),(EC33+ED33)/2,EC33)</f>
        <v/>
      </c>
      <c r="EH33">
        <f>IF($EF33&lt;N_Ed-1E-9*MAX(1,N_Ed),ED33,(EC33+ED33)/2)</f>
        <v/>
      </c>
      <c r="EI33">
        <f>h_col*((EG33+EH33)/2)/(1-(EG33+EH33)/2)</f>
        <v/>
      </c>
      <c r="EJ33">
        <f>(f_cd*b_col*((3*MIN(EI33,h_col)/7)+(4*MIN(EI33,h_col)/7)*(1-((4*MIN(EI33,h_col)/7)/(EI33-(3*MIN(EI33,h_col)/7)))^2/3))+$D33/2*((MAX(-f_yd,MIN(f_yd,200000*IF(EI33&lt;=h_col,0.0035*(EI33-d_2)/EI33,0.002*(EI33-d_2)/(EI33-3*h_col/7))))-f_cd*(1-(1-MAX(0,MIN(1,IF(EI33&lt;=h_col,0.0035*(EI33-d_2)/EI33,0.002*(EI33-d_2)/(EI33-3*h_col/7))/0.002)))^2))+(MAX(-f_yd,MIN(f_yd,200000*IF(EI33&lt;=h_col,0.0035*(EI33-(h_col-d_2))/EI33,0.002*(EI33-(h_col-d_2))/(EI33-3*h_col/7))))-f_cd*(1-(1-MAX(0,MIN(1,IF(EI33&lt;=h_col,0.0035*(EI33-(h_col-d_2))/EI33,0.002*(EI33-(h_col-d_2))/(EI33-3*h_col/7))/0.002)))^2))))/1000</f>
        <v/>
      </c>
      <c r="EK33">
        <f>IF($EJ33&lt;N_Ed-1E-9*MAX(1,N_Ed),(EG33+EH33)/2,EG33)</f>
        <v/>
      </c>
      <c r="EL33">
        <f>IF($EJ33&lt;N_Ed-1E-9*MAX(1,N_Ed),EH33,(EG33+EH33)/2)</f>
        <v/>
      </c>
      <c r="EM33">
        <f>h_col*((EK33+EL33)/2)/(1-(EK33+EL33)/2)</f>
        <v/>
      </c>
      <c r="EN33">
        <f>(f_cd*b_col*((3*MIN(EM33,h_col)/7)+(4*MIN(EM33,h_col)/7)*(1-((4*MIN(EM33,h_col)/7)/(EM33-(3*MIN(EM33,h_col)/7)))^2/3))+$D33/2*((MAX(-f_yd,MIN(f_yd,200000*IF(EM33&lt;=h_col,0.0035*(EM33-d_2)/EM33,0.002*(EM33-d_2)/(EM33-3*h_col/7))))-f_cd*(1-(1-MAX(0,MIN(1,IF(EM33&lt;=h_col,0.0035*(EM33-d_2)/EM33,0.002*(EM33-d_2)/(EM33-3*h_col/7))/0.002)))^2))+(MAX(-f_yd,MIN(f_yd,200000*IF(EM33&lt;=h_col,0.0035*(EM33-(h_col-d_2))/EM33,0.002*(EM33-(h_col-d_2))/(EM33-3*h_col/7))))-f_cd*(1-(1-MAX(0,MIN(1,IF(EM33&lt;=h_col,0.0035*(EM33-(h_col-d_2))/EM33,0.002*(EM33-(h_col-d_2))/(EM33-3*h_col/7))/0.002)))^2))))/1000</f>
        <v/>
      </c>
      <c r="EO33">
        <f>IF($EN33&lt;N_Ed-1E-9*MAX(1,N_Ed),(EK33+EL33)/2,EK33)</f>
        <v/>
      </c>
      <c r="EP33">
        <f>IF($EN33&lt;N_Ed-1E-9*MAX(1,N_Ed),EL33,(EK33+EL33)/2)</f>
        <v/>
      </c>
      <c r="EQ33">
        <f>h_col*((EO33+EP33)/2)/(1-(EO33+EP33)/2)</f>
        <v/>
      </c>
      <c r="ER33">
        <f>(f_cd*b_col*((3*MIN(EQ33,h_col)/7)+(4*MIN(EQ33,h_col)/7)*(1-((4*MIN(EQ33,h_col)/7)/(EQ33-(3*MIN(EQ33,h_col)/7)))^2/3))+$D33/2*((MAX(-f_yd,MIN(f_yd,200000*IF(EQ33&lt;=h_col,0.0035*(EQ33-d_2)/EQ33,0.002*(EQ33-d_2)/(EQ33-3*h_col/7))))-f_cd*(1-(1-MAX(0,MIN(1,IF(EQ33&lt;=h_col,0.0035*(EQ33-d_2)/EQ33,0.002*(EQ33-d_2)/(EQ33-3*h_col/7))/0.002)))^2))+(MAX(-f_yd,MIN(f_yd,200000*IF(EQ33&lt;=h_col,0.0035*(EQ33-(h_col-d_2))/EQ33,0.002*(EQ33-(h_col-d_2))/(EQ33-3*h_col/7))))-f_cd*(1-(1-MAX(0,MIN(1,IF(EQ33&lt;=h_col,0.0035*(EQ33-(h_col-d_2))/EQ33,0.002*(EQ33-(h_col-d_2))/(EQ33-3*h_col/7))/0.002)))^2))))/1000</f>
        <v/>
      </c>
      <c r="ES33">
        <f>IF($ER33&lt;N_Ed-1E-9*MAX(1,N_Ed),(EO33+EP33)/2,EO33)</f>
        <v/>
      </c>
      <c r="ET33">
        <f>IF($ER33&lt;N_Ed-1E-9*MAX(1,N_Ed),EP33,(EO33+EP33)/2)</f>
        <v/>
      </c>
      <c r="EU33">
        <f>h_col*((ES33+ET33)/2)/(1-(ES33+ET33)/2)</f>
        <v/>
      </c>
      <c r="EV33">
        <f>(f_cd*b_col*((3*MIN(EU33,h_col)/7)+(4*MIN(EU33,h_col)/7)*(1-((4*MIN(EU33,h_col)/7)/(EU33-(3*MIN(EU33,h_col)/7)))^2/3))+$D33/2*((MAX(-f_yd,MIN(f_yd,200000*IF(EU33&lt;=h_col,0.0035*(EU33-d_2)/EU33,0.002*(EU33-d_2)/(EU33-3*h_col/7))))-f_cd*(1-(1-MAX(0,MIN(1,IF(EU33&lt;=h_col,0.0035*(EU33-d_2)/EU33,0.002*(EU33-d_2)/(EU33-3*h_col/7))/0.002)))^2))+(MAX(-f_yd,MIN(f_yd,200000*IF(EU33&lt;=h_col,0.0035*(EU33-(h_col-d_2))/EU33,0.002*(EU33-(h_col-d_2))/(EU33-3*h_col/7))))-f_cd*(1-(1-MAX(0,MIN(1,IF(EU33&lt;=h_col,0.0035*(EU33-(h_col-d_2))/EU33,0.002*(EU33-(h_col-d_2))/(EU33-3*h_col/7))/0.002)))^2))))/1000</f>
        <v/>
      </c>
      <c r="EW33">
        <f>IF($EV33&lt;N_Ed-1E-9*MAX(1,N_Ed),(ES33+ET33)/2,ES33)</f>
        <v/>
      </c>
      <c r="EX33">
        <f>IF($EV33&lt;N_Ed-1E-9*MAX(1,N_Ed),ET33,(ES33+ET33)/2)</f>
        <v/>
      </c>
      <c r="EY33">
        <f>h_col*((EW33+EX33)/2)/(1-(EW33+EX33)/2)</f>
        <v/>
      </c>
      <c r="EZ33">
        <f>(f_cd*b_col*((3*MIN(EY33,h_col)/7)+(4*MIN(EY33,h_col)/7)*(1-((4*MIN(EY33,h_col)/7)/(EY33-(3*MIN(EY33,h_col)/7)))^2/3))+$D33/2*((MAX(-f_yd,MIN(f_yd,200000*IF(EY33&lt;=h_col,0.0035*(EY33-d_2)/EY33,0.002*(EY33-d_2)/(EY33-3*h_col/7))))-f_cd*(1-(1-MAX(0,MIN(1,IF(EY33&lt;=h_col,0.0035*(EY33-d_2)/EY33,0.002*(EY33-d_2)/(EY33-3*h_col/7))/0.002)))^2))+(MAX(-f_yd,MIN(f_yd,200000*IF(EY33&lt;=h_col,0.0035*(EY33-(h_col-d_2))/EY33,0.002*(EY33-(h_col-d_2))/(EY33-3*h_col/7))))-f_cd*(1-(1-MAX(0,MIN(1,IF(EY33&lt;=h_col,0.0035*(EY33-(h_col-d_2))/EY33,0.002*(EY33-(h_col-d_2))/(EY33-3*h_col/7))/0.002)))^2))))/1000</f>
        <v/>
      </c>
      <c r="FA33">
        <f>IF($EZ33&lt;N_Ed-1E-9*MAX(1,N_Ed),(EW33+EX33)/2,EW33)</f>
        <v/>
      </c>
      <c r="FB33">
        <f>IF($EZ33&lt;N_Ed-1E-9*MAX(1,N_Ed),EX33,(EW33+EX33)/2)</f>
        <v/>
      </c>
      <c r="FC33">
        <f>h_col*((FA33+FB33)/2)/(1-(FA33+FB33)/2)</f>
        <v/>
      </c>
      <c r="FD33">
        <f>(f_cd*b_col*((3*MIN(FC33,h_col)/7)+(4*MIN(FC33,h_col)/7)*(1-((4*MIN(FC33,h_col)/7)/(FC33-(3*MIN(FC33,h_col)/7)))^2/3))+$D33/2*((MAX(-f_yd,MIN(f_yd,200000*IF(FC33&lt;=h_col,0.0035*(FC33-d_2)/FC33,0.002*(FC33-d_2)/(FC33-3*h_col/7))))-f_cd*(1-(1-MAX(0,MIN(1,IF(FC33&lt;=h_col,0.0035*(FC33-d_2)/FC33,0.002*(FC33-d_2)/(FC33-3*h_col/7))/0.002)))^2))+(MAX(-f_yd,MIN(f_yd,200000*IF(FC33&lt;=h_col,0.0035*(FC33-(h_col-d_2))/FC33,0.002*(FC33-(h_col-d_2))/(FC33-3*h_col/7))))-f_cd*(1-(1-MAX(0,MIN(1,IF(FC33&lt;=h_col,0.0035*(FC33-(h_col-d_2))/FC33,0.002*(FC33-(h_col-d_2))/(FC33-3*h_col/7))/0.002)))^2))))/1000</f>
        <v/>
      </c>
      <c r="FE33">
        <f>IF($FD33&lt;N_Ed-1E-9*MAX(1,N_Ed),(FA33+FB33)/2,FA33)</f>
        <v/>
      </c>
      <c r="FF33">
        <f>IF($FD33&lt;N_Ed-1E-9*MAX(1,N_Ed),FB33,(FA33+FB33)/2)</f>
        <v/>
      </c>
      <c r="FG33">
        <f>h_col*((FE33+FF33)/2)/(1-(FE33+FF33)/2)</f>
        <v/>
      </c>
      <c r="FH33">
        <f>(f_cd*b_col*((3*MIN(FG33,h_col)/7)+(4*MIN(FG33,h_col)/7)*(1-((4*MIN(FG33,h_col)/7)/(FG33-(3*MIN(FG33,h_col)/7)))^2/3))+$D33/2*((MAX(-f_yd,MIN(f_yd,200000*IF(FG33&lt;=h_col,0.0035*(FG33-d_2)/FG33,0.002*(FG33-d_2)/(FG33-3*h_col/7))))-f_cd*(1-(1-MAX(0,MIN(1,IF(FG33&lt;=h_col,0.0035*(FG33-d_2)/FG33,0.002*(FG33-d_2)/(FG33-3*h_col/7))/0.002)))^2))+(MAX(-f_yd,MIN(f_yd,200000*IF(FG33&lt;=h_col,0.0035*(FG33-(h_col-d_2))/FG33,0.002*(FG33-(h_col-d_2))/(FG33-3*h_col/7))))-f_cd*(1-(1-MAX(0,MIN(1,IF(FG33&lt;=h_col,0.0035*(FG33-(h_col-d_2))/FG33,0.002*(FG33-(h_col-d_2))/(FG33-3*h_col/7))/0.002)))^2))))/1000</f>
        <v/>
      </c>
      <c r="FI33">
        <f>IF($FH33&lt;N_Ed-1E-9*MAX(1,N_Ed),(FE33+FF33)/2,FE33)</f>
        <v/>
      </c>
      <c r="FJ33">
        <f>IF($FH33&lt;N_Ed-1E-9*MAX(1,N_Ed),FF33,(FE33+FF33)/2)</f>
        <v/>
      </c>
      <c r="FK33">
        <f>h_col*((FI33+FJ33)/2)/(1-(FI33+FJ33)/2)</f>
        <v/>
      </c>
      <c r="FL33">
        <f>(f_cd*b_col*((3*MIN(FK33,h_col)/7)+(4*MIN(FK33,h_col)/7)*(1-((4*MIN(FK33,h_col)/7)/(FK33-(3*MIN(FK33,h_col)/7)))^2/3))+$D33/2*((MAX(-f_yd,MIN(f_yd,200000*IF(FK33&lt;=h_col,0.0035*(FK33-d_2)/FK33,0.002*(FK33-d_2)/(FK33-3*h_col/7))))-f_cd*(1-(1-MAX(0,MIN(1,IF(FK33&lt;=h_col,0.0035*(FK33-d_2)/FK33,0.002*(FK33-d_2)/(FK33-3*h_col/7))/0.002)))^2))+(MAX(-f_yd,MIN(f_yd,200000*IF(FK33&lt;=h_col,0.0035*(FK33-(h_col-d_2))/FK33,0.002*(FK33-(h_col-d_2))/(FK33-3*h_col/7))))-f_cd*(1-(1-MAX(0,MIN(1,IF(FK33&lt;=h_col,0.0035*(FK33-(h_col-d_2))/FK33,0.002*(FK33-(h_col-d_2))/(FK33-3*h_col/7))/0.002)))^2))))/1000</f>
        <v/>
      </c>
      <c r="FM33">
        <f>IF($FL33&lt;N_Ed-1E-9*MAX(1,N_Ed),(FI33+FJ33)/2,FI33)</f>
        <v/>
      </c>
      <c r="FN33">
        <f>IF($FL33&lt;N_Ed-1E-9*MAX(1,N_Ed),FJ33,(FI33+FJ33)/2)</f>
        <v/>
      </c>
      <c r="FO33">
        <f>h_col*((FM33+FN33)/2)/(1-(FM33+FN33)/2)</f>
        <v/>
      </c>
      <c r="FP33">
        <f>(f_cd*b_col*((3*MIN(FO33,h_col)/7)+(4*MIN(FO33,h_col)/7)*(1-((4*MIN(FO33,h_col)/7)/(FO33-(3*MIN(FO33,h_col)/7)))^2/3))+$D33/2*((MAX(-f_yd,MIN(f_yd,200000*IF(FO33&lt;=h_col,0.0035*(FO33-d_2)/FO33,0.002*(FO33-d_2)/(FO33-3*h_col/7))))-f_cd*(1-(1-MAX(0,MIN(1,IF(FO33&lt;=h_col,0.0035*(FO33-d_2)/FO33,0.002*(FO33-d_2)/(FO33-3*h_col/7))/0.002)))^2))+(MAX(-f_yd,MIN(f_yd,200000*IF(FO33&lt;=h_col,0.0035*(FO33-(h_col-d_2))/FO33,0.002*(FO33-(h_col-d_2))/(FO33-3*h_col/7))))-f_cd*(1-(1-MAX(0,MIN(1,IF(FO33&lt;=h_col,0.0035*(FO33-(h_col-d_2))/FO33,0.002*(FO33-(h_col-d_2))/(FO33-3*h_col/7))/0.002)))^2))))/1000</f>
        <v/>
      </c>
      <c r="FQ33">
        <f>IF($FP33&lt;N_Ed-1E-9*MAX(1,N_Ed),(FM33+FN33)/2,FM33)</f>
        <v/>
      </c>
      <c r="FR33">
        <f>IF($FP33&lt;N_Ed-1E-9*MAX(1,N_Ed),FN33,(FM33+FN33)/2)</f>
        <v/>
      </c>
      <c r="FS33">
        <f>h_col*((FQ33+FR33)/2)/(1-(FQ33+FR33)/2)</f>
        <v/>
      </c>
      <c r="FT33">
        <f>(f_cd*b_col*((3*MIN(FS33,h_col)/7)+(4*MIN(FS33,h_col)/7)*(1-((4*MIN(FS33,h_col)/7)/(FS33-(3*MIN(FS33,h_col)/7)))^2/3))+$D33/2*((MAX(-f_yd,MIN(f_yd,200000*IF(FS33&lt;=h_col,0.0035*(FS33-d_2)/FS33,0.002*(FS33-d_2)/(FS33-3*h_col/7))))-f_cd*(1-(1-MAX(0,MIN(1,IF(FS33&lt;=h_col,0.0035*(FS33-d_2)/FS33,0.002*(FS33-d_2)/(FS33-3*h_col/7))/0.002)))^2))+(MAX(-f_yd,MIN(f_yd,200000*IF(FS33&lt;=h_col,0.0035*(FS33-(h_col-d_2))/FS33,0.002*(FS33-(h_col-d_2))/(FS33-3*h_col/7))))-f_cd*(1-(1-MAX(0,MIN(1,IF(FS33&lt;=h_col,0.0035*(FS33-(h_col-d_2))/FS33,0.002*(FS33-(h_col-d_2))/(FS33-3*h_col/7))/0.002)))^2))))/1000</f>
        <v/>
      </c>
      <c r="FU33">
        <f>IF($FT33&lt;N_Ed-1E-9*MAX(1,N_Ed),(FQ33+FR33)/2,FQ33)</f>
        <v/>
      </c>
      <c r="FV33">
        <f>IF($FT33&lt;N_Ed-1E-9*MAX(1,N_Ed),FR33,(FQ33+FR33)/2)</f>
        <v/>
      </c>
      <c r="FW33">
        <f>h_col*((FU33+FV33)/2)/(1-(FU33+FV33)/2)</f>
        <v/>
      </c>
      <c r="FX33">
        <f>(f_cd*b_col*((3*MIN(FW33,h_col)/7)+(4*MIN(FW33,h_col)/7)*(1-((4*MIN(FW33,h_col)/7)/(FW33-(3*MIN(FW33,h_col)/7)))^2/3))+$D33/2*((MAX(-f_yd,MIN(f_yd,200000*IF(FW33&lt;=h_col,0.0035*(FW33-d_2)/FW33,0.002*(FW33-d_2)/(FW33-3*h_col/7))))-f_cd*(1-(1-MAX(0,MIN(1,IF(FW33&lt;=h_col,0.0035*(FW33-d_2)/FW33,0.002*(FW33-d_2)/(FW33-3*h_col/7))/0.002)))^2))+(MAX(-f_yd,MIN(f_yd,200000*IF(FW33&lt;=h_col,0.0035*(FW33-(h_col-d_2))/FW33,0.002*(FW33-(h_col-d_2))/(FW33-3*h_col/7))))-f_cd*(1-(1-MAX(0,MIN(1,IF(FW33&lt;=h_col,0.0035*(FW33-(h_col-d_2))/FW33,0.002*(FW33-(h_col-d_2))/(FW33-3*h_col/7))/0.002)))^2))))/1000</f>
        <v/>
      </c>
      <c r="FY33">
        <f>IF($FX33&lt;N_Ed-1E-9*MAX(1,N_Ed),(FU33+FV33)/2,FU33)</f>
        <v/>
      </c>
      <c r="FZ33">
        <f>IF($FX33&lt;N_Ed-1E-9*MAX(1,N_Ed),FV33,(FU33+FV33)/2)</f>
        <v/>
      </c>
      <c r="GA33">
        <f>h_col*((FY33+FZ33)/2)/(1-(FY33+FZ33)/2)</f>
        <v/>
      </c>
      <c r="GB33">
        <f>(f_cd*b_col*((3*MIN(GA33,h_col)/7)+(4*MIN(GA33,h_col)/7)*(1-((4*MIN(GA33,h_col)/7)/(GA33-(3*MIN(GA33,h_col)/7)))^2/3))+$D33/2*((MAX(-f_yd,MIN(f_yd,200000*IF(GA33&lt;=h_col,0.0035*(GA33-d_2)/GA33,0.002*(GA33-d_2)/(GA33-3*h_col/7))))-f_cd*(1-(1-MAX(0,MIN(1,IF(GA33&lt;=h_col,0.0035*(GA33-d_2)/GA33,0.002*(GA33-d_2)/(GA33-3*h_col/7))/0.002)))^2))+(MAX(-f_yd,MIN(f_yd,200000*IF(GA33&lt;=h_col,0.0035*(GA33-(h_col-d_2))/GA33,0.002*(GA33-(h_col-d_2))/(GA33-3*h_col/7))))-f_cd*(1-(1-MAX(0,MIN(1,IF(GA33&lt;=h_col,0.0035*(GA33-(h_col-d_2))/GA33,0.002*(GA33-(h_col-d_2))/(GA33-3*h_col/7))/0.002)))^2))))/1000</f>
        <v/>
      </c>
      <c r="GC33">
        <f>IF($GB33&lt;N_Ed-1E-9*MAX(1,N_Ed),(FY33+FZ33)/2,FY33)</f>
        <v/>
      </c>
      <c r="GD33">
        <f>IF($GB33&lt;N_Ed-1E-9*MAX(1,N_Ed),FZ33,(FY33+FZ33)/2)</f>
        <v/>
      </c>
      <c r="GE33">
        <f>h_col*((GC33+GD33)/2)/(1-(GC33+GD33)/2)</f>
        <v/>
      </c>
      <c r="GF33">
        <f>(f_cd*b_col*((3*MIN(GE33,h_col)/7)+(4*MIN(GE33,h_col)/7)*(1-((4*MIN(GE33,h_col)/7)/(GE33-(3*MIN(GE33,h_col)/7)))^2/3))+$D33/2*((MAX(-f_yd,MIN(f_yd,200000*IF(GE33&lt;=h_col,0.0035*(GE33-d_2)/GE33,0.002*(GE33-d_2)/(GE33-3*h_col/7))))-f_cd*(1-(1-MAX(0,MIN(1,IF(GE33&lt;=h_col,0.0035*(GE33-d_2)/GE33,0.002*(GE33-d_2)/(GE33-3*h_col/7))/0.002)))^2))+(MAX(-f_yd,MIN(f_yd,200000*IF(GE33&lt;=h_col,0.0035*(GE33-(h_col-d_2))/GE33,0.002*(GE33-(h_col-d_2))/(GE33-3*h_col/7))))-f_cd*(1-(1-MAX(0,MIN(1,IF(GE33&lt;=h_col,0.0035*(GE33-(h_col-d_2))/GE33,0.002*(GE33-(h_col-d_2))/(GE33-3*h_col/7))/0.002)))^2))))/1000</f>
        <v/>
      </c>
      <c r="GG33">
        <f>IF($GF33&lt;N_Ed-1E-9*MAX(1,N_Ed),(GC33+GD33)/2,GC33)</f>
        <v/>
      </c>
      <c r="GH33">
        <f>IF($GF33&lt;N_Ed-1E-9*MAX(1,N_Ed),GD33,(GC33+GD33)/2)</f>
        <v/>
      </c>
      <c r="GI33">
        <f>h_col*((GG33+GH33)/2)/(1-(GG33+GH33)/2)</f>
        <v/>
      </c>
      <c r="GJ33">
        <f>(f_cd*b_col*((3*MIN(GI33,h_col)/7)+(4*MIN(GI33,h_col)/7)*(1-((4*MIN(GI33,h_col)/7)/(GI33-(3*MIN(GI33,h_col)/7)))^2/3))+$D33/2*((MAX(-f_yd,MIN(f_yd,200000*IF(GI33&lt;=h_col,0.0035*(GI33-d_2)/GI33,0.002*(GI33-d_2)/(GI33-3*h_col/7))))-f_cd*(1-(1-MAX(0,MIN(1,IF(GI33&lt;=h_col,0.0035*(GI33-d_2)/GI33,0.002*(GI33-d_2)/(GI33-3*h_col/7))/0.002)))^2))+(MAX(-f_yd,MIN(f_yd,200000*IF(GI33&lt;=h_col,0.0035*(GI33-(h_col-d_2))/GI33,0.002*(GI33-(h_col-d_2))/(GI33-3*h_col/7))))-f_cd*(1-(1-MAX(0,MIN(1,IF(GI33&lt;=h_col,0.0035*(GI33-(h_col-d_2))/GI33,0.002*(GI33-(h_col-d_2))/(GI33-3*h_col/7))/0.002)))^2))))/1000</f>
        <v/>
      </c>
      <c r="GK33">
        <f>IF($GJ33&lt;N_Ed-1E-9*MAX(1,N_Ed),(GG33+GH33)/2,GG33)</f>
        <v/>
      </c>
      <c r="GL33">
        <f>IF($GJ33&lt;N_Ed-1E-9*MAX(1,N_Ed),GH33,(GG33+GH33)/2)</f>
        <v/>
      </c>
      <c r="GM33">
        <f>h_col*((GK33+GL33)/2)/(1-(GK33+GL33)/2)</f>
        <v/>
      </c>
      <c r="GN33">
        <f>(f_cd*b_col*((3*MIN(GM33,h_col)/7)+(4*MIN(GM33,h_col)/7)*(1-((4*MIN(GM33,h_col)/7)/(GM33-(3*MIN(GM33,h_col)/7)))^2/3))+$D33/2*((MAX(-f_yd,MIN(f_yd,200000*IF(GM33&lt;=h_col,0.0035*(GM33-d_2)/GM33,0.002*(GM33-d_2)/(GM33-3*h_col/7))))-f_cd*(1-(1-MAX(0,MIN(1,IF(GM33&lt;=h_col,0.0035*(GM33-d_2)/GM33,0.002*(GM33-d_2)/(GM33-3*h_col/7))/0.002)))^2))+(MAX(-f_yd,MIN(f_yd,200000*IF(GM33&lt;=h_col,0.0035*(GM33-(h_col-d_2))/GM33,0.002*(GM33-(h_col-d_2))/(GM33-3*h_col/7))))-f_cd*(1-(1-MAX(0,MIN(1,IF(GM33&lt;=h_col,0.0035*(GM33-(h_col-d_2))/GM33,0.002*(GM33-(h_col-d_2))/(GM33-3*h_col/7))/0.002)))^2))))/1000</f>
        <v/>
      </c>
      <c r="GO33">
        <f>IF($GN33&lt;N_Ed-1E-9*MAX(1,N_Ed),(GK33+GL33)/2,GK33)</f>
        <v/>
      </c>
      <c r="GP33">
        <f>IF($GN33&lt;N_Ed-1E-9*MAX(1,N_Ed),GL33,(GK33+GL33)/2)</f>
        <v/>
      </c>
      <c r="GQ33">
        <f>h_col*((GO33+GP33)/2)/(1-(GO33+GP33)/2)</f>
        <v/>
      </c>
      <c r="GR33">
        <f>(f_cd*b_col*((3*MIN(GQ33,h_col)/7)+(4*MIN(GQ33,h_col)/7)*(1-((4*MIN(GQ33,h_col)/7)/(GQ33-(3*MIN(GQ33,h_col)/7)))^2/3))+$D33/2*((MAX(-f_yd,MIN(f_yd,200000*IF(GQ33&lt;=h_col,0.0035*(GQ33-d_2)/GQ33,0.002*(GQ33-d_2)/(GQ33-3*h_col/7))))-f_cd*(1-(1-MAX(0,MIN(1,IF(GQ33&lt;=h_col,0.0035*(GQ33-d_2)/GQ33,0.002*(GQ33-d_2)/(GQ33-3*h_col/7))/0.002)))^2))+(MAX(-f_yd,MIN(f_yd,200000*IF(GQ33&lt;=h_col,0.0035*(GQ33-(h_col-d_2))/GQ33,0.002*(GQ33-(h_col-d_2))/(GQ33-3*h_col/7))))-f_cd*(1-(1-MAX(0,MIN(1,IF(GQ33&lt;=h_col,0.0035*(GQ33-(h_col-d_2))/GQ33,0.002*(GQ33-(h_col-d_2))/(GQ33-3*h_col/7))/0.002)))^2))))/1000</f>
        <v/>
      </c>
      <c r="GS33">
        <f>IF($GR33&lt;N_Ed-1E-9*MAX(1,N_Ed),(GO33+GP33)/2,GO33)</f>
        <v/>
      </c>
      <c r="GT33">
        <f>IF($GR33&lt;N_Ed-1E-9*MAX(1,N_Ed),GP33,(GO33+GP33)/2)</f>
        <v/>
      </c>
      <c r="GU33">
        <f>h_col*((GS33+GT33)/2)/(1-(GS33+GT33)/2)</f>
        <v/>
      </c>
      <c r="GV33">
        <f>(f_cd*b_col*((3*MIN(GU33,h_col)/7)+(4*MIN(GU33,h_col)/7)*(1-((4*MIN(GU33,h_col)/7)/(GU33-(3*MIN(GU33,h_col)/7)))^2/3))+$D33/2*((MAX(-f_yd,MIN(f_yd,200000*IF(GU33&lt;=h_col,0.0035*(GU33-d_2)/GU33,0.002*(GU33-d_2)/(GU33-3*h_col/7))))-f_cd*(1-(1-MAX(0,MIN(1,IF(GU33&lt;=h_col,0.0035*(GU33-d_2)/GU33,0.002*(GU33-d_2)/(GU33-3*h_col/7))/0.002)))^2))+(MAX(-f_yd,MIN(f_yd,200000*IF(GU33&lt;=h_col,0.0035*(GU33-(h_col-d_2))/GU33,0.002*(GU33-(h_col-d_2))/(GU33-3*h_col/7))))-f_cd*(1-(1-MAX(0,MIN(1,IF(GU33&lt;=h_col,0.0035*(GU33-(h_col-d_2))/GU33,0.002*(GU33-(h_col-d_2))/(GU33-3*h_col/7))/0.002)))^2))))/1000</f>
        <v/>
      </c>
      <c r="GW33">
        <f>GU33</f>
        <v/>
      </c>
      <c r="GX33">
        <f>(f_cd*b_col*((3*MIN(GW33,h_col)/7)+(4*MIN(GW33,h_col)/7)*(1-((4*MIN(GW33,h_col)/7)/(GW33-(3*MIN(GW33,h_col)/7)))^2/3))+$D33/2*((MAX(-f_yd,MIN(f_yd,200000*IF(GW33&lt;=h_col,0.0035*(GW33-d_2)/GW33,0.002*(GW33-d_2)/(GW33-3*h_col/7))))-f_cd*(1-(1-MAX(0,MIN(1,IF(GW33&lt;=h_col,0.0035*(GW33-d_2)/GW33,0.002*(GW33-d_2)/(GW33-3*h_col/7))/0.002)))^2))+(MAX(-f_yd,MIN(f_yd,200000*IF(GW33&lt;=h_col,0.0035*(GW33-(h_col-d_2))/GW33,0.002*(GW33-(h_col-d_2))/(GW33-3*h_col/7))))-f_cd*(1-(1-MAX(0,MIN(1,IF(GW33&lt;=h_col,0.0035*(GW33-(h_col-d_2))/GW33,0.002*(GW33-(h_col-d_2))/(GW33-3*h_col/7))/0.002)))^2))))/1000</f>
        <v/>
      </c>
      <c r="GY33">
        <f>(f_cd*b_col*((3*MIN(GW33,h_col)/7)*(h_col/2-(3*MIN(GW33,h_col)/7)/2)+(4*MIN(GW33,h_col)/7)*((h_col/2-(3*MIN(GW33,h_col)/7))*(1-((4*MIN(GW33,h_col)/7)/(GW33-(3*MIN(GW33,h_col)/7)))^2/3)-(4*MIN(GW33,h_col)/7)*(0.5-((4*MIN(GW33,h_col)/7)/(GW33-(3*MIN(GW33,h_col)/7)))^2/4)))+$D33/2*((MAX(-f_yd,MIN(f_yd,200000*IF(GW33&lt;=h_col,0.0035*(GW33-d_2)/GW33,0.002*(GW33-d_2)/(GW33-3*h_col/7))))-f_cd*(1-(1-MAX(0,MIN(1,IF(GW33&lt;=h_col,0.0035*(GW33-d_2)/GW33,0.002*(GW33-d_2)/(GW33-3*h_col/7))/0.002)))^2))-(MAX(-f_yd,MIN(f_yd,200000*IF(GW33&lt;=h_col,0.0035*(GW33-(h_col-d_2))/GW33,0.002*(GW33-(h_col-d_2))/(GW33-3*h_col/7))))-f_cd*(1-(1-MAX(0,MIN(1,IF(GW33&lt;=h_col,0.0035*(GW33-(h_col-d_2))/GW33,0.002*(GW33-(h_col-d_2))/(GW33-3*h_col/7))/0.002)))^2)))*(h_col/2-d_2))/1E6</f>
        <v/>
      </c>
      <c r="GZ33">
        <f>GX33&gt;=N_Ed-1E-6*MAX(1,N_Ed)</f>
        <v/>
      </c>
      <c r="HA33">
        <f>IF(GZ33,GY33,-1E9)</f>
        <v/>
      </c>
    </row>
    <row r="34">
      <c r="A34" t="n">
        <v>29</v>
      </c>
      <c r="B34">
        <f>IF($HA33&gt;=M_d,$B33,$D33)</f>
        <v/>
      </c>
      <c r="C34">
        <f>IF($HA33&gt;=M_d,$D33,$C33)</f>
        <v/>
      </c>
      <c r="D34">
        <f>($B34+$C34)/2</f>
        <v/>
      </c>
      <c r="E34" t="n">
        <v>0</v>
      </c>
      <c r="F34">
        <f>1-1E-12</f>
        <v/>
      </c>
      <c r="G34">
        <f>h_col*((E34+F34)/2)/(1-(E34+F34)/2)</f>
        <v/>
      </c>
      <c r="H34">
        <f>(f_cd*b_col*((3*MIN(G34,h_col)/7)+(4*MIN(G34,h_col)/7)*(1-((4*MIN(G34,h_col)/7)/(G34-(3*MIN(G34,h_col)/7)))^2/3))+$D34/2*((MAX(-f_yd,MIN(f_yd,200000*IF(G34&lt;=h_col,0.0035*(G34-d_2)/G34,0.002*(G34-d_2)/(G34-3*h_col/7))))-f_cd*(1-(1-MAX(0,MIN(1,IF(G34&lt;=h_col,0.0035*(G34-d_2)/G34,0.002*(G34-d_2)/(G34-3*h_col/7))/0.002)))^2))+(MAX(-f_yd,MIN(f_yd,200000*IF(G34&lt;=h_col,0.0035*(G34-(h_col-d_2))/G34,0.002*(G34-(h_col-d_2))/(G34-3*h_col/7))))-f_cd*(1-(1-MAX(0,MIN(1,IF(G34&lt;=h_col,0.0035*(G34-(h_col-d_2))/G34,0.002*(G34-(h_col-d_2))/(G34-3*h_col/7))/0.002)))^2))))/1000</f>
        <v/>
      </c>
      <c r="I34">
        <f>IF($H34&lt;N_Ed-1E-9*MAX(1,N_Ed),(E34+F34)/2,E34)</f>
        <v/>
      </c>
      <c r="J34">
        <f>IF($H34&lt;N_Ed-1E-9*MAX(1,N_Ed),F34,(E34+F34)/2)</f>
        <v/>
      </c>
      <c r="K34">
        <f>h_col*((I34+J34)/2)/(1-(I34+J34)/2)</f>
        <v/>
      </c>
      <c r="L34">
        <f>(f_cd*b_col*((3*MIN(K34,h_col)/7)+(4*MIN(K34,h_col)/7)*(1-((4*MIN(K34,h_col)/7)/(K34-(3*MIN(K34,h_col)/7)))^2/3))+$D34/2*((MAX(-f_yd,MIN(f_yd,200000*IF(K34&lt;=h_col,0.0035*(K34-d_2)/K34,0.002*(K34-d_2)/(K34-3*h_col/7))))-f_cd*(1-(1-MAX(0,MIN(1,IF(K34&lt;=h_col,0.0035*(K34-d_2)/K34,0.002*(K34-d_2)/(K34-3*h_col/7))/0.002)))^2))+(MAX(-f_yd,MIN(f_yd,200000*IF(K34&lt;=h_col,0.0035*(K34-(h_col-d_2))/K34,0.002*(K34-(h_col-d_2))/(K34-3*h_col/7))))-f_cd*(1-(1-MAX(0,MIN(1,IF(K34&lt;=h_col,0.0035*(K34-(h_col-d_2))/K34,0.002*(K34-(h_col-d_2))/(K34-3*h_col/7))/0.002)))^2))))/1000</f>
        <v/>
      </c>
      <c r="M34">
        <f>IF($L34&lt;N_Ed-1E-9*MAX(1,N_Ed),(I34+J34)/2,I34)</f>
        <v/>
      </c>
      <c r="N34">
        <f>IF($L34&lt;N_Ed-1E-9*MAX(1,N_Ed),J34,(I34+J34)/2)</f>
        <v/>
      </c>
      <c r="O34">
        <f>h_col*((M34+N34)/2)/(1-(M34+N34)/2)</f>
        <v/>
      </c>
      <c r="P34">
        <f>(f_cd*b_col*((3*MIN(O34,h_col)/7)+(4*MIN(O34,h_col)/7)*(1-((4*MIN(O34,h_col)/7)/(O34-(3*MIN(O34,h_col)/7)))^2/3))+$D34/2*((MAX(-f_yd,MIN(f_yd,200000*IF(O34&lt;=h_col,0.0035*(O34-d_2)/O34,0.002*(O34-d_2)/(O34-3*h_col/7))))-f_cd*(1-(1-MAX(0,MIN(1,IF(O34&lt;=h_col,0.0035*(O34-d_2)/O34,0.002*(O34-d_2)/(O34-3*h_col/7))/0.002)))^2))+(MAX(-f_yd,MIN(f_yd,200000*IF(O34&lt;=h_col,0.0035*(O34-(h_col-d_2))/O34,0.002*(O34-(h_col-d_2))/(O34-3*h_col/7))))-f_cd*(1-(1-MAX(0,MIN(1,IF(O34&lt;=h_col,0.0035*(O34-(h_col-d_2))/O34,0.002*(O34-(h_col-d_2))/(O34-3*h_col/7))/0.002)))^2))))/1000</f>
        <v/>
      </c>
      <c r="Q34">
        <f>IF($P34&lt;N_Ed-1E-9*MAX(1,N_Ed),(M34+N34)/2,M34)</f>
        <v/>
      </c>
      <c r="R34">
        <f>IF($P34&lt;N_Ed-1E-9*MAX(1,N_Ed),N34,(M34+N34)/2)</f>
        <v/>
      </c>
      <c r="S34">
        <f>h_col*((Q34+R34)/2)/(1-(Q34+R34)/2)</f>
        <v/>
      </c>
      <c r="T34">
        <f>(f_cd*b_col*((3*MIN(S34,h_col)/7)+(4*MIN(S34,h_col)/7)*(1-((4*MIN(S34,h_col)/7)/(S34-(3*MIN(S34,h_col)/7)))^2/3))+$D34/2*((MAX(-f_yd,MIN(f_yd,200000*IF(S34&lt;=h_col,0.0035*(S34-d_2)/S34,0.002*(S34-d_2)/(S34-3*h_col/7))))-f_cd*(1-(1-MAX(0,MIN(1,IF(S34&lt;=h_col,0.0035*(S34-d_2)/S34,0.002*(S34-d_2)/(S34-3*h_col/7))/0.002)))^2))+(MAX(-f_yd,MIN(f_yd,200000*IF(S34&lt;=h_col,0.0035*(S34-(h_col-d_2))/S34,0.002*(S34-(h_col-d_2))/(S34-3*h_col/7))))-f_cd*(1-(1-MAX(0,MIN(1,IF(S34&lt;=h_col,0.0035*(S34-(h_col-d_2))/S34,0.002*(S34-(h_col-d_2))/(S34-3*h_col/7))/0.002)))^2))))/1000</f>
        <v/>
      </c>
      <c r="U34">
        <f>IF($T34&lt;N_Ed-1E-9*MAX(1,N_Ed),(Q34+R34)/2,Q34)</f>
        <v/>
      </c>
      <c r="V34">
        <f>IF($T34&lt;N_Ed-1E-9*MAX(1,N_Ed),R34,(Q34+R34)/2)</f>
        <v/>
      </c>
      <c r="W34">
        <f>h_col*((U34+V34)/2)/(1-(U34+V34)/2)</f>
        <v/>
      </c>
      <c r="X34">
        <f>(f_cd*b_col*((3*MIN(W34,h_col)/7)+(4*MIN(W34,h_col)/7)*(1-((4*MIN(W34,h_col)/7)/(W34-(3*MIN(W34,h_col)/7)))^2/3))+$D34/2*((MAX(-f_yd,MIN(f_yd,200000*IF(W34&lt;=h_col,0.0035*(W34-d_2)/W34,0.002*(W34-d_2)/(W34-3*h_col/7))))-f_cd*(1-(1-MAX(0,MIN(1,IF(W34&lt;=h_col,0.0035*(W34-d_2)/W34,0.002*(W34-d_2)/(W34-3*h_col/7))/0.002)))^2))+(MAX(-f_yd,MIN(f_yd,200000*IF(W34&lt;=h_col,0.0035*(W34-(h_col-d_2))/W34,0.002*(W34-(h_col-d_2))/(W34-3*h_col/7))))-f_cd*(1-(1-MAX(0,MIN(1,IF(W34&lt;=h_col,0.0035*(W34-(h_col-d_2))/W34,0.002*(W34-(h_col-d_2))/(W34-3*h_col/7))/0.002)))^2))))/1000</f>
        <v/>
      </c>
      <c r="Y34">
        <f>IF($X34&lt;N_Ed-1E-9*MAX(1,N_Ed),(U34+V34)/2,U34)</f>
        <v/>
      </c>
      <c r="Z34">
        <f>IF($X34&lt;N_Ed-1E-9*MAX(1,N_Ed),V34,(U34+V34)/2)</f>
        <v/>
      </c>
      <c r="AA34">
        <f>h_col*((Y34+Z34)/2)/(1-(Y34+Z34)/2)</f>
        <v/>
      </c>
      <c r="AB34">
        <f>(f_cd*b_col*((3*MIN(AA34,h_col)/7)+(4*MIN(AA34,h_col)/7)*(1-((4*MIN(AA34,h_col)/7)/(AA34-(3*MIN(AA34,h_col)/7)))^2/3))+$D34/2*((MAX(-f_yd,MIN(f_yd,200000*IF(AA34&lt;=h_col,0.0035*(AA34-d_2)/AA34,0.002*(AA34-d_2)/(AA34-3*h_col/7))))-f_cd*(1-(1-MAX(0,MIN(1,IF(AA34&lt;=h_col,0.0035*(AA34-d_2)/AA34,0.002*(AA34-d_2)/(AA34-3*h_col/7))/0.002)))^2))+(MAX(-f_yd,MIN(f_yd,200000*IF(AA34&lt;=h_col,0.0035*(AA34-(h_col-d_2))/AA34,0.002*(AA34-(h_col-d_2))/(AA34-3*h_col/7))))-f_cd*(1-(1-MAX(0,MIN(1,IF(AA34&lt;=h_col,0.0035*(AA34-(h_col-d_2))/AA34,0.002*(AA34-(h_col-d_2))/(AA34-3*h_col/7))/0.002)))^2))))/1000</f>
        <v/>
      </c>
      <c r="AC34">
        <f>IF($AB34&lt;N_Ed-1E-9*MAX(1,N_Ed),(Y34+Z34)/2,Y34)</f>
        <v/>
      </c>
      <c r="AD34">
        <f>IF($AB34&lt;N_Ed-1E-9*MAX(1,N_Ed),Z34,(Y34+Z34)/2)</f>
        <v/>
      </c>
      <c r="AE34">
        <f>h_col*((AC34+AD34)/2)/(1-(AC34+AD34)/2)</f>
        <v/>
      </c>
      <c r="AF34">
        <f>(f_cd*b_col*((3*MIN(AE34,h_col)/7)+(4*MIN(AE34,h_col)/7)*(1-((4*MIN(AE34,h_col)/7)/(AE34-(3*MIN(AE34,h_col)/7)))^2/3))+$D34/2*((MAX(-f_yd,MIN(f_yd,200000*IF(AE34&lt;=h_col,0.0035*(AE34-d_2)/AE34,0.002*(AE34-d_2)/(AE34-3*h_col/7))))-f_cd*(1-(1-MAX(0,MIN(1,IF(AE34&lt;=h_col,0.0035*(AE34-d_2)/AE34,0.002*(AE34-d_2)/(AE34-3*h_col/7))/0.002)))^2))+(MAX(-f_yd,MIN(f_yd,200000*IF(AE34&lt;=h_col,0.0035*(AE34-(h_col-d_2))/AE34,0.002*(AE34-(h_col-d_2))/(AE34-3*h_col/7))))-f_cd*(1-(1-MAX(0,MIN(1,IF(AE34&lt;=h_col,0.0035*(AE34-(h_col-d_2))/AE34,0.002*(AE34-(h_col-d_2))/(AE34-3*h_col/7))/0.002)))^2))))/1000</f>
        <v/>
      </c>
      <c r="AG34">
        <f>IF($AF34&lt;N_Ed-1E-9*MAX(1,N_Ed),(AC34+AD34)/2,AC34)</f>
        <v/>
      </c>
      <c r="AH34">
        <f>IF($AF34&lt;N_Ed-1E-9*MAX(1,N_Ed),AD34,(AC34+AD34)/2)</f>
        <v/>
      </c>
      <c r="AI34">
        <f>h_col*((AG34+AH34)/2)/(1-(AG34+AH34)/2)</f>
        <v/>
      </c>
      <c r="AJ34">
        <f>(f_cd*b_col*((3*MIN(AI34,h_col)/7)+(4*MIN(AI34,h_col)/7)*(1-((4*MIN(AI34,h_col)/7)/(AI34-(3*MIN(AI34,h_col)/7)))^2/3))+$D34/2*((MAX(-f_yd,MIN(f_yd,200000*IF(AI34&lt;=h_col,0.0035*(AI34-d_2)/AI34,0.002*(AI34-d_2)/(AI34-3*h_col/7))))-f_cd*(1-(1-MAX(0,MIN(1,IF(AI34&lt;=h_col,0.0035*(AI34-d_2)/AI34,0.002*(AI34-d_2)/(AI34-3*h_col/7))/0.002)))^2))+(MAX(-f_yd,MIN(f_yd,200000*IF(AI34&lt;=h_col,0.0035*(AI34-(h_col-d_2))/AI34,0.002*(AI34-(h_col-d_2))/(AI34-3*h_col/7))))-f_cd*(1-(1-MAX(0,MIN(1,IF(AI34&lt;=h_col,0.0035*(AI34-(h_col-d_2))/AI34,0.002*(AI34-(h_col-d_2))/(AI34-3*h_col/7))/0.002)))^2))))/1000</f>
        <v/>
      </c>
      <c r="AK34">
        <f>IF($AJ34&lt;N_Ed-1E-9*MAX(1,N_Ed),(AG34+AH34)/2,AG34)</f>
        <v/>
      </c>
      <c r="AL34">
        <f>IF($AJ34&lt;N_Ed-1E-9*MAX(1,N_Ed),AH34,(AG34+AH34)/2)</f>
        <v/>
      </c>
      <c r="AM34">
        <f>h_col*((AK34+AL34)/2)/(1-(AK34+AL34)/2)</f>
        <v/>
      </c>
      <c r="AN34">
        <f>(f_cd*b_col*((3*MIN(AM34,h_col)/7)+(4*MIN(AM34,h_col)/7)*(1-((4*MIN(AM34,h_col)/7)/(AM34-(3*MIN(AM34,h_col)/7)))^2/3))+$D34/2*((MAX(-f_yd,MIN(f_yd,200000*IF(AM34&lt;=h_col,0.0035*(AM34-d_2)/AM34,0.002*(AM34-d_2)/(AM34-3*h_col/7))))-f_cd*(1-(1-MAX(0,MIN(1,IF(AM34&lt;=h_col,0.0035*(AM34-d_2)/AM34,0.002*(AM34-d_2)/(AM34-3*h_col/7))/0.002)))^2))+(MAX(-f_yd,MIN(f_yd,200000*IF(AM34&lt;=h_col,0.0035*(AM34-(h_col-d_2))/AM34,0.002*(AM34-(h_col-d_2))/(AM34-3*h_col/7))))-f_cd*(1-(1-MAX(0,MIN(1,IF(AM34&lt;=h_col,0.0035*(AM34-(h_col-d_2))/AM34,0.002*(AM34-(h_col-d_2))/(AM34-3*h_col/7))/0.002)))^2))))/1000</f>
        <v/>
      </c>
      <c r="AO34">
        <f>IF($AN34&lt;N_Ed-1E-9*MAX(1,N_Ed),(AK34+AL34)/2,AK34)</f>
        <v/>
      </c>
      <c r="AP34">
        <f>IF($AN34&lt;N_Ed-1E-9*MAX(1,N_Ed),AL34,(AK34+AL34)/2)</f>
        <v/>
      </c>
      <c r="AQ34">
        <f>h_col*((AO34+AP34)/2)/(1-(AO34+AP34)/2)</f>
        <v/>
      </c>
      <c r="AR34">
        <f>(f_cd*b_col*((3*MIN(AQ34,h_col)/7)+(4*MIN(AQ34,h_col)/7)*(1-((4*MIN(AQ34,h_col)/7)/(AQ34-(3*MIN(AQ34,h_col)/7)))^2/3))+$D34/2*((MAX(-f_yd,MIN(f_yd,200000*IF(AQ34&lt;=h_col,0.0035*(AQ34-d_2)/AQ34,0.002*(AQ34-d_2)/(AQ34-3*h_col/7))))-f_cd*(1-(1-MAX(0,MIN(1,IF(AQ34&lt;=h_col,0.0035*(AQ34-d_2)/AQ34,0.002*(AQ34-d_2)/(AQ34-3*h_col/7))/0.002)))^2))+(MAX(-f_yd,MIN(f_yd,200000*IF(AQ34&lt;=h_col,0.0035*(AQ34-(h_col-d_2))/AQ34,0.002*(AQ34-(h_col-d_2))/(AQ34-3*h_col/7))))-f_cd*(1-(1-MAX(0,MIN(1,IF(AQ34&lt;=h_col,0.0035*(AQ34-(h_col-d_2))/AQ34,0.002*(AQ34-(h_col-d_2))/(AQ34-3*h_col/7))/0.002)))^2))))/1000</f>
        <v/>
      </c>
      <c r="AS34">
        <f>IF($AR34&lt;N_Ed-1E-9*MAX(1,N_Ed),(AO34+AP34)/2,AO34)</f>
        <v/>
      </c>
      <c r="AT34">
        <f>IF($AR34&lt;N_Ed-1E-9*MAX(1,N_Ed),AP34,(AO34+AP34)/2)</f>
        <v/>
      </c>
      <c r="AU34">
        <f>h_col*((AS34+AT34)/2)/(1-(AS34+AT34)/2)</f>
        <v/>
      </c>
      <c r="AV34">
        <f>(f_cd*b_col*((3*MIN(AU34,h_col)/7)+(4*MIN(AU34,h_col)/7)*(1-((4*MIN(AU34,h_col)/7)/(AU34-(3*MIN(AU34,h_col)/7)))^2/3))+$D34/2*((MAX(-f_yd,MIN(f_yd,200000*IF(AU34&lt;=h_col,0.0035*(AU34-d_2)/AU34,0.002*(AU34-d_2)/(AU34-3*h_col/7))))-f_cd*(1-(1-MAX(0,MIN(1,IF(AU34&lt;=h_col,0.0035*(AU34-d_2)/AU34,0.002*(AU34-d_2)/(AU34-3*h_col/7))/0.002)))^2))+(MAX(-f_yd,MIN(f_yd,200000*IF(AU34&lt;=h_col,0.0035*(AU34-(h_col-d_2))/AU34,0.002*(AU34-(h_col-d_2))/(AU34-3*h_col/7))))-f_cd*(1-(1-MAX(0,MIN(1,IF(AU34&lt;=h_col,0.0035*(AU34-(h_col-d_2))/AU34,0.002*(AU34-(h_col-d_2))/(AU34-3*h_col/7))/0.002)))^2))))/1000</f>
        <v/>
      </c>
      <c r="AW34">
        <f>IF($AV34&lt;N_Ed-1E-9*MAX(1,N_Ed),(AS34+AT34)/2,AS34)</f>
        <v/>
      </c>
      <c r="AX34">
        <f>IF($AV34&lt;N_Ed-1E-9*MAX(1,N_Ed),AT34,(AS34+AT34)/2)</f>
        <v/>
      </c>
      <c r="AY34">
        <f>h_col*((AW34+AX34)/2)/(1-(AW34+AX34)/2)</f>
        <v/>
      </c>
      <c r="AZ34">
        <f>(f_cd*b_col*((3*MIN(AY34,h_col)/7)+(4*MIN(AY34,h_col)/7)*(1-((4*MIN(AY34,h_col)/7)/(AY34-(3*MIN(AY34,h_col)/7)))^2/3))+$D34/2*((MAX(-f_yd,MIN(f_yd,200000*IF(AY34&lt;=h_col,0.0035*(AY34-d_2)/AY34,0.002*(AY34-d_2)/(AY34-3*h_col/7))))-f_cd*(1-(1-MAX(0,MIN(1,IF(AY34&lt;=h_col,0.0035*(AY34-d_2)/AY34,0.002*(AY34-d_2)/(AY34-3*h_col/7))/0.002)))^2))+(MAX(-f_yd,MIN(f_yd,200000*IF(AY34&lt;=h_col,0.0035*(AY34-(h_col-d_2))/AY34,0.002*(AY34-(h_col-d_2))/(AY34-3*h_col/7))))-f_cd*(1-(1-MAX(0,MIN(1,IF(AY34&lt;=h_col,0.0035*(AY34-(h_col-d_2))/AY34,0.002*(AY34-(h_col-d_2))/(AY34-3*h_col/7))/0.002)))^2))))/1000</f>
        <v/>
      </c>
      <c r="BA34">
        <f>IF($AZ34&lt;N_Ed-1E-9*MAX(1,N_Ed),(AW34+AX34)/2,AW34)</f>
        <v/>
      </c>
      <c r="BB34">
        <f>IF($AZ34&lt;N_Ed-1E-9*MAX(1,N_Ed),AX34,(AW34+AX34)/2)</f>
        <v/>
      </c>
      <c r="BC34">
        <f>h_col*((BA34+BB34)/2)/(1-(BA34+BB34)/2)</f>
        <v/>
      </c>
      <c r="BD34">
        <f>(f_cd*b_col*((3*MIN(BC34,h_col)/7)+(4*MIN(BC34,h_col)/7)*(1-((4*MIN(BC34,h_col)/7)/(BC34-(3*MIN(BC34,h_col)/7)))^2/3))+$D34/2*((MAX(-f_yd,MIN(f_yd,200000*IF(BC34&lt;=h_col,0.0035*(BC34-d_2)/BC34,0.002*(BC34-d_2)/(BC34-3*h_col/7))))-f_cd*(1-(1-MAX(0,MIN(1,IF(BC34&lt;=h_col,0.0035*(BC34-d_2)/BC34,0.002*(BC34-d_2)/(BC34-3*h_col/7))/0.002)))^2))+(MAX(-f_yd,MIN(f_yd,200000*IF(BC34&lt;=h_col,0.0035*(BC34-(h_col-d_2))/BC34,0.002*(BC34-(h_col-d_2))/(BC34-3*h_col/7))))-f_cd*(1-(1-MAX(0,MIN(1,IF(BC34&lt;=h_col,0.0035*(BC34-(h_col-d_2))/BC34,0.002*(BC34-(h_col-d_2))/(BC34-3*h_col/7))/0.002)))^2))))/1000</f>
        <v/>
      </c>
      <c r="BE34">
        <f>IF($BD34&lt;N_Ed-1E-9*MAX(1,N_Ed),(BA34+BB34)/2,BA34)</f>
        <v/>
      </c>
      <c r="BF34">
        <f>IF($BD34&lt;N_Ed-1E-9*MAX(1,N_Ed),BB34,(BA34+BB34)/2)</f>
        <v/>
      </c>
      <c r="BG34">
        <f>h_col*((BE34+BF34)/2)/(1-(BE34+BF34)/2)</f>
        <v/>
      </c>
      <c r="BH34">
        <f>(f_cd*b_col*((3*MIN(BG34,h_col)/7)+(4*MIN(BG34,h_col)/7)*(1-((4*MIN(BG34,h_col)/7)/(BG34-(3*MIN(BG34,h_col)/7)))^2/3))+$D34/2*((MAX(-f_yd,MIN(f_yd,200000*IF(BG34&lt;=h_col,0.0035*(BG34-d_2)/BG34,0.002*(BG34-d_2)/(BG34-3*h_col/7))))-f_cd*(1-(1-MAX(0,MIN(1,IF(BG34&lt;=h_col,0.0035*(BG34-d_2)/BG34,0.002*(BG34-d_2)/(BG34-3*h_col/7))/0.002)))^2))+(MAX(-f_yd,MIN(f_yd,200000*IF(BG34&lt;=h_col,0.0035*(BG34-(h_col-d_2))/BG34,0.002*(BG34-(h_col-d_2))/(BG34-3*h_col/7))))-f_cd*(1-(1-MAX(0,MIN(1,IF(BG34&lt;=h_col,0.0035*(BG34-(h_col-d_2))/BG34,0.002*(BG34-(h_col-d_2))/(BG34-3*h_col/7))/0.002)))^2))))/1000</f>
        <v/>
      </c>
      <c r="BI34">
        <f>IF($BH34&lt;N_Ed-1E-9*MAX(1,N_Ed),(BE34+BF34)/2,BE34)</f>
        <v/>
      </c>
      <c r="BJ34">
        <f>IF($BH34&lt;N_Ed-1E-9*MAX(1,N_Ed),BF34,(BE34+BF34)/2)</f>
        <v/>
      </c>
      <c r="BK34">
        <f>h_col*((BI34+BJ34)/2)/(1-(BI34+BJ34)/2)</f>
        <v/>
      </c>
      <c r="BL34">
        <f>(f_cd*b_col*((3*MIN(BK34,h_col)/7)+(4*MIN(BK34,h_col)/7)*(1-((4*MIN(BK34,h_col)/7)/(BK34-(3*MIN(BK34,h_col)/7)))^2/3))+$D34/2*((MAX(-f_yd,MIN(f_yd,200000*IF(BK34&lt;=h_col,0.0035*(BK34-d_2)/BK34,0.002*(BK34-d_2)/(BK34-3*h_col/7))))-f_cd*(1-(1-MAX(0,MIN(1,IF(BK34&lt;=h_col,0.0035*(BK34-d_2)/BK34,0.002*(BK34-d_2)/(BK34-3*h_col/7))/0.002)))^2))+(MAX(-f_yd,MIN(f_yd,200000*IF(BK34&lt;=h_col,0.0035*(BK34-(h_col-d_2))/BK34,0.002*(BK34-(h_col-d_2))/(BK34-3*h_col/7))))-f_cd*(1-(1-MAX(0,MIN(1,IF(BK34&lt;=h_col,0.0035*(BK34-(h_col-d_2))/BK34,0.002*(BK34-(h_col-d_2))/(BK34-3*h_col/7))/0.002)))^2))))/1000</f>
        <v/>
      </c>
      <c r="BM34">
        <f>IF($BL34&lt;N_Ed-1E-9*MAX(1,N_Ed),(BI34+BJ34)/2,BI34)</f>
        <v/>
      </c>
      <c r="BN34">
        <f>IF($BL34&lt;N_Ed-1E-9*MAX(1,N_Ed),BJ34,(BI34+BJ34)/2)</f>
        <v/>
      </c>
      <c r="BO34">
        <f>h_col*((BM34+BN34)/2)/(1-(BM34+BN34)/2)</f>
        <v/>
      </c>
      <c r="BP34">
        <f>(f_cd*b_col*((3*MIN(BO34,h_col)/7)+(4*MIN(BO34,h_col)/7)*(1-((4*MIN(BO34,h_col)/7)/(BO34-(3*MIN(BO34,h_col)/7)))^2/3))+$D34/2*((MAX(-f_yd,MIN(f_yd,200000*IF(BO34&lt;=h_col,0.0035*(BO34-d_2)/BO34,0.002*(BO34-d_2)/(BO34-3*h_col/7))))-f_cd*(1-(1-MAX(0,MIN(1,IF(BO34&lt;=h_col,0.0035*(BO34-d_2)/BO34,0.002*(BO34-d_2)/(BO34-3*h_col/7))/0.002)))^2))+(MAX(-f_yd,MIN(f_yd,200000*IF(BO34&lt;=h_col,0.0035*(BO34-(h_col-d_2))/BO34,0.002*(BO34-(h_col-d_2))/(BO34-3*h_col/7))))-f_cd*(1-(1-MAX(0,MIN(1,IF(BO34&lt;=h_col,0.0035*(BO34-(h_col-d_2))/BO34,0.002*(BO34-(h_col-d_2))/(BO34-3*h_col/7))/0.002)))^2))))/1000</f>
        <v/>
      </c>
      <c r="BQ34">
        <f>IF($BP34&lt;N_Ed-1E-9*MAX(1,N_Ed),(BM34+BN34)/2,BM34)</f>
        <v/>
      </c>
      <c r="BR34">
        <f>IF($BP34&lt;N_Ed-1E-9*MAX(1,N_Ed),BN34,(BM34+BN34)/2)</f>
        <v/>
      </c>
      <c r="BS34">
        <f>h_col*((BQ34+BR34)/2)/(1-(BQ34+BR34)/2)</f>
        <v/>
      </c>
      <c r="BT34">
        <f>(f_cd*b_col*((3*MIN(BS34,h_col)/7)+(4*MIN(BS34,h_col)/7)*(1-((4*MIN(BS34,h_col)/7)/(BS34-(3*MIN(BS34,h_col)/7)))^2/3))+$D34/2*((MAX(-f_yd,MIN(f_yd,200000*IF(BS34&lt;=h_col,0.0035*(BS34-d_2)/BS34,0.002*(BS34-d_2)/(BS34-3*h_col/7))))-f_cd*(1-(1-MAX(0,MIN(1,IF(BS34&lt;=h_col,0.0035*(BS34-d_2)/BS34,0.002*(BS34-d_2)/(BS34-3*h_col/7))/0.002)))^2))+(MAX(-f_yd,MIN(f_yd,200000*IF(BS34&lt;=h_col,0.0035*(BS34-(h_col-d_2))/BS34,0.002*(BS34-(h_col-d_2))/(BS34-3*h_col/7))))-f_cd*(1-(1-MAX(0,MIN(1,IF(BS34&lt;=h_col,0.0035*(BS34-(h_col-d_2))/BS34,0.002*(BS34-(h_col-d_2))/(BS34-3*h_col/7))/0.002)))^2))))/1000</f>
        <v/>
      </c>
      <c r="BU34">
        <f>IF($BT34&lt;N_Ed-1E-9*MAX(1,N_Ed),(BQ34+BR34)/2,BQ34)</f>
        <v/>
      </c>
      <c r="BV34">
        <f>IF($BT34&lt;N_Ed-1E-9*MAX(1,N_Ed),BR34,(BQ34+BR34)/2)</f>
        <v/>
      </c>
      <c r="BW34">
        <f>h_col*((BU34+BV34)/2)/(1-(BU34+BV34)/2)</f>
        <v/>
      </c>
      <c r="BX34">
        <f>(f_cd*b_col*((3*MIN(BW34,h_col)/7)+(4*MIN(BW34,h_col)/7)*(1-((4*MIN(BW34,h_col)/7)/(BW34-(3*MIN(BW34,h_col)/7)))^2/3))+$D34/2*((MAX(-f_yd,MIN(f_yd,200000*IF(BW34&lt;=h_col,0.0035*(BW34-d_2)/BW34,0.002*(BW34-d_2)/(BW34-3*h_col/7))))-f_cd*(1-(1-MAX(0,MIN(1,IF(BW34&lt;=h_col,0.0035*(BW34-d_2)/BW34,0.002*(BW34-d_2)/(BW34-3*h_col/7))/0.002)))^2))+(MAX(-f_yd,MIN(f_yd,200000*IF(BW34&lt;=h_col,0.0035*(BW34-(h_col-d_2))/BW34,0.002*(BW34-(h_col-d_2))/(BW34-3*h_col/7))))-f_cd*(1-(1-MAX(0,MIN(1,IF(BW34&lt;=h_col,0.0035*(BW34-(h_col-d_2))/BW34,0.002*(BW34-(h_col-d_2))/(BW34-3*h_col/7))/0.002)))^2))))/1000</f>
        <v/>
      </c>
      <c r="BY34">
        <f>IF($BX34&lt;N_Ed-1E-9*MAX(1,N_Ed),(BU34+BV34)/2,BU34)</f>
        <v/>
      </c>
      <c r="BZ34">
        <f>IF($BX34&lt;N_Ed-1E-9*MAX(1,N_Ed),BV34,(BU34+BV34)/2)</f>
        <v/>
      </c>
      <c r="CA34">
        <f>h_col*((BY34+BZ34)/2)/(1-(BY34+BZ34)/2)</f>
        <v/>
      </c>
      <c r="CB34">
        <f>(f_cd*b_col*((3*MIN(CA34,h_col)/7)+(4*MIN(CA34,h_col)/7)*(1-((4*MIN(CA34,h_col)/7)/(CA34-(3*MIN(CA34,h_col)/7)))^2/3))+$D34/2*((MAX(-f_yd,MIN(f_yd,200000*IF(CA34&lt;=h_col,0.0035*(CA34-d_2)/CA34,0.002*(CA34-d_2)/(CA34-3*h_col/7))))-f_cd*(1-(1-MAX(0,MIN(1,IF(CA34&lt;=h_col,0.0035*(CA34-d_2)/CA34,0.002*(CA34-d_2)/(CA34-3*h_col/7))/0.002)))^2))+(MAX(-f_yd,MIN(f_yd,200000*IF(CA34&lt;=h_col,0.0035*(CA34-(h_col-d_2))/CA34,0.002*(CA34-(h_col-d_2))/(CA34-3*h_col/7))))-f_cd*(1-(1-MAX(0,MIN(1,IF(CA34&lt;=h_col,0.0035*(CA34-(h_col-d_2))/CA34,0.002*(CA34-(h_col-d_2))/(CA34-3*h_col/7))/0.002)))^2))))/1000</f>
        <v/>
      </c>
      <c r="CC34">
        <f>IF($CB34&lt;N_Ed-1E-9*MAX(1,N_Ed),(BY34+BZ34)/2,BY34)</f>
        <v/>
      </c>
      <c r="CD34">
        <f>IF($CB34&lt;N_Ed-1E-9*MAX(1,N_Ed),BZ34,(BY34+BZ34)/2)</f>
        <v/>
      </c>
      <c r="CE34">
        <f>h_col*((CC34+CD34)/2)/(1-(CC34+CD34)/2)</f>
        <v/>
      </c>
      <c r="CF34">
        <f>(f_cd*b_col*((3*MIN(CE34,h_col)/7)+(4*MIN(CE34,h_col)/7)*(1-((4*MIN(CE34,h_col)/7)/(CE34-(3*MIN(CE34,h_col)/7)))^2/3))+$D34/2*((MAX(-f_yd,MIN(f_yd,200000*IF(CE34&lt;=h_col,0.0035*(CE34-d_2)/CE34,0.002*(CE34-d_2)/(CE34-3*h_col/7))))-f_cd*(1-(1-MAX(0,MIN(1,IF(CE34&lt;=h_col,0.0035*(CE34-d_2)/CE34,0.002*(CE34-d_2)/(CE34-3*h_col/7))/0.002)))^2))+(MAX(-f_yd,MIN(f_yd,200000*IF(CE34&lt;=h_col,0.0035*(CE34-(h_col-d_2))/CE34,0.002*(CE34-(h_col-d_2))/(CE34-3*h_col/7))))-f_cd*(1-(1-MAX(0,MIN(1,IF(CE34&lt;=h_col,0.0035*(CE34-(h_col-d_2))/CE34,0.002*(CE34-(h_col-d_2))/(CE34-3*h_col/7))/0.002)))^2))))/1000</f>
        <v/>
      </c>
      <c r="CG34">
        <f>IF($CF34&lt;N_Ed-1E-9*MAX(1,N_Ed),(CC34+CD34)/2,CC34)</f>
        <v/>
      </c>
      <c r="CH34">
        <f>IF($CF34&lt;N_Ed-1E-9*MAX(1,N_Ed),CD34,(CC34+CD34)/2)</f>
        <v/>
      </c>
      <c r="CI34">
        <f>h_col*((CG34+CH34)/2)/(1-(CG34+CH34)/2)</f>
        <v/>
      </c>
      <c r="CJ34">
        <f>(f_cd*b_col*((3*MIN(CI34,h_col)/7)+(4*MIN(CI34,h_col)/7)*(1-((4*MIN(CI34,h_col)/7)/(CI34-(3*MIN(CI34,h_col)/7)))^2/3))+$D34/2*((MAX(-f_yd,MIN(f_yd,200000*IF(CI34&lt;=h_col,0.0035*(CI34-d_2)/CI34,0.002*(CI34-d_2)/(CI34-3*h_col/7))))-f_cd*(1-(1-MAX(0,MIN(1,IF(CI34&lt;=h_col,0.0035*(CI34-d_2)/CI34,0.002*(CI34-d_2)/(CI34-3*h_col/7))/0.002)))^2))+(MAX(-f_yd,MIN(f_yd,200000*IF(CI34&lt;=h_col,0.0035*(CI34-(h_col-d_2))/CI34,0.002*(CI34-(h_col-d_2))/(CI34-3*h_col/7))))-f_cd*(1-(1-MAX(0,MIN(1,IF(CI34&lt;=h_col,0.0035*(CI34-(h_col-d_2))/CI34,0.002*(CI34-(h_col-d_2))/(CI34-3*h_col/7))/0.002)))^2))))/1000</f>
        <v/>
      </c>
      <c r="CK34">
        <f>IF($CJ34&lt;N_Ed-1E-9*MAX(1,N_Ed),(CG34+CH34)/2,CG34)</f>
        <v/>
      </c>
      <c r="CL34">
        <f>IF($CJ34&lt;N_Ed-1E-9*MAX(1,N_Ed),CH34,(CG34+CH34)/2)</f>
        <v/>
      </c>
      <c r="CM34">
        <f>h_col*((CK34+CL34)/2)/(1-(CK34+CL34)/2)</f>
        <v/>
      </c>
      <c r="CN34">
        <f>(f_cd*b_col*((3*MIN(CM34,h_col)/7)+(4*MIN(CM34,h_col)/7)*(1-((4*MIN(CM34,h_col)/7)/(CM34-(3*MIN(CM34,h_col)/7)))^2/3))+$D34/2*((MAX(-f_yd,MIN(f_yd,200000*IF(CM34&lt;=h_col,0.0035*(CM34-d_2)/CM34,0.002*(CM34-d_2)/(CM34-3*h_col/7))))-f_cd*(1-(1-MAX(0,MIN(1,IF(CM34&lt;=h_col,0.0035*(CM34-d_2)/CM34,0.002*(CM34-d_2)/(CM34-3*h_col/7))/0.002)))^2))+(MAX(-f_yd,MIN(f_yd,200000*IF(CM34&lt;=h_col,0.0035*(CM34-(h_col-d_2))/CM34,0.002*(CM34-(h_col-d_2))/(CM34-3*h_col/7))))-f_cd*(1-(1-MAX(0,MIN(1,IF(CM34&lt;=h_col,0.0035*(CM34-(h_col-d_2))/CM34,0.002*(CM34-(h_col-d_2))/(CM34-3*h_col/7))/0.002)))^2))))/1000</f>
        <v/>
      </c>
      <c r="CO34">
        <f>IF($CN34&lt;N_Ed-1E-9*MAX(1,N_Ed),(CK34+CL34)/2,CK34)</f>
        <v/>
      </c>
      <c r="CP34">
        <f>IF($CN34&lt;N_Ed-1E-9*MAX(1,N_Ed),CL34,(CK34+CL34)/2)</f>
        <v/>
      </c>
      <c r="CQ34">
        <f>h_col*((CO34+CP34)/2)/(1-(CO34+CP34)/2)</f>
        <v/>
      </c>
      <c r="CR34">
        <f>(f_cd*b_col*((3*MIN(CQ34,h_col)/7)+(4*MIN(CQ34,h_col)/7)*(1-((4*MIN(CQ34,h_col)/7)/(CQ34-(3*MIN(CQ34,h_col)/7)))^2/3))+$D34/2*((MAX(-f_yd,MIN(f_yd,200000*IF(CQ34&lt;=h_col,0.0035*(CQ34-d_2)/CQ34,0.002*(CQ34-d_2)/(CQ34-3*h_col/7))))-f_cd*(1-(1-MAX(0,MIN(1,IF(CQ34&lt;=h_col,0.0035*(CQ34-d_2)/CQ34,0.002*(CQ34-d_2)/(CQ34-3*h_col/7))/0.002)))^2))+(MAX(-f_yd,MIN(f_yd,200000*IF(CQ34&lt;=h_col,0.0035*(CQ34-(h_col-d_2))/CQ34,0.002*(CQ34-(h_col-d_2))/(CQ34-3*h_col/7))))-f_cd*(1-(1-MAX(0,MIN(1,IF(CQ34&lt;=h_col,0.0035*(CQ34-(h_col-d_2))/CQ34,0.002*(CQ34-(h_col-d_2))/(CQ34-3*h_col/7))/0.002)))^2))))/1000</f>
        <v/>
      </c>
      <c r="CS34">
        <f>IF($CR34&lt;N_Ed-1E-9*MAX(1,N_Ed),(CO34+CP34)/2,CO34)</f>
        <v/>
      </c>
      <c r="CT34">
        <f>IF($CR34&lt;N_Ed-1E-9*MAX(1,N_Ed),CP34,(CO34+CP34)/2)</f>
        <v/>
      </c>
      <c r="CU34">
        <f>h_col*((CS34+CT34)/2)/(1-(CS34+CT34)/2)</f>
        <v/>
      </c>
      <c r="CV34">
        <f>(f_cd*b_col*((3*MIN(CU34,h_col)/7)+(4*MIN(CU34,h_col)/7)*(1-((4*MIN(CU34,h_col)/7)/(CU34-(3*MIN(CU34,h_col)/7)))^2/3))+$D34/2*((MAX(-f_yd,MIN(f_yd,200000*IF(CU34&lt;=h_col,0.0035*(CU34-d_2)/CU34,0.002*(CU34-d_2)/(CU34-3*h_col/7))))-f_cd*(1-(1-MAX(0,MIN(1,IF(CU34&lt;=h_col,0.0035*(CU34-d_2)/CU34,0.002*(CU34-d_2)/(CU34-3*h_col/7))/0.002)))^2))+(MAX(-f_yd,MIN(f_yd,200000*IF(CU34&lt;=h_col,0.0035*(CU34-(h_col-d_2))/CU34,0.002*(CU34-(h_col-d_2))/(CU34-3*h_col/7))))-f_cd*(1-(1-MAX(0,MIN(1,IF(CU34&lt;=h_col,0.0035*(CU34-(h_col-d_2))/CU34,0.002*(CU34-(h_col-d_2))/(CU34-3*h_col/7))/0.002)))^2))))/1000</f>
        <v/>
      </c>
      <c r="CW34">
        <f>IF($CV34&lt;N_Ed-1E-9*MAX(1,N_Ed),(CS34+CT34)/2,CS34)</f>
        <v/>
      </c>
      <c r="CX34">
        <f>IF($CV34&lt;N_Ed-1E-9*MAX(1,N_Ed),CT34,(CS34+CT34)/2)</f>
        <v/>
      </c>
      <c r="CY34">
        <f>h_col*((CW34+CX34)/2)/(1-(CW34+CX34)/2)</f>
        <v/>
      </c>
      <c r="CZ34">
        <f>(f_cd*b_col*((3*MIN(CY34,h_col)/7)+(4*MIN(CY34,h_col)/7)*(1-((4*MIN(CY34,h_col)/7)/(CY34-(3*MIN(CY34,h_col)/7)))^2/3))+$D34/2*((MAX(-f_yd,MIN(f_yd,200000*IF(CY34&lt;=h_col,0.0035*(CY34-d_2)/CY34,0.002*(CY34-d_2)/(CY34-3*h_col/7))))-f_cd*(1-(1-MAX(0,MIN(1,IF(CY34&lt;=h_col,0.0035*(CY34-d_2)/CY34,0.002*(CY34-d_2)/(CY34-3*h_col/7))/0.002)))^2))+(MAX(-f_yd,MIN(f_yd,200000*IF(CY34&lt;=h_col,0.0035*(CY34-(h_col-d_2))/CY34,0.002*(CY34-(h_col-d_2))/(CY34-3*h_col/7))))-f_cd*(1-(1-MAX(0,MIN(1,IF(CY34&lt;=h_col,0.0035*(CY34-(h_col-d_2))/CY34,0.002*(CY34-(h_col-d_2))/(CY34-3*h_col/7))/0.002)))^2))))/1000</f>
        <v/>
      </c>
      <c r="DA34">
        <f>IF($CZ34&lt;N_Ed-1E-9*MAX(1,N_Ed),(CW34+CX34)/2,CW34)</f>
        <v/>
      </c>
      <c r="DB34">
        <f>IF($CZ34&lt;N_Ed-1E-9*MAX(1,N_Ed),CX34,(CW34+CX34)/2)</f>
        <v/>
      </c>
      <c r="DC34">
        <f>h_col*((DA34+DB34)/2)/(1-(DA34+DB34)/2)</f>
        <v/>
      </c>
      <c r="DD34">
        <f>(f_cd*b_col*((3*MIN(DC34,h_col)/7)+(4*MIN(DC34,h_col)/7)*(1-((4*MIN(DC34,h_col)/7)/(DC34-(3*MIN(DC34,h_col)/7)))^2/3))+$D34/2*((MAX(-f_yd,MIN(f_yd,200000*IF(DC34&lt;=h_col,0.0035*(DC34-d_2)/DC34,0.002*(DC34-d_2)/(DC34-3*h_col/7))))-f_cd*(1-(1-MAX(0,MIN(1,IF(DC34&lt;=h_col,0.0035*(DC34-d_2)/DC34,0.002*(DC34-d_2)/(DC34-3*h_col/7))/0.002)))^2))+(MAX(-f_yd,MIN(f_yd,200000*IF(DC34&lt;=h_col,0.0035*(DC34-(h_col-d_2))/DC34,0.002*(DC34-(h_col-d_2))/(DC34-3*h_col/7))))-f_cd*(1-(1-MAX(0,MIN(1,IF(DC34&lt;=h_col,0.0035*(DC34-(h_col-d_2))/DC34,0.002*(DC34-(h_col-d_2))/(DC34-3*h_col/7))/0.002)))^2))))/1000</f>
        <v/>
      </c>
      <c r="DE34">
        <f>IF($DD34&lt;N_Ed-1E-9*MAX(1,N_Ed),(DA34+DB34)/2,DA34)</f>
        <v/>
      </c>
      <c r="DF34">
        <f>IF($DD34&lt;N_Ed-1E-9*MAX(1,N_Ed),DB34,(DA34+DB34)/2)</f>
        <v/>
      </c>
      <c r="DG34">
        <f>h_col*((DE34+DF34)/2)/(1-(DE34+DF34)/2)</f>
        <v/>
      </c>
      <c r="DH34">
        <f>(f_cd*b_col*((3*MIN(DG34,h_col)/7)+(4*MIN(DG34,h_col)/7)*(1-((4*MIN(DG34,h_col)/7)/(DG34-(3*MIN(DG34,h_col)/7)))^2/3))+$D34/2*((MAX(-f_yd,MIN(f_yd,200000*IF(DG34&lt;=h_col,0.0035*(DG34-d_2)/DG34,0.002*(DG34-d_2)/(DG34-3*h_col/7))))-f_cd*(1-(1-MAX(0,MIN(1,IF(DG34&lt;=h_col,0.0035*(DG34-d_2)/DG34,0.002*(DG34-d_2)/(DG34-3*h_col/7))/0.002)))^2))+(MAX(-f_yd,MIN(f_yd,200000*IF(DG34&lt;=h_col,0.0035*(DG34-(h_col-d_2))/DG34,0.002*(DG34-(h_col-d_2))/(DG34-3*h_col/7))))-f_cd*(1-(1-MAX(0,MIN(1,IF(DG34&lt;=h_col,0.0035*(DG34-(h_col-d_2))/DG34,0.002*(DG34-(h_col-d_2))/(DG34-3*h_col/7))/0.002)))^2))))/1000</f>
        <v/>
      </c>
      <c r="DI34">
        <f>IF($DH34&lt;N_Ed-1E-9*MAX(1,N_Ed),(DE34+DF34)/2,DE34)</f>
        <v/>
      </c>
      <c r="DJ34">
        <f>IF($DH34&lt;N_Ed-1E-9*MAX(1,N_Ed),DF34,(DE34+DF34)/2)</f>
        <v/>
      </c>
      <c r="DK34">
        <f>h_col*((DI34+DJ34)/2)/(1-(DI34+DJ34)/2)</f>
        <v/>
      </c>
      <c r="DL34">
        <f>(f_cd*b_col*((3*MIN(DK34,h_col)/7)+(4*MIN(DK34,h_col)/7)*(1-((4*MIN(DK34,h_col)/7)/(DK34-(3*MIN(DK34,h_col)/7)))^2/3))+$D34/2*((MAX(-f_yd,MIN(f_yd,200000*IF(DK34&lt;=h_col,0.0035*(DK34-d_2)/DK34,0.002*(DK34-d_2)/(DK34-3*h_col/7))))-f_cd*(1-(1-MAX(0,MIN(1,IF(DK34&lt;=h_col,0.0035*(DK34-d_2)/DK34,0.002*(DK34-d_2)/(DK34-3*h_col/7))/0.002)))^2))+(MAX(-f_yd,MIN(f_yd,200000*IF(DK34&lt;=h_col,0.0035*(DK34-(h_col-d_2))/DK34,0.002*(DK34-(h_col-d_2))/(DK34-3*h_col/7))))-f_cd*(1-(1-MAX(0,MIN(1,IF(DK34&lt;=h_col,0.0035*(DK34-(h_col-d_2))/DK34,0.002*(DK34-(h_col-d_2))/(DK34-3*h_col/7))/0.002)))^2))))/1000</f>
        <v/>
      </c>
      <c r="DM34">
        <f>IF($DL34&lt;N_Ed-1E-9*MAX(1,N_Ed),(DI34+DJ34)/2,DI34)</f>
        <v/>
      </c>
      <c r="DN34">
        <f>IF($DL34&lt;N_Ed-1E-9*MAX(1,N_Ed),DJ34,(DI34+DJ34)/2)</f>
        <v/>
      </c>
      <c r="DO34">
        <f>h_col*((DM34+DN34)/2)/(1-(DM34+DN34)/2)</f>
        <v/>
      </c>
      <c r="DP34">
        <f>(f_cd*b_col*((3*MIN(DO34,h_col)/7)+(4*MIN(DO34,h_col)/7)*(1-((4*MIN(DO34,h_col)/7)/(DO34-(3*MIN(DO34,h_col)/7)))^2/3))+$D34/2*((MAX(-f_yd,MIN(f_yd,200000*IF(DO34&lt;=h_col,0.0035*(DO34-d_2)/DO34,0.002*(DO34-d_2)/(DO34-3*h_col/7))))-f_cd*(1-(1-MAX(0,MIN(1,IF(DO34&lt;=h_col,0.0035*(DO34-d_2)/DO34,0.002*(DO34-d_2)/(DO34-3*h_col/7))/0.002)))^2))+(MAX(-f_yd,MIN(f_yd,200000*IF(DO34&lt;=h_col,0.0035*(DO34-(h_col-d_2))/DO34,0.002*(DO34-(h_col-d_2))/(DO34-3*h_col/7))))-f_cd*(1-(1-MAX(0,MIN(1,IF(DO34&lt;=h_col,0.0035*(DO34-(h_col-d_2))/DO34,0.002*(DO34-(h_col-d_2))/(DO34-3*h_col/7))/0.002)))^2))))/1000</f>
        <v/>
      </c>
      <c r="DQ34">
        <f>IF($DP34&lt;N_Ed-1E-9*MAX(1,N_Ed),(DM34+DN34)/2,DM34)</f>
        <v/>
      </c>
      <c r="DR34">
        <f>IF($DP34&lt;N_Ed-1E-9*MAX(1,N_Ed),DN34,(DM34+DN34)/2)</f>
        <v/>
      </c>
      <c r="DS34">
        <f>h_col*((DQ34+DR34)/2)/(1-(DQ34+DR34)/2)</f>
        <v/>
      </c>
      <c r="DT34">
        <f>(f_cd*b_col*((3*MIN(DS34,h_col)/7)+(4*MIN(DS34,h_col)/7)*(1-((4*MIN(DS34,h_col)/7)/(DS34-(3*MIN(DS34,h_col)/7)))^2/3))+$D34/2*((MAX(-f_yd,MIN(f_yd,200000*IF(DS34&lt;=h_col,0.0035*(DS34-d_2)/DS34,0.002*(DS34-d_2)/(DS34-3*h_col/7))))-f_cd*(1-(1-MAX(0,MIN(1,IF(DS34&lt;=h_col,0.0035*(DS34-d_2)/DS34,0.002*(DS34-d_2)/(DS34-3*h_col/7))/0.002)))^2))+(MAX(-f_yd,MIN(f_yd,200000*IF(DS34&lt;=h_col,0.0035*(DS34-(h_col-d_2))/DS34,0.002*(DS34-(h_col-d_2))/(DS34-3*h_col/7))))-f_cd*(1-(1-MAX(0,MIN(1,IF(DS34&lt;=h_col,0.0035*(DS34-(h_col-d_2))/DS34,0.002*(DS34-(h_col-d_2))/(DS34-3*h_col/7))/0.002)))^2))))/1000</f>
        <v/>
      </c>
      <c r="DU34">
        <f>IF($DT34&lt;N_Ed-1E-9*MAX(1,N_Ed),(DQ34+DR34)/2,DQ34)</f>
        <v/>
      </c>
      <c r="DV34">
        <f>IF($DT34&lt;N_Ed-1E-9*MAX(1,N_Ed),DR34,(DQ34+DR34)/2)</f>
        <v/>
      </c>
      <c r="DW34">
        <f>h_col*((DU34+DV34)/2)/(1-(DU34+DV34)/2)</f>
        <v/>
      </c>
      <c r="DX34">
        <f>(f_cd*b_col*((3*MIN(DW34,h_col)/7)+(4*MIN(DW34,h_col)/7)*(1-((4*MIN(DW34,h_col)/7)/(DW34-(3*MIN(DW34,h_col)/7)))^2/3))+$D34/2*((MAX(-f_yd,MIN(f_yd,200000*IF(DW34&lt;=h_col,0.0035*(DW34-d_2)/DW34,0.002*(DW34-d_2)/(DW34-3*h_col/7))))-f_cd*(1-(1-MAX(0,MIN(1,IF(DW34&lt;=h_col,0.0035*(DW34-d_2)/DW34,0.002*(DW34-d_2)/(DW34-3*h_col/7))/0.002)))^2))+(MAX(-f_yd,MIN(f_yd,200000*IF(DW34&lt;=h_col,0.0035*(DW34-(h_col-d_2))/DW34,0.002*(DW34-(h_col-d_2))/(DW34-3*h_col/7))))-f_cd*(1-(1-MAX(0,MIN(1,IF(DW34&lt;=h_col,0.0035*(DW34-(h_col-d_2))/DW34,0.002*(DW34-(h_col-d_2))/(DW34-3*h_col/7))/0.002)))^2))))/1000</f>
        <v/>
      </c>
      <c r="DY34">
        <f>IF($DX34&lt;N_Ed-1E-9*MAX(1,N_Ed),(DU34+DV34)/2,DU34)</f>
        <v/>
      </c>
      <c r="DZ34">
        <f>IF($DX34&lt;N_Ed-1E-9*MAX(1,N_Ed),DV34,(DU34+DV34)/2)</f>
        <v/>
      </c>
      <c r="EA34">
        <f>h_col*((DY34+DZ34)/2)/(1-(DY34+DZ34)/2)</f>
        <v/>
      </c>
      <c r="EB34">
        <f>(f_cd*b_col*((3*MIN(EA34,h_col)/7)+(4*MIN(EA34,h_col)/7)*(1-((4*MIN(EA34,h_col)/7)/(EA34-(3*MIN(EA34,h_col)/7)))^2/3))+$D34/2*((MAX(-f_yd,MIN(f_yd,200000*IF(EA34&lt;=h_col,0.0035*(EA34-d_2)/EA34,0.002*(EA34-d_2)/(EA34-3*h_col/7))))-f_cd*(1-(1-MAX(0,MIN(1,IF(EA34&lt;=h_col,0.0035*(EA34-d_2)/EA34,0.002*(EA34-d_2)/(EA34-3*h_col/7))/0.002)))^2))+(MAX(-f_yd,MIN(f_yd,200000*IF(EA34&lt;=h_col,0.0035*(EA34-(h_col-d_2))/EA34,0.002*(EA34-(h_col-d_2))/(EA34-3*h_col/7))))-f_cd*(1-(1-MAX(0,MIN(1,IF(EA34&lt;=h_col,0.0035*(EA34-(h_col-d_2))/EA34,0.002*(EA34-(h_col-d_2))/(EA34-3*h_col/7))/0.002)))^2))))/1000</f>
        <v/>
      </c>
      <c r="EC34">
        <f>IF($EB34&lt;N_Ed-1E-9*MAX(1,N_Ed),(DY34+DZ34)/2,DY34)</f>
        <v/>
      </c>
      <c r="ED34">
        <f>IF($EB34&lt;N_Ed-1E-9*MAX(1,N_Ed),DZ34,(DY34+DZ34)/2)</f>
        <v/>
      </c>
      <c r="EE34">
        <f>h_col*((EC34+ED34)/2)/(1-(EC34+ED34)/2)</f>
        <v/>
      </c>
      <c r="EF34">
        <f>(f_cd*b_col*((3*MIN(EE34,h_col)/7)+(4*MIN(EE34,h_col)/7)*(1-((4*MIN(EE34,h_col)/7)/(EE34-(3*MIN(EE34,h_col)/7)))^2/3))+$D34/2*((MAX(-f_yd,MIN(f_yd,200000*IF(EE34&lt;=h_col,0.0035*(EE34-d_2)/EE34,0.002*(EE34-d_2)/(EE34-3*h_col/7))))-f_cd*(1-(1-MAX(0,MIN(1,IF(EE34&lt;=h_col,0.0035*(EE34-d_2)/EE34,0.002*(EE34-d_2)/(EE34-3*h_col/7))/0.002)))^2))+(MAX(-f_yd,MIN(f_yd,200000*IF(EE34&lt;=h_col,0.0035*(EE34-(h_col-d_2))/EE34,0.002*(EE34-(h_col-d_2))/(EE34-3*h_col/7))))-f_cd*(1-(1-MAX(0,MIN(1,IF(EE34&lt;=h_col,0.0035*(EE34-(h_col-d_2))/EE34,0.002*(EE34-(h_col-d_2))/(EE34-3*h_col/7))/0.002)))^2))))/1000</f>
        <v/>
      </c>
      <c r="EG34">
        <f>IF($EF34&lt;N_Ed-1E-9*MAX(1,N_Ed),(EC34+ED34)/2,EC34)</f>
        <v/>
      </c>
      <c r="EH34">
        <f>IF($EF34&lt;N_Ed-1E-9*MAX(1,N_Ed),ED34,(EC34+ED34)/2)</f>
        <v/>
      </c>
      <c r="EI34">
        <f>h_col*((EG34+EH34)/2)/(1-(EG34+EH34)/2)</f>
        <v/>
      </c>
      <c r="EJ34">
        <f>(f_cd*b_col*((3*MIN(EI34,h_col)/7)+(4*MIN(EI34,h_col)/7)*(1-((4*MIN(EI34,h_col)/7)/(EI34-(3*MIN(EI34,h_col)/7)))^2/3))+$D34/2*((MAX(-f_yd,MIN(f_yd,200000*IF(EI34&lt;=h_col,0.0035*(EI34-d_2)/EI34,0.002*(EI34-d_2)/(EI34-3*h_col/7))))-f_cd*(1-(1-MAX(0,MIN(1,IF(EI34&lt;=h_col,0.0035*(EI34-d_2)/EI34,0.002*(EI34-d_2)/(EI34-3*h_col/7))/0.002)))^2))+(MAX(-f_yd,MIN(f_yd,200000*IF(EI34&lt;=h_col,0.0035*(EI34-(h_col-d_2))/EI34,0.002*(EI34-(h_col-d_2))/(EI34-3*h_col/7))))-f_cd*(1-(1-MAX(0,MIN(1,IF(EI34&lt;=h_col,0.0035*(EI34-(h_col-d_2))/EI34,0.002*(EI34-(h_col-d_2))/(EI34-3*h_col/7))/0.002)))^2))))/1000</f>
        <v/>
      </c>
      <c r="EK34">
        <f>IF($EJ34&lt;N_Ed-1E-9*MAX(1,N_Ed),(EG34+EH34)/2,EG34)</f>
        <v/>
      </c>
      <c r="EL34">
        <f>IF($EJ34&lt;N_Ed-1E-9*MAX(1,N_Ed),EH34,(EG34+EH34)/2)</f>
        <v/>
      </c>
      <c r="EM34">
        <f>h_col*((EK34+EL34)/2)/(1-(EK34+EL34)/2)</f>
        <v/>
      </c>
      <c r="EN34">
        <f>(f_cd*b_col*((3*MIN(EM34,h_col)/7)+(4*MIN(EM34,h_col)/7)*(1-((4*MIN(EM34,h_col)/7)/(EM34-(3*MIN(EM34,h_col)/7)))^2/3))+$D34/2*((MAX(-f_yd,MIN(f_yd,200000*IF(EM34&lt;=h_col,0.0035*(EM34-d_2)/EM34,0.002*(EM34-d_2)/(EM34-3*h_col/7))))-f_cd*(1-(1-MAX(0,MIN(1,IF(EM34&lt;=h_col,0.0035*(EM34-d_2)/EM34,0.002*(EM34-d_2)/(EM34-3*h_col/7))/0.002)))^2))+(MAX(-f_yd,MIN(f_yd,200000*IF(EM34&lt;=h_col,0.0035*(EM34-(h_col-d_2))/EM34,0.002*(EM34-(h_col-d_2))/(EM34-3*h_col/7))))-f_cd*(1-(1-MAX(0,MIN(1,IF(EM34&lt;=h_col,0.0035*(EM34-(h_col-d_2))/EM34,0.002*(EM34-(h_col-d_2))/(EM34-3*h_col/7))/0.002)))^2))))/1000</f>
        <v/>
      </c>
      <c r="EO34">
        <f>IF($EN34&lt;N_Ed-1E-9*MAX(1,N_Ed),(EK34+EL34)/2,EK34)</f>
        <v/>
      </c>
      <c r="EP34">
        <f>IF($EN34&lt;N_Ed-1E-9*MAX(1,N_Ed),EL34,(EK34+EL34)/2)</f>
        <v/>
      </c>
      <c r="EQ34">
        <f>h_col*((EO34+EP34)/2)/(1-(EO34+EP34)/2)</f>
        <v/>
      </c>
      <c r="ER34">
        <f>(f_cd*b_col*((3*MIN(EQ34,h_col)/7)+(4*MIN(EQ34,h_col)/7)*(1-((4*MIN(EQ34,h_col)/7)/(EQ34-(3*MIN(EQ34,h_col)/7)))^2/3))+$D34/2*((MAX(-f_yd,MIN(f_yd,200000*IF(EQ34&lt;=h_col,0.0035*(EQ34-d_2)/EQ34,0.002*(EQ34-d_2)/(EQ34-3*h_col/7))))-f_cd*(1-(1-MAX(0,MIN(1,IF(EQ34&lt;=h_col,0.0035*(EQ34-d_2)/EQ34,0.002*(EQ34-d_2)/(EQ34-3*h_col/7))/0.002)))^2))+(MAX(-f_yd,MIN(f_yd,200000*IF(EQ34&lt;=h_col,0.0035*(EQ34-(h_col-d_2))/EQ34,0.002*(EQ34-(h_col-d_2))/(EQ34-3*h_col/7))))-f_cd*(1-(1-MAX(0,MIN(1,IF(EQ34&lt;=h_col,0.0035*(EQ34-(h_col-d_2))/EQ34,0.002*(EQ34-(h_col-d_2))/(EQ34-3*h_col/7))/0.002)))^2))))/1000</f>
        <v/>
      </c>
      <c r="ES34">
        <f>IF($ER34&lt;N_Ed-1E-9*MAX(1,N_Ed),(EO34+EP34)/2,EO34)</f>
        <v/>
      </c>
      <c r="ET34">
        <f>IF($ER34&lt;N_Ed-1E-9*MAX(1,N_Ed),EP34,(EO34+EP34)/2)</f>
        <v/>
      </c>
      <c r="EU34">
        <f>h_col*((ES34+ET34)/2)/(1-(ES34+ET34)/2)</f>
        <v/>
      </c>
      <c r="EV34">
        <f>(f_cd*b_col*((3*MIN(EU34,h_col)/7)+(4*MIN(EU34,h_col)/7)*(1-((4*MIN(EU34,h_col)/7)/(EU34-(3*MIN(EU34,h_col)/7)))^2/3))+$D34/2*((MAX(-f_yd,MIN(f_yd,200000*IF(EU34&lt;=h_col,0.0035*(EU34-d_2)/EU34,0.002*(EU34-d_2)/(EU34-3*h_col/7))))-f_cd*(1-(1-MAX(0,MIN(1,IF(EU34&lt;=h_col,0.0035*(EU34-d_2)/EU34,0.002*(EU34-d_2)/(EU34-3*h_col/7))/0.002)))^2))+(MAX(-f_yd,MIN(f_yd,200000*IF(EU34&lt;=h_col,0.0035*(EU34-(h_col-d_2))/EU34,0.002*(EU34-(h_col-d_2))/(EU34-3*h_col/7))))-f_cd*(1-(1-MAX(0,MIN(1,IF(EU34&lt;=h_col,0.0035*(EU34-(h_col-d_2))/EU34,0.002*(EU34-(h_col-d_2))/(EU34-3*h_col/7))/0.002)))^2))))/1000</f>
        <v/>
      </c>
      <c r="EW34">
        <f>IF($EV34&lt;N_Ed-1E-9*MAX(1,N_Ed),(ES34+ET34)/2,ES34)</f>
        <v/>
      </c>
      <c r="EX34">
        <f>IF($EV34&lt;N_Ed-1E-9*MAX(1,N_Ed),ET34,(ES34+ET34)/2)</f>
        <v/>
      </c>
      <c r="EY34">
        <f>h_col*((EW34+EX34)/2)/(1-(EW34+EX34)/2)</f>
        <v/>
      </c>
      <c r="EZ34">
        <f>(f_cd*b_col*((3*MIN(EY34,h_col)/7)+(4*MIN(EY34,h_col)/7)*(1-((4*MIN(EY34,h_col)/7)/(EY34-(3*MIN(EY34,h_col)/7)))^2/3))+$D34/2*((MAX(-f_yd,MIN(f_yd,200000*IF(EY34&lt;=h_col,0.0035*(EY34-d_2)/EY34,0.002*(EY34-d_2)/(EY34-3*h_col/7))))-f_cd*(1-(1-MAX(0,MIN(1,IF(EY34&lt;=h_col,0.0035*(EY34-d_2)/EY34,0.002*(EY34-d_2)/(EY34-3*h_col/7))/0.002)))^2))+(MAX(-f_yd,MIN(f_yd,200000*IF(EY34&lt;=h_col,0.0035*(EY34-(h_col-d_2))/EY34,0.002*(EY34-(h_col-d_2))/(EY34-3*h_col/7))))-f_cd*(1-(1-MAX(0,MIN(1,IF(EY34&lt;=h_col,0.0035*(EY34-(h_col-d_2))/EY34,0.002*(EY34-(h_col-d_2))/(EY34-3*h_col/7))/0.002)))^2))))/1000</f>
        <v/>
      </c>
      <c r="FA34">
        <f>IF($EZ34&lt;N_Ed-1E-9*MAX(1,N_Ed),(EW34+EX34)/2,EW34)</f>
        <v/>
      </c>
      <c r="FB34">
        <f>IF($EZ34&lt;N_Ed-1E-9*MAX(1,N_Ed),EX34,(EW34+EX34)/2)</f>
        <v/>
      </c>
      <c r="FC34">
        <f>h_col*((FA34+FB34)/2)/(1-(FA34+FB34)/2)</f>
        <v/>
      </c>
      <c r="FD34">
        <f>(f_cd*b_col*((3*MIN(FC34,h_col)/7)+(4*MIN(FC34,h_col)/7)*(1-((4*MIN(FC34,h_col)/7)/(FC34-(3*MIN(FC34,h_col)/7)))^2/3))+$D34/2*((MAX(-f_yd,MIN(f_yd,200000*IF(FC34&lt;=h_col,0.0035*(FC34-d_2)/FC34,0.002*(FC34-d_2)/(FC34-3*h_col/7))))-f_cd*(1-(1-MAX(0,MIN(1,IF(FC34&lt;=h_col,0.0035*(FC34-d_2)/FC34,0.002*(FC34-d_2)/(FC34-3*h_col/7))/0.002)))^2))+(MAX(-f_yd,MIN(f_yd,200000*IF(FC34&lt;=h_col,0.0035*(FC34-(h_col-d_2))/FC34,0.002*(FC34-(h_col-d_2))/(FC34-3*h_col/7))))-f_cd*(1-(1-MAX(0,MIN(1,IF(FC34&lt;=h_col,0.0035*(FC34-(h_col-d_2))/FC34,0.002*(FC34-(h_col-d_2))/(FC34-3*h_col/7))/0.002)))^2))))/1000</f>
        <v/>
      </c>
      <c r="FE34">
        <f>IF($FD34&lt;N_Ed-1E-9*MAX(1,N_Ed),(FA34+FB34)/2,FA34)</f>
        <v/>
      </c>
      <c r="FF34">
        <f>IF($FD34&lt;N_Ed-1E-9*MAX(1,N_Ed),FB34,(FA34+FB34)/2)</f>
        <v/>
      </c>
      <c r="FG34">
        <f>h_col*((FE34+FF34)/2)/(1-(FE34+FF34)/2)</f>
        <v/>
      </c>
      <c r="FH34">
        <f>(f_cd*b_col*((3*MIN(FG34,h_col)/7)+(4*MIN(FG34,h_col)/7)*(1-((4*MIN(FG34,h_col)/7)/(FG34-(3*MIN(FG34,h_col)/7)))^2/3))+$D34/2*((MAX(-f_yd,MIN(f_yd,200000*IF(FG34&lt;=h_col,0.0035*(FG34-d_2)/FG34,0.002*(FG34-d_2)/(FG34-3*h_col/7))))-f_cd*(1-(1-MAX(0,MIN(1,IF(FG34&lt;=h_col,0.0035*(FG34-d_2)/FG34,0.002*(FG34-d_2)/(FG34-3*h_col/7))/0.002)))^2))+(MAX(-f_yd,MIN(f_yd,200000*IF(FG34&lt;=h_col,0.0035*(FG34-(h_col-d_2))/FG34,0.002*(FG34-(h_col-d_2))/(FG34-3*h_col/7))))-f_cd*(1-(1-MAX(0,MIN(1,IF(FG34&lt;=h_col,0.0035*(FG34-(h_col-d_2))/FG34,0.002*(FG34-(h_col-d_2))/(FG34-3*h_col/7))/0.002)))^2))))/1000</f>
        <v/>
      </c>
      <c r="FI34">
        <f>IF($FH34&lt;N_Ed-1E-9*MAX(1,N_Ed),(FE34+FF34)/2,FE34)</f>
        <v/>
      </c>
      <c r="FJ34">
        <f>IF($FH34&lt;N_Ed-1E-9*MAX(1,N_Ed),FF34,(FE34+FF34)/2)</f>
        <v/>
      </c>
      <c r="FK34">
        <f>h_col*((FI34+FJ34)/2)/(1-(FI34+FJ34)/2)</f>
        <v/>
      </c>
      <c r="FL34">
        <f>(f_cd*b_col*((3*MIN(FK34,h_col)/7)+(4*MIN(FK34,h_col)/7)*(1-((4*MIN(FK34,h_col)/7)/(FK34-(3*MIN(FK34,h_col)/7)))^2/3))+$D34/2*((MAX(-f_yd,MIN(f_yd,200000*IF(FK34&lt;=h_col,0.0035*(FK34-d_2)/FK34,0.002*(FK34-d_2)/(FK34-3*h_col/7))))-f_cd*(1-(1-MAX(0,MIN(1,IF(FK34&lt;=h_col,0.0035*(FK34-d_2)/FK34,0.002*(FK34-d_2)/(FK34-3*h_col/7))/0.002)))^2))+(MAX(-f_yd,MIN(f_yd,200000*IF(FK34&lt;=h_col,0.0035*(FK34-(h_col-d_2))/FK34,0.002*(FK34-(h_col-d_2))/(FK34-3*h_col/7))))-f_cd*(1-(1-MAX(0,MIN(1,IF(FK34&lt;=h_col,0.0035*(FK34-(h_col-d_2))/FK34,0.002*(FK34-(h_col-d_2))/(FK34-3*h_col/7))/0.002)))^2))))/1000</f>
        <v/>
      </c>
      <c r="FM34">
        <f>IF($FL34&lt;N_Ed-1E-9*MAX(1,N_Ed),(FI34+FJ34)/2,FI34)</f>
        <v/>
      </c>
      <c r="FN34">
        <f>IF($FL34&lt;N_Ed-1E-9*MAX(1,N_Ed),FJ34,(FI34+FJ34)/2)</f>
        <v/>
      </c>
      <c r="FO34">
        <f>h_col*((FM34+FN34)/2)/(1-(FM34+FN34)/2)</f>
        <v/>
      </c>
      <c r="FP34">
        <f>(f_cd*b_col*((3*MIN(FO34,h_col)/7)+(4*MIN(FO34,h_col)/7)*(1-((4*MIN(FO34,h_col)/7)/(FO34-(3*MIN(FO34,h_col)/7)))^2/3))+$D34/2*((MAX(-f_yd,MIN(f_yd,200000*IF(FO34&lt;=h_col,0.0035*(FO34-d_2)/FO34,0.002*(FO34-d_2)/(FO34-3*h_col/7))))-f_cd*(1-(1-MAX(0,MIN(1,IF(FO34&lt;=h_col,0.0035*(FO34-d_2)/FO34,0.002*(FO34-d_2)/(FO34-3*h_col/7))/0.002)))^2))+(MAX(-f_yd,MIN(f_yd,200000*IF(FO34&lt;=h_col,0.0035*(FO34-(h_col-d_2))/FO34,0.002*(FO34-(h_col-d_2))/(FO34-3*h_col/7))))-f_cd*(1-(1-MAX(0,MIN(1,IF(FO34&lt;=h_col,0.0035*(FO34-(h_col-d_2))/FO34,0.002*(FO34-(h_col-d_2))/(FO34-3*h_col/7))/0.002)))^2))))/1000</f>
        <v/>
      </c>
      <c r="FQ34">
        <f>IF($FP34&lt;N_Ed-1E-9*MAX(1,N_Ed),(FM34+FN34)/2,FM34)</f>
        <v/>
      </c>
      <c r="FR34">
        <f>IF($FP34&lt;N_Ed-1E-9*MAX(1,N_Ed),FN34,(FM34+FN34)/2)</f>
        <v/>
      </c>
      <c r="FS34">
        <f>h_col*((FQ34+FR34)/2)/(1-(FQ34+FR34)/2)</f>
        <v/>
      </c>
      <c r="FT34">
        <f>(f_cd*b_col*((3*MIN(FS34,h_col)/7)+(4*MIN(FS34,h_col)/7)*(1-((4*MIN(FS34,h_col)/7)/(FS34-(3*MIN(FS34,h_col)/7)))^2/3))+$D34/2*((MAX(-f_yd,MIN(f_yd,200000*IF(FS34&lt;=h_col,0.0035*(FS34-d_2)/FS34,0.002*(FS34-d_2)/(FS34-3*h_col/7))))-f_cd*(1-(1-MAX(0,MIN(1,IF(FS34&lt;=h_col,0.0035*(FS34-d_2)/FS34,0.002*(FS34-d_2)/(FS34-3*h_col/7))/0.002)))^2))+(MAX(-f_yd,MIN(f_yd,200000*IF(FS34&lt;=h_col,0.0035*(FS34-(h_col-d_2))/FS34,0.002*(FS34-(h_col-d_2))/(FS34-3*h_col/7))))-f_cd*(1-(1-MAX(0,MIN(1,IF(FS34&lt;=h_col,0.0035*(FS34-(h_col-d_2))/FS34,0.002*(FS34-(h_col-d_2))/(FS34-3*h_col/7))/0.002)))^2))))/1000</f>
        <v/>
      </c>
      <c r="FU34">
        <f>IF($FT34&lt;N_Ed-1E-9*MAX(1,N_Ed),(FQ34+FR34)/2,FQ34)</f>
        <v/>
      </c>
      <c r="FV34">
        <f>IF($FT34&lt;N_Ed-1E-9*MAX(1,N_Ed),FR34,(FQ34+FR34)/2)</f>
        <v/>
      </c>
      <c r="FW34">
        <f>h_col*((FU34+FV34)/2)/(1-(FU34+FV34)/2)</f>
        <v/>
      </c>
      <c r="FX34">
        <f>(f_cd*b_col*((3*MIN(FW34,h_col)/7)+(4*MIN(FW34,h_col)/7)*(1-((4*MIN(FW34,h_col)/7)/(FW34-(3*MIN(FW34,h_col)/7)))^2/3))+$D34/2*((MAX(-f_yd,MIN(f_yd,200000*IF(FW34&lt;=h_col,0.0035*(FW34-d_2)/FW34,0.002*(FW34-d_2)/(FW34-3*h_col/7))))-f_cd*(1-(1-MAX(0,MIN(1,IF(FW34&lt;=h_col,0.0035*(FW34-d_2)/FW34,0.002*(FW34-d_2)/(FW34-3*h_col/7))/0.002)))^2))+(MAX(-f_yd,MIN(f_yd,200000*IF(FW34&lt;=h_col,0.0035*(FW34-(h_col-d_2))/FW34,0.002*(FW34-(h_col-d_2))/(FW34-3*h_col/7))))-f_cd*(1-(1-MAX(0,MIN(1,IF(FW34&lt;=h_col,0.0035*(FW34-(h_col-d_2))/FW34,0.002*(FW34-(h_col-d_2))/(FW34-3*h_col/7))/0.002)))^2))))/1000</f>
        <v/>
      </c>
      <c r="FY34">
        <f>IF($FX34&lt;N_Ed-1E-9*MAX(1,N_Ed),(FU34+FV34)/2,FU34)</f>
        <v/>
      </c>
      <c r="FZ34">
        <f>IF($FX34&lt;N_Ed-1E-9*MAX(1,N_Ed),FV34,(FU34+FV34)/2)</f>
        <v/>
      </c>
      <c r="GA34">
        <f>h_col*((FY34+FZ34)/2)/(1-(FY34+FZ34)/2)</f>
        <v/>
      </c>
      <c r="GB34">
        <f>(f_cd*b_col*((3*MIN(GA34,h_col)/7)+(4*MIN(GA34,h_col)/7)*(1-((4*MIN(GA34,h_col)/7)/(GA34-(3*MIN(GA34,h_col)/7)))^2/3))+$D34/2*((MAX(-f_yd,MIN(f_yd,200000*IF(GA34&lt;=h_col,0.0035*(GA34-d_2)/GA34,0.002*(GA34-d_2)/(GA34-3*h_col/7))))-f_cd*(1-(1-MAX(0,MIN(1,IF(GA34&lt;=h_col,0.0035*(GA34-d_2)/GA34,0.002*(GA34-d_2)/(GA34-3*h_col/7))/0.002)))^2))+(MAX(-f_yd,MIN(f_yd,200000*IF(GA34&lt;=h_col,0.0035*(GA34-(h_col-d_2))/GA34,0.002*(GA34-(h_col-d_2))/(GA34-3*h_col/7))))-f_cd*(1-(1-MAX(0,MIN(1,IF(GA34&lt;=h_col,0.0035*(GA34-(h_col-d_2))/GA34,0.002*(GA34-(h_col-d_2))/(GA34-3*h_col/7))/0.002)))^2))))/1000</f>
        <v/>
      </c>
      <c r="GC34">
        <f>IF($GB34&lt;N_Ed-1E-9*MAX(1,N_Ed),(FY34+FZ34)/2,FY34)</f>
        <v/>
      </c>
      <c r="GD34">
        <f>IF($GB34&lt;N_Ed-1E-9*MAX(1,N_Ed),FZ34,(FY34+FZ34)/2)</f>
        <v/>
      </c>
      <c r="GE34">
        <f>h_col*((GC34+GD34)/2)/(1-(GC34+GD34)/2)</f>
        <v/>
      </c>
      <c r="GF34">
        <f>(f_cd*b_col*((3*MIN(GE34,h_col)/7)+(4*MIN(GE34,h_col)/7)*(1-((4*MIN(GE34,h_col)/7)/(GE34-(3*MIN(GE34,h_col)/7)))^2/3))+$D34/2*((MAX(-f_yd,MIN(f_yd,200000*IF(GE34&lt;=h_col,0.0035*(GE34-d_2)/GE34,0.002*(GE34-d_2)/(GE34-3*h_col/7))))-f_cd*(1-(1-MAX(0,MIN(1,IF(GE34&lt;=h_col,0.0035*(GE34-d_2)/GE34,0.002*(GE34-d_2)/(GE34-3*h_col/7))/0.002)))^2))+(MAX(-f_yd,MIN(f_yd,200000*IF(GE34&lt;=h_col,0.0035*(GE34-(h_col-d_2))/GE34,0.002*(GE34-(h_col-d_2))/(GE34-3*h_col/7))))-f_cd*(1-(1-MAX(0,MIN(1,IF(GE34&lt;=h_col,0.0035*(GE34-(h_col-d_2))/GE34,0.002*(GE34-(h_col-d_2))/(GE34-3*h_col/7))/0.002)))^2))))/1000</f>
        <v/>
      </c>
      <c r="GG34">
        <f>IF($GF34&lt;N_Ed-1E-9*MAX(1,N_Ed),(GC34+GD34)/2,GC34)</f>
        <v/>
      </c>
      <c r="GH34">
        <f>IF($GF34&lt;N_Ed-1E-9*MAX(1,N_Ed),GD34,(GC34+GD34)/2)</f>
        <v/>
      </c>
      <c r="GI34">
        <f>h_col*((GG34+GH34)/2)/(1-(GG34+GH34)/2)</f>
        <v/>
      </c>
      <c r="GJ34">
        <f>(f_cd*b_col*((3*MIN(GI34,h_col)/7)+(4*MIN(GI34,h_col)/7)*(1-((4*MIN(GI34,h_col)/7)/(GI34-(3*MIN(GI34,h_col)/7)))^2/3))+$D34/2*((MAX(-f_yd,MIN(f_yd,200000*IF(GI34&lt;=h_col,0.0035*(GI34-d_2)/GI34,0.002*(GI34-d_2)/(GI34-3*h_col/7))))-f_cd*(1-(1-MAX(0,MIN(1,IF(GI34&lt;=h_col,0.0035*(GI34-d_2)/GI34,0.002*(GI34-d_2)/(GI34-3*h_col/7))/0.002)))^2))+(MAX(-f_yd,MIN(f_yd,200000*IF(GI34&lt;=h_col,0.0035*(GI34-(h_col-d_2))/GI34,0.002*(GI34-(h_col-d_2))/(GI34-3*h_col/7))))-f_cd*(1-(1-MAX(0,MIN(1,IF(GI34&lt;=h_col,0.0035*(GI34-(h_col-d_2))/GI34,0.002*(GI34-(h_col-d_2))/(GI34-3*h_col/7))/0.002)))^2))))/1000</f>
        <v/>
      </c>
      <c r="GK34">
        <f>IF($GJ34&lt;N_Ed-1E-9*MAX(1,N_Ed),(GG34+GH34)/2,GG34)</f>
        <v/>
      </c>
      <c r="GL34">
        <f>IF($GJ34&lt;N_Ed-1E-9*MAX(1,N_Ed),GH34,(GG34+GH34)/2)</f>
        <v/>
      </c>
      <c r="GM34">
        <f>h_col*((GK34+GL34)/2)/(1-(GK34+GL34)/2)</f>
        <v/>
      </c>
      <c r="GN34">
        <f>(f_cd*b_col*((3*MIN(GM34,h_col)/7)+(4*MIN(GM34,h_col)/7)*(1-((4*MIN(GM34,h_col)/7)/(GM34-(3*MIN(GM34,h_col)/7)))^2/3))+$D34/2*((MAX(-f_yd,MIN(f_yd,200000*IF(GM34&lt;=h_col,0.0035*(GM34-d_2)/GM34,0.002*(GM34-d_2)/(GM34-3*h_col/7))))-f_cd*(1-(1-MAX(0,MIN(1,IF(GM34&lt;=h_col,0.0035*(GM34-d_2)/GM34,0.002*(GM34-d_2)/(GM34-3*h_col/7))/0.002)))^2))+(MAX(-f_yd,MIN(f_yd,200000*IF(GM34&lt;=h_col,0.0035*(GM34-(h_col-d_2))/GM34,0.002*(GM34-(h_col-d_2))/(GM34-3*h_col/7))))-f_cd*(1-(1-MAX(0,MIN(1,IF(GM34&lt;=h_col,0.0035*(GM34-(h_col-d_2))/GM34,0.002*(GM34-(h_col-d_2))/(GM34-3*h_col/7))/0.002)))^2))))/1000</f>
        <v/>
      </c>
      <c r="GO34">
        <f>IF($GN34&lt;N_Ed-1E-9*MAX(1,N_Ed),(GK34+GL34)/2,GK34)</f>
        <v/>
      </c>
      <c r="GP34">
        <f>IF($GN34&lt;N_Ed-1E-9*MAX(1,N_Ed),GL34,(GK34+GL34)/2)</f>
        <v/>
      </c>
      <c r="GQ34">
        <f>h_col*((GO34+GP34)/2)/(1-(GO34+GP34)/2)</f>
        <v/>
      </c>
      <c r="GR34">
        <f>(f_cd*b_col*((3*MIN(GQ34,h_col)/7)+(4*MIN(GQ34,h_col)/7)*(1-((4*MIN(GQ34,h_col)/7)/(GQ34-(3*MIN(GQ34,h_col)/7)))^2/3))+$D34/2*((MAX(-f_yd,MIN(f_yd,200000*IF(GQ34&lt;=h_col,0.0035*(GQ34-d_2)/GQ34,0.002*(GQ34-d_2)/(GQ34-3*h_col/7))))-f_cd*(1-(1-MAX(0,MIN(1,IF(GQ34&lt;=h_col,0.0035*(GQ34-d_2)/GQ34,0.002*(GQ34-d_2)/(GQ34-3*h_col/7))/0.002)))^2))+(MAX(-f_yd,MIN(f_yd,200000*IF(GQ34&lt;=h_col,0.0035*(GQ34-(h_col-d_2))/GQ34,0.002*(GQ34-(h_col-d_2))/(GQ34-3*h_col/7))))-f_cd*(1-(1-MAX(0,MIN(1,IF(GQ34&lt;=h_col,0.0035*(GQ34-(h_col-d_2))/GQ34,0.002*(GQ34-(h_col-d_2))/(GQ34-3*h_col/7))/0.002)))^2))))/1000</f>
        <v/>
      </c>
      <c r="GS34">
        <f>IF($GR34&lt;N_Ed-1E-9*MAX(1,N_Ed),(GO34+GP34)/2,GO34)</f>
        <v/>
      </c>
      <c r="GT34">
        <f>IF($GR34&lt;N_Ed-1E-9*MAX(1,N_Ed),GP34,(GO34+GP34)/2)</f>
        <v/>
      </c>
      <c r="GU34">
        <f>h_col*((GS34+GT34)/2)/(1-(GS34+GT34)/2)</f>
        <v/>
      </c>
      <c r="GV34">
        <f>(f_cd*b_col*((3*MIN(GU34,h_col)/7)+(4*MIN(GU34,h_col)/7)*(1-((4*MIN(GU34,h_col)/7)/(GU34-(3*MIN(GU34,h_col)/7)))^2/3))+$D34/2*((MAX(-f_yd,MIN(f_yd,200000*IF(GU34&lt;=h_col,0.0035*(GU34-d_2)/GU34,0.002*(GU34-d_2)/(GU34-3*h_col/7))))-f_cd*(1-(1-MAX(0,MIN(1,IF(GU34&lt;=h_col,0.0035*(GU34-d_2)/GU34,0.002*(GU34-d_2)/(GU34-3*h_col/7))/0.002)))^2))+(MAX(-f_yd,MIN(f_yd,200000*IF(GU34&lt;=h_col,0.0035*(GU34-(h_col-d_2))/GU34,0.002*(GU34-(h_col-d_2))/(GU34-3*h_col/7))))-f_cd*(1-(1-MAX(0,MIN(1,IF(GU34&lt;=h_col,0.0035*(GU34-(h_col-d_2))/GU34,0.002*(GU34-(h_col-d_2))/(GU34-3*h_col/7))/0.002)))^2))))/1000</f>
        <v/>
      </c>
      <c r="GW34">
        <f>GU34</f>
        <v/>
      </c>
      <c r="GX34">
        <f>(f_cd*b_col*((3*MIN(GW34,h_col)/7)+(4*MIN(GW34,h_col)/7)*(1-((4*MIN(GW34,h_col)/7)/(GW34-(3*MIN(GW34,h_col)/7)))^2/3))+$D34/2*((MAX(-f_yd,MIN(f_yd,200000*IF(GW34&lt;=h_col,0.0035*(GW34-d_2)/GW34,0.002*(GW34-d_2)/(GW34-3*h_col/7))))-f_cd*(1-(1-MAX(0,MIN(1,IF(GW34&lt;=h_col,0.0035*(GW34-d_2)/GW34,0.002*(GW34-d_2)/(GW34-3*h_col/7))/0.002)))^2))+(MAX(-f_yd,MIN(f_yd,200000*IF(GW34&lt;=h_col,0.0035*(GW34-(h_col-d_2))/GW34,0.002*(GW34-(h_col-d_2))/(GW34-3*h_col/7))))-f_cd*(1-(1-MAX(0,MIN(1,IF(GW34&lt;=h_col,0.0035*(GW34-(h_col-d_2))/GW34,0.002*(GW34-(h_col-d_2))/(GW34-3*h_col/7))/0.002)))^2))))/1000</f>
        <v/>
      </c>
      <c r="GY34">
        <f>(f_cd*b_col*((3*MIN(GW34,h_col)/7)*(h_col/2-(3*MIN(GW34,h_col)/7)/2)+(4*MIN(GW34,h_col)/7)*((h_col/2-(3*MIN(GW34,h_col)/7))*(1-((4*MIN(GW34,h_col)/7)/(GW34-(3*MIN(GW34,h_col)/7)))^2/3)-(4*MIN(GW34,h_col)/7)*(0.5-((4*MIN(GW34,h_col)/7)/(GW34-(3*MIN(GW34,h_col)/7)))^2/4)))+$D34/2*((MAX(-f_yd,MIN(f_yd,200000*IF(GW34&lt;=h_col,0.0035*(GW34-d_2)/GW34,0.002*(GW34-d_2)/(GW34-3*h_col/7))))-f_cd*(1-(1-MAX(0,MIN(1,IF(GW34&lt;=h_col,0.0035*(GW34-d_2)/GW34,0.002*(GW34-d_2)/(GW34-3*h_col/7))/0.002)))^2))-(MAX(-f_yd,MIN(f_yd,200000*IF(GW34&lt;=h_col,0.0035*(GW34-(h_col-d_2))/GW34,0.002*(GW34-(h_col-d_2))/(GW34-3*h_col/7))))-f_cd*(1-(1-MAX(0,MIN(1,IF(GW34&lt;=h_col,0.0035*(GW34-(h_col-d_2))/GW34,0.002*(GW34-(h_col-d_2))/(GW34-3*h_col/7))/0.002)))^2)))*(h_col/2-d_2))/1E6</f>
        <v/>
      </c>
      <c r="GZ34">
        <f>GX34&gt;=N_Ed-1E-6*MAX(1,N_Ed)</f>
        <v/>
      </c>
      <c r="HA34">
        <f>IF(GZ34,GY34,-1E9)</f>
        <v/>
      </c>
    </row>
    <row r="35">
      <c r="A35" t="n">
        <v>30</v>
      </c>
      <c r="B35">
        <f>IF($HA34&gt;=M_d,$B34,$D34)</f>
        <v/>
      </c>
      <c r="C35">
        <f>IF($HA34&gt;=M_d,$D34,$C34)</f>
        <v/>
      </c>
      <c r="D35">
        <f>($B35+$C35)/2</f>
        <v/>
      </c>
      <c r="E35" t="n">
        <v>0</v>
      </c>
      <c r="F35">
        <f>1-1E-12</f>
        <v/>
      </c>
      <c r="G35">
        <f>h_col*((E35+F35)/2)/(1-(E35+F35)/2)</f>
        <v/>
      </c>
      <c r="H35">
        <f>(f_cd*b_col*((3*MIN(G35,h_col)/7)+(4*MIN(G35,h_col)/7)*(1-((4*MIN(G35,h_col)/7)/(G35-(3*MIN(G35,h_col)/7)))^2/3))+$D35/2*((MAX(-f_yd,MIN(f_yd,200000*IF(G35&lt;=h_col,0.0035*(G35-d_2)/G35,0.002*(G35-d_2)/(G35-3*h_col/7))))-f_cd*(1-(1-MAX(0,MIN(1,IF(G35&lt;=h_col,0.0035*(G35-d_2)/G35,0.002*(G35-d_2)/(G35-3*h_col/7))/0.002)))^2))+(MAX(-f_yd,MIN(f_yd,200000*IF(G35&lt;=h_col,0.0035*(G35-(h_col-d_2))/G35,0.002*(G35-(h_col-d_2))/(G35-3*h_col/7))))-f_cd*(1-(1-MAX(0,MIN(1,IF(G35&lt;=h_col,0.0035*(G35-(h_col-d_2))/G35,0.002*(G35-(h_col-d_2))/(G35-3*h_col/7))/0.002)))^2))))/1000</f>
        <v/>
      </c>
      <c r="I35">
        <f>IF($H35&lt;N_Ed-1E-9*MAX(1,N_Ed),(E35+F35)/2,E35)</f>
        <v/>
      </c>
      <c r="J35">
        <f>IF($H35&lt;N_Ed-1E-9*MAX(1,N_Ed),F35,(E35+F35)/2)</f>
        <v/>
      </c>
      <c r="K35">
        <f>h_col*((I35+J35)/2)/(1-(I35+J35)/2)</f>
        <v/>
      </c>
      <c r="L35">
        <f>(f_cd*b_col*((3*MIN(K35,h_col)/7)+(4*MIN(K35,h_col)/7)*(1-((4*MIN(K35,h_col)/7)/(K35-(3*MIN(K35,h_col)/7)))^2/3))+$D35/2*((MAX(-f_yd,MIN(f_yd,200000*IF(K35&lt;=h_col,0.0035*(K35-d_2)/K35,0.002*(K35-d_2)/(K35-3*h_col/7))))-f_cd*(1-(1-MAX(0,MIN(1,IF(K35&lt;=h_col,0.0035*(K35-d_2)/K35,0.002*(K35-d_2)/(K35-3*h_col/7))/0.002)))^2))+(MAX(-f_yd,MIN(f_yd,200000*IF(K35&lt;=h_col,0.0035*(K35-(h_col-d_2))/K35,0.002*(K35-(h_col-d_2))/(K35-3*h_col/7))))-f_cd*(1-(1-MAX(0,MIN(1,IF(K35&lt;=h_col,0.0035*(K35-(h_col-d_2))/K35,0.002*(K35-(h_col-d_2))/(K35-3*h_col/7))/0.002)))^2))))/1000</f>
        <v/>
      </c>
      <c r="M35">
        <f>IF($L35&lt;N_Ed-1E-9*MAX(1,N_Ed),(I35+J35)/2,I35)</f>
        <v/>
      </c>
      <c r="N35">
        <f>IF($L35&lt;N_Ed-1E-9*MAX(1,N_Ed),J35,(I35+J35)/2)</f>
        <v/>
      </c>
      <c r="O35">
        <f>h_col*((M35+N35)/2)/(1-(M35+N35)/2)</f>
        <v/>
      </c>
      <c r="P35">
        <f>(f_cd*b_col*((3*MIN(O35,h_col)/7)+(4*MIN(O35,h_col)/7)*(1-((4*MIN(O35,h_col)/7)/(O35-(3*MIN(O35,h_col)/7)))^2/3))+$D35/2*((MAX(-f_yd,MIN(f_yd,200000*IF(O35&lt;=h_col,0.0035*(O35-d_2)/O35,0.002*(O35-d_2)/(O35-3*h_col/7))))-f_cd*(1-(1-MAX(0,MIN(1,IF(O35&lt;=h_col,0.0035*(O35-d_2)/O35,0.002*(O35-d_2)/(O35-3*h_col/7))/0.002)))^2))+(MAX(-f_yd,MIN(f_yd,200000*IF(O35&lt;=h_col,0.0035*(O35-(h_col-d_2))/O35,0.002*(O35-(h_col-d_2))/(O35-3*h_col/7))))-f_cd*(1-(1-MAX(0,MIN(1,IF(O35&lt;=h_col,0.0035*(O35-(h_col-d_2))/O35,0.002*(O35-(h_col-d_2))/(O35-3*h_col/7))/0.002)))^2))))/1000</f>
        <v/>
      </c>
      <c r="Q35">
        <f>IF($P35&lt;N_Ed-1E-9*MAX(1,N_Ed),(M35+N35)/2,M35)</f>
        <v/>
      </c>
      <c r="R35">
        <f>IF($P35&lt;N_Ed-1E-9*MAX(1,N_Ed),N35,(M35+N35)/2)</f>
        <v/>
      </c>
      <c r="S35">
        <f>h_col*((Q35+R35)/2)/(1-(Q35+R35)/2)</f>
        <v/>
      </c>
      <c r="T35">
        <f>(f_cd*b_col*((3*MIN(S35,h_col)/7)+(4*MIN(S35,h_col)/7)*(1-((4*MIN(S35,h_col)/7)/(S35-(3*MIN(S35,h_col)/7)))^2/3))+$D35/2*((MAX(-f_yd,MIN(f_yd,200000*IF(S35&lt;=h_col,0.0035*(S35-d_2)/S35,0.002*(S35-d_2)/(S35-3*h_col/7))))-f_cd*(1-(1-MAX(0,MIN(1,IF(S35&lt;=h_col,0.0035*(S35-d_2)/S35,0.002*(S35-d_2)/(S35-3*h_col/7))/0.002)))^2))+(MAX(-f_yd,MIN(f_yd,200000*IF(S35&lt;=h_col,0.0035*(S35-(h_col-d_2))/S35,0.002*(S35-(h_col-d_2))/(S35-3*h_col/7))))-f_cd*(1-(1-MAX(0,MIN(1,IF(S35&lt;=h_col,0.0035*(S35-(h_col-d_2))/S35,0.002*(S35-(h_col-d_2))/(S35-3*h_col/7))/0.002)))^2))))/1000</f>
        <v/>
      </c>
      <c r="U35">
        <f>IF($T35&lt;N_Ed-1E-9*MAX(1,N_Ed),(Q35+R35)/2,Q35)</f>
        <v/>
      </c>
      <c r="V35">
        <f>IF($T35&lt;N_Ed-1E-9*MAX(1,N_Ed),R35,(Q35+R35)/2)</f>
        <v/>
      </c>
      <c r="W35">
        <f>h_col*((U35+V35)/2)/(1-(U35+V35)/2)</f>
        <v/>
      </c>
      <c r="X35">
        <f>(f_cd*b_col*((3*MIN(W35,h_col)/7)+(4*MIN(W35,h_col)/7)*(1-((4*MIN(W35,h_col)/7)/(W35-(3*MIN(W35,h_col)/7)))^2/3))+$D35/2*((MAX(-f_yd,MIN(f_yd,200000*IF(W35&lt;=h_col,0.0035*(W35-d_2)/W35,0.002*(W35-d_2)/(W35-3*h_col/7))))-f_cd*(1-(1-MAX(0,MIN(1,IF(W35&lt;=h_col,0.0035*(W35-d_2)/W35,0.002*(W35-d_2)/(W35-3*h_col/7))/0.002)))^2))+(MAX(-f_yd,MIN(f_yd,200000*IF(W35&lt;=h_col,0.0035*(W35-(h_col-d_2))/W35,0.002*(W35-(h_col-d_2))/(W35-3*h_col/7))))-f_cd*(1-(1-MAX(0,MIN(1,IF(W35&lt;=h_col,0.0035*(W35-(h_col-d_2))/W35,0.002*(W35-(h_col-d_2))/(W35-3*h_col/7))/0.002)))^2))))/1000</f>
        <v/>
      </c>
      <c r="Y35">
        <f>IF($X35&lt;N_Ed-1E-9*MAX(1,N_Ed),(U35+V35)/2,U35)</f>
        <v/>
      </c>
      <c r="Z35">
        <f>IF($X35&lt;N_Ed-1E-9*MAX(1,N_Ed),V35,(U35+V35)/2)</f>
        <v/>
      </c>
      <c r="AA35">
        <f>h_col*((Y35+Z35)/2)/(1-(Y35+Z35)/2)</f>
        <v/>
      </c>
      <c r="AB35">
        <f>(f_cd*b_col*((3*MIN(AA35,h_col)/7)+(4*MIN(AA35,h_col)/7)*(1-((4*MIN(AA35,h_col)/7)/(AA35-(3*MIN(AA35,h_col)/7)))^2/3))+$D35/2*((MAX(-f_yd,MIN(f_yd,200000*IF(AA35&lt;=h_col,0.0035*(AA35-d_2)/AA35,0.002*(AA35-d_2)/(AA35-3*h_col/7))))-f_cd*(1-(1-MAX(0,MIN(1,IF(AA35&lt;=h_col,0.0035*(AA35-d_2)/AA35,0.002*(AA35-d_2)/(AA35-3*h_col/7))/0.002)))^2))+(MAX(-f_yd,MIN(f_yd,200000*IF(AA35&lt;=h_col,0.0035*(AA35-(h_col-d_2))/AA35,0.002*(AA35-(h_col-d_2))/(AA35-3*h_col/7))))-f_cd*(1-(1-MAX(0,MIN(1,IF(AA35&lt;=h_col,0.0035*(AA35-(h_col-d_2))/AA35,0.002*(AA35-(h_col-d_2))/(AA35-3*h_col/7))/0.002)))^2))))/1000</f>
        <v/>
      </c>
      <c r="AC35">
        <f>IF($AB35&lt;N_Ed-1E-9*MAX(1,N_Ed),(Y35+Z35)/2,Y35)</f>
        <v/>
      </c>
      <c r="AD35">
        <f>IF($AB35&lt;N_Ed-1E-9*MAX(1,N_Ed),Z35,(Y35+Z35)/2)</f>
        <v/>
      </c>
      <c r="AE35">
        <f>h_col*((AC35+AD35)/2)/(1-(AC35+AD35)/2)</f>
        <v/>
      </c>
      <c r="AF35">
        <f>(f_cd*b_col*((3*MIN(AE35,h_col)/7)+(4*MIN(AE35,h_col)/7)*(1-((4*MIN(AE35,h_col)/7)/(AE35-(3*MIN(AE35,h_col)/7)))^2/3))+$D35/2*((MAX(-f_yd,MIN(f_yd,200000*IF(AE35&lt;=h_col,0.0035*(AE35-d_2)/AE35,0.002*(AE35-d_2)/(AE35-3*h_col/7))))-f_cd*(1-(1-MAX(0,MIN(1,IF(AE35&lt;=h_col,0.0035*(AE35-d_2)/AE35,0.002*(AE35-d_2)/(AE35-3*h_col/7))/0.002)))^2))+(MAX(-f_yd,MIN(f_yd,200000*IF(AE35&lt;=h_col,0.0035*(AE35-(h_col-d_2))/AE35,0.002*(AE35-(h_col-d_2))/(AE35-3*h_col/7))))-f_cd*(1-(1-MAX(0,MIN(1,IF(AE35&lt;=h_col,0.0035*(AE35-(h_col-d_2))/AE35,0.002*(AE35-(h_col-d_2))/(AE35-3*h_col/7))/0.002)))^2))))/1000</f>
        <v/>
      </c>
      <c r="AG35">
        <f>IF($AF35&lt;N_Ed-1E-9*MAX(1,N_Ed),(AC35+AD35)/2,AC35)</f>
        <v/>
      </c>
      <c r="AH35">
        <f>IF($AF35&lt;N_Ed-1E-9*MAX(1,N_Ed),AD35,(AC35+AD35)/2)</f>
        <v/>
      </c>
      <c r="AI35">
        <f>h_col*((AG35+AH35)/2)/(1-(AG35+AH35)/2)</f>
        <v/>
      </c>
      <c r="AJ35">
        <f>(f_cd*b_col*((3*MIN(AI35,h_col)/7)+(4*MIN(AI35,h_col)/7)*(1-((4*MIN(AI35,h_col)/7)/(AI35-(3*MIN(AI35,h_col)/7)))^2/3))+$D35/2*((MAX(-f_yd,MIN(f_yd,200000*IF(AI35&lt;=h_col,0.0035*(AI35-d_2)/AI35,0.002*(AI35-d_2)/(AI35-3*h_col/7))))-f_cd*(1-(1-MAX(0,MIN(1,IF(AI35&lt;=h_col,0.0035*(AI35-d_2)/AI35,0.002*(AI35-d_2)/(AI35-3*h_col/7))/0.002)))^2))+(MAX(-f_yd,MIN(f_yd,200000*IF(AI35&lt;=h_col,0.0035*(AI35-(h_col-d_2))/AI35,0.002*(AI35-(h_col-d_2))/(AI35-3*h_col/7))))-f_cd*(1-(1-MAX(0,MIN(1,IF(AI35&lt;=h_col,0.0035*(AI35-(h_col-d_2))/AI35,0.002*(AI35-(h_col-d_2))/(AI35-3*h_col/7))/0.002)))^2))))/1000</f>
        <v/>
      </c>
      <c r="AK35">
        <f>IF($AJ35&lt;N_Ed-1E-9*MAX(1,N_Ed),(AG35+AH35)/2,AG35)</f>
        <v/>
      </c>
      <c r="AL35">
        <f>IF($AJ35&lt;N_Ed-1E-9*MAX(1,N_Ed),AH35,(AG35+AH35)/2)</f>
        <v/>
      </c>
      <c r="AM35">
        <f>h_col*((AK35+AL35)/2)/(1-(AK35+AL35)/2)</f>
        <v/>
      </c>
      <c r="AN35">
        <f>(f_cd*b_col*((3*MIN(AM35,h_col)/7)+(4*MIN(AM35,h_col)/7)*(1-((4*MIN(AM35,h_col)/7)/(AM35-(3*MIN(AM35,h_col)/7)))^2/3))+$D35/2*((MAX(-f_yd,MIN(f_yd,200000*IF(AM35&lt;=h_col,0.0035*(AM35-d_2)/AM35,0.002*(AM35-d_2)/(AM35-3*h_col/7))))-f_cd*(1-(1-MAX(0,MIN(1,IF(AM35&lt;=h_col,0.0035*(AM35-d_2)/AM35,0.002*(AM35-d_2)/(AM35-3*h_col/7))/0.002)))^2))+(MAX(-f_yd,MIN(f_yd,200000*IF(AM35&lt;=h_col,0.0035*(AM35-(h_col-d_2))/AM35,0.002*(AM35-(h_col-d_2))/(AM35-3*h_col/7))))-f_cd*(1-(1-MAX(0,MIN(1,IF(AM35&lt;=h_col,0.0035*(AM35-(h_col-d_2))/AM35,0.002*(AM35-(h_col-d_2))/(AM35-3*h_col/7))/0.002)))^2))))/1000</f>
        <v/>
      </c>
      <c r="AO35">
        <f>IF($AN35&lt;N_Ed-1E-9*MAX(1,N_Ed),(AK35+AL35)/2,AK35)</f>
        <v/>
      </c>
      <c r="AP35">
        <f>IF($AN35&lt;N_Ed-1E-9*MAX(1,N_Ed),AL35,(AK35+AL35)/2)</f>
        <v/>
      </c>
      <c r="AQ35">
        <f>h_col*((AO35+AP35)/2)/(1-(AO35+AP35)/2)</f>
        <v/>
      </c>
      <c r="AR35">
        <f>(f_cd*b_col*((3*MIN(AQ35,h_col)/7)+(4*MIN(AQ35,h_col)/7)*(1-((4*MIN(AQ35,h_col)/7)/(AQ35-(3*MIN(AQ35,h_col)/7)))^2/3))+$D35/2*((MAX(-f_yd,MIN(f_yd,200000*IF(AQ35&lt;=h_col,0.0035*(AQ35-d_2)/AQ35,0.002*(AQ35-d_2)/(AQ35-3*h_col/7))))-f_cd*(1-(1-MAX(0,MIN(1,IF(AQ35&lt;=h_col,0.0035*(AQ35-d_2)/AQ35,0.002*(AQ35-d_2)/(AQ35-3*h_col/7))/0.002)))^2))+(MAX(-f_yd,MIN(f_yd,200000*IF(AQ35&lt;=h_col,0.0035*(AQ35-(h_col-d_2))/AQ35,0.002*(AQ35-(h_col-d_2))/(AQ35-3*h_col/7))))-f_cd*(1-(1-MAX(0,MIN(1,IF(AQ35&lt;=h_col,0.0035*(AQ35-(h_col-d_2))/AQ35,0.002*(AQ35-(h_col-d_2))/(AQ35-3*h_col/7))/0.002)))^2))))/1000</f>
        <v/>
      </c>
      <c r="AS35">
        <f>IF($AR35&lt;N_Ed-1E-9*MAX(1,N_Ed),(AO35+AP35)/2,AO35)</f>
        <v/>
      </c>
      <c r="AT35">
        <f>IF($AR35&lt;N_Ed-1E-9*MAX(1,N_Ed),AP35,(AO35+AP35)/2)</f>
        <v/>
      </c>
      <c r="AU35">
        <f>h_col*((AS35+AT35)/2)/(1-(AS35+AT35)/2)</f>
        <v/>
      </c>
      <c r="AV35">
        <f>(f_cd*b_col*((3*MIN(AU35,h_col)/7)+(4*MIN(AU35,h_col)/7)*(1-((4*MIN(AU35,h_col)/7)/(AU35-(3*MIN(AU35,h_col)/7)))^2/3))+$D35/2*((MAX(-f_yd,MIN(f_yd,200000*IF(AU35&lt;=h_col,0.0035*(AU35-d_2)/AU35,0.002*(AU35-d_2)/(AU35-3*h_col/7))))-f_cd*(1-(1-MAX(0,MIN(1,IF(AU35&lt;=h_col,0.0035*(AU35-d_2)/AU35,0.002*(AU35-d_2)/(AU35-3*h_col/7))/0.002)))^2))+(MAX(-f_yd,MIN(f_yd,200000*IF(AU35&lt;=h_col,0.0035*(AU35-(h_col-d_2))/AU35,0.002*(AU35-(h_col-d_2))/(AU35-3*h_col/7))))-f_cd*(1-(1-MAX(0,MIN(1,IF(AU35&lt;=h_col,0.0035*(AU35-(h_col-d_2))/AU35,0.002*(AU35-(h_col-d_2))/(AU35-3*h_col/7))/0.002)))^2))))/1000</f>
        <v/>
      </c>
      <c r="AW35">
        <f>IF($AV35&lt;N_Ed-1E-9*MAX(1,N_Ed),(AS35+AT35)/2,AS35)</f>
        <v/>
      </c>
      <c r="AX35">
        <f>IF($AV35&lt;N_Ed-1E-9*MAX(1,N_Ed),AT35,(AS35+AT35)/2)</f>
        <v/>
      </c>
      <c r="AY35">
        <f>h_col*((AW35+AX35)/2)/(1-(AW35+AX35)/2)</f>
        <v/>
      </c>
      <c r="AZ35">
        <f>(f_cd*b_col*((3*MIN(AY35,h_col)/7)+(4*MIN(AY35,h_col)/7)*(1-((4*MIN(AY35,h_col)/7)/(AY35-(3*MIN(AY35,h_col)/7)))^2/3))+$D35/2*((MAX(-f_yd,MIN(f_yd,200000*IF(AY35&lt;=h_col,0.0035*(AY35-d_2)/AY35,0.002*(AY35-d_2)/(AY35-3*h_col/7))))-f_cd*(1-(1-MAX(0,MIN(1,IF(AY35&lt;=h_col,0.0035*(AY35-d_2)/AY35,0.002*(AY35-d_2)/(AY35-3*h_col/7))/0.002)))^2))+(MAX(-f_yd,MIN(f_yd,200000*IF(AY35&lt;=h_col,0.0035*(AY35-(h_col-d_2))/AY35,0.002*(AY35-(h_col-d_2))/(AY35-3*h_col/7))))-f_cd*(1-(1-MAX(0,MIN(1,IF(AY35&lt;=h_col,0.0035*(AY35-(h_col-d_2))/AY35,0.002*(AY35-(h_col-d_2))/(AY35-3*h_col/7))/0.002)))^2))))/1000</f>
        <v/>
      </c>
      <c r="BA35">
        <f>IF($AZ35&lt;N_Ed-1E-9*MAX(1,N_Ed),(AW35+AX35)/2,AW35)</f>
        <v/>
      </c>
      <c r="BB35">
        <f>IF($AZ35&lt;N_Ed-1E-9*MAX(1,N_Ed),AX35,(AW35+AX35)/2)</f>
        <v/>
      </c>
      <c r="BC35">
        <f>h_col*((BA35+BB35)/2)/(1-(BA35+BB35)/2)</f>
        <v/>
      </c>
      <c r="BD35">
        <f>(f_cd*b_col*((3*MIN(BC35,h_col)/7)+(4*MIN(BC35,h_col)/7)*(1-((4*MIN(BC35,h_col)/7)/(BC35-(3*MIN(BC35,h_col)/7)))^2/3))+$D35/2*((MAX(-f_yd,MIN(f_yd,200000*IF(BC35&lt;=h_col,0.0035*(BC35-d_2)/BC35,0.002*(BC35-d_2)/(BC35-3*h_col/7))))-f_cd*(1-(1-MAX(0,MIN(1,IF(BC35&lt;=h_col,0.0035*(BC35-d_2)/BC35,0.002*(BC35-d_2)/(BC35-3*h_col/7))/0.002)))^2))+(MAX(-f_yd,MIN(f_yd,200000*IF(BC35&lt;=h_col,0.0035*(BC35-(h_col-d_2))/BC35,0.002*(BC35-(h_col-d_2))/(BC35-3*h_col/7))))-f_cd*(1-(1-MAX(0,MIN(1,IF(BC35&lt;=h_col,0.0035*(BC35-(h_col-d_2))/BC35,0.002*(BC35-(h_col-d_2))/(BC35-3*h_col/7))/0.002)))^2))))/1000</f>
        <v/>
      </c>
      <c r="BE35">
        <f>IF($BD35&lt;N_Ed-1E-9*MAX(1,N_Ed),(BA35+BB35)/2,BA35)</f>
        <v/>
      </c>
      <c r="BF35">
        <f>IF($BD35&lt;N_Ed-1E-9*MAX(1,N_Ed),BB35,(BA35+BB35)/2)</f>
        <v/>
      </c>
      <c r="BG35">
        <f>h_col*((BE35+BF35)/2)/(1-(BE35+BF35)/2)</f>
        <v/>
      </c>
      <c r="BH35">
        <f>(f_cd*b_col*((3*MIN(BG35,h_col)/7)+(4*MIN(BG35,h_col)/7)*(1-((4*MIN(BG35,h_col)/7)/(BG35-(3*MIN(BG35,h_col)/7)))^2/3))+$D35/2*((MAX(-f_yd,MIN(f_yd,200000*IF(BG35&lt;=h_col,0.0035*(BG35-d_2)/BG35,0.002*(BG35-d_2)/(BG35-3*h_col/7))))-f_cd*(1-(1-MAX(0,MIN(1,IF(BG35&lt;=h_col,0.0035*(BG35-d_2)/BG35,0.002*(BG35-d_2)/(BG35-3*h_col/7))/0.002)))^2))+(MAX(-f_yd,MIN(f_yd,200000*IF(BG35&lt;=h_col,0.0035*(BG35-(h_col-d_2))/BG35,0.002*(BG35-(h_col-d_2))/(BG35-3*h_col/7))))-f_cd*(1-(1-MAX(0,MIN(1,IF(BG35&lt;=h_col,0.0035*(BG35-(h_col-d_2))/BG35,0.002*(BG35-(h_col-d_2))/(BG35-3*h_col/7))/0.002)))^2))))/1000</f>
        <v/>
      </c>
      <c r="BI35">
        <f>IF($BH35&lt;N_Ed-1E-9*MAX(1,N_Ed),(BE35+BF35)/2,BE35)</f>
        <v/>
      </c>
      <c r="BJ35">
        <f>IF($BH35&lt;N_Ed-1E-9*MAX(1,N_Ed),BF35,(BE35+BF35)/2)</f>
        <v/>
      </c>
      <c r="BK35">
        <f>h_col*((BI35+BJ35)/2)/(1-(BI35+BJ35)/2)</f>
        <v/>
      </c>
      <c r="BL35">
        <f>(f_cd*b_col*((3*MIN(BK35,h_col)/7)+(4*MIN(BK35,h_col)/7)*(1-((4*MIN(BK35,h_col)/7)/(BK35-(3*MIN(BK35,h_col)/7)))^2/3))+$D35/2*((MAX(-f_yd,MIN(f_yd,200000*IF(BK35&lt;=h_col,0.0035*(BK35-d_2)/BK35,0.002*(BK35-d_2)/(BK35-3*h_col/7))))-f_cd*(1-(1-MAX(0,MIN(1,IF(BK35&lt;=h_col,0.0035*(BK35-d_2)/BK35,0.002*(BK35-d_2)/(BK35-3*h_col/7))/0.002)))^2))+(MAX(-f_yd,MIN(f_yd,200000*IF(BK35&lt;=h_col,0.0035*(BK35-(h_col-d_2))/BK35,0.002*(BK35-(h_col-d_2))/(BK35-3*h_col/7))))-f_cd*(1-(1-MAX(0,MIN(1,IF(BK35&lt;=h_col,0.0035*(BK35-(h_col-d_2))/BK35,0.002*(BK35-(h_col-d_2))/(BK35-3*h_col/7))/0.002)))^2))))/1000</f>
        <v/>
      </c>
      <c r="BM35">
        <f>IF($BL35&lt;N_Ed-1E-9*MAX(1,N_Ed),(BI35+BJ35)/2,BI35)</f>
        <v/>
      </c>
      <c r="BN35">
        <f>IF($BL35&lt;N_Ed-1E-9*MAX(1,N_Ed),BJ35,(BI35+BJ35)/2)</f>
        <v/>
      </c>
      <c r="BO35">
        <f>h_col*((BM35+BN35)/2)/(1-(BM35+BN35)/2)</f>
        <v/>
      </c>
      <c r="BP35">
        <f>(f_cd*b_col*((3*MIN(BO35,h_col)/7)+(4*MIN(BO35,h_col)/7)*(1-((4*MIN(BO35,h_col)/7)/(BO35-(3*MIN(BO35,h_col)/7)))^2/3))+$D35/2*((MAX(-f_yd,MIN(f_yd,200000*IF(BO35&lt;=h_col,0.0035*(BO35-d_2)/BO35,0.002*(BO35-d_2)/(BO35-3*h_col/7))))-f_cd*(1-(1-MAX(0,MIN(1,IF(BO35&lt;=h_col,0.0035*(BO35-d_2)/BO35,0.002*(BO35-d_2)/(BO35-3*h_col/7))/0.002)))^2))+(MAX(-f_yd,MIN(f_yd,200000*IF(BO35&lt;=h_col,0.0035*(BO35-(h_col-d_2))/BO35,0.002*(BO35-(h_col-d_2))/(BO35-3*h_col/7))))-f_cd*(1-(1-MAX(0,MIN(1,IF(BO35&lt;=h_col,0.0035*(BO35-(h_col-d_2))/BO35,0.002*(BO35-(h_col-d_2))/(BO35-3*h_col/7))/0.002)))^2))))/1000</f>
        <v/>
      </c>
      <c r="BQ35">
        <f>IF($BP35&lt;N_Ed-1E-9*MAX(1,N_Ed),(BM35+BN35)/2,BM35)</f>
        <v/>
      </c>
      <c r="BR35">
        <f>IF($BP35&lt;N_Ed-1E-9*MAX(1,N_Ed),BN35,(BM35+BN35)/2)</f>
        <v/>
      </c>
      <c r="BS35">
        <f>h_col*((BQ35+BR35)/2)/(1-(BQ35+BR35)/2)</f>
        <v/>
      </c>
      <c r="BT35">
        <f>(f_cd*b_col*((3*MIN(BS35,h_col)/7)+(4*MIN(BS35,h_col)/7)*(1-((4*MIN(BS35,h_col)/7)/(BS35-(3*MIN(BS35,h_col)/7)))^2/3))+$D35/2*((MAX(-f_yd,MIN(f_yd,200000*IF(BS35&lt;=h_col,0.0035*(BS35-d_2)/BS35,0.002*(BS35-d_2)/(BS35-3*h_col/7))))-f_cd*(1-(1-MAX(0,MIN(1,IF(BS35&lt;=h_col,0.0035*(BS35-d_2)/BS35,0.002*(BS35-d_2)/(BS35-3*h_col/7))/0.002)))^2))+(MAX(-f_yd,MIN(f_yd,200000*IF(BS35&lt;=h_col,0.0035*(BS35-(h_col-d_2))/BS35,0.002*(BS35-(h_col-d_2))/(BS35-3*h_col/7))))-f_cd*(1-(1-MAX(0,MIN(1,IF(BS35&lt;=h_col,0.0035*(BS35-(h_col-d_2))/BS35,0.002*(BS35-(h_col-d_2))/(BS35-3*h_col/7))/0.002)))^2))))/1000</f>
        <v/>
      </c>
      <c r="BU35">
        <f>IF($BT35&lt;N_Ed-1E-9*MAX(1,N_Ed),(BQ35+BR35)/2,BQ35)</f>
        <v/>
      </c>
      <c r="BV35">
        <f>IF($BT35&lt;N_Ed-1E-9*MAX(1,N_Ed),BR35,(BQ35+BR35)/2)</f>
        <v/>
      </c>
      <c r="BW35">
        <f>h_col*((BU35+BV35)/2)/(1-(BU35+BV35)/2)</f>
        <v/>
      </c>
      <c r="BX35">
        <f>(f_cd*b_col*((3*MIN(BW35,h_col)/7)+(4*MIN(BW35,h_col)/7)*(1-((4*MIN(BW35,h_col)/7)/(BW35-(3*MIN(BW35,h_col)/7)))^2/3))+$D35/2*((MAX(-f_yd,MIN(f_yd,200000*IF(BW35&lt;=h_col,0.0035*(BW35-d_2)/BW35,0.002*(BW35-d_2)/(BW35-3*h_col/7))))-f_cd*(1-(1-MAX(0,MIN(1,IF(BW35&lt;=h_col,0.0035*(BW35-d_2)/BW35,0.002*(BW35-d_2)/(BW35-3*h_col/7))/0.002)))^2))+(MAX(-f_yd,MIN(f_yd,200000*IF(BW35&lt;=h_col,0.0035*(BW35-(h_col-d_2))/BW35,0.002*(BW35-(h_col-d_2))/(BW35-3*h_col/7))))-f_cd*(1-(1-MAX(0,MIN(1,IF(BW35&lt;=h_col,0.0035*(BW35-(h_col-d_2))/BW35,0.002*(BW35-(h_col-d_2))/(BW35-3*h_col/7))/0.002)))^2))))/1000</f>
        <v/>
      </c>
      <c r="BY35">
        <f>IF($BX35&lt;N_Ed-1E-9*MAX(1,N_Ed),(BU35+BV35)/2,BU35)</f>
        <v/>
      </c>
      <c r="BZ35">
        <f>IF($BX35&lt;N_Ed-1E-9*MAX(1,N_Ed),BV35,(BU35+BV35)/2)</f>
        <v/>
      </c>
      <c r="CA35">
        <f>h_col*((BY35+BZ35)/2)/(1-(BY35+BZ35)/2)</f>
        <v/>
      </c>
      <c r="CB35">
        <f>(f_cd*b_col*((3*MIN(CA35,h_col)/7)+(4*MIN(CA35,h_col)/7)*(1-((4*MIN(CA35,h_col)/7)/(CA35-(3*MIN(CA35,h_col)/7)))^2/3))+$D35/2*((MAX(-f_yd,MIN(f_yd,200000*IF(CA35&lt;=h_col,0.0035*(CA35-d_2)/CA35,0.002*(CA35-d_2)/(CA35-3*h_col/7))))-f_cd*(1-(1-MAX(0,MIN(1,IF(CA35&lt;=h_col,0.0035*(CA35-d_2)/CA35,0.002*(CA35-d_2)/(CA35-3*h_col/7))/0.002)))^2))+(MAX(-f_yd,MIN(f_yd,200000*IF(CA35&lt;=h_col,0.0035*(CA35-(h_col-d_2))/CA35,0.002*(CA35-(h_col-d_2))/(CA35-3*h_col/7))))-f_cd*(1-(1-MAX(0,MIN(1,IF(CA35&lt;=h_col,0.0035*(CA35-(h_col-d_2))/CA35,0.002*(CA35-(h_col-d_2))/(CA35-3*h_col/7))/0.002)))^2))))/1000</f>
        <v/>
      </c>
      <c r="CC35">
        <f>IF($CB35&lt;N_Ed-1E-9*MAX(1,N_Ed),(BY35+BZ35)/2,BY35)</f>
        <v/>
      </c>
      <c r="CD35">
        <f>IF($CB35&lt;N_Ed-1E-9*MAX(1,N_Ed),BZ35,(BY35+BZ35)/2)</f>
        <v/>
      </c>
      <c r="CE35">
        <f>h_col*((CC35+CD35)/2)/(1-(CC35+CD35)/2)</f>
        <v/>
      </c>
      <c r="CF35">
        <f>(f_cd*b_col*((3*MIN(CE35,h_col)/7)+(4*MIN(CE35,h_col)/7)*(1-((4*MIN(CE35,h_col)/7)/(CE35-(3*MIN(CE35,h_col)/7)))^2/3))+$D35/2*((MAX(-f_yd,MIN(f_yd,200000*IF(CE35&lt;=h_col,0.0035*(CE35-d_2)/CE35,0.002*(CE35-d_2)/(CE35-3*h_col/7))))-f_cd*(1-(1-MAX(0,MIN(1,IF(CE35&lt;=h_col,0.0035*(CE35-d_2)/CE35,0.002*(CE35-d_2)/(CE35-3*h_col/7))/0.002)))^2))+(MAX(-f_yd,MIN(f_yd,200000*IF(CE35&lt;=h_col,0.0035*(CE35-(h_col-d_2))/CE35,0.002*(CE35-(h_col-d_2))/(CE35-3*h_col/7))))-f_cd*(1-(1-MAX(0,MIN(1,IF(CE35&lt;=h_col,0.0035*(CE35-(h_col-d_2))/CE35,0.002*(CE35-(h_col-d_2))/(CE35-3*h_col/7))/0.002)))^2))))/1000</f>
        <v/>
      </c>
      <c r="CG35">
        <f>IF($CF35&lt;N_Ed-1E-9*MAX(1,N_Ed),(CC35+CD35)/2,CC35)</f>
        <v/>
      </c>
      <c r="CH35">
        <f>IF($CF35&lt;N_Ed-1E-9*MAX(1,N_Ed),CD35,(CC35+CD35)/2)</f>
        <v/>
      </c>
      <c r="CI35">
        <f>h_col*((CG35+CH35)/2)/(1-(CG35+CH35)/2)</f>
        <v/>
      </c>
      <c r="CJ35">
        <f>(f_cd*b_col*((3*MIN(CI35,h_col)/7)+(4*MIN(CI35,h_col)/7)*(1-((4*MIN(CI35,h_col)/7)/(CI35-(3*MIN(CI35,h_col)/7)))^2/3))+$D35/2*((MAX(-f_yd,MIN(f_yd,200000*IF(CI35&lt;=h_col,0.0035*(CI35-d_2)/CI35,0.002*(CI35-d_2)/(CI35-3*h_col/7))))-f_cd*(1-(1-MAX(0,MIN(1,IF(CI35&lt;=h_col,0.0035*(CI35-d_2)/CI35,0.002*(CI35-d_2)/(CI35-3*h_col/7))/0.002)))^2))+(MAX(-f_yd,MIN(f_yd,200000*IF(CI35&lt;=h_col,0.0035*(CI35-(h_col-d_2))/CI35,0.002*(CI35-(h_col-d_2))/(CI35-3*h_col/7))))-f_cd*(1-(1-MAX(0,MIN(1,IF(CI35&lt;=h_col,0.0035*(CI35-(h_col-d_2))/CI35,0.002*(CI35-(h_col-d_2))/(CI35-3*h_col/7))/0.002)))^2))))/1000</f>
        <v/>
      </c>
      <c r="CK35">
        <f>IF($CJ35&lt;N_Ed-1E-9*MAX(1,N_Ed),(CG35+CH35)/2,CG35)</f>
        <v/>
      </c>
      <c r="CL35">
        <f>IF($CJ35&lt;N_Ed-1E-9*MAX(1,N_Ed),CH35,(CG35+CH35)/2)</f>
        <v/>
      </c>
      <c r="CM35">
        <f>h_col*((CK35+CL35)/2)/(1-(CK35+CL35)/2)</f>
        <v/>
      </c>
      <c r="CN35">
        <f>(f_cd*b_col*((3*MIN(CM35,h_col)/7)+(4*MIN(CM35,h_col)/7)*(1-((4*MIN(CM35,h_col)/7)/(CM35-(3*MIN(CM35,h_col)/7)))^2/3))+$D35/2*((MAX(-f_yd,MIN(f_yd,200000*IF(CM35&lt;=h_col,0.0035*(CM35-d_2)/CM35,0.002*(CM35-d_2)/(CM35-3*h_col/7))))-f_cd*(1-(1-MAX(0,MIN(1,IF(CM35&lt;=h_col,0.0035*(CM35-d_2)/CM35,0.002*(CM35-d_2)/(CM35-3*h_col/7))/0.002)))^2))+(MAX(-f_yd,MIN(f_yd,200000*IF(CM35&lt;=h_col,0.0035*(CM35-(h_col-d_2))/CM35,0.002*(CM35-(h_col-d_2))/(CM35-3*h_col/7))))-f_cd*(1-(1-MAX(0,MIN(1,IF(CM35&lt;=h_col,0.0035*(CM35-(h_col-d_2))/CM35,0.002*(CM35-(h_col-d_2))/(CM35-3*h_col/7))/0.002)))^2))))/1000</f>
        <v/>
      </c>
      <c r="CO35">
        <f>IF($CN35&lt;N_Ed-1E-9*MAX(1,N_Ed),(CK35+CL35)/2,CK35)</f>
        <v/>
      </c>
      <c r="CP35">
        <f>IF($CN35&lt;N_Ed-1E-9*MAX(1,N_Ed),CL35,(CK35+CL35)/2)</f>
        <v/>
      </c>
      <c r="CQ35">
        <f>h_col*((CO35+CP35)/2)/(1-(CO35+CP35)/2)</f>
        <v/>
      </c>
      <c r="CR35">
        <f>(f_cd*b_col*((3*MIN(CQ35,h_col)/7)+(4*MIN(CQ35,h_col)/7)*(1-((4*MIN(CQ35,h_col)/7)/(CQ35-(3*MIN(CQ35,h_col)/7)))^2/3))+$D35/2*((MAX(-f_yd,MIN(f_yd,200000*IF(CQ35&lt;=h_col,0.0035*(CQ35-d_2)/CQ35,0.002*(CQ35-d_2)/(CQ35-3*h_col/7))))-f_cd*(1-(1-MAX(0,MIN(1,IF(CQ35&lt;=h_col,0.0035*(CQ35-d_2)/CQ35,0.002*(CQ35-d_2)/(CQ35-3*h_col/7))/0.002)))^2))+(MAX(-f_yd,MIN(f_yd,200000*IF(CQ35&lt;=h_col,0.0035*(CQ35-(h_col-d_2))/CQ35,0.002*(CQ35-(h_col-d_2))/(CQ35-3*h_col/7))))-f_cd*(1-(1-MAX(0,MIN(1,IF(CQ35&lt;=h_col,0.0035*(CQ35-(h_col-d_2))/CQ35,0.002*(CQ35-(h_col-d_2))/(CQ35-3*h_col/7))/0.002)))^2))))/1000</f>
        <v/>
      </c>
      <c r="CS35">
        <f>IF($CR35&lt;N_Ed-1E-9*MAX(1,N_Ed),(CO35+CP35)/2,CO35)</f>
        <v/>
      </c>
      <c r="CT35">
        <f>IF($CR35&lt;N_Ed-1E-9*MAX(1,N_Ed),CP35,(CO35+CP35)/2)</f>
        <v/>
      </c>
      <c r="CU35">
        <f>h_col*((CS35+CT35)/2)/(1-(CS35+CT35)/2)</f>
        <v/>
      </c>
      <c r="CV35">
        <f>(f_cd*b_col*((3*MIN(CU35,h_col)/7)+(4*MIN(CU35,h_col)/7)*(1-((4*MIN(CU35,h_col)/7)/(CU35-(3*MIN(CU35,h_col)/7)))^2/3))+$D35/2*((MAX(-f_yd,MIN(f_yd,200000*IF(CU35&lt;=h_col,0.0035*(CU35-d_2)/CU35,0.002*(CU35-d_2)/(CU35-3*h_col/7))))-f_cd*(1-(1-MAX(0,MIN(1,IF(CU35&lt;=h_col,0.0035*(CU35-d_2)/CU35,0.002*(CU35-d_2)/(CU35-3*h_col/7))/0.002)))^2))+(MAX(-f_yd,MIN(f_yd,200000*IF(CU35&lt;=h_col,0.0035*(CU35-(h_col-d_2))/CU35,0.002*(CU35-(h_col-d_2))/(CU35-3*h_col/7))))-f_cd*(1-(1-MAX(0,MIN(1,IF(CU35&lt;=h_col,0.0035*(CU35-(h_col-d_2))/CU35,0.002*(CU35-(h_col-d_2))/(CU35-3*h_col/7))/0.002)))^2))))/1000</f>
        <v/>
      </c>
      <c r="CW35">
        <f>IF($CV35&lt;N_Ed-1E-9*MAX(1,N_Ed),(CS35+CT35)/2,CS35)</f>
        <v/>
      </c>
      <c r="CX35">
        <f>IF($CV35&lt;N_Ed-1E-9*MAX(1,N_Ed),CT35,(CS35+CT35)/2)</f>
        <v/>
      </c>
      <c r="CY35">
        <f>h_col*((CW35+CX35)/2)/(1-(CW35+CX35)/2)</f>
        <v/>
      </c>
      <c r="CZ35">
        <f>(f_cd*b_col*((3*MIN(CY35,h_col)/7)+(4*MIN(CY35,h_col)/7)*(1-((4*MIN(CY35,h_col)/7)/(CY35-(3*MIN(CY35,h_col)/7)))^2/3))+$D35/2*((MAX(-f_yd,MIN(f_yd,200000*IF(CY35&lt;=h_col,0.0035*(CY35-d_2)/CY35,0.002*(CY35-d_2)/(CY35-3*h_col/7))))-f_cd*(1-(1-MAX(0,MIN(1,IF(CY35&lt;=h_col,0.0035*(CY35-d_2)/CY35,0.002*(CY35-d_2)/(CY35-3*h_col/7))/0.002)))^2))+(MAX(-f_yd,MIN(f_yd,200000*IF(CY35&lt;=h_col,0.0035*(CY35-(h_col-d_2))/CY35,0.002*(CY35-(h_col-d_2))/(CY35-3*h_col/7))))-f_cd*(1-(1-MAX(0,MIN(1,IF(CY35&lt;=h_col,0.0035*(CY35-(h_col-d_2))/CY35,0.002*(CY35-(h_col-d_2))/(CY35-3*h_col/7))/0.002)))^2))))/1000</f>
        <v/>
      </c>
      <c r="DA35">
        <f>IF($CZ35&lt;N_Ed-1E-9*MAX(1,N_Ed),(CW35+CX35)/2,CW35)</f>
        <v/>
      </c>
      <c r="DB35">
        <f>IF($CZ35&lt;N_Ed-1E-9*MAX(1,N_Ed),CX35,(CW35+CX35)/2)</f>
        <v/>
      </c>
      <c r="DC35">
        <f>h_col*((DA35+DB35)/2)/(1-(DA35+DB35)/2)</f>
        <v/>
      </c>
      <c r="DD35">
        <f>(f_cd*b_col*((3*MIN(DC35,h_col)/7)+(4*MIN(DC35,h_col)/7)*(1-((4*MIN(DC35,h_col)/7)/(DC35-(3*MIN(DC35,h_col)/7)))^2/3))+$D35/2*((MAX(-f_yd,MIN(f_yd,200000*IF(DC35&lt;=h_col,0.0035*(DC35-d_2)/DC35,0.002*(DC35-d_2)/(DC35-3*h_col/7))))-f_cd*(1-(1-MAX(0,MIN(1,IF(DC35&lt;=h_col,0.0035*(DC35-d_2)/DC35,0.002*(DC35-d_2)/(DC35-3*h_col/7))/0.002)))^2))+(MAX(-f_yd,MIN(f_yd,200000*IF(DC35&lt;=h_col,0.0035*(DC35-(h_col-d_2))/DC35,0.002*(DC35-(h_col-d_2))/(DC35-3*h_col/7))))-f_cd*(1-(1-MAX(0,MIN(1,IF(DC35&lt;=h_col,0.0035*(DC35-(h_col-d_2))/DC35,0.002*(DC35-(h_col-d_2))/(DC35-3*h_col/7))/0.002)))^2))))/1000</f>
        <v/>
      </c>
      <c r="DE35">
        <f>IF($DD35&lt;N_Ed-1E-9*MAX(1,N_Ed),(DA35+DB35)/2,DA35)</f>
        <v/>
      </c>
      <c r="DF35">
        <f>IF($DD35&lt;N_Ed-1E-9*MAX(1,N_Ed),DB35,(DA35+DB35)/2)</f>
        <v/>
      </c>
      <c r="DG35">
        <f>h_col*((DE35+DF35)/2)/(1-(DE35+DF35)/2)</f>
        <v/>
      </c>
      <c r="DH35">
        <f>(f_cd*b_col*((3*MIN(DG35,h_col)/7)+(4*MIN(DG35,h_col)/7)*(1-((4*MIN(DG35,h_col)/7)/(DG35-(3*MIN(DG35,h_col)/7)))^2/3))+$D35/2*((MAX(-f_yd,MIN(f_yd,200000*IF(DG35&lt;=h_col,0.0035*(DG35-d_2)/DG35,0.002*(DG35-d_2)/(DG35-3*h_col/7))))-f_cd*(1-(1-MAX(0,MIN(1,IF(DG35&lt;=h_col,0.0035*(DG35-d_2)/DG35,0.002*(DG35-d_2)/(DG35-3*h_col/7))/0.002)))^2))+(MAX(-f_yd,MIN(f_yd,200000*IF(DG35&lt;=h_col,0.0035*(DG35-(h_col-d_2))/DG35,0.002*(DG35-(h_col-d_2))/(DG35-3*h_col/7))))-f_cd*(1-(1-MAX(0,MIN(1,IF(DG35&lt;=h_col,0.0035*(DG35-(h_col-d_2))/DG35,0.002*(DG35-(h_col-d_2))/(DG35-3*h_col/7))/0.002)))^2))))/1000</f>
        <v/>
      </c>
      <c r="DI35">
        <f>IF($DH35&lt;N_Ed-1E-9*MAX(1,N_Ed),(DE35+DF35)/2,DE35)</f>
        <v/>
      </c>
      <c r="DJ35">
        <f>IF($DH35&lt;N_Ed-1E-9*MAX(1,N_Ed),DF35,(DE35+DF35)/2)</f>
        <v/>
      </c>
      <c r="DK35">
        <f>h_col*((DI35+DJ35)/2)/(1-(DI35+DJ35)/2)</f>
        <v/>
      </c>
      <c r="DL35">
        <f>(f_cd*b_col*((3*MIN(DK35,h_col)/7)+(4*MIN(DK35,h_col)/7)*(1-((4*MIN(DK35,h_col)/7)/(DK35-(3*MIN(DK35,h_col)/7)))^2/3))+$D35/2*((MAX(-f_yd,MIN(f_yd,200000*IF(DK35&lt;=h_col,0.0035*(DK35-d_2)/DK35,0.002*(DK35-d_2)/(DK35-3*h_col/7))))-f_cd*(1-(1-MAX(0,MIN(1,IF(DK35&lt;=h_col,0.0035*(DK35-d_2)/DK35,0.002*(DK35-d_2)/(DK35-3*h_col/7))/0.002)))^2))+(MAX(-f_yd,MIN(f_yd,200000*IF(DK35&lt;=h_col,0.0035*(DK35-(h_col-d_2))/DK35,0.002*(DK35-(h_col-d_2))/(DK35-3*h_col/7))))-f_cd*(1-(1-MAX(0,MIN(1,IF(DK35&lt;=h_col,0.0035*(DK35-(h_col-d_2))/DK35,0.002*(DK35-(h_col-d_2))/(DK35-3*h_col/7))/0.002)))^2))))/1000</f>
        <v/>
      </c>
      <c r="DM35">
        <f>IF($DL35&lt;N_Ed-1E-9*MAX(1,N_Ed),(DI35+DJ35)/2,DI35)</f>
        <v/>
      </c>
      <c r="DN35">
        <f>IF($DL35&lt;N_Ed-1E-9*MAX(1,N_Ed),DJ35,(DI35+DJ35)/2)</f>
        <v/>
      </c>
      <c r="DO35">
        <f>h_col*((DM35+DN35)/2)/(1-(DM35+DN35)/2)</f>
        <v/>
      </c>
      <c r="DP35">
        <f>(f_cd*b_col*((3*MIN(DO35,h_col)/7)+(4*MIN(DO35,h_col)/7)*(1-((4*MIN(DO35,h_col)/7)/(DO35-(3*MIN(DO35,h_col)/7)))^2/3))+$D35/2*((MAX(-f_yd,MIN(f_yd,200000*IF(DO35&lt;=h_col,0.0035*(DO35-d_2)/DO35,0.002*(DO35-d_2)/(DO35-3*h_col/7))))-f_cd*(1-(1-MAX(0,MIN(1,IF(DO35&lt;=h_col,0.0035*(DO35-d_2)/DO35,0.002*(DO35-d_2)/(DO35-3*h_col/7))/0.002)))^2))+(MAX(-f_yd,MIN(f_yd,200000*IF(DO35&lt;=h_col,0.0035*(DO35-(h_col-d_2))/DO35,0.002*(DO35-(h_col-d_2))/(DO35-3*h_col/7))))-f_cd*(1-(1-MAX(0,MIN(1,IF(DO35&lt;=h_col,0.0035*(DO35-(h_col-d_2))/DO35,0.002*(DO35-(h_col-d_2))/(DO35-3*h_col/7))/0.002)))^2))))/1000</f>
        <v/>
      </c>
      <c r="DQ35">
        <f>IF($DP35&lt;N_Ed-1E-9*MAX(1,N_Ed),(DM35+DN35)/2,DM35)</f>
        <v/>
      </c>
      <c r="DR35">
        <f>IF($DP35&lt;N_Ed-1E-9*MAX(1,N_Ed),DN35,(DM35+DN35)/2)</f>
        <v/>
      </c>
      <c r="DS35">
        <f>h_col*((DQ35+DR35)/2)/(1-(DQ35+DR35)/2)</f>
        <v/>
      </c>
      <c r="DT35">
        <f>(f_cd*b_col*((3*MIN(DS35,h_col)/7)+(4*MIN(DS35,h_col)/7)*(1-((4*MIN(DS35,h_col)/7)/(DS35-(3*MIN(DS35,h_col)/7)))^2/3))+$D35/2*((MAX(-f_yd,MIN(f_yd,200000*IF(DS35&lt;=h_col,0.0035*(DS35-d_2)/DS35,0.002*(DS35-d_2)/(DS35-3*h_col/7))))-f_cd*(1-(1-MAX(0,MIN(1,IF(DS35&lt;=h_col,0.0035*(DS35-d_2)/DS35,0.002*(DS35-d_2)/(DS35-3*h_col/7))/0.002)))^2))+(MAX(-f_yd,MIN(f_yd,200000*IF(DS35&lt;=h_col,0.0035*(DS35-(h_col-d_2))/DS35,0.002*(DS35-(h_col-d_2))/(DS35-3*h_col/7))))-f_cd*(1-(1-MAX(0,MIN(1,IF(DS35&lt;=h_col,0.0035*(DS35-(h_col-d_2))/DS35,0.002*(DS35-(h_col-d_2))/(DS35-3*h_col/7))/0.002)))^2))))/1000</f>
        <v/>
      </c>
      <c r="DU35">
        <f>IF($DT35&lt;N_Ed-1E-9*MAX(1,N_Ed),(DQ35+DR35)/2,DQ35)</f>
        <v/>
      </c>
      <c r="DV35">
        <f>IF($DT35&lt;N_Ed-1E-9*MAX(1,N_Ed),DR35,(DQ35+DR35)/2)</f>
        <v/>
      </c>
      <c r="DW35">
        <f>h_col*((DU35+DV35)/2)/(1-(DU35+DV35)/2)</f>
        <v/>
      </c>
      <c r="DX35">
        <f>(f_cd*b_col*((3*MIN(DW35,h_col)/7)+(4*MIN(DW35,h_col)/7)*(1-((4*MIN(DW35,h_col)/7)/(DW35-(3*MIN(DW35,h_col)/7)))^2/3))+$D35/2*((MAX(-f_yd,MIN(f_yd,200000*IF(DW35&lt;=h_col,0.0035*(DW35-d_2)/DW35,0.002*(DW35-d_2)/(DW35-3*h_col/7))))-f_cd*(1-(1-MAX(0,MIN(1,IF(DW35&lt;=h_col,0.0035*(DW35-d_2)/DW35,0.002*(DW35-d_2)/(DW35-3*h_col/7))/0.002)))^2))+(MAX(-f_yd,MIN(f_yd,200000*IF(DW35&lt;=h_col,0.0035*(DW35-(h_col-d_2))/DW35,0.002*(DW35-(h_col-d_2))/(DW35-3*h_col/7))))-f_cd*(1-(1-MAX(0,MIN(1,IF(DW35&lt;=h_col,0.0035*(DW35-(h_col-d_2))/DW35,0.002*(DW35-(h_col-d_2))/(DW35-3*h_col/7))/0.002)))^2))))/1000</f>
        <v/>
      </c>
      <c r="DY35">
        <f>IF($DX35&lt;N_Ed-1E-9*MAX(1,N_Ed),(DU35+DV35)/2,DU35)</f>
        <v/>
      </c>
      <c r="DZ35">
        <f>IF($DX35&lt;N_Ed-1E-9*MAX(1,N_Ed),DV35,(DU35+DV35)/2)</f>
        <v/>
      </c>
      <c r="EA35">
        <f>h_col*((DY35+DZ35)/2)/(1-(DY35+DZ35)/2)</f>
        <v/>
      </c>
      <c r="EB35">
        <f>(f_cd*b_col*((3*MIN(EA35,h_col)/7)+(4*MIN(EA35,h_col)/7)*(1-((4*MIN(EA35,h_col)/7)/(EA35-(3*MIN(EA35,h_col)/7)))^2/3))+$D35/2*((MAX(-f_yd,MIN(f_yd,200000*IF(EA35&lt;=h_col,0.0035*(EA35-d_2)/EA35,0.002*(EA35-d_2)/(EA35-3*h_col/7))))-f_cd*(1-(1-MAX(0,MIN(1,IF(EA35&lt;=h_col,0.0035*(EA35-d_2)/EA35,0.002*(EA35-d_2)/(EA35-3*h_col/7))/0.002)))^2))+(MAX(-f_yd,MIN(f_yd,200000*IF(EA35&lt;=h_col,0.0035*(EA35-(h_col-d_2))/EA35,0.002*(EA35-(h_col-d_2))/(EA35-3*h_col/7))))-f_cd*(1-(1-MAX(0,MIN(1,IF(EA35&lt;=h_col,0.0035*(EA35-(h_col-d_2))/EA35,0.002*(EA35-(h_col-d_2))/(EA35-3*h_col/7))/0.002)))^2))))/1000</f>
        <v/>
      </c>
      <c r="EC35">
        <f>IF($EB35&lt;N_Ed-1E-9*MAX(1,N_Ed),(DY35+DZ35)/2,DY35)</f>
        <v/>
      </c>
      <c r="ED35">
        <f>IF($EB35&lt;N_Ed-1E-9*MAX(1,N_Ed),DZ35,(DY35+DZ35)/2)</f>
        <v/>
      </c>
      <c r="EE35">
        <f>h_col*((EC35+ED35)/2)/(1-(EC35+ED35)/2)</f>
        <v/>
      </c>
      <c r="EF35">
        <f>(f_cd*b_col*((3*MIN(EE35,h_col)/7)+(4*MIN(EE35,h_col)/7)*(1-((4*MIN(EE35,h_col)/7)/(EE35-(3*MIN(EE35,h_col)/7)))^2/3))+$D35/2*((MAX(-f_yd,MIN(f_yd,200000*IF(EE35&lt;=h_col,0.0035*(EE35-d_2)/EE35,0.002*(EE35-d_2)/(EE35-3*h_col/7))))-f_cd*(1-(1-MAX(0,MIN(1,IF(EE35&lt;=h_col,0.0035*(EE35-d_2)/EE35,0.002*(EE35-d_2)/(EE35-3*h_col/7))/0.002)))^2))+(MAX(-f_yd,MIN(f_yd,200000*IF(EE35&lt;=h_col,0.0035*(EE35-(h_col-d_2))/EE35,0.002*(EE35-(h_col-d_2))/(EE35-3*h_col/7))))-f_cd*(1-(1-MAX(0,MIN(1,IF(EE35&lt;=h_col,0.0035*(EE35-(h_col-d_2))/EE35,0.002*(EE35-(h_col-d_2))/(EE35-3*h_col/7))/0.002)))^2))))/1000</f>
        <v/>
      </c>
      <c r="EG35">
        <f>IF($EF35&lt;N_Ed-1E-9*MAX(1,N_Ed),(EC35+ED35)/2,EC35)</f>
        <v/>
      </c>
      <c r="EH35">
        <f>IF($EF35&lt;N_Ed-1E-9*MAX(1,N_Ed),ED35,(EC35+ED35)/2)</f>
        <v/>
      </c>
      <c r="EI35">
        <f>h_col*((EG35+EH35)/2)/(1-(EG35+EH35)/2)</f>
        <v/>
      </c>
      <c r="EJ35">
        <f>(f_cd*b_col*((3*MIN(EI35,h_col)/7)+(4*MIN(EI35,h_col)/7)*(1-((4*MIN(EI35,h_col)/7)/(EI35-(3*MIN(EI35,h_col)/7)))^2/3))+$D35/2*((MAX(-f_yd,MIN(f_yd,200000*IF(EI35&lt;=h_col,0.0035*(EI35-d_2)/EI35,0.002*(EI35-d_2)/(EI35-3*h_col/7))))-f_cd*(1-(1-MAX(0,MIN(1,IF(EI35&lt;=h_col,0.0035*(EI35-d_2)/EI35,0.002*(EI35-d_2)/(EI35-3*h_col/7))/0.002)))^2))+(MAX(-f_yd,MIN(f_yd,200000*IF(EI35&lt;=h_col,0.0035*(EI35-(h_col-d_2))/EI35,0.002*(EI35-(h_col-d_2))/(EI35-3*h_col/7))))-f_cd*(1-(1-MAX(0,MIN(1,IF(EI35&lt;=h_col,0.0035*(EI35-(h_col-d_2))/EI35,0.002*(EI35-(h_col-d_2))/(EI35-3*h_col/7))/0.002)))^2))))/1000</f>
        <v/>
      </c>
      <c r="EK35">
        <f>IF($EJ35&lt;N_Ed-1E-9*MAX(1,N_Ed),(EG35+EH35)/2,EG35)</f>
        <v/>
      </c>
      <c r="EL35">
        <f>IF($EJ35&lt;N_Ed-1E-9*MAX(1,N_Ed),EH35,(EG35+EH35)/2)</f>
        <v/>
      </c>
      <c r="EM35">
        <f>h_col*((EK35+EL35)/2)/(1-(EK35+EL35)/2)</f>
        <v/>
      </c>
      <c r="EN35">
        <f>(f_cd*b_col*((3*MIN(EM35,h_col)/7)+(4*MIN(EM35,h_col)/7)*(1-((4*MIN(EM35,h_col)/7)/(EM35-(3*MIN(EM35,h_col)/7)))^2/3))+$D35/2*((MAX(-f_yd,MIN(f_yd,200000*IF(EM35&lt;=h_col,0.0035*(EM35-d_2)/EM35,0.002*(EM35-d_2)/(EM35-3*h_col/7))))-f_cd*(1-(1-MAX(0,MIN(1,IF(EM35&lt;=h_col,0.0035*(EM35-d_2)/EM35,0.002*(EM35-d_2)/(EM35-3*h_col/7))/0.002)))^2))+(MAX(-f_yd,MIN(f_yd,200000*IF(EM35&lt;=h_col,0.0035*(EM35-(h_col-d_2))/EM35,0.002*(EM35-(h_col-d_2))/(EM35-3*h_col/7))))-f_cd*(1-(1-MAX(0,MIN(1,IF(EM35&lt;=h_col,0.0035*(EM35-(h_col-d_2))/EM35,0.002*(EM35-(h_col-d_2))/(EM35-3*h_col/7))/0.002)))^2))))/1000</f>
        <v/>
      </c>
      <c r="EO35">
        <f>IF($EN35&lt;N_Ed-1E-9*MAX(1,N_Ed),(EK35+EL35)/2,EK35)</f>
        <v/>
      </c>
      <c r="EP35">
        <f>IF($EN35&lt;N_Ed-1E-9*MAX(1,N_Ed),EL35,(EK35+EL35)/2)</f>
        <v/>
      </c>
      <c r="EQ35">
        <f>h_col*((EO35+EP35)/2)/(1-(EO35+EP35)/2)</f>
        <v/>
      </c>
      <c r="ER35">
        <f>(f_cd*b_col*((3*MIN(EQ35,h_col)/7)+(4*MIN(EQ35,h_col)/7)*(1-((4*MIN(EQ35,h_col)/7)/(EQ35-(3*MIN(EQ35,h_col)/7)))^2/3))+$D35/2*((MAX(-f_yd,MIN(f_yd,200000*IF(EQ35&lt;=h_col,0.0035*(EQ35-d_2)/EQ35,0.002*(EQ35-d_2)/(EQ35-3*h_col/7))))-f_cd*(1-(1-MAX(0,MIN(1,IF(EQ35&lt;=h_col,0.0035*(EQ35-d_2)/EQ35,0.002*(EQ35-d_2)/(EQ35-3*h_col/7))/0.002)))^2))+(MAX(-f_yd,MIN(f_yd,200000*IF(EQ35&lt;=h_col,0.0035*(EQ35-(h_col-d_2))/EQ35,0.002*(EQ35-(h_col-d_2))/(EQ35-3*h_col/7))))-f_cd*(1-(1-MAX(0,MIN(1,IF(EQ35&lt;=h_col,0.0035*(EQ35-(h_col-d_2))/EQ35,0.002*(EQ35-(h_col-d_2))/(EQ35-3*h_col/7))/0.002)))^2))))/1000</f>
        <v/>
      </c>
      <c r="ES35">
        <f>IF($ER35&lt;N_Ed-1E-9*MAX(1,N_Ed),(EO35+EP35)/2,EO35)</f>
        <v/>
      </c>
      <c r="ET35">
        <f>IF($ER35&lt;N_Ed-1E-9*MAX(1,N_Ed),EP35,(EO35+EP35)/2)</f>
        <v/>
      </c>
      <c r="EU35">
        <f>h_col*((ES35+ET35)/2)/(1-(ES35+ET35)/2)</f>
        <v/>
      </c>
      <c r="EV35">
        <f>(f_cd*b_col*((3*MIN(EU35,h_col)/7)+(4*MIN(EU35,h_col)/7)*(1-((4*MIN(EU35,h_col)/7)/(EU35-(3*MIN(EU35,h_col)/7)))^2/3))+$D35/2*((MAX(-f_yd,MIN(f_yd,200000*IF(EU35&lt;=h_col,0.0035*(EU35-d_2)/EU35,0.002*(EU35-d_2)/(EU35-3*h_col/7))))-f_cd*(1-(1-MAX(0,MIN(1,IF(EU35&lt;=h_col,0.0035*(EU35-d_2)/EU35,0.002*(EU35-d_2)/(EU35-3*h_col/7))/0.002)))^2))+(MAX(-f_yd,MIN(f_yd,200000*IF(EU35&lt;=h_col,0.0035*(EU35-(h_col-d_2))/EU35,0.002*(EU35-(h_col-d_2))/(EU35-3*h_col/7))))-f_cd*(1-(1-MAX(0,MIN(1,IF(EU35&lt;=h_col,0.0035*(EU35-(h_col-d_2))/EU35,0.002*(EU35-(h_col-d_2))/(EU35-3*h_col/7))/0.002)))^2))))/1000</f>
        <v/>
      </c>
      <c r="EW35">
        <f>IF($EV35&lt;N_Ed-1E-9*MAX(1,N_Ed),(ES35+ET35)/2,ES35)</f>
        <v/>
      </c>
      <c r="EX35">
        <f>IF($EV35&lt;N_Ed-1E-9*MAX(1,N_Ed),ET35,(ES35+ET35)/2)</f>
        <v/>
      </c>
      <c r="EY35">
        <f>h_col*((EW35+EX35)/2)/(1-(EW35+EX35)/2)</f>
        <v/>
      </c>
      <c r="EZ35">
        <f>(f_cd*b_col*((3*MIN(EY35,h_col)/7)+(4*MIN(EY35,h_col)/7)*(1-((4*MIN(EY35,h_col)/7)/(EY35-(3*MIN(EY35,h_col)/7)))^2/3))+$D35/2*((MAX(-f_yd,MIN(f_yd,200000*IF(EY35&lt;=h_col,0.0035*(EY35-d_2)/EY35,0.002*(EY35-d_2)/(EY35-3*h_col/7))))-f_cd*(1-(1-MAX(0,MIN(1,IF(EY35&lt;=h_col,0.0035*(EY35-d_2)/EY35,0.002*(EY35-d_2)/(EY35-3*h_col/7))/0.002)))^2))+(MAX(-f_yd,MIN(f_yd,200000*IF(EY35&lt;=h_col,0.0035*(EY35-(h_col-d_2))/EY35,0.002*(EY35-(h_col-d_2))/(EY35-3*h_col/7))))-f_cd*(1-(1-MAX(0,MIN(1,IF(EY35&lt;=h_col,0.0035*(EY35-(h_col-d_2))/EY35,0.002*(EY35-(h_col-d_2))/(EY35-3*h_col/7))/0.002)))^2))))/1000</f>
        <v/>
      </c>
      <c r="FA35">
        <f>IF($EZ35&lt;N_Ed-1E-9*MAX(1,N_Ed),(EW35+EX35)/2,EW35)</f>
        <v/>
      </c>
      <c r="FB35">
        <f>IF($EZ35&lt;N_Ed-1E-9*MAX(1,N_Ed),EX35,(EW35+EX35)/2)</f>
        <v/>
      </c>
      <c r="FC35">
        <f>h_col*((FA35+FB35)/2)/(1-(FA35+FB35)/2)</f>
        <v/>
      </c>
      <c r="FD35">
        <f>(f_cd*b_col*((3*MIN(FC35,h_col)/7)+(4*MIN(FC35,h_col)/7)*(1-((4*MIN(FC35,h_col)/7)/(FC35-(3*MIN(FC35,h_col)/7)))^2/3))+$D35/2*((MAX(-f_yd,MIN(f_yd,200000*IF(FC35&lt;=h_col,0.0035*(FC35-d_2)/FC35,0.002*(FC35-d_2)/(FC35-3*h_col/7))))-f_cd*(1-(1-MAX(0,MIN(1,IF(FC35&lt;=h_col,0.0035*(FC35-d_2)/FC35,0.002*(FC35-d_2)/(FC35-3*h_col/7))/0.002)))^2))+(MAX(-f_yd,MIN(f_yd,200000*IF(FC35&lt;=h_col,0.0035*(FC35-(h_col-d_2))/FC35,0.002*(FC35-(h_col-d_2))/(FC35-3*h_col/7))))-f_cd*(1-(1-MAX(0,MIN(1,IF(FC35&lt;=h_col,0.0035*(FC35-(h_col-d_2))/FC35,0.002*(FC35-(h_col-d_2))/(FC35-3*h_col/7))/0.002)))^2))))/1000</f>
        <v/>
      </c>
      <c r="FE35">
        <f>IF($FD35&lt;N_Ed-1E-9*MAX(1,N_Ed),(FA35+FB35)/2,FA35)</f>
        <v/>
      </c>
      <c r="FF35">
        <f>IF($FD35&lt;N_Ed-1E-9*MAX(1,N_Ed),FB35,(FA35+FB35)/2)</f>
        <v/>
      </c>
      <c r="FG35">
        <f>h_col*((FE35+FF35)/2)/(1-(FE35+FF35)/2)</f>
        <v/>
      </c>
      <c r="FH35">
        <f>(f_cd*b_col*((3*MIN(FG35,h_col)/7)+(4*MIN(FG35,h_col)/7)*(1-((4*MIN(FG35,h_col)/7)/(FG35-(3*MIN(FG35,h_col)/7)))^2/3))+$D35/2*((MAX(-f_yd,MIN(f_yd,200000*IF(FG35&lt;=h_col,0.0035*(FG35-d_2)/FG35,0.002*(FG35-d_2)/(FG35-3*h_col/7))))-f_cd*(1-(1-MAX(0,MIN(1,IF(FG35&lt;=h_col,0.0035*(FG35-d_2)/FG35,0.002*(FG35-d_2)/(FG35-3*h_col/7))/0.002)))^2))+(MAX(-f_yd,MIN(f_yd,200000*IF(FG35&lt;=h_col,0.0035*(FG35-(h_col-d_2))/FG35,0.002*(FG35-(h_col-d_2))/(FG35-3*h_col/7))))-f_cd*(1-(1-MAX(0,MIN(1,IF(FG35&lt;=h_col,0.0035*(FG35-(h_col-d_2))/FG35,0.002*(FG35-(h_col-d_2))/(FG35-3*h_col/7))/0.002)))^2))))/1000</f>
        <v/>
      </c>
      <c r="FI35">
        <f>IF($FH35&lt;N_Ed-1E-9*MAX(1,N_Ed),(FE35+FF35)/2,FE35)</f>
        <v/>
      </c>
      <c r="FJ35">
        <f>IF($FH35&lt;N_Ed-1E-9*MAX(1,N_Ed),FF35,(FE35+FF35)/2)</f>
        <v/>
      </c>
      <c r="FK35">
        <f>h_col*((FI35+FJ35)/2)/(1-(FI35+FJ35)/2)</f>
        <v/>
      </c>
      <c r="FL35">
        <f>(f_cd*b_col*((3*MIN(FK35,h_col)/7)+(4*MIN(FK35,h_col)/7)*(1-((4*MIN(FK35,h_col)/7)/(FK35-(3*MIN(FK35,h_col)/7)))^2/3))+$D35/2*((MAX(-f_yd,MIN(f_yd,200000*IF(FK35&lt;=h_col,0.0035*(FK35-d_2)/FK35,0.002*(FK35-d_2)/(FK35-3*h_col/7))))-f_cd*(1-(1-MAX(0,MIN(1,IF(FK35&lt;=h_col,0.0035*(FK35-d_2)/FK35,0.002*(FK35-d_2)/(FK35-3*h_col/7))/0.002)))^2))+(MAX(-f_yd,MIN(f_yd,200000*IF(FK35&lt;=h_col,0.0035*(FK35-(h_col-d_2))/FK35,0.002*(FK35-(h_col-d_2))/(FK35-3*h_col/7))))-f_cd*(1-(1-MAX(0,MIN(1,IF(FK35&lt;=h_col,0.0035*(FK35-(h_col-d_2))/FK35,0.002*(FK35-(h_col-d_2))/(FK35-3*h_col/7))/0.002)))^2))))/1000</f>
        <v/>
      </c>
      <c r="FM35">
        <f>IF($FL35&lt;N_Ed-1E-9*MAX(1,N_Ed),(FI35+FJ35)/2,FI35)</f>
        <v/>
      </c>
      <c r="FN35">
        <f>IF($FL35&lt;N_Ed-1E-9*MAX(1,N_Ed),FJ35,(FI35+FJ35)/2)</f>
        <v/>
      </c>
      <c r="FO35">
        <f>h_col*((FM35+FN35)/2)/(1-(FM35+FN35)/2)</f>
        <v/>
      </c>
      <c r="FP35">
        <f>(f_cd*b_col*((3*MIN(FO35,h_col)/7)+(4*MIN(FO35,h_col)/7)*(1-((4*MIN(FO35,h_col)/7)/(FO35-(3*MIN(FO35,h_col)/7)))^2/3))+$D35/2*((MAX(-f_yd,MIN(f_yd,200000*IF(FO35&lt;=h_col,0.0035*(FO35-d_2)/FO35,0.002*(FO35-d_2)/(FO35-3*h_col/7))))-f_cd*(1-(1-MAX(0,MIN(1,IF(FO35&lt;=h_col,0.0035*(FO35-d_2)/FO35,0.002*(FO35-d_2)/(FO35-3*h_col/7))/0.002)))^2))+(MAX(-f_yd,MIN(f_yd,200000*IF(FO35&lt;=h_col,0.0035*(FO35-(h_col-d_2))/FO35,0.002*(FO35-(h_col-d_2))/(FO35-3*h_col/7))))-f_cd*(1-(1-MAX(0,MIN(1,IF(FO35&lt;=h_col,0.0035*(FO35-(h_col-d_2))/FO35,0.002*(FO35-(h_col-d_2))/(FO35-3*h_col/7))/0.002)))^2))))/1000</f>
        <v/>
      </c>
      <c r="FQ35">
        <f>IF($FP35&lt;N_Ed-1E-9*MAX(1,N_Ed),(FM35+FN35)/2,FM35)</f>
        <v/>
      </c>
      <c r="FR35">
        <f>IF($FP35&lt;N_Ed-1E-9*MAX(1,N_Ed),FN35,(FM35+FN35)/2)</f>
        <v/>
      </c>
      <c r="FS35">
        <f>h_col*((FQ35+FR35)/2)/(1-(FQ35+FR35)/2)</f>
        <v/>
      </c>
      <c r="FT35">
        <f>(f_cd*b_col*((3*MIN(FS35,h_col)/7)+(4*MIN(FS35,h_col)/7)*(1-((4*MIN(FS35,h_col)/7)/(FS35-(3*MIN(FS35,h_col)/7)))^2/3))+$D35/2*((MAX(-f_yd,MIN(f_yd,200000*IF(FS35&lt;=h_col,0.0035*(FS35-d_2)/FS35,0.002*(FS35-d_2)/(FS35-3*h_col/7))))-f_cd*(1-(1-MAX(0,MIN(1,IF(FS35&lt;=h_col,0.0035*(FS35-d_2)/FS35,0.002*(FS35-d_2)/(FS35-3*h_col/7))/0.002)))^2))+(MAX(-f_yd,MIN(f_yd,200000*IF(FS35&lt;=h_col,0.0035*(FS35-(h_col-d_2))/FS35,0.002*(FS35-(h_col-d_2))/(FS35-3*h_col/7))))-f_cd*(1-(1-MAX(0,MIN(1,IF(FS35&lt;=h_col,0.0035*(FS35-(h_col-d_2))/FS35,0.002*(FS35-(h_col-d_2))/(FS35-3*h_col/7))/0.002)))^2))))/1000</f>
        <v/>
      </c>
      <c r="FU35">
        <f>IF($FT35&lt;N_Ed-1E-9*MAX(1,N_Ed),(FQ35+FR35)/2,FQ35)</f>
        <v/>
      </c>
      <c r="FV35">
        <f>IF($FT35&lt;N_Ed-1E-9*MAX(1,N_Ed),FR35,(FQ35+FR35)/2)</f>
        <v/>
      </c>
      <c r="FW35">
        <f>h_col*((FU35+FV35)/2)/(1-(FU35+FV35)/2)</f>
        <v/>
      </c>
      <c r="FX35">
        <f>(f_cd*b_col*((3*MIN(FW35,h_col)/7)+(4*MIN(FW35,h_col)/7)*(1-((4*MIN(FW35,h_col)/7)/(FW35-(3*MIN(FW35,h_col)/7)))^2/3))+$D35/2*((MAX(-f_yd,MIN(f_yd,200000*IF(FW35&lt;=h_col,0.0035*(FW35-d_2)/FW35,0.002*(FW35-d_2)/(FW35-3*h_col/7))))-f_cd*(1-(1-MAX(0,MIN(1,IF(FW35&lt;=h_col,0.0035*(FW35-d_2)/FW35,0.002*(FW35-d_2)/(FW35-3*h_col/7))/0.002)))^2))+(MAX(-f_yd,MIN(f_yd,200000*IF(FW35&lt;=h_col,0.0035*(FW35-(h_col-d_2))/FW35,0.002*(FW35-(h_col-d_2))/(FW35-3*h_col/7))))-f_cd*(1-(1-MAX(0,MIN(1,IF(FW35&lt;=h_col,0.0035*(FW35-(h_col-d_2))/FW35,0.002*(FW35-(h_col-d_2))/(FW35-3*h_col/7))/0.002)))^2))))/1000</f>
        <v/>
      </c>
      <c r="FY35">
        <f>IF($FX35&lt;N_Ed-1E-9*MAX(1,N_Ed),(FU35+FV35)/2,FU35)</f>
        <v/>
      </c>
      <c r="FZ35">
        <f>IF($FX35&lt;N_Ed-1E-9*MAX(1,N_Ed),FV35,(FU35+FV35)/2)</f>
        <v/>
      </c>
      <c r="GA35">
        <f>h_col*((FY35+FZ35)/2)/(1-(FY35+FZ35)/2)</f>
        <v/>
      </c>
      <c r="GB35">
        <f>(f_cd*b_col*((3*MIN(GA35,h_col)/7)+(4*MIN(GA35,h_col)/7)*(1-((4*MIN(GA35,h_col)/7)/(GA35-(3*MIN(GA35,h_col)/7)))^2/3))+$D35/2*((MAX(-f_yd,MIN(f_yd,200000*IF(GA35&lt;=h_col,0.0035*(GA35-d_2)/GA35,0.002*(GA35-d_2)/(GA35-3*h_col/7))))-f_cd*(1-(1-MAX(0,MIN(1,IF(GA35&lt;=h_col,0.0035*(GA35-d_2)/GA35,0.002*(GA35-d_2)/(GA35-3*h_col/7))/0.002)))^2))+(MAX(-f_yd,MIN(f_yd,200000*IF(GA35&lt;=h_col,0.0035*(GA35-(h_col-d_2))/GA35,0.002*(GA35-(h_col-d_2))/(GA35-3*h_col/7))))-f_cd*(1-(1-MAX(0,MIN(1,IF(GA35&lt;=h_col,0.0035*(GA35-(h_col-d_2))/GA35,0.002*(GA35-(h_col-d_2))/(GA35-3*h_col/7))/0.002)))^2))))/1000</f>
        <v/>
      </c>
      <c r="GC35">
        <f>IF($GB35&lt;N_Ed-1E-9*MAX(1,N_Ed),(FY35+FZ35)/2,FY35)</f>
        <v/>
      </c>
      <c r="GD35">
        <f>IF($GB35&lt;N_Ed-1E-9*MAX(1,N_Ed),FZ35,(FY35+FZ35)/2)</f>
        <v/>
      </c>
      <c r="GE35">
        <f>h_col*((GC35+GD35)/2)/(1-(GC35+GD35)/2)</f>
        <v/>
      </c>
      <c r="GF35">
        <f>(f_cd*b_col*((3*MIN(GE35,h_col)/7)+(4*MIN(GE35,h_col)/7)*(1-((4*MIN(GE35,h_col)/7)/(GE35-(3*MIN(GE35,h_col)/7)))^2/3))+$D35/2*((MAX(-f_yd,MIN(f_yd,200000*IF(GE35&lt;=h_col,0.0035*(GE35-d_2)/GE35,0.002*(GE35-d_2)/(GE35-3*h_col/7))))-f_cd*(1-(1-MAX(0,MIN(1,IF(GE35&lt;=h_col,0.0035*(GE35-d_2)/GE35,0.002*(GE35-d_2)/(GE35-3*h_col/7))/0.002)))^2))+(MAX(-f_yd,MIN(f_yd,200000*IF(GE35&lt;=h_col,0.0035*(GE35-(h_col-d_2))/GE35,0.002*(GE35-(h_col-d_2))/(GE35-3*h_col/7))))-f_cd*(1-(1-MAX(0,MIN(1,IF(GE35&lt;=h_col,0.0035*(GE35-(h_col-d_2))/GE35,0.002*(GE35-(h_col-d_2))/(GE35-3*h_col/7))/0.002)))^2))))/1000</f>
        <v/>
      </c>
      <c r="GG35">
        <f>IF($GF35&lt;N_Ed-1E-9*MAX(1,N_Ed),(GC35+GD35)/2,GC35)</f>
        <v/>
      </c>
      <c r="GH35">
        <f>IF($GF35&lt;N_Ed-1E-9*MAX(1,N_Ed),GD35,(GC35+GD35)/2)</f>
        <v/>
      </c>
      <c r="GI35">
        <f>h_col*((GG35+GH35)/2)/(1-(GG35+GH35)/2)</f>
        <v/>
      </c>
      <c r="GJ35">
        <f>(f_cd*b_col*((3*MIN(GI35,h_col)/7)+(4*MIN(GI35,h_col)/7)*(1-((4*MIN(GI35,h_col)/7)/(GI35-(3*MIN(GI35,h_col)/7)))^2/3))+$D35/2*((MAX(-f_yd,MIN(f_yd,200000*IF(GI35&lt;=h_col,0.0035*(GI35-d_2)/GI35,0.002*(GI35-d_2)/(GI35-3*h_col/7))))-f_cd*(1-(1-MAX(0,MIN(1,IF(GI35&lt;=h_col,0.0035*(GI35-d_2)/GI35,0.002*(GI35-d_2)/(GI35-3*h_col/7))/0.002)))^2))+(MAX(-f_yd,MIN(f_yd,200000*IF(GI35&lt;=h_col,0.0035*(GI35-(h_col-d_2))/GI35,0.002*(GI35-(h_col-d_2))/(GI35-3*h_col/7))))-f_cd*(1-(1-MAX(0,MIN(1,IF(GI35&lt;=h_col,0.0035*(GI35-(h_col-d_2))/GI35,0.002*(GI35-(h_col-d_2))/(GI35-3*h_col/7))/0.002)))^2))))/1000</f>
        <v/>
      </c>
      <c r="GK35">
        <f>IF($GJ35&lt;N_Ed-1E-9*MAX(1,N_Ed),(GG35+GH35)/2,GG35)</f>
        <v/>
      </c>
      <c r="GL35">
        <f>IF($GJ35&lt;N_Ed-1E-9*MAX(1,N_Ed),GH35,(GG35+GH35)/2)</f>
        <v/>
      </c>
      <c r="GM35">
        <f>h_col*((GK35+GL35)/2)/(1-(GK35+GL35)/2)</f>
        <v/>
      </c>
      <c r="GN35">
        <f>(f_cd*b_col*((3*MIN(GM35,h_col)/7)+(4*MIN(GM35,h_col)/7)*(1-((4*MIN(GM35,h_col)/7)/(GM35-(3*MIN(GM35,h_col)/7)))^2/3))+$D35/2*((MAX(-f_yd,MIN(f_yd,200000*IF(GM35&lt;=h_col,0.0035*(GM35-d_2)/GM35,0.002*(GM35-d_2)/(GM35-3*h_col/7))))-f_cd*(1-(1-MAX(0,MIN(1,IF(GM35&lt;=h_col,0.0035*(GM35-d_2)/GM35,0.002*(GM35-d_2)/(GM35-3*h_col/7))/0.002)))^2))+(MAX(-f_yd,MIN(f_yd,200000*IF(GM35&lt;=h_col,0.0035*(GM35-(h_col-d_2))/GM35,0.002*(GM35-(h_col-d_2))/(GM35-3*h_col/7))))-f_cd*(1-(1-MAX(0,MIN(1,IF(GM35&lt;=h_col,0.0035*(GM35-(h_col-d_2))/GM35,0.002*(GM35-(h_col-d_2))/(GM35-3*h_col/7))/0.002)))^2))))/1000</f>
        <v/>
      </c>
      <c r="GO35">
        <f>IF($GN35&lt;N_Ed-1E-9*MAX(1,N_Ed),(GK35+GL35)/2,GK35)</f>
        <v/>
      </c>
      <c r="GP35">
        <f>IF($GN35&lt;N_Ed-1E-9*MAX(1,N_Ed),GL35,(GK35+GL35)/2)</f>
        <v/>
      </c>
      <c r="GQ35">
        <f>h_col*((GO35+GP35)/2)/(1-(GO35+GP35)/2)</f>
        <v/>
      </c>
      <c r="GR35">
        <f>(f_cd*b_col*((3*MIN(GQ35,h_col)/7)+(4*MIN(GQ35,h_col)/7)*(1-((4*MIN(GQ35,h_col)/7)/(GQ35-(3*MIN(GQ35,h_col)/7)))^2/3))+$D35/2*((MAX(-f_yd,MIN(f_yd,200000*IF(GQ35&lt;=h_col,0.0035*(GQ35-d_2)/GQ35,0.002*(GQ35-d_2)/(GQ35-3*h_col/7))))-f_cd*(1-(1-MAX(0,MIN(1,IF(GQ35&lt;=h_col,0.0035*(GQ35-d_2)/GQ35,0.002*(GQ35-d_2)/(GQ35-3*h_col/7))/0.002)))^2))+(MAX(-f_yd,MIN(f_yd,200000*IF(GQ35&lt;=h_col,0.0035*(GQ35-(h_col-d_2))/GQ35,0.002*(GQ35-(h_col-d_2))/(GQ35-3*h_col/7))))-f_cd*(1-(1-MAX(0,MIN(1,IF(GQ35&lt;=h_col,0.0035*(GQ35-(h_col-d_2))/GQ35,0.002*(GQ35-(h_col-d_2))/(GQ35-3*h_col/7))/0.002)))^2))))/1000</f>
        <v/>
      </c>
      <c r="GS35">
        <f>IF($GR35&lt;N_Ed-1E-9*MAX(1,N_Ed),(GO35+GP35)/2,GO35)</f>
        <v/>
      </c>
      <c r="GT35">
        <f>IF($GR35&lt;N_Ed-1E-9*MAX(1,N_Ed),GP35,(GO35+GP35)/2)</f>
        <v/>
      </c>
      <c r="GU35">
        <f>h_col*((GS35+GT35)/2)/(1-(GS35+GT35)/2)</f>
        <v/>
      </c>
      <c r="GV35">
        <f>(f_cd*b_col*((3*MIN(GU35,h_col)/7)+(4*MIN(GU35,h_col)/7)*(1-((4*MIN(GU35,h_col)/7)/(GU35-(3*MIN(GU35,h_col)/7)))^2/3))+$D35/2*((MAX(-f_yd,MIN(f_yd,200000*IF(GU35&lt;=h_col,0.0035*(GU35-d_2)/GU35,0.002*(GU35-d_2)/(GU35-3*h_col/7))))-f_cd*(1-(1-MAX(0,MIN(1,IF(GU35&lt;=h_col,0.0035*(GU35-d_2)/GU35,0.002*(GU35-d_2)/(GU35-3*h_col/7))/0.002)))^2))+(MAX(-f_yd,MIN(f_yd,200000*IF(GU35&lt;=h_col,0.0035*(GU35-(h_col-d_2))/GU35,0.002*(GU35-(h_col-d_2))/(GU35-3*h_col/7))))-f_cd*(1-(1-MAX(0,MIN(1,IF(GU35&lt;=h_col,0.0035*(GU35-(h_col-d_2))/GU35,0.002*(GU35-(h_col-d_2))/(GU35-3*h_col/7))/0.002)))^2))))/1000</f>
        <v/>
      </c>
      <c r="GW35">
        <f>GU35</f>
        <v/>
      </c>
      <c r="GX35">
        <f>(f_cd*b_col*((3*MIN(GW35,h_col)/7)+(4*MIN(GW35,h_col)/7)*(1-((4*MIN(GW35,h_col)/7)/(GW35-(3*MIN(GW35,h_col)/7)))^2/3))+$D35/2*((MAX(-f_yd,MIN(f_yd,200000*IF(GW35&lt;=h_col,0.0035*(GW35-d_2)/GW35,0.002*(GW35-d_2)/(GW35-3*h_col/7))))-f_cd*(1-(1-MAX(0,MIN(1,IF(GW35&lt;=h_col,0.0035*(GW35-d_2)/GW35,0.002*(GW35-d_2)/(GW35-3*h_col/7))/0.002)))^2))+(MAX(-f_yd,MIN(f_yd,200000*IF(GW35&lt;=h_col,0.0035*(GW35-(h_col-d_2))/GW35,0.002*(GW35-(h_col-d_2))/(GW35-3*h_col/7))))-f_cd*(1-(1-MAX(0,MIN(1,IF(GW35&lt;=h_col,0.0035*(GW35-(h_col-d_2))/GW35,0.002*(GW35-(h_col-d_2))/(GW35-3*h_col/7))/0.002)))^2))))/1000</f>
        <v/>
      </c>
      <c r="GY35">
        <f>(f_cd*b_col*((3*MIN(GW35,h_col)/7)*(h_col/2-(3*MIN(GW35,h_col)/7)/2)+(4*MIN(GW35,h_col)/7)*((h_col/2-(3*MIN(GW35,h_col)/7))*(1-((4*MIN(GW35,h_col)/7)/(GW35-(3*MIN(GW35,h_col)/7)))^2/3)-(4*MIN(GW35,h_col)/7)*(0.5-((4*MIN(GW35,h_col)/7)/(GW35-(3*MIN(GW35,h_col)/7)))^2/4)))+$D35/2*((MAX(-f_yd,MIN(f_yd,200000*IF(GW35&lt;=h_col,0.0035*(GW35-d_2)/GW35,0.002*(GW35-d_2)/(GW35-3*h_col/7))))-f_cd*(1-(1-MAX(0,MIN(1,IF(GW35&lt;=h_col,0.0035*(GW35-d_2)/GW35,0.002*(GW35-d_2)/(GW35-3*h_col/7))/0.002)))^2))-(MAX(-f_yd,MIN(f_yd,200000*IF(GW35&lt;=h_col,0.0035*(GW35-(h_col-d_2))/GW35,0.002*(GW35-(h_col-d_2))/(GW35-3*h_col/7))))-f_cd*(1-(1-MAX(0,MIN(1,IF(GW35&lt;=h_col,0.0035*(GW35-(h_col-d_2))/GW35,0.002*(GW35-(h_col-d_2))/(GW35-3*h_col/7))/0.002)))^2)))*(h_col/2-d_2))/1E6</f>
        <v/>
      </c>
      <c r="GZ35">
        <f>GX35&gt;=N_Ed-1E-6*MAX(1,N_Ed)</f>
        <v/>
      </c>
      <c r="HA35">
        <f>IF(GZ35,GY35,-1E9)</f>
        <v/>
      </c>
    </row>
    <row r="36">
      <c r="A36" t="n">
        <v>31</v>
      </c>
      <c r="B36">
        <f>IF($HA35&gt;=M_d,$B35,$D35)</f>
        <v/>
      </c>
      <c r="C36">
        <f>IF($HA35&gt;=M_d,$D35,$C35)</f>
        <v/>
      </c>
      <c r="D36">
        <f>($B36+$C36)/2</f>
        <v/>
      </c>
      <c r="E36" t="n">
        <v>0</v>
      </c>
      <c r="F36">
        <f>1-1E-12</f>
        <v/>
      </c>
      <c r="G36">
        <f>h_col*((E36+F36)/2)/(1-(E36+F36)/2)</f>
        <v/>
      </c>
      <c r="H36">
        <f>(f_cd*b_col*((3*MIN(G36,h_col)/7)+(4*MIN(G36,h_col)/7)*(1-((4*MIN(G36,h_col)/7)/(G36-(3*MIN(G36,h_col)/7)))^2/3))+$D36/2*((MAX(-f_yd,MIN(f_yd,200000*IF(G36&lt;=h_col,0.0035*(G36-d_2)/G36,0.002*(G36-d_2)/(G36-3*h_col/7))))-f_cd*(1-(1-MAX(0,MIN(1,IF(G36&lt;=h_col,0.0035*(G36-d_2)/G36,0.002*(G36-d_2)/(G36-3*h_col/7))/0.002)))^2))+(MAX(-f_yd,MIN(f_yd,200000*IF(G36&lt;=h_col,0.0035*(G36-(h_col-d_2))/G36,0.002*(G36-(h_col-d_2))/(G36-3*h_col/7))))-f_cd*(1-(1-MAX(0,MIN(1,IF(G36&lt;=h_col,0.0035*(G36-(h_col-d_2))/G36,0.002*(G36-(h_col-d_2))/(G36-3*h_col/7))/0.002)))^2))))/1000</f>
        <v/>
      </c>
      <c r="I36">
        <f>IF($H36&lt;N_Ed-1E-9*MAX(1,N_Ed),(E36+F36)/2,E36)</f>
        <v/>
      </c>
      <c r="J36">
        <f>IF($H36&lt;N_Ed-1E-9*MAX(1,N_Ed),F36,(E36+F36)/2)</f>
        <v/>
      </c>
      <c r="K36">
        <f>h_col*((I36+J36)/2)/(1-(I36+J36)/2)</f>
        <v/>
      </c>
      <c r="L36">
        <f>(f_cd*b_col*((3*MIN(K36,h_col)/7)+(4*MIN(K36,h_col)/7)*(1-((4*MIN(K36,h_col)/7)/(K36-(3*MIN(K36,h_col)/7)))^2/3))+$D36/2*((MAX(-f_yd,MIN(f_yd,200000*IF(K36&lt;=h_col,0.0035*(K36-d_2)/K36,0.002*(K36-d_2)/(K36-3*h_col/7))))-f_cd*(1-(1-MAX(0,MIN(1,IF(K36&lt;=h_col,0.0035*(K36-d_2)/K36,0.002*(K36-d_2)/(K36-3*h_col/7))/0.002)))^2))+(MAX(-f_yd,MIN(f_yd,200000*IF(K36&lt;=h_col,0.0035*(K36-(h_col-d_2))/K36,0.002*(K36-(h_col-d_2))/(K36-3*h_col/7))))-f_cd*(1-(1-MAX(0,MIN(1,IF(K36&lt;=h_col,0.0035*(K36-(h_col-d_2))/K36,0.002*(K36-(h_col-d_2))/(K36-3*h_col/7))/0.002)))^2))))/1000</f>
        <v/>
      </c>
      <c r="M36">
        <f>IF($L36&lt;N_Ed-1E-9*MAX(1,N_Ed),(I36+J36)/2,I36)</f>
        <v/>
      </c>
      <c r="N36">
        <f>IF($L36&lt;N_Ed-1E-9*MAX(1,N_Ed),J36,(I36+J36)/2)</f>
        <v/>
      </c>
      <c r="O36">
        <f>h_col*((M36+N36)/2)/(1-(M36+N36)/2)</f>
        <v/>
      </c>
      <c r="P36">
        <f>(f_cd*b_col*((3*MIN(O36,h_col)/7)+(4*MIN(O36,h_col)/7)*(1-((4*MIN(O36,h_col)/7)/(O36-(3*MIN(O36,h_col)/7)))^2/3))+$D36/2*((MAX(-f_yd,MIN(f_yd,200000*IF(O36&lt;=h_col,0.0035*(O36-d_2)/O36,0.002*(O36-d_2)/(O36-3*h_col/7))))-f_cd*(1-(1-MAX(0,MIN(1,IF(O36&lt;=h_col,0.0035*(O36-d_2)/O36,0.002*(O36-d_2)/(O36-3*h_col/7))/0.002)))^2))+(MAX(-f_yd,MIN(f_yd,200000*IF(O36&lt;=h_col,0.0035*(O36-(h_col-d_2))/O36,0.002*(O36-(h_col-d_2))/(O36-3*h_col/7))))-f_cd*(1-(1-MAX(0,MIN(1,IF(O36&lt;=h_col,0.0035*(O36-(h_col-d_2))/O36,0.002*(O36-(h_col-d_2))/(O36-3*h_col/7))/0.002)))^2))))/1000</f>
        <v/>
      </c>
      <c r="Q36">
        <f>IF($P36&lt;N_Ed-1E-9*MAX(1,N_Ed),(M36+N36)/2,M36)</f>
        <v/>
      </c>
      <c r="R36">
        <f>IF($P36&lt;N_Ed-1E-9*MAX(1,N_Ed),N36,(M36+N36)/2)</f>
        <v/>
      </c>
      <c r="S36">
        <f>h_col*((Q36+R36)/2)/(1-(Q36+R36)/2)</f>
        <v/>
      </c>
      <c r="T36">
        <f>(f_cd*b_col*((3*MIN(S36,h_col)/7)+(4*MIN(S36,h_col)/7)*(1-((4*MIN(S36,h_col)/7)/(S36-(3*MIN(S36,h_col)/7)))^2/3))+$D36/2*((MAX(-f_yd,MIN(f_yd,200000*IF(S36&lt;=h_col,0.0035*(S36-d_2)/S36,0.002*(S36-d_2)/(S36-3*h_col/7))))-f_cd*(1-(1-MAX(0,MIN(1,IF(S36&lt;=h_col,0.0035*(S36-d_2)/S36,0.002*(S36-d_2)/(S36-3*h_col/7))/0.002)))^2))+(MAX(-f_yd,MIN(f_yd,200000*IF(S36&lt;=h_col,0.0035*(S36-(h_col-d_2))/S36,0.002*(S36-(h_col-d_2))/(S36-3*h_col/7))))-f_cd*(1-(1-MAX(0,MIN(1,IF(S36&lt;=h_col,0.0035*(S36-(h_col-d_2))/S36,0.002*(S36-(h_col-d_2))/(S36-3*h_col/7))/0.002)))^2))))/1000</f>
        <v/>
      </c>
      <c r="U36">
        <f>IF($T36&lt;N_Ed-1E-9*MAX(1,N_Ed),(Q36+R36)/2,Q36)</f>
        <v/>
      </c>
      <c r="V36">
        <f>IF($T36&lt;N_Ed-1E-9*MAX(1,N_Ed),R36,(Q36+R36)/2)</f>
        <v/>
      </c>
      <c r="W36">
        <f>h_col*((U36+V36)/2)/(1-(U36+V36)/2)</f>
        <v/>
      </c>
      <c r="X36">
        <f>(f_cd*b_col*((3*MIN(W36,h_col)/7)+(4*MIN(W36,h_col)/7)*(1-((4*MIN(W36,h_col)/7)/(W36-(3*MIN(W36,h_col)/7)))^2/3))+$D36/2*((MAX(-f_yd,MIN(f_yd,200000*IF(W36&lt;=h_col,0.0035*(W36-d_2)/W36,0.002*(W36-d_2)/(W36-3*h_col/7))))-f_cd*(1-(1-MAX(0,MIN(1,IF(W36&lt;=h_col,0.0035*(W36-d_2)/W36,0.002*(W36-d_2)/(W36-3*h_col/7))/0.002)))^2))+(MAX(-f_yd,MIN(f_yd,200000*IF(W36&lt;=h_col,0.0035*(W36-(h_col-d_2))/W36,0.002*(W36-(h_col-d_2))/(W36-3*h_col/7))))-f_cd*(1-(1-MAX(0,MIN(1,IF(W36&lt;=h_col,0.0035*(W36-(h_col-d_2))/W36,0.002*(W36-(h_col-d_2))/(W36-3*h_col/7))/0.002)))^2))))/1000</f>
        <v/>
      </c>
      <c r="Y36">
        <f>IF($X36&lt;N_Ed-1E-9*MAX(1,N_Ed),(U36+V36)/2,U36)</f>
        <v/>
      </c>
      <c r="Z36">
        <f>IF($X36&lt;N_Ed-1E-9*MAX(1,N_Ed),V36,(U36+V36)/2)</f>
        <v/>
      </c>
      <c r="AA36">
        <f>h_col*((Y36+Z36)/2)/(1-(Y36+Z36)/2)</f>
        <v/>
      </c>
      <c r="AB36">
        <f>(f_cd*b_col*((3*MIN(AA36,h_col)/7)+(4*MIN(AA36,h_col)/7)*(1-((4*MIN(AA36,h_col)/7)/(AA36-(3*MIN(AA36,h_col)/7)))^2/3))+$D36/2*((MAX(-f_yd,MIN(f_yd,200000*IF(AA36&lt;=h_col,0.0035*(AA36-d_2)/AA36,0.002*(AA36-d_2)/(AA36-3*h_col/7))))-f_cd*(1-(1-MAX(0,MIN(1,IF(AA36&lt;=h_col,0.0035*(AA36-d_2)/AA36,0.002*(AA36-d_2)/(AA36-3*h_col/7))/0.002)))^2))+(MAX(-f_yd,MIN(f_yd,200000*IF(AA36&lt;=h_col,0.0035*(AA36-(h_col-d_2))/AA36,0.002*(AA36-(h_col-d_2))/(AA36-3*h_col/7))))-f_cd*(1-(1-MAX(0,MIN(1,IF(AA36&lt;=h_col,0.0035*(AA36-(h_col-d_2))/AA36,0.002*(AA36-(h_col-d_2))/(AA36-3*h_col/7))/0.002)))^2))))/1000</f>
        <v/>
      </c>
      <c r="AC36">
        <f>IF($AB36&lt;N_Ed-1E-9*MAX(1,N_Ed),(Y36+Z36)/2,Y36)</f>
        <v/>
      </c>
      <c r="AD36">
        <f>IF($AB36&lt;N_Ed-1E-9*MAX(1,N_Ed),Z36,(Y36+Z36)/2)</f>
        <v/>
      </c>
      <c r="AE36">
        <f>h_col*((AC36+AD36)/2)/(1-(AC36+AD36)/2)</f>
        <v/>
      </c>
      <c r="AF36">
        <f>(f_cd*b_col*((3*MIN(AE36,h_col)/7)+(4*MIN(AE36,h_col)/7)*(1-((4*MIN(AE36,h_col)/7)/(AE36-(3*MIN(AE36,h_col)/7)))^2/3))+$D36/2*((MAX(-f_yd,MIN(f_yd,200000*IF(AE36&lt;=h_col,0.0035*(AE36-d_2)/AE36,0.002*(AE36-d_2)/(AE36-3*h_col/7))))-f_cd*(1-(1-MAX(0,MIN(1,IF(AE36&lt;=h_col,0.0035*(AE36-d_2)/AE36,0.002*(AE36-d_2)/(AE36-3*h_col/7))/0.002)))^2))+(MAX(-f_yd,MIN(f_yd,200000*IF(AE36&lt;=h_col,0.0035*(AE36-(h_col-d_2))/AE36,0.002*(AE36-(h_col-d_2))/(AE36-3*h_col/7))))-f_cd*(1-(1-MAX(0,MIN(1,IF(AE36&lt;=h_col,0.0035*(AE36-(h_col-d_2))/AE36,0.002*(AE36-(h_col-d_2))/(AE36-3*h_col/7))/0.002)))^2))))/1000</f>
        <v/>
      </c>
      <c r="AG36">
        <f>IF($AF36&lt;N_Ed-1E-9*MAX(1,N_Ed),(AC36+AD36)/2,AC36)</f>
        <v/>
      </c>
      <c r="AH36">
        <f>IF($AF36&lt;N_Ed-1E-9*MAX(1,N_Ed),AD36,(AC36+AD36)/2)</f>
        <v/>
      </c>
      <c r="AI36">
        <f>h_col*((AG36+AH36)/2)/(1-(AG36+AH36)/2)</f>
        <v/>
      </c>
      <c r="AJ36">
        <f>(f_cd*b_col*((3*MIN(AI36,h_col)/7)+(4*MIN(AI36,h_col)/7)*(1-((4*MIN(AI36,h_col)/7)/(AI36-(3*MIN(AI36,h_col)/7)))^2/3))+$D36/2*((MAX(-f_yd,MIN(f_yd,200000*IF(AI36&lt;=h_col,0.0035*(AI36-d_2)/AI36,0.002*(AI36-d_2)/(AI36-3*h_col/7))))-f_cd*(1-(1-MAX(0,MIN(1,IF(AI36&lt;=h_col,0.0035*(AI36-d_2)/AI36,0.002*(AI36-d_2)/(AI36-3*h_col/7))/0.002)))^2))+(MAX(-f_yd,MIN(f_yd,200000*IF(AI36&lt;=h_col,0.0035*(AI36-(h_col-d_2))/AI36,0.002*(AI36-(h_col-d_2))/(AI36-3*h_col/7))))-f_cd*(1-(1-MAX(0,MIN(1,IF(AI36&lt;=h_col,0.0035*(AI36-(h_col-d_2))/AI36,0.002*(AI36-(h_col-d_2))/(AI36-3*h_col/7))/0.002)))^2))))/1000</f>
        <v/>
      </c>
      <c r="AK36">
        <f>IF($AJ36&lt;N_Ed-1E-9*MAX(1,N_Ed),(AG36+AH36)/2,AG36)</f>
        <v/>
      </c>
      <c r="AL36">
        <f>IF($AJ36&lt;N_Ed-1E-9*MAX(1,N_Ed),AH36,(AG36+AH36)/2)</f>
        <v/>
      </c>
      <c r="AM36">
        <f>h_col*((AK36+AL36)/2)/(1-(AK36+AL36)/2)</f>
        <v/>
      </c>
      <c r="AN36">
        <f>(f_cd*b_col*((3*MIN(AM36,h_col)/7)+(4*MIN(AM36,h_col)/7)*(1-((4*MIN(AM36,h_col)/7)/(AM36-(3*MIN(AM36,h_col)/7)))^2/3))+$D36/2*((MAX(-f_yd,MIN(f_yd,200000*IF(AM36&lt;=h_col,0.0035*(AM36-d_2)/AM36,0.002*(AM36-d_2)/(AM36-3*h_col/7))))-f_cd*(1-(1-MAX(0,MIN(1,IF(AM36&lt;=h_col,0.0035*(AM36-d_2)/AM36,0.002*(AM36-d_2)/(AM36-3*h_col/7))/0.002)))^2))+(MAX(-f_yd,MIN(f_yd,200000*IF(AM36&lt;=h_col,0.0035*(AM36-(h_col-d_2))/AM36,0.002*(AM36-(h_col-d_2))/(AM36-3*h_col/7))))-f_cd*(1-(1-MAX(0,MIN(1,IF(AM36&lt;=h_col,0.0035*(AM36-(h_col-d_2))/AM36,0.002*(AM36-(h_col-d_2))/(AM36-3*h_col/7))/0.002)))^2))))/1000</f>
        <v/>
      </c>
      <c r="AO36">
        <f>IF($AN36&lt;N_Ed-1E-9*MAX(1,N_Ed),(AK36+AL36)/2,AK36)</f>
        <v/>
      </c>
      <c r="AP36">
        <f>IF($AN36&lt;N_Ed-1E-9*MAX(1,N_Ed),AL36,(AK36+AL36)/2)</f>
        <v/>
      </c>
      <c r="AQ36">
        <f>h_col*((AO36+AP36)/2)/(1-(AO36+AP36)/2)</f>
        <v/>
      </c>
      <c r="AR36">
        <f>(f_cd*b_col*((3*MIN(AQ36,h_col)/7)+(4*MIN(AQ36,h_col)/7)*(1-((4*MIN(AQ36,h_col)/7)/(AQ36-(3*MIN(AQ36,h_col)/7)))^2/3))+$D36/2*((MAX(-f_yd,MIN(f_yd,200000*IF(AQ36&lt;=h_col,0.0035*(AQ36-d_2)/AQ36,0.002*(AQ36-d_2)/(AQ36-3*h_col/7))))-f_cd*(1-(1-MAX(0,MIN(1,IF(AQ36&lt;=h_col,0.0035*(AQ36-d_2)/AQ36,0.002*(AQ36-d_2)/(AQ36-3*h_col/7))/0.002)))^2))+(MAX(-f_yd,MIN(f_yd,200000*IF(AQ36&lt;=h_col,0.0035*(AQ36-(h_col-d_2))/AQ36,0.002*(AQ36-(h_col-d_2))/(AQ36-3*h_col/7))))-f_cd*(1-(1-MAX(0,MIN(1,IF(AQ36&lt;=h_col,0.0035*(AQ36-(h_col-d_2))/AQ36,0.002*(AQ36-(h_col-d_2))/(AQ36-3*h_col/7))/0.002)))^2))))/1000</f>
        <v/>
      </c>
      <c r="AS36">
        <f>IF($AR36&lt;N_Ed-1E-9*MAX(1,N_Ed),(AO36+AP36)/2,AO36)</f>
        <v/>
      </c>
      <c r="AT36">
        <f>IF($AR36&lt;N_Ed-1E-9*MAX(1,N_Ed),AP36,(AO36+AP36)/2)</f>
        <v/>
      </c>
      <c r="AU36">
        <f>h_col*((AS36+AT36)/2)/(1-(AS36+AT36)/2)</f>
        <v/>
      </c>
      <c r="AV36">
        <f>(f_cd*b_col*((3*MIN(AU36,h_col)/7)+(4*MIN(AU36,h_col)/7)*(1-((4*MIN(AU36,h_col)/7)/(AU36-(3*MIN(AU36,h_col)/7)))^2/3))+$D36/2*((MAX(-f_yd,MIN(f_yd,200000*IF(AU36&lt;=h_col,0.0035*(AU36-d_2)/AU36,0.002*(AU36-d_2)/(AU36-3*h_col/7))))-f_cd*(1-(1-MAX(0,MIN(1,IF(AU36&lt;=h_col,0.0035*(AU36-d_2)/AU36,0.002*(AU36-d_2)/(AU36-3*h_col/7))/0.002)))^2))+(MAX(-f_yd,MIN(f_yd,200000*IF(AU36&lt;=h_col,0.0035*(AU36-(h_col-d_2))/AU36,0.002*(AU36-(h_col-d_2))/(AU36-3*h_col/7))))-f_cd*(1-(1-MAX(0,MIN(1,IF(AU36&lt;=h_col,0.0035*(AU36-(h_col-d_2))/AU36,0.002*(AU36-(h_col-d_2))/(AU36-3*h_col/7))/0.002)))^2))))/1000</f>
        <v/>
      </c>
      <c r="AW36">
        <f>IF($AV36&lt;N_Ed-1E-9*MAX(1,N_Ed),(AS36+AT36)/2,AS36)</f>
        <v/>
      </c>
      <c r="AX36">
        <f>IF($AV36&lt;N_Ed-1E-9*MAX(1,N_Ed),AT36,(AS36+AT36)/2)</f>
        <v/>
      </c>
      <c r="AY36">
        <f>h_col*((AW36+AX36)/2)/(1-(AW36+AX36)/2)</f>
        <v/>
      </c>
      <c r="AZ36">
        <f>(f_cd*b_col*((3*MIN(AY36,h_col)/7)+(4*MIN(AY36,h_col)/7)*(1-((4*MIN(AY36,h_col)/7)/(AY36-(3*MIN(AY36,h_col)/7)))^2/3))+$D36/2*((MAX(-f_yd,MIN(f_yd,200000*IF(AY36&lt;=h_col,0.0035*(AY36-d_2)/AY36,0.002*(AY36-d_2)/(AY36-3*h_col/7))))-f_cd*(1-(1-MAX(0,MIN(1,IF(AY36&lt;=h_col,0.0035*(AY36-d_2)/AY36,0.002*(AY36-d_2)/(AY36-3*h_col/7))/0.002)))^2))+(MAX(-f_yd,MIN(f_yd,200000*IF(AY36&lt;=h_col,0.0035*(AY36-(h_col-d_2))/AY36,0.002*(AY36-(h_col-d_2))/(AY36-3*h_col/7))))-f_cd*(1-(1-MAX(0,MIN(1,IF(AY36&lt;=h_col,0.0035*(AY36-(h_col-d_2))/AY36,0.002*(AY36-(h_col-d_2))/(AY36-3*h_col/7))/0.002)))^2))))/1000</f>
        <v/>
      </c>
      <c r="BA36">
        <f>IF($AZ36&lt;N_Ed-1E-9*MAX(1,N_Ed),(AW36+AX36)/2,AW36)</f>
        <v/>
      </c>
      <c r="BB36">
        <f>IF($AZ36&lt;N_Ed-1E-9*MAX(1,N_Ed),AX36,(AW36+AX36)/2)</f>
        <v/>
      </c>
      <c r="BC36">
        <f>h_col*((BA36+BB36)/2)/(1-(BA36+BB36)/2)</f>
        <v/>
      </c>
      <c r="BD36">
        <f>(f_cd*b_col*((3*MIN(BC36,h_col)/7)+(4*MIN(BC36,h_col)/7)*(1-((4*MIN(BC36,h_col)/7)/(BC36-(3*MIN(BC36,h_col)/7)))^2/3))+$D36/2*((MAX(-f_yd,MIN(f_yd,200000*IF(BC36&lt;=h_col,0.0035*(BC36-d_2)/BC36,0.002*(BC36-d_2)/(BC36-3*h_col/7))))-f_cd*(1-(1-MAX(0,MIN(1,IF(BC36&lt;=h_col,0.0035*(BC36-d_2)/BC36,0.002*(BC36-d_2)/(BC36-3*h_col/7))/0.002)))^2))+(MAX(-f_yd,MIN(f_yd,200000*IF(BC36&lt;=h_col,0.0035*(BC36-(h_col-d_2))/BC36,0.002*(BC36-(h_col-d_2))/(BC36-3*h_col/7))))-f_cd*(1-(1-MAX(0,MIN(1,IF(BC36&lt;=h_col,0.0035*(BC36-(h_col-d_2))/BC36,0.002*(BC36-(h_col-d_2))/(BC36-3*h_col/7))/0.002)))^2))))/1000</f>
        <v/>
      </c>
      <c r="BE36">
        <f>IF($BD36&lt;N_Ed-1E-9*MAX(1,N_Ed),(BA36+BB36)/2,BA36)</f>
        <v/>
      </c>
      <c r="BF36">
        <f>IF($BD36&lt;N_Ed-1E-9*MAX(1,N_Ed),BB36,(BA36+BB36)/2)</f>
        <v/>
      </c>
      <c r="BG36">
        <f>h_col*((BE36+BF36)/2)/(1-(BE36+BF36)/2)</f>
        <v/>
      </c>
      <c r="BH36">
        <f>(f_cd*b_col*((3*MIN(BG36,h_col)/7)+(4*MIN(BG36,h_col)/7)*(1-((4*MIN(BG36,h_col)/7)/(BG36-(3*MIN(BG36,h_col)/7)))^2/3))+$D36/2*((MAX(-f_yd,MIN(f_yd,200000*IF(BG36&lt;=h_col,0.0035*(BG36-d_2)/BG36,0.002*(BG36-d_2)/(BG36-3*h_col/7))))-f_cd*(1-(1-MAX(0,MIN(1,IF(BG36&lt;=h_col,0.0035*(BG36-d_2)/BG36,0.002*(BG36-d_2)/(BG36-3*h_col/7))/0.002)))^2))+(MAX(-f_yd,MIN(f_yd,200000*IF(BG36&lt;=h_col,0.0035*(BG36-(h_col-d_2))/BG36,0.002*(BG36-(h_col-d_2))/(BG36-3*h_col/7))))-f_cd*(1-(1-MAX(0,MIN(1,IF(BG36&lt;=h_col,0.0035*(BG36-(h_col-d_2))/BG36,0.002*(BG36-(h_col-d_2))/(BG36-3*h_col/7))/0.002)))^2))))/1000</f>
        <v/>
      </c>
      <c r="BI36">
        <f>IF($BH36&lt;N_Ed-1E-9*MAX(1,N_Ed),(BE36+BF36)/2,BE36)</f>
        <v/>
      </c>
      <c r="BJ36">
        <f>IF($BH36&lt;N_Ed-1E-9*MAX(1,N_Ed),BF36,(BE36+BF36)/2)</f>
        <v/>
      </c>
      <c r="BK36">
        <f>h_col*((BI36+BJ36)/2)/(1-(BI36+BJ36)/2)</f>
        <v/>
      </c>
      <c r="BL36">
        <f>(f_cd*b_col*((3*MIN(BK36,h_col)/7)+(4*MIN(BK36,h_col)/7)*(1-((4*MIN(BK36,h_col)/7)/(BK36-(3*MIN(BK36,h_col)/7)))^2/3))+$D36/2*((MAX(-f_yd,MIN(f_yd,200000*IF(BK36&lt;=h_col,0.0035*(BK36-d_2)/BK36,0.002*(BK36-d_2)/(BK36-3*h_col/7))))-f_cd*(1-(1-MAX(0,MIN(1,IF(BK36&lt;=h_col,0.0035*(BK36-d_2)/BK36,0.002*(BK36-d_2)/(BK36-3*h_col/7))/0.002)))^2))+(MAX(-f_yd,MIN(f_yd,200000*IF(BK36&lt;=h_col,0.0035*(BK36-(h_col-d_2))/BK36,0.002*(BK36-(h_col-d_2))/(BK36-3*h_col/7))))-f_cd*(1-(1-MAX(0,MIN(1,IF(BK36&lt;=h_col,0.0035*(BK36-(h_col-d_2))/BK36,0.002*(BK36-(h_col-d_2))/(BK36-3*h_col/7))/0.002)))^2))))/1000</f>
        <v/>
      </c>
      <c r="BM36">
        <f>IF($BL36&lt;N_Ed-1E-9*MAX(1,N_Ed),(BI36+BJ36)/2,BI36)</f>
        <v/>
      </c>
      <c r="BN36">
        <f>IF($BL36&lt;N_Ed-1E-9*MAX(1,N_Ed),BJ36,(BI36+BJ36)/2)</f>
        <v/>
      </c>
      <c r="BO36">
        <f>h_col*((BM36+BN36)/2)/(1-(BM36+BN36)/2)</f>
        <v/>
      </c>
      <c r="BP36">
        <f>(f_cd*b_col*((3*MIN(BO36,h_col)/7)+(4*MIN(BO36,h_col)/7)*(1-((4*MIN(BO36,h_col)/7)/(BO36-(3*MIN(BO36,h_col)/7)))^2/3))+$D36/2*((MAX(-f_yd,MIN(f_yd,200000*IF(BO36&lt;=h_col,0.0035*(BO36-d_2)/BO36,0.002*(BO36-d_2)/(BO36-3*h_col/7))))-f_cd*(1-(1-MAX(0,MIN(1,IF(BO36&lt;=h_col,0.0035*(BO36-d_2)/BO36,0.002*(BO36-d_2)/(BO36-3*h_col/7))/0.002)))^2))+(MAX(-f_yd,MIN(f_yd,200000*IF(BO36&lt;=h_col,0.0035*(BO36-(h_col-d_2))/BO36,0.002*(BO36-(h_col-d_2))/(BO36-3*h_col/7))))-f_cd*(1-(1-MAX(0,MIN(1,IF(BO36&lt;=h_col,0.0035*(BO36-(h_col-d_2))/BO36,0.002*(BO36-(h_col-d_2))/(BO36-3*h_col/7))/0.002)))^2))))/1000</f>
        <v/>
      </c>
      <c r="BQ36">
        <f>IF($BP36&lt;N_Ed-1E-9*MAX(1,N_Ed),(BM36+BN36)/2,BM36)</f>
        <v/>
      </c>
      <c r="BR36">
        <f>IF($BP36&lt;N_Ed-1E-9*MAX(1,N_Ed),BN36,(BM36+BN36)/2)</f>
        <v/>
      </c>
      <c r="BS36">
        <f>h_col*((BQ36+BR36)/2)/(1-(BQ36+BR36)/2)</f>
        <v/>
      </c>
      <c r="BT36">
        <f>(f_cd*b_col*((3*MIN(BS36,h_col)/7)+(4*MIN(BS36,h_col)/7)*(1-((4*MIN(BS36,h_col)/7)/(BS36-(3*MIN(BS36,h_col)/7)))^2/3))+$D36/2*((MAX(-f_yd,MIN(f_yd,200000*IF(BS36&lt;=h_col,0.0035*(BS36-d_2)/BS36,0.002*(BS36-d_2)/(BS36-3*h_col/7))))-f_cd*(1-(1-MAX(0,MIN(1,IF(BS36&lt;=h_col,0.0035*(BS36-d_2)/BS36,0.002*(BS36-d_2)/(BS36-3*h_col/7))/0.002)))^2))+(MAX(-f_yd,MIN(f_yd,200000*IF(BS36&lt;=h_col,0.0035*(BS36-(h_col-d_2))/BS36,0.002*(BS36-(h_col-d_2))/(BS36-3*h_col/7))))-f_cd*(1-(1-MAX(0,MIN(1,IF(BS36&lt;=h_col,0.0035*(BS36-(h_col-d_2))/BS36,0.002*(BS36-(h_col-d_2))/(BS36-3*h_col/7))/0.002)))^2))))/1000</f>
        <v/>
      </c>
      <c r="BU36">
        <f>IF($BT36&lt;N_Ed-1E-9*MAX(1,N_Ed),(BQ36+BR36)/2,BQ36)</f>
        <v/>
      </c>
      <c r="BV36">
        <f>IF($BT36&lt;N_Ed-1E-9*MAX(1,N_Ed),BR36,(BQ36+BR36)/2)</f>
        <v/>
      </c>
      <c r="BW36">
        <f>h_col*((BU36+BV36)/2)/(1-(BU36+BV36)/2)</f>
        <v/>
      </c>
      <c r="BX36">
        <f>(f_cd*b_col*((3*MIN(BW36,h_col)/7)+(4*MIN(BW36,h_col)/7)*(1-((4*MIN(BW36,h_col)/7)/(BW36-(3*MIN(BW36,h_col)/7)))^2/3))+$D36/2*((MAX(-f_yd,MIN(f_yd,200000*IF(BW36&lt;=h_col,0.0035*(BW36-d_2)/BW36,0.002*(BW36-d_2)/(BW36-3*h_col/7))))-f_cd*(1-(1-MAX(0,MIN(1,IF(BW36&lt;=h_col,0.0035*(BW36-d_2)/BW36,0.002*(BW36-d_2)/(BW36-3*h_col/7))/0.002)))^2))+(MAX(-f_yd,MIN(f_yd,200000*IF(BW36&lt;=h_col,0.0035*(BW36-(h_col-d_2))/BW36,0.002*(BW36-(h_col-d_2))/(BW36-3*h_col/7))))-f_cd*(1-(1-MAX(0,MIN(1,IF(BW36&lt;=h_col,0.0035*(BW36-(h_col-d_2))/BW36,0.002*(BW36-(h_col-d_2))/(BW36-3*h_col/7))/0.002)))^2))))/1000</f>
        <v/>
      </c>
      <c r="BY36">
        <f>IF($BX36&lt;N_Ed-1E-9*MAX(1,N_Ed),(BU36+BV36)/2,BU36)</f>
        <v/>
      </c>
      <c r="BZ36">
        <f>IF($BX36&lt;N_Ed-1E-9*MAX(1,N_Ed),BV36,(BU36+BV36)/2)</f>
        <v/>
      </c>
      <c r="CA36">
        <f>h_col*((BY36+BZ36)/2)/(1-(BY36+BZ36)/2)</f>
        <v/>
      </c>
      <c r="CB36">
        <f>(f_cd*b_col*((3*MIN(CA36,h_col)/7)+(4*MIN(CA36,h_col)/7)*(1-((4*MIN(CA36,h_col)/7)/(CA36-(3*MIN(CA36,h_col)/7)))^2/3))+$D36/2*((MAX(-f_yd,MIN(f_yd,200000*IF(CA36&lt;=h_col,0.0035*(CA36-d_2)/CA36,0.002*(CA36-d_2)/(CA36-3*h_col/7))))-f_cd*(1-(1-MAX(0,MIN(1,IF(CA36&lt;=h_col,0.0035*(CA36-d_2)/CA36,0.002*(CA36-d_2)/(CA36-3*h_col/7))/0.002)))^2))+(MAX(-f_yd,MIN(f_yd,200000*IF(CA36&lt;=h_col,0.0035*(CA36-(h_col-d_2))/CA36,0.002*(CA36-(h_col-d_2))/(CA36-3*h_col/7))))-f_cd*(1-(1-MAX(0,MIN(1,IF(CA36&lt;=h_col,0.0035*(CA36-(h_col-d_2))/CA36,0.002*(CA36-(h_col-d_2))/(CA36-3*h_col/7))/0.002)))^2))))/1000</f>
        <v/>
      </c>
      <c r="CC36">
        <f>IF($CB36&lt;N_Ed-1E-9*MAX(1,N_Ed),(BY36+BZ36)/2,BY36)</f>
        <v/>
      </c>
      <c r="CD36">
        <f>IF($CB36&lt;N_Ed-1E-9*MAX(1,N_Ed),BZ36,(BY36+BZ36)/2)</f>
        <v/>
      </c>
      <c r="CE36">
        <f>h_col*((CC36+CD36)/2)/(1-(CC36+CD36)/2)</f>
        <v/>
      </c>
      <c r="CF36">
        <f>(f_cd*b_col*((3*MIN(CE36,h_col)/7)+(4*MIN(CE36,h_col)/7)*(1-((4*MIN(CE36,h_col)/7)/(CE36-(3*MIN(CE36,h_col)/7)))^2/3))+$D36/2*((MAX(-f_yd,MIN(f_yd,200000*IF(CE36&lt;=h_col,0.0035*(CE36-d_2)/CE36,0.002*(CE36-d_2)/(CE36-3*h_col/7))))-f_cd*(1-(1-MAX(0,MIN(1,IF(CE36&lt;=h_col,0.0035*(CE36-d_2)/CE36,0.002*(CE36-d_2)/(CE36-3*h_col/7))/0.002)))^2))+(MAX(-f_yd,MIN(f_yd,200000*IF(CE36&lt;=h_col,0.0035*(CE36-(h_col-d_2))/CE36,0.002*(CE36-(h_col-d_2))/(CE36-3*h_col/7))))-f_cd*(1-(1-MAX(0,MIN(1,IF(CE36&lt;=h_col,0.0035*(CE36-(h_col-d_2))/CE36,0.002*(CE36-(h_col-d_2))/(CE36-3*h_col/7))/0.002)))^2))))/1000</f>
        <v/>
      </c>
      <c r="CG36">
        <f>IF($CF36&lt;N_Ed-1E-9*MAX(1,N_Ed),(CC36+CD36)/2,CC36)</f>
        <v/>
      </c>
      <c r="CH36">
        <f>IF($CF36&lt;N_Ed-1E-9*MAX(1,N_Ed),CD36,(CC36+CD36)/2)</f>
        <v/>
      </c>
      <c r="CI36">
        <f>h_col*((CG36+CH36)/2)/(1-(CG36+CH36)/2)</f>
        <v/>
      </c>
      <c r="CJ36">
        <f>(f_cd*b_col*((3*MIN(CI36,h_col)/7)+(4*MIN(CI36,h_col)/7)*(1-((4*MIN(CI36,h_col)/7)/(CI36-(3*MIN(CI36,h_col)/7)))^2/3))+$D36/2*((MAX(-f_yd,MIN(f_yd,200000*IF(CI36&lt;=h_col,0.0035*(CI36-d_2)/CI36,0.002*(CI36-d_2)/(CI36-3*h_col/7))))-f_cd*(1-(1-MAX(0,MIN(1,IF(CI36&lt;=h_col,0.0035*(CI36-d_2)/CI36,0.002*(CI36-d_2)/(CI36-3*h_col/7))/0.002)))^2))+(MAX(-f_yd,MIN(f_yd,200000*IF(CI36&lt;=h_col,0.0035*(CI36-(h_col-d_2))/CI36,0.002*(CI36-(h_col-d_2))/(CI36-3*h_col/7))))-f_cd*(1-(1-MAX(0,MIN(1,IF(CI36&lt;=h_col,0.0035*(CI36-(h_col-d_2))/CI36,0.002*(CI36-(h_col-d_2))/(CI36-3*h_col/7))/0.002)))^2))))/1000</f>
        <v/>
      </c>
      <c r="CK36">
        <f>IF($CJ36&lt;N_Ed-1E-9*MAX(1,N_Ed),(CG36+CH36)/2,CG36)</f>
        <v/>
      </c>
      <c r="CL36">
        <f>IF($CJ36&lt;N_Ed-1E-9*MAX(1,N_Ed),CH36,(CG36+CH36)/2)</f>
        <v/>
      </c>
      <c r="CM36">
        <f>h_col*((CK36+CL36)/2)/(1-(CK36+CL36)/2)</f>
        <v/>
      </c>
      <c r="CN36">
        <f>(f_cd*b_col*((3*MIN(CM36,h_col)/7)+(4*MIN(CM36,h_col)/7)*(1-((4*MIN(CM36,h_col)/7)/(CM36-(3*MIN(CM36,h_col)/7)))^2/3))+$D36/2*((MAX(-f_yd,MIN(f_yd,200000*IF(CM36&lt;=h_col,0.0035*(CM36-d_2)/CM36,0.002*(CM36-d_2)/(CM36-3*h_col/7))))-f_cd*(1-(1-MAX(0,MIN(1,IF(CM36&lt;=h_col,0.0035*(CM36-d_2)/CM36,0.002*(CM36-d_2)/(CM36-3*h_col/7))/0.002)))^2))+(MAX(-f_yd,MIN(f_yd,200000*IF(CM36&lt;=h_col,0.0035*(CM36-(h_col-d_2))/CM36,0.002*(CM36-(h_col-d_2))/(CM36-3*h_col/7))))-f_cd*(1-(1-MAX(0,MIN(1,IF(CM36&lt;=h_col,0.0035*(CM36-(h_col-d_2))/CM36,0.002*(CM36-(h_col-d_2))/(CM36-3*h_col/7))/0.002)))^2))))/1000</f>
        <v/>
      </c>
      <c r="CO36">
        <f>IF($CN36&lt;N_Ed-1E-9*MAX(1,N_Ed),(CK36+CL36)/2,CK36)</f>
        <v/>
      </c>
      <c r="CP36">
        <f>IF($CN36&lt;N_Ed-1E-9*MAX(1,N_Ed),CL36,(CK36+CL36)/2)</f>
        <v/>
      </c>
      <c r="CQ36">
        <f>h_col*((CO36+CP36)/2)/(1-(CO36+CP36)/2)</f>
        <v/>
      </c>
      <c r="CR36">
        <f>(f_cd*b_col*((3*MIN(CQ36,h_col)/7)+(4*MIN(CQ36,h_col)/7)*(1-((4*MIN(CQ36,h_col)/7)/(CQ36-(3*MIN(CQ36,h_col)/7)))^2/3))+$D36/2*((MAX(-f_yd,MIN(f_yd,200000*IF(CQ36&lt;=h_col,0.0035*(CQ36-d_2)/CQ36,0.002*(CQ36-d_2)/(CQ36-3*h_col/7))))-f_cd*(1-(1-MAX(0,MIN(1,IF(CQ36&lt;=h_col,0.0035*(CQ36-d_2)/CQ36,0.002*(CQ36-d_2)/(CQ36-3*h_col/7))/0.002)))^2))+(MAX(-f_yd,MIN(f_yd,200000*IF(CQ36&lt;=h_col,0.0035*(CQ36-(h_col-d_2))/CQ36,0.002*(CQ36-(h_col-d_2))/(CQ36-3*h_col/7))))-f_cd*(1-(1-MAX(0,MIN(1,IF(CQ36&lt;=h_col,0.0035*(CQ36-(h_col-d_2))/CQ36,0.002*(CQ36-(h_col-d_2))/(CQ36-3*h_col/7))/0.002)))^2))))/1000</f>
        <v/>
      </c>
      <c r="CS36">
        <f>IF($CR36&lt;N_Ed-1E-9*MAX(1,N_Ed),(CO36+CP36)/2,CO36)</f>
        <v/>
      </c>
      <c r="CT36">
        <f>IF($CR36&lt;N_Ed-1E-9*MAX(1,N_Ed),CP36,(CO36+CP36)/2)</f>
        <v/>
      </c>
      <c r="CU36">
        <f>h_col*((CS36+CT36)/2)/(1-(CS36+CT36)/2)</f>
        <v/>
      </c>
      <c r="CV36">
        <f>(f_cd*b_col*((3*MIN(CU36,h_col)/7)+(4*MIN(CU36,h_col)/7)*(1-((4*MIN(CU36,h_col)/7)/(CU36-(3*MIN(CU36,h_col)/7)))^2/3))+$D36/2*((MAX(-f_yd,MIN(f_yd,200000*IF(CU36&lt;=h_col,0.0035*(CU36-d_2)/CU36,0.002*(CU36-d_2)/(CU36-3*h_col/7))))-f_cd*(1-(1-MAX(0,MIN(1,IF(CU36&lt;=h_col,0.0035*(CU36-d_2)/CU36,0.002*(CU36-d_2)/(CU36-3*h_col/7))/0.002)))^2))+(MAX(-f_yd,MIN(f_yd,200000*IF(CU36&lt;=h_col,0.0035*(CU36-(h_col-d_2))/CU36,0.002*(CU36-(h_col-d_2))/(CU36-3*h_col/7))))-f_cd*(1-(1-MAX(0,MIN(1,IF(CU36&lt;=h_col,0.0035*(CU36-(h_col-d_2))/CU36,0.002*(CU36-(h_col-d_2))/(CU36-3*h_col/7))/0.002)))^2))))/1000</f>
        <v/>
      </c>
      <c r="CW36">
        <f>IF($CV36&lt;N_Ed-1E-9*MAX(1,N_Ed),(CS36+CT36)/2,CS36)</f>
        <v/>
      </c>
      <c r="CX36">
        <f>IF($CV36&lt;N_Ed-1E-9*MAX(1,N_Ed),CT36,(CS36+CT36)/2)</f>
        <v/>
      </c>
      <c r="CY36">
        <f>h_col*((CW36+CX36)/2)/(1-(CW36+CX36)/2)</f>
        <v/>
      </c>
      <c r="CZ36">
        <f>(f_cd*b_col*((3*MIN(CY36,h_col)/7)+(4*MIN(CY36,h_col)/7)*(1-((4*MIN(CY36,h_col)/7)/(CY36-(3*MIN(CY36,h_col)/7)))^2/3))+$D36/2*((MAX(-f_yd,MIN(f_yd,200000*IF(CY36&lt;=h_col,0.0035*(CY36-d_2)/CY36,0.002*(CY36-d_2)/(CY36-3*h_col/7))))-f_cd*(1-(1-MAX(0,MIN(1,IF(CY36&lt;=h_col,0.0035*(CY36-d_2)/CY36,0.002*(CY36-d_2)/(CY36-3*h_col/7))/0.002)))^2))+(MAX(-f_yd,MIN(f_yd,200000*IF(CY36&lt;=h_col,0.0035*(CY36-(h_col-d_2))/CY36,0.002*(CY36-(h_col-d_2))/(CY36-3*h_col/7))))-f_cd*(1-(1-MAX(0,MIN(1,IF(CY36&lt;=h_col,0.0035*(CY36-(h_col-d_2))/CY36,0.002*(CY36-(h_col-d_2))/(CY36-3*h_col/7))/0.002)))^2))))/1000</f>
        <v/>
      </c>
      <c r="DA36">
        <f>IF($CZ36&lt;N_Ed-1E-9*MAX(1,N_Ed),(CW36+CX36)/2,CW36)</f>
        <v/>
      </c>
      <c r="DB36">
        <f>IF($CZ36&lt;N_Ed-1E-9*MAX(1,N_Ed),CX36,(CW36+CX36)/2)</f>
        <v/>
      </c>
      <c r="DC36">
        <f>h_col*((DA36+DB36)/2)/(1-(DA36+DB36)/2)</f>
        <v/>
      </c>
      <c r="DD36">
        <f>(f_cd*b_col*((3*MIN(DC36,h_col)/7)+(4*MIN(DC36,h_col)/7)*(1-((4*MIN(DC36,h_col)/7)/(DC36-(3*MIN(DC36,h_col)/7)))^2/3))+$D36/2*((MAX(-f_yd,MIN(f_yd,200000*IF(DC36&lt;=h_col,0.0035*(DC36-d_2)/DC36,0.002*(DC36-d_2)/(DC36-3*h_col/7))))-f_cd*(1-(1-MAX(0,MIN(1,IF(DC36&lt;=h_col,0.0035*(DC36-d_2)/DC36,0.002*(DC36-d_2)/(DC36-3*h_col/7))/0.002)))^2))+(MAX(-f_yd,MIN(f_yd,200000*IF(DC36&lt;=h_col,0.0035*(DC36-(h_col-d_2))/DC36,0.002*(DC36-(h_col-d_2))/(DC36-3*h_col/7))))-f_cd*(1-(1-MAX(0,MIN(1,IF(DC36&lt;=h_col,0.0035*(DC36-(h_col-d_2))/DC36,0.002*(DC36-(h_col-d_2))/(DC36-3*h_col/7))/0.002)))^2))))/1000</f>
        <v/>
      </c>
      <c r="DE36">
        <f>IF($DD36&lt;N_Ed-1E-9*MAX(1,N_Ed),(DA36+DB36)/2,DA36)</f>
        <v/>
      </c>
      <c r="DF36">
        <f>IF($DD36&lt;N_Ed-1E-9*MAX(1,N_Ed),DB36,(DA36+DB36)/2)</f>
        <v/>
      </c>
      <c r="DG36">
        <f>h_col*((DE36+DF36)/2)/(1-(DE36+DF36)/2)</f>
        <v/>
      </c>
      <c r="DH36">
        <f>(f_cd*b_col*((3*MIN(DG36,h_col)/7)+(4*MIN(DG36,h_col)/7)*(1-((4*MIN(DG36,h_col)/7)/(DG36-(3*MIN(DG36,h_col)/7)))^2/3))+$D36/2*((MAX(-f_yd,MIN(f_yd,200000*IF(DG36&lt;=h_col,0.0035*(DG36-d_2)/DG36,0.002*(DG36-d_2)/(DG36-3*h_col/7))))-f_cd*(1-(1-MAX(0,MIN(1,IF(DG36&lt;=h_col,0.0035*(DG36-d_2)/DG36,0.002*(DG36-d_2)/(DG36-3*h_col/7))/0.002)))^2))+(MAX(-f_yd,MIN(f_yd,200000*IF(DG36&lt;=h_col,0.0035*(DG36-(h_col-d_2))/DG36,0.002*(DG36-(h_col-d_2))/(DG36-3*h_col/7))))-f_cd*(1-(1-MAX(0,MIN(1,IF(DG36&lt;=h_col,0.0035*(DG36-(h_col-d_2))/DG36,0.002*(DG36-(h_col-d_2))/(DG36-3*h_col/7))/0.002)))^2))))/1000</f>
        <v/>
      </c>
      <c r="DI36">
        <f>IF($DH36&lt;N_Ed-1E-9*MAX(1,N_Ed),(DE36+DF36)/2,DE36)</f>
        <v/>
      </c>
      <c r="DJ36">
        <f>IF($DH36&lt;N_Ed-1E-9*MAX(1,N_Ed),DF36,(DE36+DF36)/2)</f>
        <v/>
      </c>
      <c r="DK36">
        <f>h_col*((DI36+DJ36)/2)/(1-(DI36+DJ36)/2)</f>
        <v/>
      </c>
      <c r="DL36">
        <f>(f_cd*b_col*((3*MIN(DK36,h_col)/7)+(4*MIN(DK36,h_col)/7)*(1-((4*MIN(DK36,h_col)/7)/(DK36-(3*MIN(DK36,h_col)/7)))^2/3))+$D36/2*((MAX(-f_yd,MIN(f_yd,200000*IF(DK36&lt;=h_col,0.0035*(DK36-d_2)/DK36,0.002*(DK36-d_2)/(DK36-3*h_col/7))))-f_cd*(1-(1-MAX(0,MIN(1,IF(DK36&lt;=h_col,0.0035*(DK36-d_2)/DK36,0.002*(DK36-d_2)/(DK36-3*h_col/7))/0.002)))^2))+(MAX(-f_yd,MIN(f_yd,200000*IF(DK36&lt;=h_col,0.0035*(DK36-(h_col-d_2))/DK36,0.002*(DK36-(h_col-d_2))/(DK36-3*h_col/7))))-f_cd*(1-(1-MAX(0,MIN(1,IF(DK36&lt;=h_col,0.0035*(DK36-(h_col-d_2))/DK36,0.002*(DK36-(h_col-d_2))/(DK36-3*h_col/7))/0.002)))^2))))/1000</f>
        <v/>
      </c>
      <c r="DM36">
        <f>IF($DL36&lt;N_Ed-1E-9*MAX(1,N_Ed),(DI36+DJ36)/2,DI36)</f>
        <v/>
      </c>
      <c r="DN36">
        <f>IF($DL36&lt;N_Ed-1E-9*MAX(1,N_Ed),DJ36,(DI36+DJ36)/2)</f>
        <v/>
      </c>
      <c r="DO36">
        <f>h_col*((DM36+DN36)/2)/(1-(DM36+DN36)/2)</f>
        <v/>
      </c>
      <c r="DP36">
        <f>(f_cd*b_col*((3*MIN(DO36,h_col)/7)+(4*MIN(DO36,h_col)/7)*(1-((4*MIN(DO36,h_col)/7)/(DO36-(3*MIN(DO36,h_col)/7)))^2/3))+$D36/2*((MAX(-f_yd,MIN(f_yd,200000*IF(DO36&lt;=h_col,0.0035*(DO36-d_2)/DO36,0.002*(DO36-d_2)/(DO36-3*h_col/7))))-f_cd*(1-(1-MAX(0,MIN(1,IF(DO36&lt;=h_col,0.0035*(DO36-d_2)/DO36,0.002*(DO36-d_2)/(DO36-3*h_col/7))/0.002)))^2))+(MAX(-f_yd,MIN(f_yd,200000*IF(DO36&lt;=h_col,0.0035*(DO36-(h_col-d_2))/DO36,0.002*(DO36-(h_col-d_2))/(DO36-3*h_col/7))))-f_cd*(1-(1-MAX(0,MIN(1,IF(DO36&lt;=h_col,0.0035*(DO36-(h_col-d_2))/DO36,0.002*(DO36-(h_col-d_2))/(DO36-3*h_col/7))/0.002)))^2))))/1000</f>
        <v/>
      </c>
      <c r="DQ36">
        <f>IF($DP36&lt;N_Ed-1E-9*MAX(1,N_Ed),(DM36+DN36)/2,DM36)</f>
        <v/>
      </c>
      <c r="DR36">
        <f>IF($DP36&lt;N_Ed-1E-9*MAX(1,N_Ed),DN36,(DM36+DN36)/2)</f>
        <v/>
      </c>
      <c r="DS36">
        <f>h_col*((DQ36+DR36)/2)/(1-(DQ36+DR36)/2)</f>
        <v/>
      </c>
      <c r="DT36">
        <f>(f_cd*b_col*((3*MIN(DS36,h_col)/7)+(4*MIN(DS36,h_col)/7)*(1-((4*MIN(DS36,h_col)/7)/(DS36-(3*MIN(DS36,h_col)/7)))^2/3))+$D36/2*((MAX(-f_yd,MIN(f_yd,200000*IF(DS36&lt;=h_col,0.0035*(DS36-d_2)/DS36,0.002*(DS36-d_2)/(DS36-3*h_col/7))))-f_cd*(1-(1-MAX(0,MIN(1,IF(DS36&lt;=h_col,0.0035*(DS36-d_2)/DS36,0.002*(DS36-d_2)/(DS36-3*h_col/7))/0.002)))^2))+(MAX(-f_yd,MIN(f_yd,200000*IF(DS36&lt;=h_col,0.0035*(DS36-(h_col-d_2))/DS36,0.002*(DS36-(h_col-d_2))/(DS36-3*h_col/7))))-f_cd*(1-(1-MAX(0,MIN(1,IF(DS36&lt;=h_col,0.0035*(DS36-(h_col-d_2))/DS36,0.002*(DS36-(h_col-d_2))/(DS36-3*h_col/7))/0.002)))^2))))/1000</f>
        <v/>
      </c>
      <c r="DU36">
        <f>IF($DT36&lt;N_Ed-1E-9*MAX(1,N_Ed),(DQ36+DR36)/2,DQ36)</f>
        <v/>
      </c>
      <c r="DV36">
        <f>IF($DT36&lt;N_Ed-1E-9*MAX(1,N_Ed),DR36,(DQ36+DR36)/2)</f>
        <v/>
      </c>
      <c r="DW36">
        <f>h_col*((DU36+DV36)/2)/(1-(DU36+DV36)/2)</f>
        <v/>
      </c>
      <c r="DX36">
        <f>(f_cd*b_col*((3*MIN(DW36,h_col)/7)+(4*MIN(DW36,h_col)/7)*(1-((4*MIN(DW36,h_col)/7)/(DW36-(3*MIN(DW36,h_col)/7)))^2/3))+$D36/2*((MAX(-f_yd,MIN(f_yd,200000*IF(DW36&lt;=h_col,0.0035*(DW36-d_2)/DW36,0.002*(DW36-d_2)/(DW36-3*h_col/7))))-f_cd*(1-(1-MAX(0,MIN(1,IF(DW36&lt;=h_col,0.0035*(DW36-d_2)/DW36,0.002*(DW36-d_2)/(DW36-3*h_col/7))/0.002)))^2))+(MAX(-f_yd,MIN(f_yd,200000*IF(DW36&lt;=h_col,0.0035*(DW36-(h_col-d_2))/DW36,0.002*(DW36-(h_col-d_2))/(DW36-3*h_col/7))))-f_cd*(1-(1-MAX(0,MIN(1,IF(DW36&lt;=h_col,0.0035*(DW36-(h_col-d_2))/DW36,0.002*(DW36-(h_col-d_2))/(DW36-3*h_col/7))/0.002)))^2))))/1000</f>
        <v/>
      </c>
      <c r="DY36">
        <f>IF($DX36&lt;N_Ed-1E-9*MAX(1,N_Ed),(DU36+DV36)/2,DU36)</f>
        <v/>
      </c>
      <c r="DZ36">
        <f>IF($DX36&lt;N_Ed-1E-9*MAX(1,N_Ed),DV36,(DU36+DV36)/2)</f>
        <v/>
      </c>
      <c r="EA36">
        <f>h_col*((DY36+DZ36)/2)/(1-(DY36+DZ36)/2)</f>
        <v/>
      </c>
      <c r="EB36">
        <f>(f_cd*b_col*((3*MIN(EA36,h_col)/7)+(4*MIN(EA36,h_col)/7)*(1-((4*MIN(EA36,h_col)/7)/(EA36-(3*MIN(EA36,h_col)/7)))^2/3))+$D36/2*((MAX(-f_yd,MIN(f_yd,200000*IF(EA36&lt;=h_col,0.0035*(EA36-d_2)/EA36,0.002*(EA36-d_2)/(EA36-3*h_col/7))))-f_cd*(1-(1-MAX(0,MIN(1,IF(EA36&lt;=h_col,0.0035*(EA36-d_2)/EA36,0.002*(EA36-d_2)/(EA36-3*h_col/7))/0.002)))^2))+(MAX(-f_yd,MIN(f_yd,200000*IF(EA36&lt;=h_col,0.0035*(EA36-(h_col-d_2))/EA36,0.002*(EA36-(h_col-d_2))/(EA36-3*h_col/7))))-f_cd*(1-(1-MAX(0,MIN(1,IF(EA36&lt;=h_col,0.0035*(EA36-(h_col-d_2))/EA36,0.002*(EA36-(h_col-d_2))/(EA36-3*h_col/7))/0.002)))^2))))/1000</f>
        <v/>
      </c>
      <c r="EC36">
        <f>IF($EB36&lt;N_Ed-1E-9*MAX(1,N_Ed),(DY36+DZ36)/2,DY36)</f>
        <v/>
      </c>
      <c r="ED36">
        <f>IF($EB36&lt;N_Ed-1E-9*MAX(1,N_Ed),DZ36,(DY36+DZ36)/2)</f>
        <v/>
      </c>
      <c r="EE36">
        <f>h_col*((EC36+ED36)/2)/(1-(EC36+ED36)/2)</f>
        <v/>
      </c>
      <c r="EF36">
        <f>(f_cd*b_col*((3*MIN(EE36,h_col)/7)+(4*MIN(EE36,h_col)/7)*(1-((4*MIN(EE36,h_col)/7)/(EE36-(3*MIN(EE36,h_col)/7)))^2/3))+$D36/2*((MAX(-f_yd,MIN(f_yd,200000*IF(EE36&lt;=h_col,0.0035*(EE36-d_2)/EE36,0.002*(EE36-d_2)/(EE36-3*h_col/7))))-f_cd*(1-(1-MAX(0,MIN(1,IF(EE36&lt;=h_col,0.0035*(EE36-d_2)/EE36,0.002*(EE36-d_2)/(EE36-3*h_col/7))/0.002)))^2))+(MAX(-f_yd,MIN(f_yd,200000*IF(EE36&lt;=h_col,0.0035*(EE36-(h_col-d_2))/EE36,0.002*(EE36-(h_col-d_2))/(EE36-3*h_col/7))))-f_cd*(1-(1-MAX(0,MIN(1,IF(EE36&lt;=h_col,0.0035*(EE36-(h_col-d_2))/EE36,0.002*(EE36-(h_col-d_2))/(EE36-3*h_col/7))/0.002)))^2))))/1000</f>
        <v/>
      </c>
      <c r="EG36">
        <f>IF($EF36&lt;N_Ed-1E-9*MAX(1,N_Ed),(EC36+ED36)/2,EC36)</f>
        <v/>
      </c>
      <c r="EH36">
        <f>IF($EF36&lt;N_Ed-1E-9*MAX(1,N_Ed),ED36,(EC36+ED36)/2)</f>
        <v/>
      </c>
      <c r="EI36">
        <f>h_col*((EG36+EH36)/2)/(1-(EG36+EH36)/2)</f>
        <v/>
      </c>
      <c r="EJ36">
        <f>(f_cd*b_col*((3*MIN(EI36,h_col)/7)+(4*MIN(EI36,h_col)/7)*(1-((4*MIN(EI36,h_col)/7)/(EI36-(3*MIN(EI36,h_col)/7)))^2/3))+$D36/2*((MAX(-f_yd,MIN(f_yd,200000*IF(EI36&lt;=h_col,0.0035*(EI36-d_2)/EI36,0.002*(EI36-d_2)/(EI36-3*h_col/7))))-f_cd*(1-(1-MAX(0,MIN(1,IF(EI36&lt;=h_col,0.0035*(EI36-d_2)/EI36,0.002*(EI36-d_2)/(EI36-3*h_col/7))/0.002)))^2))+(MAX(-f_yd,MIN(f_yd,200000*IF(EI36&lt;=h_col,0.0035*(EI36-(h_col-d_2))/EI36,0.002*(EI36-(h_col-d_2))/(EI36-3*h_col/7))))-f_cd*(1-(1-MAX(0,MIN(1,IF(EI36&lt;=h_col,0.0035*(EI36-(h_col-d_2))/EI36,0.002*(EI36-(h_col-d_2))/(EI36-3*h_col/7))/0.002)))^2))))/1000</f>
        <v/>
      </c>
      <c r="EK36">
        <f>IF($EJ36&lt;N_Ed-1E-9*MAX(1,N_Ed),(EG36+EH36)/2,EG36)</f>
        <v/>
      </c>
      <c r="EL36">
        <f>IF($EJ36&lt;N_Ed-1E-9*MAX(1,N_Ed),EH36,(EG36+EH36)/2)</f>
        <v/>
      </c>
      <c r="EM36">
        <f>h_col*((EK36+EL36)/2)/(1-(EK36+EL36)/2)</f>
        <v/>
      </c>
      <c r="EN36">
        <f>(f_cd*b_col*((3*MIN(EM36,h_col)/7)+(4*MIN(EM36,h_col)/7)*(1-((4*MIN(EM36,h_col)/7)/(EM36-(3*MIN(EM36,h_col)/7)))^2/3))+$D36/2*((MAX(-f_yd,MIN(f_yd,200000*IF(EM36&lt;=h_col,0.0035*(EM36-d_2)/EM36,0.002*(EM36-d_2)/(EM36-3*h_col/7))))-f_cd*(1-(1-MAX(0,MIN(1,IF(EM36&lt;=h_col,0.0035*(EM36-d_2)/EM36,0.002*(EM36-d_2)/(EM36-3*h_col/7))/0.002)))^2))+(MAX(-f_yd,MIN(f_yd,200000*IF(EM36&lt;=h_col,0.0035*(EM36-(h_col-d_2))/EM36,0.002*(EM36-(h_col-d_2))/(EM36-3*h_col/7))))-f_cd*(1-(1-MAX(0,MIN(1,IF(EM36&lt;=h_col,0.0035*(EM36-(h_col-d_2))/EM36,0.002*(EM36-(h_col-d_2))/(EM36-3*h_col/7))/0.002)))^2))))/1000</f>
        <v/>
      </c>
      <c r="EO36">
        <f>IF($EN36&lt;N_Ed-1E-9*MAX(1,N_Ed),(EK36+EL36)/2,EK36)</f>
        <v/>
      </c>
      <c r="EP36">
        <f>IF($EN36&lt;N_Ed-1E-9*MAX(1,N_Ed),EL36,(EK36+EL36)/2)</f>
        <v/>
      </c>
      <c r="EQ36">
        <f>h_col*((EO36+EP36)/2)/(1-(EO36+EP36)/2)</f>
        <v/>
      </c>
      <c r="ER36">
        <f>(f_cd*b_col*((3*MIN(EQ36,h_col)/7)+(4*MIN(EQ36,h_col)/7)*(1-((4*MIN(EQ36,h_col)/7)/(EQ36-(3*MIN(EQ36,h_col)/7)))^2/3))+$D36/2*((MAX(-f_yd,MIN(f_yd,200000*IF(EQ36&lt;=h_col,0.0035*(EQ36-d_2)/EQ36,0.002*(EQ36-d_2)/(EQ36-3*h_col/7))))-f_cd*(1-(1-MAX(0,MIN(1,IF(EQ36&lt;=h_col,0.0035*(EQ36-d_2)/EQ36,0.002*(EQ36-d_2)/(EQ36-3*h_col/7))/0.002)))^2))+(MAX(-f_yd,MIN(f_yd,200000*IF(EQ36&lt;=h_col,0.0035*(EQ36-(h_col-d_2))/EQ36,0.002*(EQ36-(h_col-d_2))/(EQ36-3*h_col/7))))-f_cd*(1-(1-MAX(0,MIN(1,IF(EQ36&lt;=h_col,0.0035*(EQ36-(h_col-d_2))/EQ36,0.002*(EQ36-(h_col-d_2))/(EQ36-3*h_col/7))/0.002)))^2))))/1000</f>
        <v/>
      </c>
      <c r="ES36">
        <f>IF($ER36&lt;N_Ed-1E-9*MAX(1,N_Ed),(EO36+EP36)/2,EO36)</f>
        <v/>
      </c>
      <c r="ET36">
        <f>IF($ER36&lt;N_Ed-1E-9*MAX(1,N_Ed),EP36,(EO36+EP36)/2)</f>
        <v/>
      </c>
      <c r="EU36">
        <f>h_col*((ES36+ET36)/2)/(1-(ES36+ET36)/2)</f>
        <v/>
      </c>
      <c r="EV36">
        <f>(f_cd*b_col*((3*MIN(EU36,h_col)/7)+(4*MIN(EU36,h_col)/7)*(1-((4*MIN(EU36,h_col)/7)/(EU36-(3*MIN(EU36,h_col)/7)))^2/3))+$D36/2*((MAX(-f_yd,MIN(f_yd,200000*IF(EU36&lt;=h_col,0.0035*(EU36-d_2)/EU36,0.002*(EU36-d_2)/(EU36-3*h_col/7))))-f_cd*(1-(1-MAX(0,MIN(1,IF(EU36&lt;=h_col,0.0035*(EU36-d_2)/EU36,0.002*(EU36-d_2)/(EU36-3*h_col/7))/0.002)))^2))+(MAX(-f_yd,MIN(f_yd,200000*IF(EU36&lt;=h_col,0.0035*(EU36-(h_col-d_2))/EU36,0.002*(EU36-(h_col-d_2))/(EU36-3*h_col/7))))-f_cd*(1-(1-MAX(0,MIN(1,IF(EU36&lt;=h_col,0.0035*(EU36-(h_col-d_2))/EU36,0.002*(EU36-(h_col-d_2))/(EU36-3*h_col/7))/0.002)))^2))))/1000</f>
        <v/>
      </c>
      <c r="EW36">
        <f>IF($EV36&lt;N_Ed-1E-9*MAX(1,N_Ed),(ES36+ET36)/2,ES36)</f>
        <v/>
      </c>
      <c r="EX36">
        <f>IF($EV36&lt;N_Ed-1E-9*MAX(1,N_Ed),ET36,(ES36+ET36)/2)</f>
        <v/>
      </c>
      <c r="EY36">
        <f>h_col*((EW36+EX36)/2)/(1-(EW36+EX36)/2)</f>
        <v/>
      </c>
      <c r="EZ36">
        <f>(f_cd*b_col*((3*MIN(EY36,h_col)/7)+(4*MIN(EY36,h_col)/7)*(1-((4*MIN(EY36,h_col)/7)/(EY36-(3*MIN(EY36,h_col)/7)))^2/3))+$D36/2*((MAX(-f_yd,MIN(f_yd,200000*IF(EY36&lt;=h_col,0.0035*(EY36-d_2)/EY36,0.002*(EY36-d_2)/(EY36-3*h_col/7))))-f_cd*(1-(1-MAX(0,MIN(1,IF(EY36&lt;=h_col,0.0035*(EY36-d_2)/EY36,0.002*(EY36-d_2)/(EY36-3*h_col/7))/0.002)))^2))+(MAX(-f_yd,MIN(f_yd,200000*IF(EY36&lt;=h_col,0.0035*(EY36-(h_col-d_2))/EY36,0.002*(EY36-(h_col-d_2))/(EY36-3*h_col/7))))-f_cd*(1-(1-MAX(0,MIN(1,IF(EY36&lt;=h_col,0.0035*(EY36-(h_col-d_2))/EY36,0.002*(EY36-(h_col-d_2))/(EY36-3*h_col/7))/0.002)))^2))))/1000</f>
        <v/>
      </c>
      <c r="FA36">
        <f>IF($EZ36&lt;N_Ed-1E-9*MAX(1,N_Ed),(EW36+EX36)/2,EW36)</f>
        <v/>
      </c>
      <c r="FB36">
        <f>IF($EZ36&lt;N_Ed-1E-9*MAX(1,N_Ed),EX36,(EW36+EX36)/2)</f>
        <v/>
      </c>
      <c r="FC36">
        <f>h_col*((FA36+FB36)/2)/(1-(FA36+FB36)/2)</f>
        <v/>
      </c>
      <c r="FD36">
        <f>(f_cd*b_col*((3*MIN(FC36,h_col)/7)+(4*MIN(FC36,h_col)/7)*(1-((4*MIN(FC36,h_col)/7)/(FC36-(3*MIN(FC36,h_col)/7)))^2/3))+$D36/2*((MAX(-f_yd,MIN(f_yd,200000*IF(FC36&lt;=h_col,0.0035*(FC36-d_2)/FC36,0.002*(FC36-d_2)/(FC36-3*h_col/7))))-f_cd*(1-(1-MAX(0,MIN(1,IF(FC36&lt;=h_col,0.0035*(FC36-d_2)/FC36,0.002*(FC36-d_2)/(FC36-3*h_col/7))/0.002)))^2))+(MAX(-f_yd,MIN(f_yd,200000*IF(FC36&lt;=h_col,0.0035*(FC36-(h_col-d_2))/FC36,0.002*(FC36-(h_col-d_2))/(FC36-3*h_col/7))))-f_cd*(1-(1-MAX(0,MIN(1,IF(FC36&lt;=h_col,0.0035*(FC36-(h_col-d_2))/FC36,0.002*(FC36-(h_col-d_2))/(FC36-3*h_col/7))/0.002)))^2))))/1000</f>
        <v/>
      </c>
      <c r="FE36">
        <f>IF($FD36&lt;N_Ed-1E-9*MAX(1,N_Ed),(FA36+FB36)/2,FA36)</f>
        <v/>
      </c>
      <c r="FF36">
        <f>IF($FD36&lt;N_Ed-1E-9*MAX(1,N_Ed),FB36,(FA36+FB36)/2)</f>
        <v/>
      </c>
      <c r="FG36">
        <f>h_col*((FE36+FF36)/2)/(1-(FE36+FF36)/2)</f>
        <v/>
      </c>
      <c r="FH36">
        <f>(f_cd*b_col*((3*MIN(FG36,h_col)/7)+(4*MIN(FG36,h_col)/7)*(1-((4*MIN(FG36,h_col)/7)/(FG36-(3*MIN(FG36,h_col)/7)))^2/3))+$D36/2*((MAX(-f_yd,MIN(f_yd,200000*IF(FG36&lt;=h_col,0.0035*(FG36-d_2)/FG36,0.002*(FG36-d_2)/(FG36-3*h_col/7))))-f_cd*(1-(1-MAX(0,MIN(1,IF(FG36&lt;=h_col,0.0035*(FG36-d_2)/FG36,0.002*(FG36-d_2)/(FG36-3*h_col/7))/0.002)))^2))+(MAX(-f_yd,MIN(f_yd,200000*IF(FG36&lt;=h_col,0.0035*(FG36-(h_col-d_2))/FG36,0.002*(FG36-(h_col-d_2))/(FG36-3*h_col/7))))-f_cd*(1-(1-MAX(0,MIN(1,IF(FG36&lt;=h_col,0.0035*(FG36-(h_col-d_2))/FG36,0.002*(FG36-(h_col-d_2))/(FG36-3*h_col/7))/0.002)))^2))))/1000</f>
        <v/>
      </c>
      <c r="FI36">
        <f>IF($FH36&lt;N_Ed-1E-9*MAX(1,N_Ed),(FE36+FF36)/2,FE36)</f>
        <v/>
      </c>
      <c r="FJ36">
        <f>IF($FH36&lt;N_Ed-1E-9*MAX(1,N_Ed),FF36,(FE36+FF36)/2)</f>
        <v/>
      </c>
      <c r="FK36">
        <f>h_col*((FI36+FJ36)/2)/(1-(FI36+FJ36)/2)</f>
        <v/>
      </c>
      <c r="FL36">
        <f>(f_cd*b_col*((3*MIN(FK36,h_col)/7)+(4*MIN(FK36,h_col)/7)*(1-((4*MIN(FK36,h_col)/7)/(FK36-(3*MIN(FK36,h_col)/7)))^2/3))+$D36/2*((MAX(-f_yd,MIN(f_yd,200000*IF(FK36&lt;=h_col,0.0035*(FK36-d_2)/FK36,0.002*(FK36-d_2)/(FK36-3*h_col/7))))-f_cd*(1-(1-MAX(0,MIN(1,IF(FK36&lt;=h_col,0.0035*(FK36-d_2)/FK36,0.002*(FK36-d_2)/(FK36-3*h_col/7))/0.002)))^2))+(MAX(-f_yd,MIN(f_yd,200000*IF(FK36&lt;=h_col,0.0035*(FK36-(h_col-d_2))/FK36,0.002*(FK36-(h_col-d_2))/(FK36-3*h_col/7))))-f_cd*(1-(1-MAX(0,MIN(1,IF(FK36&lt;=h_col,0.0035*(FK36-(h_col-d_2))/FK36,0.002*(FK36-(h_col-d_2))/(FK36-3*h_col/7))/0.002)))^2))))/1000</f>
        <v/>
      </c>
      <c r="FM36">
        <f>IF($FL36&lt;N_Ed-1E-9*MAX(1,N_Ed),(FI36+FJ36)/2,FI36)</f>
        <v/>
      </c>
      <c r="FN36">
        <f>IF($FL36&lt;N_Ed-1E-9*MAX(1,N_Ed),FJ36,(FI36+FJ36)/2)</f>
        <v/>
      </c>
      <c r="FO36">
        <f>h_col*((FM36+FN36)/2)/(1-(FM36+FN36)/2)</f>
        <v/>
      </c>
      <c r="FP36">
        <f>(f_cd*b_col*((3*MIN(FO36,h_col)/7)+(4*MIN(FO36,h_col)/7)*(1-((4*MIN(FO36,h_col)/7)/(FO36-(3*MIN(FO36,h_col)/7)))^2/3))+$D36/2*((MAX(-f_yd,MIN(f_yd,200000*IF(FO36&lt;=h_col,0.0035*(FO36-d_2)/FO36,0.002*(FO36-d_2)/(FO36-3*h_col/7))))-f_cd*(1-(1-MAX(0,MIN(1,IF(FO36&lt;=h_col,0.0035*(FO36-d_2)/FO36,0.002*(FO36-d_2)/(FO36-3*h_col/7))/0.002)))^2))+(MAX(-f_yd,MIN(f_yd,200000*IF(FO36&lt;=h_col,0.0035*(FO36-(h_col-d_2))/FO36,0.002*(FO36-(h_col-d_2))/(FO36-3*h_col/7))))-f_cd*(1-(1-MAX(0,MIN(1,IF(FO36&lt;=h_col,0.0035*(FO36-(h_col-d_2))/FO36,0.002*(FO36-(h_col-d_2))/(FO36-3*h_col/7))/0.002)))^2))))/1000</f>
        <v/>
      </c>
      <c r="FQ36">
        <f>IF($FP36&lt;N_Ed-1E-9*MAX(1,N_Ed),(FM36+FN36)/2,FM36)</f>
        <v/>
      </c>
      <c r="FR36">
        <f>IF($FP36&lt;N_Ed-1E-9*MAX(1,N_Ed),FN36,(FM36+FN36)/2)</f>
        <v/>
      </c>
      <c r="FS36">
        <f>h_col*((FQ36+FR36)/2)/(1-(FQ36+FR36)/2)</f>
        <v/>
      </c>
      <c r="FT36">
        <f>(f_cd*b_col*((3*MIN(FS36,h_col)/7)+(4*MIN(FS36,h_col)/7)*(1-((4*MIN(FS36,h_col)/7)/(FS36-(3*MIN(FS36,h_col)/7)))^2/3))+$D36/2*((MAX(-f_yd,MIN(f_yd,200000*IF(FS36&lt;=h_col,0.0035*(FS36-d_2)/FS36,0.002*(FS36-d_2)/(FS36-3*h_col/7))))-f_cd*(1-(1-MAX(0,MIN(1,IF(FS36&lt;=h_col,0.0035*(FS36-d_2)/FS36,0.002*(FS36-d_2)/(FS36-3*h_col/7))/0.002)))^2))+(MAX(-f_yd,MIN(f_yd,200000*IF(FS36&lt;=h_col,0.0035*(FS36-(h_col-d_2))/FS36,0.002*(FS36-(h_col-d_2))/(FS36-3*h_col/7))))-f_cd*(1-(1-MAX(0,MIN(1,IF(FS36&lt;=h_col,0.0035*(FS36-(h_col-d_2))/FS36,0.002*(FS36-(h_col-d_2))/(FS36-3*h_col/7))/0.002)))^2))))/1000</f>
        <v/>
      </c>
      <c r="FU36">
        <f>IF($FT36&lt;N_Ed-1E-9*MAX(1,N_Ed),(FQ36+FR36)/2,FQ36)</f>
        <v/>
      </c>
      <c r="FV36">
        <f>IF($FT36&lt;N_Ed-1E-9*MAX(1,N_Ed),FR36,(FQ36+FR36)/2)</f>
        <v/>
      </c>
      <c r="FW36">
        <f>h_col*((FU36+FV36)/2)/(1-(FU36+FV36)/2)</f>
        <v/>
      </c>
      <c r="FX36">
        <f>(f_cd*b_col*((3*MIN(FW36,h_col)/7)+(4*MIN(FW36,h_col)/7)*(1-((4*MIN(FW36,h_col)/7)/(FW36-(3*MIN(FW36,h_col)/7)))^2/3))+$D36/2*((MAX(-f_yd,MIN(f_yd,200000*IF(FW36&lt;=h_col,0.0035*(FW36-d_2)/FW36,0.002*(FW36-d_2)/(FW36-3*h_col/7))))-f_cd*(1-(1-MAX(0,MIN(1,IF(FW36&lt;=h_col,0.0035*(FW36-d_2)/FW36,0.002*(FW36-d_2)/(FW36-3*h_col/7))/0.002)))^2))+(MAX(-f_yd,MIN(f_yd,200000*IF(FW36&lt;=h_col,0.0035*(FW36-(h_col-d_2))/FW36,0.002*(FW36-(h_col-d_2))/(FW36-3*h_col/7))))-f_cd*(1-(1-MAX(0,MIN(1,IF(FW36&lt;=h_col,0.0035*(FW36-(h_col-d_2))/FW36,0.002*(FW36-(h_col-d_2))/(FW36-3*h_col/7))/0.002)))^2))))/1000</f>
        <v/>
      </c>
      <c r="FY36">
        <f>IF($FX36&lt;N_Ed-1E-9*MAX(1,N_Ed),(FU36+FV36)/2,FU36)</f>
        <v/>
      </c>
      <c r="FZ36">
        <f>IF($FX36&lt;N_Ed-1E-9*MAX(1,N_Ed),FV36,(FU36+FV36)/2)</f>
        <v/>
      </c>
      <c r="GA36">
        <f>h_col*((FY36+FZ36)/2)/(1-(FY36+FZ36)/2)</f>
        <v/>
      </c>
      <c r="GB36">
        <f>(f_cd*b_col*((3*MIN(GA36,h_col)/7)+(4*MIN(GA36,h_col)/7)*(1-((4*MIN(GA36,h_col)/7)/(GA36-(3*MIN(GA36,h_col)/7)))^2/3))+$D36/2*((MAX(-f_yd,MIN(f_yd,200000*IF(GA36&lt;=h_col,0.0035*(GA36-d_2)/GA36,0.002*(GA36-d_2)/(GA36-3*h_col/7))))-f_cd*(1-(1-MAX(0,MIN(1,IF(GA36&lt;=h_col,0.0035*(GA36-d_2)/GA36,0.002*(GA36-d_2)/(GA36-3*h_col/7))/0.002)))^2))+(MAX(-f_yd,MIN(f_yd,200000*IF(GA36&lt;=h_col,0.0035*(GA36-(h_col-d_2))/GA36,0.002*(GA36-(h_col-d_2))/(GA36-3*h_col/7))))-f_cd*(1-(1-MAX(0,MIN(1,IF(GA36&lt;=h_col,0.0035*(GA36-(h_col-d_2))/GA36,0.002*(GA36-(h_col-d_2))/(GA36-3*h_col/7))/0.002)))^2))))/1000</f>
        <v/>
      </c>
      <c r="GC36">
        <f>IF($GB36&lt;N_Ed-1E-9*MAX(1,N_Ed),(FY36+FZ36)/2,FY36)</f>
        <v/>
      </c>
      <c r="GD36">
        <f>IF($GB36&lt;N_Ed-1E-9*MAX(1,N_Ed),FZ36,(FY36+FZ36)/2)</f>
        <v/>
      </c>
      <c r="GE36">
        <f>h_col*((GC36+GD36)/2)/(1-(GC36+GD36)/2)</f>
        <v/>
      </c>
      <c r="GF36">
        <f>(f_cd*b_col*((3*MIN(GE36,h_col)/7)+(4*MIN(GE36,h_col)/7)*(1-((4*MIN(GE36,h_col)/7)/(GE36-(3*MIN(GE36,h_col)/7)))^2/3))+$D36/2*((MAX(-f_yd,MIN(f_yd,200000*IF(GE36&lt;=h_col,0.0035*(GE36-d_2)/GE36,0.002*(GE36-d_2)/(GE36-3*h_col/7))))-f_cd*(1-(1-MAX(0,MIN(1,IF(GE36&lt;=h_col,0.0035*(GE36-d_2)/GE36,0.002*(GE36-d_2)/(GE36-3*h_col/7))/0.002)))^2))+(MAX(-f_yd,MIN(f_yd,200000*IF(GE36&lt;=h_col,0.0035*(GE36-(h_col-d_2))/GE36,0.002*(GE36-(h_col-d_2))/(GE36-3*h_col/7))))-f_cd*(1-(1-MAX(0,MIN(1,IF(GE36&lt;=h_col,0.0035*(GE36-(h_col-d_2))/GE36,0.002*(GE36-(h_col-d_2))/(GE36-3*h_col/7))/0.002)))^2))))/1000</f>
        <v/>
      </c>
      <c r="GG36">
        <f>IF($GF36&lt;N_Ed-1E-9*MAX(1,N_Ed),(GC36+GD36)/2,GC36)</f>
        <v/>
      </c>
      <c r="GH36">
        <f>IF($GF36&lt;N_Ed-1E-9*MAX(1,N_Ed),GD36,(GC36+GD36)/2)</f>
        <v/>
      </c>
      <c r="GI36">
        <f>h_col*((GG36+GH36)/2)/(1-(GG36+GH36)/2)</f>
        <v/>
      </c>
      <c r="GJ36">
        <f>(f_cd*b_col*((3*MIN(GI36,h_col)/7)+(4*MIN(GI36,h_col)/7)*(1-((4*MIN(GI36,h_col)/7)/(GI36-(3*MIN(GI36,h_col)/7)))^2/3))+$D36/2*((MAX(-f_yd,MIN(f_yd,200000*IF(GI36&lt;=h_col,0.0035*(GI36-d_2)/GI36,0.002*(GI36-d_2)/(GI36-3*h_col/7))))-f_cd*(1-(1-MAX(0,MIN(1,IF(GI36&lt;=h_col,0.0035*(GI36-d_2)/GI36,0.002*(GI36-d_2)/(GI36-3*h_col/7))/0.002)))^2))+(MAX(-f_yd,MIN(f_yd,200000*IF(GI36&lt;=h_col,0.0035*(GI36-(h_col-d_2))/GI36,0.002*(GI36-(h_col-d_2))/(GI36-3*h_col/7))))-f_cd*(1-(1-MAX(0,MIN(1,IF(GI36&lt;=h_col,0.0035*(GI36-(h_col-d_2))/GI36,0.002*(GI36-(h_col-d_2))/(GI36-3*h_col/7))/0.002)))^2))))/1000</f>
        <v/>
      </c>
      <c r="GK36">
        <f>IF($GJ36&lt;N_Ed-1E-9*MAX(1,N_Ed),(GG36+GH36)/2,GG36)</f>
        <v/>
      </c>
      <c r="GL36">
        <f>IF($GJ36&lt;N_Ed-1E-9*MAX(1,N_Ed),GH36,(GG36+GH36)/2)</f>
        <v/>
      </c>
      <c r="GM36">
        <f>h_col*((GK36+GL36)/2)/(1-(GK36+GL36)/2)</f>
        <v/>
      </c>
      <c r="GN36">
        <f>(f_cd*b_col*((3*MIN(GM36,h_col)/7)+(4*MIN(GM36,h_col)/7)*(1-((4*MIN(GM36,h_col)/7)/(GM36-(3*MIN(GM36,h_col)/7)))^2/3))+$D36/2*((MAX(-f_yd,MIN(f_yd,200000*IF(GM36&lt;=h_col,0.0035*(GM36-d_2)/GM36,0.002*(GM36-d_2)/(GM36-3*h_col/7))))-f_cd*(1-(1-MAX(0,MIN(1,IF(GM36&lt;=h_col,0.0035*(GM36-d_2)/GM36,0.002*(GM36-d_2)/(GM36-3*h_col/7))/0.002)))^2))+(MAX(-f_yd,MIN(f_yd,200000*IF(GM36&lt;=h_col,0.0035*(GM36-(h_col-d_2))/GM36,0.002*(GM36-(h_col-d_2))/(GM36-3*h_col/7))))-f_cd*(1-(1-MAX(0,MIN(1,IF(GM36&lt;=h_col,0.0035*(GM36-(h_col-d_2))/GM36,0.002*(GM36-(h_col-d_2))/(GM36-3*h_col/7))/0.002)))^2))))/1000</f>
        <v/>
      </c>
      <c r="GO36">
        <f>IF($GN36&lt;N_Ed-1E-9*MAX(1,N_Ed),(GK36+GL36)/2,GK36)</f>
        <v/>
      </c>
      <c r="GP36">
        <f>IF($GN36&lt;N_Ed-1E-9*MAX(1,N_Ed),GL36,(GK36+GL36)/2)</f>
        <v/>
      </c>
      <c r="GQ36">
        <f>h_col*((GO36+GP36)/2)/(1-(GO36+GP36)/2)</f>
        <v/>
      </c>
      <c r="GR36">
        <f>(f_cd*b_col*((3*MIN(GQ36,h_col)/7)+(4*MIN(GQ36,h_col)/7)*(1-((4*MIN(GQ36,h_col)/7)/(GQ36-(3*MIN(GQ36,h_col)/7)))^2/3))+$D36/2*((MAX(-f_yd,MIN(f_yd,200000*IF(GQ36&lt;=h_col,0.0035*(GQ36-d_2)/GQ36,0.002*(GQ36-d_2)/(GQ36-3*h_col/7))))-f_cd*(1-(1-MAX(0,MIN(1,IF(GQ36&lt;=h_col,0.0035*(GQ36-d_2)/GQ36,0.002*(GQ36-d_2)/(GQ36-3*h_col/7))/0.002)))^2))+(MAX(-f_yd,MIN(f_yd,200000*IF(GQ36&lt;=h_col,0.0035*(GQ36-(h_col-d_2))/GQ36,0.002*(GQ36-(h_col-d_2))/(GQ36-3*h_col/7))))-f_cd*(1-(1-MAX(0,MIN(1,IF(GQ36&lt;=h_col,0.0035*(GQ36-(h_col-d_2))/GQ36,0.002*(GQ36-(h_col-d_2))/(GQ36-3*h_col/7))/0.002)))^2))))/1000</f>
        <v/>
      </c>
      <c r="GS36">
        <f>IF($GR36&lt;N_Ed-1E-9*MAX(1,N_Ed),(GO36+GP36)/2,GO36)</f>
        <v/>
      </c>
      <c r="GT36">
        <f>IF($GR36&lt;N_Ed-1E-9*MAX(1,N_Ed),GP36,(GO36+GP36)/2)</f>
        <v/>
      </c>
      <c r="GU36">
        <f>h_col*((GS36+GT36)/2)/(1-(GS36+GT36)/2)</f>
        <v/>
      </c>
      <c r="GV36">
        <f>(f_cd*b_col*((3*MIN(GU36,h_col)/7)+(4*MIN(GU36,h_col)/7)*(1-((4*MIN(GU36,h_col)/7)/(GU36-(3*MIN(GU36,h_col)/7)))^2/3))+$D36/2*((MAX(-f_yd,MIN(f_yd,200000*IF(GU36&lt;=h_col,0.0035*(GU36-d_2)/GU36,0.002*(GU36-d_2)/(GU36-3*h_col/7))))-f_cd*(1-(1-MAX(0,MIN(1,IF(GU36&lt;=h_col,0.0035*(GU36-d_2)/GU36,0.002*(GU36-d_2)/(GU36-3*h_col/7))/0.002)))^2))+(MAX(-f_yd,MIN(f_yd,200000*IF(GU36&lt;=h_col,0.0035*(GU36-(h_col-d_2))/GU36,0.002*(GU36-(h_col-d_2))/(GU36-3*h_col/7))))-f_cd*(1-(1-MAX(0,MIN(1,IF(GU36&lt;=h_col,0.0035*(GU36-(h_col-d_2))/GU36,0.002*(GU36-(h_col-d_2))/(GU36-3*h_col/7))/0.002)))^2))))/1000</f>
        <v/>
      </c>
      <c r="GW36">
        <f>GU36</f>
        <v/>
      </c>
      <c r="GX36">
        <f>(f_cd*b_col*((3*MIN(GW36,h_col)/7)+(4*MIN(GW36,h_col)/7)*(1-((4*MIN(GW36,h_col)/7)/(GW36-(3*MIN(GW36,h_col)/7)))^2/3))+$D36/2*((MAX(-f_yd,MIN(f_yd,200000*IF(GW36&lt;=h_col,0.0035*(GW36-d_2)/GW36,0.002*(GW36-d_2)/(GW36-3*h_col/7))))-f_cd*(1-(1-MAX(0,MIN(1,IF(GW36&lt;=h_col,0.0035*(GW36-d_2)/GW36,0.002*(GW36-d_2)/(GW36-3*h_col/7))/0.002)))^2))+(MAX(-f_yd,MIN(f_yd,200000*IF(GW36&lt;=h_col,0.0035*(GW36-(h_col-d_2))/GW36,0.002*(GW36-(h_col-d_2))/(GW36-3*h_col/7))))-f_cd*(1-(1-MAX(0,MIN(1,IF(GW36&lt;=h_col,0.0035*(GW36-(h_col-d_2))/GW36,0.002*(GW36-(h_col-d_2))/(GW36-3*h_col/7))/0.002)))^2))))/1000</f>
        <v/>
      </c>
      <c r="GY36">
        <f>(f_cd*b_col*((3*MIN(GW36,h_col)/7)*(h_col/2-(3*MIN(GW36,h_col)/7)/2)+(4*MIN(GW36,h_col)/7)*((h_col/2-(3*MIN(GW36,h_col)/7))*(1-((4*MIN(GW36,h_col)/7)/(GW36-(3*MIN(GW36,h_col)/7)))^2/3)-(4*MIN(GW36,h_col)/7)*(0.5-((4*MIN(GW36,h_col)/7)/(GW36-(3*MIN(GW36,h_col)/7)))^2/4)))+$D36/2*((MAX(-f_yd,MIN(f_yd,200000*IF(GW36&lt;=h_col,0.0035*(GW36-d_2)/GW36,0.002*(GW36-d_2)/(GW36-3*h_col/7))))-f_cd*(1-(1-MAX(0,MIN(1,IF(GW36&lt;=h_col,0.0035*(GW36-d_2)/GW36,0.002*(GW36-d_2)/(GW36-3*h_col/7))/0.002)))^2))-(MAX(-f_yd,MIN(f_yd,200000*IF(GW36&lt;=h_col,0.0035*(GW36-(h_col-d_2))/GW36,0.002*(GW36-(h_col-d_2))/(GW36-3*h_col/7))))-f_cd*(1-(1-MAX(0,MIN(1,IF(GW36&lt;=h_col,0.0035*(GW36-(h_col-d_2))/GW36,0.002*(GW36-(h_col-d_2))/(GW36-3*h_col/7))/0.002)))^2)))*(h_col/2-d_2))/1E6</f>
        <v/>
      </c>
      <c r="GZ36">
        <f>GX36&gt;=N_Ed-1E-6*MAX(1,N_Ed)</f>
        <v/>
      </c>
      <c r="HA36">
        <f>IF(GZ36,GY36,-1E9)</f>
        <v/>
      </c>
    </row>
    <row r="37">
      <c r="A37" t="n">
        <v>32</v>
      </c>
      <c r="B37">
        <f>IF($HA36&gt;=M_d,$B36,$D36)</f>
        <v/>
      </c>
      <c r="C37">
        <f>IF($HA36&gt;=M_d,$D36,$C36)</f>
        <v/>
      </c>
      <c r="D37">
        <f>($B37+$C37)/2</f>
        <v/>
      </c>
      <c r="E37" t="n">
        <v>0</v>
      </c>
      <c r="F37">
        <f>1-1E-12</f>
        <v/>
      </c>
      <c r="G37">
        <f>h_col*((E37+F37)/2)/(1-(E37+F37)/2)</f>
        <v/>
      </c>
      <c r="H37">
        <f>(f_cd*b_col*((3*MIN(G37,h_col)/7)+(4*MIN(G37,h_col)/7)*(1-((4*MIN(G37,h_col)/7)/(G37-(3*MIN(G37,h_col)/7)))^2/3))+$D37/2*((MAX(-f_yd,MIN(f_yd,200000*IF(G37&lt;=h_col,0.0035*(G37-d_2)/G37,0.002*(G37-d_2)/(G37-3*h_col/7))))-f_cd*(1-(1-MAX(0,MIN(1,IF(G37&lt;=h_col,0.0035*(G37-d_2)/G37,0.002*(G37-d_2)/(G37-3*h_col/7))/0.002)))^2))+(MAX(-f_yd,MIN(f_yd,200000*IF(G37&lt;=h_col,0.0035*(G37-(h_col-d_2))/G37,0.002*(G37-(h_col-d_2))/(G37-3*h_col/7))))-f_cd*(1-(1-MAX(0,MIN(1,IF(G37&lt;=h_col,0.0035*(G37-(h_col-d_2))/G37,0.002*(G37-(h_col-d_2))/(G37-3*h_col/7))/0.002)))^2))))/1000</f>
        <v/>
      </c>
      <c r="I37">
        <f>IF($H37&lt;N_Ed-1E-9*MAX(1,N_Ed),(E37+F37)/2,E37)</f>
        <v/>
      </c>
      <c r="J37">
        <f>IF($H37&lt;N_Ed-1E-9*MAX(1,N_Ed),F37,(E37+F37)/2)</f>
        <v/>
      </c>
      <c r="K37">
        <f>h_col*((I37+J37)/2)/(1-(I37+J37)/2)</f>
        <v/>
      </c>
      <c r="L37">
        <f>(f_cd*b_col*((3*MIN(K37,h_col)/7)+(4*MIN(K37,h_col)/7)*(1-((4*MIN(K37,h_col)/7)/(K37-(3*MIN(K37,h_col)/7)))^2/3))+$D37/2*((MAX(-f_yd,MIN(f_yd,200000*IF(K37&lt;=h_col,0.0035*(K37-d_2)/K37,0.002*(K37-d_2)/(K37-3*h_col/7))))-f_cd*(1-(1-MAX(0,MIN(1,IF(K37&lt;=h_col,0.0035*(K37-d_2)/K37,0.002*(K37-d_2)/(K37-3*h_col/7))/0.002)))^2))+(MAX(-f_yd,MIN(f_yd,200000*IF(K37&lt;=h_col,0.0035*(K37-(h_col-d_2))/K37,0.002*(K37-(h_col-d_2))/(K37-3*h_col/7))))-f_cd*(1-(1-MAX(0,MIN(1,IF(K37&lt;=h_col,0.0035*(K37-(h_col-d_2))/K37,0.002*(K37-(h_col-d_2))/(K37-3*h_col/7))/0.002)))^2))))/1000</f>
        <v/>
      </c>
      <c r="M37">
        <f>IF($L37&lt;N_Ed-1E-9*MAX(1,N_Ed),(I37+J37)/2,I37)</f>
        <v/>
      </c>
      <c r="N37">
        <f>IF($L37&lt;N_Ed-1E-9*MAX(1,N_Ed),J37,(I37+J37)/2)</f>
        <v/>
      </c>
      <c r="O37">
        <f>h_col*((M37+N37)/2)/(1-(M37+N37)/2)</f>
        <v/>
      </c>
      <c r="P37">
        <f>(f_cd*b_col*((3*MIN(O37,h_col)/7)+(4*MIN(O37,h_col)/7)*(1-((4*MIN(O37,h_col)/7)/(O37-(3*MIN(O37,h_col)/7)))^2/3))+$D37/2*((MAX(-f_yd,MIN(f_yd,200000*IF(O37&lt;=h_col,0.0035*(O37-d_2)/O37,0.002*(O37-d_2)/(O37-3*h_col/7))))-f_cd*(1-(1-MAX(0,MIN(1,IF(O37&lt;=h_col,0.0035*(O37-d_2)/O37,0.002*(O37-d_2)/(O37-3*h_col/7))/0.002)))^2))+(MAX(-f_yd,MIN(f_yd,200000*IF(O37&lt;=h_col,0.0035*(O37-(h_col-d_2))/O37,0.002*(O37-(h_col-d_2))/(O37-3*h_col/7))))-f_cd*(1-(1-MAX(0,MIN(1,IF(O37&lt;=h_col,0.0035*(O37-(h_col-d_2))/O37,0.002*(O37-(h_col-d_2))/(O37-3*h_col/7))/0.002)))^2))))/1000</f>
        <v/>
      </c>
      <c r="Q37">
        <f>IF($P37&lt;N_Ed-1E-9*MAX(1,N_Ed),(M37+N37)/2,M37)</f>
        <v/>
      </c>
      <c r="R37">
        <f>IF($P37&lt;N_Ed-1E-9*MAX(1,N_Ed),N37,(M37+N37)/2)</f>
        <v/>
      </c>
      <c r="S37">
        <f>h_col*((Q37+R37)/2)/(1-(Q37+R37)/2)</f>
        <v/>
      </c>
      <c r="T37">
        <f>(f_cd*b_col*((3*MIN(S37,h_col)/7)+(4*MIN(S37,h_col)/7)*(1-((4*MIN(S37,h_col)/7)/(S37-(3*MIN(S37,h_col)/7)))^2/3))+$D37/2*((MAX(-f_yd,MIN(f_yd,200000*IF(S37&lt;=h_col,0.0035*(S37-d_2)/S37,0.002*(S37-d_2)/(S37-3*h_col/7))))-f_cd*(1-(1-MAX(0,MIN(1,IF(S37&lt;=h_col,0.0035*(S37-d_2)/S37,0.002*(S37-d_2)/(S37-3*h_col/7))/0.002)))^2))+(MAX(-f_yd,MIN(f_yd,200000*IF(S37&lt;=h_col,0.0035*(S37-(h_col-d_2))/S37,0.002*(S37-(h_col-d_2))/(S37-3*h_col/7))))-f_cd*(1-(1-MAX(0,MIN(1,IF(S37&lt;=h_col,0.0035*(S37-(h_col-d_2))/S37,0.002*(S37-(h_col-d_2))/(S37-3*h_col/7))/0.002)))^2))))/1000</f>
        <v/>
      </c>
      <c r="U37">
        <f>IF($T37&lt;N_Ed-1E-9*MAX(1,N_Ed),(Q37+R37)/2,Q37)</f>
        <v/>
      </c>
      <c r="V37">
        <f>IF($T37&lt;N_Ed-1E-9*MAX(1,N_Ed),R37,(Q37+R37)/2)</f>
        <v/>
      </c>
      <c r="W37">
        <f>h_col*((U37+V37)/2)/(1-(U37+V37)/2)</f>
        <v/>
      </c>
      <c r="X37">
        <f>(f_cd*b_col*((3*MIN(W37,h_col)/7)+(4*MIN(W37,h_col)/7)*(1-((4*MIN(W37,h_col)/7)/(W37-(3*MIN(W37,h_col)/7)))^2/3))+$D37/2*((MAX(-f_yd,MIN(f_yd,200000*IF(W37&lt;=h_col,0.0035*(W37-d_2)/W37,0.002*(W37-d_2)/(W37-3*h_col/7))))-f_cd*(1-(1-MAX(0,MIN(1,IF(W37&lt;=h_col,0.0035*(W37-d_2)/W37,0.002*(W37-d_2)/(W37-3*h_col/7))/0.002)))^2))+(MAX(-f_yd,MIN(f_yd,200000*IF(W37&lt;=h_col,0.0035*(W37-(h_col-d_2))/W37,0.002*(W37-(h_col-d_2))/(W37-3*h_col/7))))-f_cd*(1-(1-MAX(0,MIN(1,IF(W37&lt;=h_col,0.0035*(W37-(h_col-d_2))/W37,0.002*(W37-(h_col-d_2))/(W37-3*h_col/7))/0.002)))^2))))/1000</f>
        <v/>
      </c>
      <c r="Y37">
        <f>IF($X37&lt;N_Ed-1E-9*MAX(1,N_Ed),(U37+V37)/2,U37)</f>
        <v/>
      </c>
      <c r="Z37">
        <f>IF($X37&lt;N_Ed-1E-9*MAX(1,N_Ed),V37,(U37+V37)/2)</f>
        <v/>
      </c>
      <c r="AA37">
        <f>h_col*((Y37+Z37)/2)/(1-(Y37+Z37)/2)</f>
        <v/>
      </c>
      <c r="AB37">
        <f>(f_cd*b_col*((3*MIN(AA37,h_col)/7)+(4*MIN(AA37,h_col)/7)*(1-((4*MIN(AA37,h_col)/7)/(AA37-(3*MIN(AA37,h_col)/7)))^2/3))+$D37/2*((MAX(-f_yd,MIN(f_yd,200000*IF(AA37&lt;=h_col,0.0035*(AA37-d_2)/AA37,0.002*(AA37-d_2)/(AA37-3*h_col/7))))-f_cd*(1-(1-MAX(0,MIN(1,IF(AA37&lt;=h_col,0.0035*(AA37-d_2)/AA37,0.002*(AA37-d_2)/(AA37-3*h_col/7))/0.002)))^2))+(MAX(-f_yd,MIN(f_yd,200000*IF(AA37&lt;=h_col,0.0035*(AA37-(h_col-d_2))/AA37,0.002*(AA37-(h_col-d_2))/(AA37-3*h_col/7))))-f_cd*(1-(1-MAX(0,MIN(1,IF(AA37&lt;=h_col,0.0035*(AA37-(h_col-d_2))/AA37,0.002*(AA37-(h_col-d_2))/(AA37-3*h_col/7))/0.002)))^2))))/1000</f>
        <v/>
      </c>
      <c r="AC37">
        <f>IF($AB37&lt;N_Ed-1E-9*MAX(1,N_Ed),(Y37+Z37)/2,Y37)</f>
        <v/>
      </c>
      <c r="AD37">
        <f>IF($AB37&lt;N_Ed-1E-9*MAX(1,N_Ed),Z37,(Y37+Z37)/2)</f>
        <v/>
      </c>
      <c r="AE37">
        <f>h_col*((AC37+AD37)/2)/(1-(AC37+AD37)/2)</f>
        <v/>
      </c>
      <c r="AF37">
        <f>(f_cd*b_col*((3*MIN(AE37,h_col)/7)+(4*MIN(AE37,h_col)/7)*(1-((4*MIN(AE37,h_col)/7)/(AE37-(3*MIN(AE37,h_col)/7)))^2/3))+$D37/2*((MAX(-f_yd,MIN(f_yd,200000*IF(AE37&lt;=h_col,0.0035*(AE37-d_2)/AE37,0.002*(AE37-d_2)/(AE37-3*h_col/7))))-f_cd*(1-(1-MAX(0,MIN(1,IF(AE37&lt;=h_col,0.0035*(AE37-d_2)/AE37,0.002*(AE37-d_2)/(AE37-3*h_col/7))/0.002)))^2))+(MAX(-f_yd,MIN(f_yd,200000*IF(AE37&lt;=h_col,0.0035*(AE37-(h_col-d_2))/AE37,0.002*(AE37-(h_col-d_2))/(AE37-3*h_col/7))))-f_cd*(1-(1-MAX(0,MIN(1,IF(AE37&lt;=h_col,0.0035*(AE37-(h_col-d_2))/AE37,0.002*(AE37-(h_col-d_2))/(AE37-3*h_col/7))/0.002)))^2))))/1000</f>
        <v/>
      </c>
      <c r="AG37">
        <f>IF($AF37&lt;N_Ed-1E-9*MAX(1,N_Ed),(AC37+AD37)/2,AC37)</f>
        <v/>
      </c>
      <c r="AH37">
        <f>IF($AF37&lt;N_Ed-1E-9*MAX(1,N_Ed),AD37,(AC37+AD37)/2)</f>
        <v/>
      </c>
      <c r="AI37">
        <f>h_col*((AG37+AH37)/2)/(1-(AG37+AH37)/2)</f>
        <v/>
      </c>
      <c r="AJ37">
        <f>(f_cd*b_col*((3*MIN(AI37,h_col)/7)+(4*MIN(AI37,h_col)/7)*(1-((4*MIN(AI37,h_col)/7)/(AI37-(3*MIN(AI37,h_col)/7)))^2/3))+$D37/2*((MAX(-f_yd,MIN(f_yd,200000*IF(AI37&lt;=h_col,0.0035*(AI37-d_2)/AI37,0.002*(AI37-d_2)/(AI37-3*h_col/7))))-f_cd*(1-(1-MAX(0,MIN(1,IF(AI37&lt;=h_col,0.0035*(AI37-d_2)/AI37,0.002*(AI37-d_2)/(AI37-3*h_col/7))/0.002)))^2))+(MAX(-f_yd,MIN(f_yd,200000*IF(AI37&lt;=h_col,0.0035*(AI37-(h_col-d_2))/AI37,0.002*(AI37-(h_col-d_2))/(AI37-3*h_col/7))))-f_cd*(1-(1-MAX(0,MIN(1,IF(AI37&lt;=h_col,0.0035*(AI37-(h_col-d_2))/AI37,0.002*(AI37-(h_col-d_2))/(AI37-3*h_col/7))/0.002)))^2))))/1000</f>
        <v/>
      </c>
      <c r="AK37">
        <f>IF($AJ37&lt;N_Ed-1E-9*MAX(1,N_Ed),(AG37+AH37)/2,AG37)</f>
        <v/>
      </c>
      <c r="AL37">
        <f>IF($AJ37&lt;N_Ed-1E-9*MAX(1,N_Ed),AH37,(AG37+AH37)/2)</f>
        <v/>
      </c>
      <c r="AM37">
        <f>h_col*((AK37+AL37)/2)/(1-(AK37+AL37)/2)</f>
        <v/>
      </c>
      <c r="AN37">
        <f>(f_cd*b_col*((3*MIN(AM37,h_col)/7)+(4*MIN(AM37,h_col)/7)*(1-((4*MIN(AM37,h_col)/7)/(AM37-(3*MIN(AM37,h_col)/7)))^2/3))+$D37/2*((MAX(-f_yd,MIN(f_yd,200000*IF(AM37&lt;=h_col,0.0035*(AM37-d_2)/AM37,0.002*(AM37-d_2)/(AM37-3*h_col/7))))-f_cd*(1-(1-MAX(0,MIN(1,IF(AM37&lt;=h_col,0.0035*(AM37-d_2)/AM37,0.002*(AM37-d_2)/(AM37-3*h_col/7))/0.002)))^2))+(MAX(-f_yd,MIN(f_yd,200000*IF(AM37&lt;=h_col,0.0035*(AM37-(h_col-d_2))/AM37,0.002*(AM37-(h_col-d_2))/(AM37-3*h_col/7))))-f_cd*(1-(1-MAX(0,MIN(1,IF(AM37&lt;=h_col,0.0035*(AM37-(h_col-d_2))/AM37,0.002*(AM37-(h_col-d_2))/(AM37-3*h_col/7))/0.002)))^2))))/1000</f>
        <v/>
      </c>
      <c r="AO37">
        <f>IF($AN37&lt;N_Ed-1E-9*MAX(1,N_Ed),(AK37+AL37)/2,AK37)</f>
        <v/>
      </c>
      <c r="AP37">
        <f>IF($AN37&lt;N_Ed-1E-9*MAX(1,N_Ed),AL37,(AK37+AL37)/2)</f>
        <v/>
      </c>
      <c r="AQ37">
        <f>h_col*((AO37+AP37)/2)/(1-(AO37+AP37)/2)</f>
        <v/>
      </c>
      <c r="AR37">
        <f>(f_cd*b_col*((3*MIN(AQ37,h_col)/7)+(4*MIN(AQ37,h_col)/7)*(1-((4*MIN(AQ37,h_col)/7)/(AQ37-(3*MIN(AQ37,h_col)/7)))^2/3))+$D37/2*((MAX(-f_yd,MIN(f_yd,200000*IF(AQ37&lt;=h_col,0.0035*(AQ37-d_2)/AQ37,0.002*(AQ37-d_2)/(AQ37-3*h_col/7))))-f_cd*(1-(1-MAX(0,MIN(1,IF(AQ37&lt;=h_col,0.0035*(AQ37-d_2)/AQ37,0.002*(AQ37-d_2)/(AQ37-3*h_col/7))/0.002)))^2))+(MAX(-f_yd,MIN(f_yd,200000*IF(AQ37&lt;=h_col,0.0035*(AQ37-(h_col-d_2))/AQ37,0.002*(AQ37-(h_col-d_2))/(AQ37-3*h_col/7))))-f_cd*(1-(1-MAX(0,MIN(1,IF(AQ37&lt;=h_col,0.0035*(AQ37-(h_col-d_2))/AQ37,0.002*(AQ37-(h_col-d_2))/(AQ37-3*h_col/7))/0.002)))^2))))/1000</f>
        <v/>
      </c>
      <c r="AS37">
        <f>IF($AR37&lt;N_Ed-1E-9*MAX(1,N_Ed),(AO37+AP37)/2,AO37)</f>
        <v/>
      </c>
      <c r="AT37">
        <f>IF($AR37&lt;N_Ed-1E-9*MAX(1,N_Ed),AP37,(AO37+AP37)/2)</f>
        <v/>
      </c>
      <c r="AU37">
        <f>h_col*((AS37+AT37)/2)/(1-(AS37+AT37)/2)</f>
        <v/>
      </c>
      <c r="AV37">
        <f>(f_cd*b_col*((3*MIN(AU37,h_col)/7)+(4*MIN(AU37,h_col)/7)*(1-((4*MIN(AU37,h_col)/7)/(AU37-(3*MIN(AU37,h_col)/7)))^2/3))+$D37/2*((MAX(-f_yd,MIN(f_yd,200000*IF(AU37&lt;=h_col,0.0035*(AU37-d_2)/AU37,0.002*(AU37-d_2)/(AU37-3*h_col/7))))-f_cd*(1-(1-MAX(0,MIN(1,IF(AU37&lt;=h_col,0.0035*(AU37-d_2)/AU37,0.002*(AU37-d_2)/(AU37-3*h_col/7))/0.002)))^2))+(MAX(-f_yd,MIN(f_yd,200000*IF(AU37&lt;=h_col,0.0035*(AU37-(h_col-d_2))/AU37,0.002*(AU37-(h_col-d_2))/(AU37-3*h_col/7))))-f_cd*(1-(1-MAX(0,MIN(1,IF(AU37&lt;=h_col,0.0035*(AU37-(h_col-d_2))/AU37,0.002*(AU37-(h_col-d_2))/(AU37-3*h_col/7))/0.002)))^2))))/1000</f>
        <v/>
      </c>
      <c r="AW37">
        <f>IF($AV37&lt;N_Ed-1E-9*MAX(1,N_Ed),(AS37+AT37)/2,AS37)</f>
        <v/>
      </c>
      <c r="AX37">
        <f>IF($AV37&lt;N_Ed-1E-9*MAX(1,N_Ed),AT37,(AS37+AT37)/2)</f>
        <v/>
      </c>
      <c r="AY37">
        <f>h_col*((AW37+AX37)/2)/(1-(AW37+AX37)/2)</f>
        <v/>
      </c>
      <c r="AZ37">
        <f>(f_cd*b_col*((3*MIN(AY37,h_col)/7)+(4*MIN(AY37,h_col)/7)*(1-((4*MIN(AY37,h_col)/7)/(AY37-(3*MIN(AY37,h_col)/7)))^2/3))+$D37/2*((MAX(-f_yd,MIN(f_yd,200000*IF(AY37&lt;=h_col,0.0035*(AY37-d_2)/AY37,0.002*(AY37-d_2)/(AY37-3*h_col/7))))-f_cd*(1-(1-MAX(0,MIN(1,IF(AY37&lt;=h_col,0.0035*(AY37-d_2)/AY37,0.002*(AY37-d_2)/(AY37-3*h_col/7))/0.002)))^2))+(MAX(-f_yd,MIN(f_yd,200000*IF(AY37&lt;=h_col,0.0035*(AY37-(h_col-d_2))/AY37,0.002*(AY37-(h_col-d_2))/(AY37-3*h_col/7))))-f_cd*(1-(1-MAX(0,MIN(1,IF(AY37&lt;=h_col,0.0035*(AY37-(h_col-d_2))/AY37,0.002*(AY37-(h_col-d_2))/(AY37-3*h_col/7))/0.002)))^2))))/1000</f>
        <v/>
      </c>
      <c r="BA37">
        <f>IF($AZ37&lt;N_Ed-1E-9*MAX(1,N_Ed),(AW37+AX37)/2,AW37)</f>
        <v/>
      </c>
      <c r="BB37">
        <f>IF($AZ37&lt;N_Ed-1E-9*MAX(1,N_Ed),AX37,(AW37+AX37)/2)</f>
        <v/>
      </c>
      <c r="BC37">
        <f>h_col*((BA37+BB37)/2)/(1-(BA37+BB37)/2)</f>
        <v/>
      </c>
      <c r="BD37">
        <f>(f_cd*b_col*((3*MIN(BC37,h_col)/7)+(4*MIN(BC37,h_col)/7)*(1-((4*MIN(BC37,h_col)/7)/(BC37-(3*MIN(BC37,h_col)/7)))^2/3))+$D37/2*((MAX(-f_yd,MIN(f_yd,200000*IF(BC37&lt;=h_col,0.0035*(BC37-d_2)/BC37,0.002*(BC37-d_2)/(BC37-3*h_col/7))))-f_cd*(1-(1-MAX(0,MIN(1,IF(BC37&lt;=h_col,0.0035*(BC37-d_2)/BC37,0.002*(BC37-d_2)/(BC37-3*h_col/7))/0.002)))^2))+(MAX(-f_yd,MIN(f_yd,200000*IF(BC37&lt;=h_col,0.0035*(BC37-(h_col-d_2))/BC37,0.002*(BC37-(h_col-d_2))/(BC37-3*h_col/7))))-f_cd*(1-(1-MAX(0,MIN(1,IF(BC37&lt;=h_col,0.0035*(BC37-(h_col-d_2))/BC37,0.002*(BC37-(h_col-d_2))/(BC37-3*h_col/7))/0.002)))^2))))/1000</f>
        <v/>
      </c>
      <c r="BE37">
        <f>IF($BD37&lt;N_Ed-1E-9*MAX(1,N_Ed),(BA37+BB37)/2,BA37)</f>
        <v/>
      </c>
      <c r="BF37">
        <f>IF($BD37&lt;N_Ed-1E-9*MAX(1,N_Ed),BB37,(BA37+BB37)/2)</f>
        <v/>
      </c>
      <c r="BG37">
        <f>h_col*((BE37+BF37)/2)/(1-(BE37+BF37)/2)</f>
        <v/>
      </c>
      <c r="BH37">
        <f>(f_cd*b_col*((3*MIN(BG37,h_col)/7)+(4*MIN(BG37,h_col)/7)*(1-((4*MIN(BG37,h_col)/7)/(BG37-(3*MIN(BG37,h_col)/7)))^2/3))+$D37/2*((MAX(-f_yd,MIN(f_yd,200000*IF(BG37&lt;=h_col,0.0035*(BG37-d_2)/BG37,0.002*(BG37-d_2)/(BG37-3*h_col/7))))-f_cd*(1-(1-MAX(0,MIN(1,IF(BG37&lt;=h_col,0.0035*(BG37-d_2)/BG37,0.002*(BG37-d_2)/(BG37-3*h_col/7))/0.002)))^2))+(MAX(-f_yd,MIN(f_yd,200000*IF(BG37&lt;=h_col,0.0035*(BG37-(h_col-d_2))/BG37,0.002*(BG37-(h_col-d_2))/(BG37-3*h_col/7))))-f_cd*(1-(1-MAX(0,MIN(1,IF(BG37&lt;=h_col,0.0035*(BG37-(h_col-d_2))/BG37,0.002*(BG37-(h_col-d_2))/(BG37-3*h_col/7))/0.002)))^2))))/1000</f>
        <v/>
      </c>
      <c r="BI37">
        <f>IF($BH37&lt;N_Ed-1E-9*MAX(1,N_Ed),(BE37+BF37)/2,BE37)</f>
        <v/>
      </c>
      <c r="BJ37">
        <f>IF($BH37&lt;N_Ed-1E-9*MAX(1,N_Ed),BF37,(BE37+BF37)/2)</f>
        <v/>
      </c>
      <c r="BK37">
        <f>h_col*((BI37+BJ37)/2)/(1-(BI37+BJ37)/2)</f>
        <v/>
      </c>
      <c r="BL37">
        <f>(f_cd*b_col*((3*MIN(BK37,h_col)/7)+(4*MIN(BK37,h_col)/7)*(1-((4*MIN(BK37,h_col)/7)/(BK37-(3*MIN(BK37,h_col)/7)))^2/3))+$D37/2*((MAX(-f_yd,MIN(f_yd,200000*IF(BK37&lt;=h_col,0.0035*(BK37-d_2)/BK37,0.002*(BK37-d_2)/(BK37-3*h_col/7))))-f_cd*(1-(1-MAX(0,MIN(1,IF(BK37&lt;=h_col,0.0035*(BK37-d_2)/BK37,0.002*(BK37-d_2)/(BK37-3*h_col/7))/0.002)))^2))+(MAX(-f_yd,MIN(f_yd,200000*IF(BK37&lt;=h_col,0.0035*(BK37-(h_col-d_2))/BK37,0.002*(BK37-(h_col-d_2))/(BK37-3*h_col/7))))-f_cd*(1-(1-MAX(0,MIN(1,IF(BK37&lt;=h_col,0.0035*(BK37-(h_col-d_2))/BK37,0.002*(BK37-(h_col-d_2))/(BK37-3*h_col/7))/0.002)))^2))))/1000</f>
        <v/>
      </c>
      <c r="BM37">
        <f>IF($BL37&lt;N_Ed-1E-9*MAX(1,N_Ed),(BI37+BJ37)/2,BI37)</f>
        <v/>
      </c>
      <c r="BN37">
        <f>IF($BL37&lt;N_Ed-1E-9*MAX(1,N_Ed),BJ37,(BI37+BJ37)/2)</f>
        <v/>
      </c>
      <c r="BO37">
        <f>h_col*((BM37+BN37)/2)/(1-(BM37+BN37)/2)</f>
        <v/>
      </c>
      <c r="BP37">
        <f>(f_cd*b_col*((3*MIN(BO37,h_col)/7)+(4*MIN(BO37,h_col)/7)*(1-((4*MIN(BO37,h_col)/7)/(BO37-(3*MIN(BO37,h_col)/7)))^2/3))+$D37/2*((MAX(-f_yd,MIN(f_yd,200000*IF(BO37&lt;=h_col,0.0035*(BO37-d_2)/BO37,0.002*(BO37-d_2)/(BO37-3*h_col/7))))-f_cd*(1-(1-MAX(0,MIN(1,IF(BO37&lt;=h_col,0.0035*(BO37-d_2)/BO37,0.002*(BO37-d_2)/(BO37-3*h_col/7))/0.002)))^2))+(MAX(-f_yd,MIN(f_yd,200000*IF(BO37&lt;=h_col,0.0035*(BO37-(h_col-d_2))/BO37,0.002*(BO37-(h_col-d_2))/(BO37-3*h_col/7))))-f_cd*(1-(1-MAX(0,MIN(1,IF(BO37&lt;=h_col,0.0035*(BO37-(h_col-d_2))/BO37,0.002*(BO37-(h_col-d_2))/(BO37-3*h_col/7))/0.002)))^2))))/1000</f>
        <v/>
      </c>
      <c r="BQ37">
        <f>IF($BP37&lt;N_Ed-1E-9*MAX(1,N_Ed),(BM37+BN37)/2,BM37)</f>
        <v/>
      </c>
      <c r="BR37">
        <f>IF($BP37&lt;N_Ed-1E-9*MAX(1,N_Ed),BN37,(BM37+BN37)/2)</f>
        <v/>
      </c>
      <c r="BS37">
        <f>h_col*((BQ37+BR37)/2)/(1-(BQ37+BR37)/2)</f>
        <v/>
      </c>
      <c r="BT37">
        <f>(f_cd*b_col*((3*MIN(BS37,h_col)/7)+(4*MIN(BS37,h_col)/7)*(1-((4*MIN(BS37,h_col)/7)/(BS37-(3*MIN(BS37,h_col)/7)))^2/3))+$D37/2*((MAX(-f_yd,MIN(f_yd,200000*IF(BS37&lt;=h_col,0.0035*(BS37-d_2)/BS37,0.002*(BS37-d_2)/(BS37-3*h_col/7))))-f_cd*(1-(1-MAX(0,MIN(1,IF(BS37&lt;=h_col,0.0035*(BS37-d_2)/BS37,0.002*(BS37-d_2)/(BS37-3*h_col/7))/0.002)))^2))+(MAX(-f_yd,MIN(f_yd,200000*IF(BS37&lt;=h_col,0.0035*(BS37-(h_col-d_2))/BS37,0.002*(BS37-(h_col-d_2))/(BS37-3*h_col/7))))-f_cd*(1-(1-MAX(0,MIN(1,IF(BS37&lt;=h_col,0.0035*(BS37-(h_col-d_2))/BS37,0.002*(BS37-(h_col-d_2))/(BS37-3*h_col/7))/0.002)))^2))))/1000</f>
        <v/>
      </c>
      <c r="BU37">
        <f>IF($BT37&lt;N_Ed-1E-9*MAX(1,N_Ed),(BQ37+BR37)/2,BQ37)</f>
        <v/>
      </c>
      <c r="BV37">
        <f>IF($BT37&lt;N_Ed-1E-9*MAX(1,N_Ed),BR37,(BQ37+BR37)/2)</f>
        <v/>
      </c>
      <c r="BW37">
        <f>h_col*((BU37+BV37)/2)/(1-(BU37+BV37)/2)</f>
        <v/>
      </c>
      <c r="BX37">
        <f>(f_cd*b_col*((3*MIN(BW37,h_col)/7)+(4*MIN(BW37,h_col)/7)*(1-((4*MIN(BW37,h_col)/7)/(BW37-(3*MIN(BW37,h_col)/7)))^2/3))+$D37/2*((MAX(-f_yd,MIN(f_yd,200000*IF(BW37&lt;=h_col,0.0035*(BW37-d_2)/BW37,0.002*(BW37-d_2)/(BW37-3*h_col/7))))-f_cd*(1-(1-MAX(0,MIN(1,IF(BW37&lt;=h_col,0.0035*(BW37-d_2)/BW37,0.002*(BW37-d_2)/(BW37-3*h_col/7))/0.002)))^2))+(MAX(-f_yd,MIN(f_yd,200000*IF(BW37&lt;=h_col,0.0035*(BW37-(h_col-d_2))/BW37,0.002*(BW37-(h_col-d_2))/(BW37-3*h_col/7))))-f_cd*(1-(1-MAX(0,MIN(1,IF(BW37&lt;=h_col,0.0035*(BW37-(h_col-d_2))/BW37,0.002*(BW37-(h_col-d_2))/(BW37-3*h_col/7))/0.002)))^2))))/1000</f>
        <v/>
      </c>
      <c r="BY37">
        <f>IF($BX37&lt;N_Ed-1E-9*MAX(1,N_Ed),(BU37+BV37)/2,BU37)</f>
        <v/>
      </c>
      <c r="BZ37">
        <f>IF($BX37&lt;N_Ed-1E-9*MAX(1,N_Ed),BV37,(BU37+BV37)/2)</f>
        <v/>
      </c>
      <c r="CA37">
        <f>h_col*((BY37+BZ37)/2)/(1-(BY37+BZ37)/2)</f>
        <v/>
      </c>
      <c r="CB37">
        <f>(f_cd*b_col*((3*MIN(CA37,h_col)/7)+(4*MIN(CA37,h_col)/7)*(1-((4*MIN(CA37,h_col)/7)/(CA37-(3*MIN(CA37,h_col)/7)))^2/3))+$D37/2*((MAX(-f_yd,MIN(f_yd,200000*IF(CA37&lt;=h_col,0.0035*(CA37-d_2)/CA37,0.002*(CA37-d_2)/(CA37-3*h_col/7))))-f_cd*(1-(1-MAX(0,MIN(1,IF(CA37&lt;=h_col,0.0035*(CA37-d_2)/CA37,0.002*(CA37-d_2)/(CA37-3*h_col/7))/0.002)))^2))+(MAX(-f_yd,MIN(f_yd,200000*IF(CA37&lt;=h_col,0.0035*(CA37-(h_col-d_2))/CA37,0.002*(CA37-(h_col-d_2))/(CA37-3*h_col/7))))-f_cd*(1-(1-MAX(0,MIN(1,IF(CA37&lt;=h_col,0.0035*(CA37-(h_col-d_2))/CA37,0.002*(CA37-(h_col-d_2))/(CA37-3*h_col/7))/0.002)))^2))))/1000</f>
        <v/>
      </c>
      <c r="CC37">
        <f>IF($CB37&lt;N_Ed-1E-9*MAX(1,N_Ed),(BY37+BZ37)/2,BY37)</f>
        <v/>
      </c>
      <c r="CD37">
        <f>IF($CB37&lt;N_Ed-1E-9*MAX(1,N_Ed),BZ37,(BY37+BZ37)/2)</f>
        <v/>
      </c>
      <c r="CE37">
        <f>h_col*((CC37+CD37)/2)/(1-(CC37+CD37)/2)</f>
        <v/>
      </c>
      <c r="CF37">
        <f>(f_cd*b_col*((3*MIN(CE37,h_col)/7)+(4*MIN(CE37,h_col)/7)*(1-((4*MIN(CE37,h_col)/7)/(CE37-(3*MIN(CE37,h_col)/7)))^2/3))+$D37/2*((MAX(-f_yd,MIN(f_yd,200000*IF(CE37&lt;=h_col,0.0035*(CE37-d_2)/CE37,0.002*(CE37-d_2)/(CE37-3*h_col/7))))-f_cd*(1-(1-MAX(0,MIN(1,IF(CE37&lt;=h_col,0.0035*(CE37-d_2)/CE37,0.002*(CE37-d_2)/(CE37-3*h_col/7))/0.002)))^2))+(MAX(-f_yd,MIN(f_yd,200000*IF(CE37&lt;=h_col,0.0035*(CE37-(h_col-d_2))/CE37,0.002*(CE37-(h_col-d_2))/(CE37-3*h_col/7))))-f_cd*(1-(1-MAX(0,MIN(1,IF(CE37&lt;=h_col,0.0035*(CE37-(h_col-d_2))/CE37,0.002*(CE37-(h_col-d_2))/(CE37-3*h_col/7))/0.002)))^2))))/1000</f>
        <v/>
      </c>
      <c r="CG37">
        <f>IF($CF37&lt;N_Ed-1E-9*MAX(1,N_Ed),(CC37+CD37)/2,CC37)</f>
        <v/>
      </c>
      <c r="CH37">
        <f>IF($CF37&lt;N_Ed-1E-9*MAX(1,N_Ed),CD37,(CC37+CD37)/2)</f>
        <v/>
      </c>
      <c r="CI37">
        <f>h_col*((CG37+CH37)/2)/(1-(CG37+CH37)/2)</f>
        <v/>
      </c>
      <c r="CJ37">
        <f>(f_cd*b_col*((3*MIN(CI37,h_col)/7)+(4*MIN(CI37,h_col)/7)*(1-((4*MIN(CI37,h_col)/7)/(CI37-(3*MIN(CI37,h_col)/7)))^2/3))+$D37/2*((MAX(-f_yd,MIN(f_yd,200000*IF(CI37&lt;=h_col,0.0035*(CI37-d_2)/CI37,0.002*(CI37-d_2)/(CI37-3*h_col/7))))-f_cd*(1-(1-MAX(0,MIN(1,IF(CI37&lt;=h_col,0.0035*(CI37-d_2)/CI37,0.002*(CI37-d_2)/(CI37-3*h_col/7))/0.002)))^2))+(MAX(-f_yd,MIN(f_yd,200000*IF(CI37&lt;=h_col,0.0035*(CI37-(h_col-d_2))/CI37,0.002*(CI37-(h_col-d_2))/(CI37-3*h_col/7))))-f_cd*(1-(1-MAX(0,MIN(1,IF(CI37&lt;=h_col,0.0035*(CI37-(h_col-d_2))/CI37,0.002*(CI37-(h_col-d_2))/(CI37-3*h_col/7))/0.002)))^2))))/1000</f>
        <v/>
      </c>
      <c r="CK37">
        <f>IF($CJ37&lt;N_Ed-1E-9*MAX(1,N_Ed),(CG37+CH37)/2,CG37)</f>
        <v/>
      </c>
      <c r="CL37">
        <f>IF($CJ37&lt;N_Ed-1E-9*MAX(1,N_Ed),CH37,(CG37+CH37)/2)</f>
        <v/>
      </c>
      <c r="CM37">
        <f>h_col*((CK37+CL37)/2)/(1-(CK37+CL37)/2)</f>
        <v/>
      </c>
      <c r="CN37">
        <f>(f_cd*b_col*((3*MIN(CM37,h_col)/7)+(4*MIN(CM37,h_col)/7)*(1-((4*MIN(CM37,h_col)/7)/(CM37-(3*MIN(CM37,h_col)/7)))^2/3))+$D37/2*((MAX(-f_yd,MIN(f_yd,200000*IF(CM37&lt;=h_col,0.0035*(CM37-d_2)/CM37,0.002*(CM37-d_2)/(CM37-3*h_col/7))))-f_cd*(1-(1-MAX(0,MIN(1,IF(CM37&lt;=h_col,0.0035*(CM37-d_2)/CM37,0.002*(CM37-d_2)/(CM37-3*h_col/7))/0.002)))^2))+(MAX(-f_yd,MIN(f_yd,200000*IF(CM37&lt;=h_col,0.0035*(CM37-(h_col-d_2))/CM37,0.002*(CM37-(h_col-d_2))/(CM37-3*h_col/7))))-f_cd*(1-(1-MAX(0,MIN(1,IF(CM37&lt;=h_col,0.0035*(CM37-(h_col-d_2))/CM37,0.002*(CM37-(h_col-d_2))/(CM37-3*h_col/7))/0.002)))^2))))/1000</f>
        <v/>
      </c>
      <c r="CO37">
        <f>IF($CN37&lt;N_Ed-1E-9*MAX(1,N_Ed),(CK37+CL37)/2,CK37)</f>
        <v/>
      </c>
      <c r="CP37">
        <f>IF($CN37&lt;N_Ed-1E-9*MAX(1,N_Ed),CL37,(CK37+CL37)/2)</f>
        <v/>
      </c>
      <c r="CQ37">
        <f>h_col*((CO37+CP37)/2)/(1-(CO37+CP37)/2)</f>
        <v/>
      </c>
      <c r="CR37">
        <f>(f_cd*b_col*((3*MIN(CQ37,h_col)/7)+(4*MIN(CQ37,h_col)/7)*(1-((4*MIN(CQ37,h_col)/7)/(CQ37-(3*MIN(CQ37,h_col)/7)))^2/3))+$D37/2*((MAX(-f_yd,MIN(f_yd,200000*IF(CQ37&lt;=h_col,0.0035*(CQ37-d_2)/CQ37,0.002*(CQ37-d_2)/(CQ37-3*h_col/7))))-f_cd*(1-(1-MAX(0,MIN(1,IF(CQ37&lt;=h_col,0.0035*(CQ37-d_2)/CQ37,0.002*(CQ37-d_2)/(CQ37-3*h_col/7))/0.002)))^2))+(MAX(-f_yd,MIN(f_yd,200000*IF(CQ37&lt;=h_col,0.0035*(CQ37-(h_col-d_2))/CQ37,0.002*(CQ37-(h_col-d_2))/(CQ37-3*h_col/7))))-f_cd*(1-(1-MAX(0,MIN(1,IF(CQ37&lt;=h_col,0.0035*(CQ37-(h_col-d_2))/CQ37,0.002*(CQ37-(h_col-d_2))/(CQ37-3*h_col/7))/0.002)))^2))))/1000</f>
        <v/>
      </c>
      <c r="CS37">
        <f>IF($CR37&lt;N_Ed-1E-9*MAX(1,N_Ed),(CO37+CP37)/2,CO37)</f>
        <v/>
      </c>
      <c r="CT37">
        <f>IF($CR37&lt;N_Ed-1E-9*MAX(1,N_Ed),CP37,(CO37+CP37)/2)</f>
        <v/>
      </c>
      <c r="CU37">
        <f>h_col*((CS37+CT37)/2)/(1-(CS37+CT37)/2)</f>
        <v/>
      </c>
      <c r="CV37">
        <f>(f_cd*b_col*((3*MIN(CU37,h_col)/7)+(4*MIN(CU37,h_col)/7)*(1-((4*MIN(CU37,h_col)/7)/(CU37-(3*MIN(CU37,h_col)/7)))^2/3))+$D37/2*((MAX(-f_yd,MIN(f_yd,200000*IF(CU37&lt;=h_col,0.0035*(CU37-d_2)/CU37,0.002*(CU37-d_2)/(CU37-3*h_col/7))))-f_cd*(1-(1-MAX(0,MIN(1,IF(CU37&lt;=h_col,0.0035*(CU37-d_2)/CU37,0.002*(CU37-d_2)/(CU37-3*h_col/7))/0.002)))^2))+(MAX(-f_yd,MIN(f_yd,200000*IF(CU37&lt;=h_col,0.0035*(CU37-(h_col-d_2))/CU37,0.002*(CU37-(h_col-d_2))/(CU37-3*h_col/7))))-f_cd*(1-(1-MAX(0,MIN(1,IF(CU37&lt;=h_col,0.0035*(CU37-(h_col-d_2))/CU37,0.002*(CU37-(h_col-d_2))/(CU37-3*h_col/7))/0.002)))^2))))/1000</f>
        <v/>
      </c>
      <c r="CW37">
        <f>IF($CV37&lt;N_Ed-1E-9*MAX(1,N_Ed),(CS37+CT37)/2,CS37)</f>
        <v/>
      </c>
      <c r="CX37">
        <f>IF($CV37&lt;N_Ed-1E-9*MAX(1,N_Ed),CT37,(CS37+CT37)/2)</f>
        <v/>
      </c>
      <c r="CY37">
        <f>h_col*((CW37+CX37)/2)/(1-(CW37+CX37)/2)</f>
        <v/>
      </c>
      <c r="CZ37">
        <f>(f_cd*b_col*((3*MIN(CY37,h_col)/7)+(4*MIN(CY37,h_col)/7)*(1-((4*MIN(CY37,h_col)/7)/(CY37-(3*MIN(CY37,h_col)/7)))^2/3))+$D37/2*((MAX(-f_yd,MIN(f_yd,200000*IF(CY37&lt;=h_col,0.0035*(CY37-d_2)/CY37,0.002*(CY37-d_2)/(CY37-3*h_col/7))))-f_cd*(1-(1-MAX(0,MIN(1,IF(CY37&lt;=h_col,0.0035*(CY37-d_2)/CY37,0.002*(CY37-d_2)/(CY37-3*h_col/7))/0.002)))^2))+(MAX(-f_yd,MIN(f_yd,200000*IF(CY37&lt;=h_col,0.0035*(CY37-(h_col-d_2))/CY37,0.002*(CY37-(h_col-d_2))/(CY37-3*h_col/7))))-f_cd*(1-(1-MAX(0,MIN(1,IF(CY37&lt;=h_col,0.0035*(CY37-(h_col-d_2))/CY37,0.002*(CY37-(h_col-d_2))/(CY37-3*h_col/7))/0.002)))^2))))/1000</f>
        <v/>
      </c>
      <c r="DA37">
        <f>IF($CZ37&lt;N_Ed-1E-9*MAX(1,N_Ed),(CW37+CX37)/2,CW37)</f>
        <v/>
      </c>
      <c r="DB37">
        <f>IF($CZ37&lt;N_Ed-1E-9*MAX(1,N_Ed),CX37,(CW37+CX37)/2)</f>
        <v/>
      </c>
      <c r="DC37">
        <f>h_col*((DA37+DB37)/2)/(1-(DA37+DB37)/2)</f>
        <v/>
      </c>
      <c r="DD37">
        <f>(f_cd*b_col*((3*MIN(DC37,h_col)/7)+(4*MIN(DC37,h_col)/7)*(1-((4*MIN(DC37,h_col)/7)/(DC37-(3*MIN(DC37,h_col)/7)))^2/3))+$D37/2*((MAX(-f_yd,MIN(f_yd,200000*IF(DC37&lt;=h_col,0.0035*(DC37-d_2)/DC37,0.002*(DC37-d_2)/(DC37-3*h_col/7))))-f_cd*(1-(1-MAX(0,MIN(1,IF(DC37&lt;=h_col,0.0035*(DC37-d_2)/DC37,0.002*(DC37-d_2)/(DC37-3*h_col/7))/0.002)))^2))+(MAX(-f_yd,MIN(f_yd,200000*IF(DC37&lt;=h_col,0.0035*(DC37-(h_col-d_2))/DC37,0.002*(DC37-(h_col-d_2))/(DC37-3*h_col/7))))-f_cd*(1-(1-MAX(0,MIN(1,IF(DC37&lt;=h_col,0.0035*(DC37-(h_col-d_2))/DC37,0.002*(DC37-(h_col-d_2))/(DC37-3*h_col/7))/0.002)))^2))))/1000</f>
        <v/>
      </c>
      <c r="DE37">
        <f>IF($DD37&lt;N_Ed-1E-9*MAX(1,N_Ed),(DA37+DB37)/2,DA37)</f>
        <v/>
      </c>
      <c r="DF37">
        <f>IF($DD37&lt;N_Ed-1E-9*MAX(1,N_Ed),DB37,(DA37+DB37)/2)</f>
        <v/>
      </c>
      <c r="DG37">
        <f>h_col*((DE37+DF37)/2)/(1-(DE37+DF37)/2)</f>
        <v/>
      </c>
      <c r="DH37">
        <f>(f_cd*b_col*((3*MIN(DG37,h_col)/7)+(4*MIN(DG37,h_col)/7)*(1-((4*MIN(DG37,h_col)/7)/(DG37-(3*MIN(DG37,h_col)/7)))^2/3))+$D37/2*((MAX(-f_yd,MIN(f_yd,200000*IF(DG37&lt;=h_col,0.0035*(DG37-d_2)/DG37,0.002*(DG37-d_2)/(DG37-3*h_col/7))))-f_cd*(1-(1-MAX(0,MIN(1,IF(DG37&lt;=h_col,0.0035*(DG37-d_2)/DG37,0.002*(DG37-d_2)/(DG37-3*h_col/7))/0.002)))^2))+(MAX(-f_yd,MIN(f_yd,200000*IF(DG37&lt;=h_col,0.0035*(DG37-(h_col-d_2))/DG37,0.002*(DG37-(h_col-d_2))/(DG37-3*h_col/7))))-f_cd*(1-(1-MAX(0,MIN(1,IF(DG37&lt;=h_col,0.0035*(DG37-(h_col-d_2))/DG37,0.002*(DG37-(h_col-d_2))/(DG37-3*h_col/7))/0.002)))^2))))/1000</f>
        <v/>
      </c>
      <c r="DI37">
        <f>IF($DH37&lt;N_Ed-1E-9*MAX(1,N_Ed),(DE37+DF37)/2,DE37)</f>
        <v/>
      </c>
      <c r="DJ37">
        <f>IF($DH37&lt;N_Ed-1E-9*MAX(1,N_Ed),DF37,(DE37+DF37)/2)</f>
        <v/>
      </c>
      <c r="DK37">
        <f>h_col*((DI37+DJ37)/2)/(1-(DI37+DJ37)/2)</f>
        <v/>
      </c>
      <c r="DL37">
        <f>(f_cd*b_col*((3*MIN(DK37,h_col)/7)+(4*MIN(DK37,h_col)/7)*(1-((4*MIN(DK37,h_col)/7)/(DK37-(3*MIN(DK37,h_col)/7)))^2/3))+$D37/2*((MAX(-f_yd,MIN(f_yd,200000*IF(DK37&lt;=h_col,0.0035*(DK37-d_2)/DK37,0.002*(DK37-d_2)/(DK37-3*h_col/7))))-f_cd*(1-(1-MAX(0,MIN(1,IF(DK37&lt;=h_col,0.0035*(DK37-d_2)/DK37,0.002*(DK37-d_2)/(DK37-3*h_col/7))/0.002)))^2))+(MAX(-f_yd,MIN(f_yd,200000*IF(DK37&lt;=h_col,0.0035*(DK37-(h_col-d_2))/DK37,0.002*(DK37-(h_col-d_2))/(DK37-3*h_col/7))))-f_cd*(1-(1-MAX(0,MIN(1,IF(DK37&lt;=h_col,0.0035*(DK37-(h_col-d_2))/DK37,0.002*(DK37-(h_col-d_2))/(DK37-3*h_col/7))/0.002)))^2))))/1000</f>
        <v/>
      </c>
      <c r="DM37">
        <f>IF($DL37&lt;N_Ed-1E-9*MAX(1,N_Ed),(DI37+DJ37)/2,DI37)</f>
        <v/>
      </c>
      <c r="DN37">
        <f>IF($DL37&lt;N_Ed-1E-9*MAX(1,N_Ed),DJ37,(DI37+DJ37)/2)</f>
        <v/>
      </c>
      <c r="DO37">
        <f>h_col*((DM37+DN37)/2)/(1-(DM37+DN37)/2)</f>
        <v/>
      </c>
      <c r="DP37">
        <f>(f_cd*b_col*((3*MIN(DO37,h_col)/7)+(4*MIN(DO37,h_col)/7)*(1-((4*MIN(DO37,h_col)/7)/(DO37-(3*MIN(DO37,h_col)/7)))^2/3))+$D37/2*((MAX(-f_yd,MIN(f_yd,200000*IF(DO37&lt;=h_col,0.0035*(DO37-d_2)/DO37,0.002*(DO37-d_2)/(DO37-3*h_col/7))))-f_cd*(1-(1-MAX(0,MIN(1,IF(DO37&lt;=h_col,0.0035*(DO37-d_2)/DO37,0.002*(DO37-d_2)/(DO37-3*h_col/7))/0.002)))^2))+(MAX(-f_yd,MIN(f_yd,200000*IF(DO37&lt;=h_col,0.0035*(DO37-(h_col-d_2))/DO37,0.002*(DO37-(h_col-d_2))/(DO37-3*h_col/7))))-f_cd*(1-(1-MAX(0,MIN(1,IF(DO37&lt;=h_col,0.0035*(DO37-(h_col-d_2))/DO37,0.002*(DO37-(h_col-d_2))/(DO37-3*h_col/7))/0.002)))^2))))/1000</f>
        <v/>
      </c>
      <c r="DQ37">
        <f>IF($DP37&lt;N_Ed-1E-9*MAX(1,N_Ed),(DM37+DN37)/2,DM37)</f>
        <v/>
      </c>
      <c r="DR37">
        <f>IF($DP37&lt;N_Ed-1E-9*MAX(1,N_Ed),DN37,(DM37+DN37)/2)</f>
        <v/>
      </c>
      <c r="DS37">
        <f>h_col*((DQ37+DR37)/2)/(1-(DQ37+DR37)/2)</f>
        <v/>
      </c>
      <c r="DT37">
        <f>(f_cd*b_col*((3*MIN(DS37,h_col)/7)+(4*MIN(DS37,h_col)/7)*(1-((4*MIN(DS37,h_col)/7)/(DS37-(3*MIN(DS37,h_col)/7)))^2/3))+$D37/2*((MAX(-f_yd,MIN(f_yd,200000*IF(DS37&lt;=h_col,0.0035*(DS37-d_2)/DS37,0.002*(DS37-d_2)/(DS37-3*h_col/7))))-f_cd*(1-(1-MAX(0,MIN(1,IF(DS37&lt;=h_col,0.0035*(DS37-d_2)/DS37,0.002*(DS37-d_2)/(DS37-3*h_col/7))/0.002)))^2))+(MAX(-f_yd,MIN(f_yd,200000*IF(DS37&lt;=h_col,0.0035*(DS37-(h_col-d_2))/DS37,0.002*(DS37-(h_col-d_2))/(DS37-3*h_col/7))))-f_cd*(1-(1-MAX(0,MIN(1,IF(DS37&lt;=h_col,0.0035*(DS37-(h_col-d_2))/DS37,0.002*(DS37-(h_col-d_2))/(DS37-3*h_col/7))/0.002)))^2))))/1000</f>
        <v/>
      </c>
      <c r="DU37">
        <f>IF($DT37&lt;N_Ed-1E-9*MAX(1,N_Ed),(DQ37+DR37)/2,DQ37)</f>
        <v/>
      </c>
      <c r="DV37">
        <f>IF($DT37&lt;N_Ed-1E-9*MAX(1,N_Ed),DR37,(DQ37+DR37)/2)</f>
        <v/>
      </c>
      <c r="DW37">
        <f>h_col*((DU37+DV37)/2)/(1-(DU37+DV37)/2)</f>
        <v/>
      </c>
      <c r="DX37">
        <f>(f_cd*b_col*((3*MIN(DW37,h_col)/7)+(4*MIN(DW37,h_col)/7)*(1-((4*MIN(DW37,h_col)/7)/(DW37-(3*MIN(DW37,h_col)/7)))^2/3))+$D37/2*((MAX(-f_yd,MIN(f_yd,200000*IF(DW37&lt;=h_col,0.0035*(DW37-d_2)/DW37,0.002*(DW37-d_2)/(DW37-3*h_col/7))))-f_cd*(1-(1-MAX(0,MIN(1,IF(DW37&lt;=h_col,0.0035*(DW37-d_2)/DW37,0.002*(DW37-d_2)/(DW37-3*h_col/7))/0.002)))^2))+(MAX(-f_yd,MIN(f_yd,200000*IF(DW37&lt;=h_col,0.0035*(DW37-(h_col-d_2))/DW37,0.002*(DW37-(h_col-d_2))/(DW37-3*h_col/7))))-f_cd*(1-(1-MAX(0,MIN(1,IF(DW37&lt;=h_col,0.0035*(DW37-(h_col-d_2))/DW37,0.002*(DW37-(h_col-d_2))/(DW37-3*h_col/7))/0.002)))^2))))/1000</f>
        <v/>
      </c>
      <c r="DY37">
        <f>IF($DX37&lt;N_Ed-1E-9*MAX(1,N_Ed),(DU37+DV37)/2,DU37)</f>
        <v/>
      </c>
      <c r="DZ37">
        <f>IF($DX37&lt;N_Ed-1E-9*MAX(1,N_Ed),DV37,(DU37+DV37)/2)</f>
        <v/>
      </c>
      <c r="EA37">
        <f>h_col*((DY37+DZ37)/2)/(1-(DY37+DZ37)/2)</f>
        <v/>
      </c>
      <c r="EB37">
        <f>(f_cd*b_col*((3*MIN(EA37,h_col)/7)+(4*MIN(EA37,h_col)/7)*(1-((4*MIN(EA37,h_col)/7)/(EA37-(3*MIN(EA37,h_col)/7)))^2/3))+$D37/2*((MAX(-f_yd,MIN(f_yd,200000*IF(EA37&lt;=h_col,0.0035*(EA37-d_2)/EA37,0.002*(EA37-d_2)/(EA37-3*h_col/7))))-f_cd*(1-(1-MAX(0,MIN(1,IF(EA37&lt;=h_col,0.0035*(EA37-d_2)/EA37,0.002*(EA37-d_2)/(EA37-3*h_col/7))/0.002)))^2))+(MAX(-f_yd,MIN(f_yd,200000*IF(EA37&lt;=h_col,0.0035*(EA37-(h_col-d_2))/EA37,0.002*(EA37-(h_col-d_2))/(EA37-3*h_col/7))))-f_cd*(1-(1-MAX(0,MIN(1,IF(EA37&lt;=h_col,0.0035*(EA37-(h_col-d_2))/EA37,0.002*(EA37-(h_col-d_2))/(EA37-3*h_col/7))/0.002)))^2))))/1000</f>
        <v/>
      </c>
      <c r="EC37">
        <f>IF($EB37&lt;N_Ed-1E-9*MAX(1,N_Ed),(DY37+DZ37)/2,DY37)</f>
        <v/>
      </c>
      <c r="ED37">
        <f>IF($EB37&lt;N_Ed-1E-9*MAX(1,N_Ed),DZ37,(DY37+DZ37)/2)</f>
        <v/>
      </c>
      <c r="EE37">
        <f>h_col*((EC37+ED37)/2)/(1-(EC37+ED37)/2)</f>
        <v/>
      </c>
      <c r="EF37">
        <f>(f_cd*b_col*((3*MIN(EE37,h_col)/7)+(4*MIN(EE37,h_col)/7)*(1-((4*MIN(EE37,h_col)/7)/(EE37-(3*MIN(EE37,h_col)/7)))^2/3))+$D37/2*((MAX(-f_yd,MIN(f_yd,200000*IF(EE37&lt;=h_col,0.0035*(EE37-d_2)/EE37,0.002*(EE37-d_2)/(EE37-3*h_col/7))))-f_cd*(1-(1-MAX(0,MIN(1,IF(EE37&lt;=h_col,0.0035*(EE37-d_2)/EE37,0.002*(EE37-d_2)/(EE37-3*h_col/7))/0.002)))^2))+(MAX(-f_yd,MIN(f_yd,200000*IF(EE37&lt;=h_col,0.0035*(EE37-(h_col-d_2))/EE37,0.002*(EE37-(h_col-d_2))/(EE37-3*h_col/7))))-f_cd*(1-(1-MAX(0,MIN(1,IF(EE37&lt;=h_col,0.0035*(EE37-(h_col-d_2))/EE37,0.002*(EE37-(h_col-d_2))/(EE37-3*h_col/7))/0.002)))^2))))/1000</f>
        <v/>
      </c>
      <c r="EG37">
        <f>IF($EF37&lt;N_Ed-1E-9*MAX(1,N_Ed),(EC37+ED37)/2,EC37)</f>
        <v/>
      </c>
      <c r="EH37">
        <f>IF($EF37&lt;N_Ed-1E-9*MAX(1,N_Ed),ED37,(EC37+ED37)/2)</f>
        <v/>
      </c>
      <c r="EI37">
        <f>h_col*((EG37+EH37)/2)/(1-(EG37+EH37)/2)</f>
        <v/>
      </c>
      <c r="EJ37">
        <f>(f_cd*b_col*((3*MIN(EI37,h_col)/7)+(4*MIN(EI37,h_col)/7)*(1-((4*MIN(EI37,h_col)/7)/(EI37-(3*MIN(EI37,h_col)/7)))^2/3))+$D37/2*((MAX(-f_yd,MIN(f_yd,200000*IF(EI37&lt;=h_col,0.0035*(EI37-d_2)/EI37,0.002*(EI37-d_2)/(EI37-3*h_col/7))))-f_cd*(1-(1-MAX(0,MIN(1,IF(EI37&lt;=h_col,0.0035*(EI37-d_2)/EI37,0.002*(EI37-d_2)/(EI37-3*h_col/7))/0.002)))^2))+(MAX(-f_yd,MIN(f_yd,200000*IF(EI37&lt;=h_col,0.0035*(EI37-(h_col-d_2))/EI37,0.002*(EI37-(h_col-d_2))/(EI37-3*h_col/7))))-f_cd*(1-(1-MAX(0,MIN(1,IF(EI37&lt;=h_col,0.0035*(EI37-(h_col-d_2))/EI37,0.002*(EI37-(h_col-d_2))/(EI37-3*h_col/7))/0.002)))^2))))/1000</f>
        <v/>
      </c>
      <c r="EK37">
        <f>IF($EJ37&lt;N_Ed-1E-9*MAX(1,N_Ed),(EG37+EH37)/2,EG37)</f>
        <v/>
      </c>
      <c r="EL37">
        <f>IF($EJ37&lt;N_Ed-1E-9*MAX(1,N_Ed),EH37,(EG37+EH37)/2)</f>
        <v/>
      </c>
      <c r="EM37">
        <f>h_col*((EK37+EL37)/2)/(1-(EK37+EL37)/2)</f>
        <v/>
      </c>
      <c r="EN37">
        <f>(f_cd*b_col*((3*MIN(EM37,h_col)/7)+(4*MIN(EM37,h_col)/7)*(1-((4*MIN(EM37,h_col)/7)/(EM37-(3*MIN(EM37,h_col)/7)))^2/3))+$D37/2*((MAX(-f_yd,MIN(f_yd,200000*IF(EM37&lt;=h_col,0.0035*(EM37-d_2)/EM37,0.002*(EM37-d_2)/(EM37-3*h_col/7))))-f_cd*(1-(1-MAX(0,MIN(1,IF(EM37&lt;=h_col,0.0035*(EM37-d_2)/EM37,0.002*(EM37-d_2)/(EM37-3*h_col/7))/0.002)))^2))+(MAX(-f_yd,MIN(f_yd,200000*IF(EM37&lt;=h_col,0.0035*(EM37-(h_col-d_2))/EM37,0.002*(EM37-(h_col-d_2))/(EM37-3*h_col/7))))-f_cd*(1-(1-MAX(0,MIN(1,IF(EM37&lt;=h_col,0.0035*(EM37-(h_col-d_2))/EM37,0.002*(EM37-(h_col-d_2))/(EM37-3*h_col/7))/0.002)))^2))))/1000</f>
        <v/>
      </c>
      <c r="EO37">
        <f>IF($EN37&lt;N_Ed-1E-9*MAX(1,N_Ed),(EK37+EL37)/2,EK37)</f>
        <v/>
      </c>
      <c r="EP37">
        <f>IF($EN37&lt;N_Ed-1E-9*MAX(1,N_Ed),EL37,(EK37+EL37)/2)</f>
        <v/>
      </c>
      <c r="EQ37">
        <f>h_col*((EO37+EP37)/2)/(1-(EO37+EP37)/2)</f>
        <v/>
      </c>
      <c r="ER37">
        <f>(f_cd*b_col*((3*MIN(EQ37,h_col)/7)+(4*MIN(EQ37,h_col)/7)*(1-((4*MIN(EQ37,h_col)/7)/(EQ37-(3*MIN(EQ37,h_col)/7)))^2/3))+$D37/2*((MAX(-f_yd,MIN(f_yd,200000*IF(EQ37&lt;=h_col,0.0035*(EQ37-d_2)/EQ37,0.002*(EQ37-d_2)/(EQ37-3*h_col/7))))-f_cd*(1-(1-MAX(0,MIN(1,IF(EQ37&lt;=h_col,0.0035*(EQ37-d_2)/EQ37,0.002*(EQ37-d_2)/(EQ37-3*h_col/7))/0.002)))^2))+(MAX(-f_yd,MIN(f_yd,200000*IF(EQ37&lt;=h_col,0.0035*(EQ37-(h_col-d_2))/EQ37,0.002*(EQ37-(h_col-d_2))/(EQ37-3*h_col/7))))-f_cd*(1-(1-MAX(0,MIN(1,IF(EQ37&lt;=h_col,0.0035*(EQ37-(h_col-d_2))/EQ37,0.002*(EQ37-(h_col-d_2))/(EQ37-3*h_col/7))/0.002)))^2))))/1000</f>
        <v/>
      </c>
      <c r="ES37">
        <f>IF($ER37&lt;N_Ed-1E-9*MAX(1,N_Ed),(EO37+EP37)/2,EO37)</f>
        <v/>
      </c>
      <c r="ET37">
        <f>IF($ER37&lt;N_Ed-1E-9*MAX(1,N_Ed),EP37,(EO37+EP37)/2)</f>
        <v/>
      </c>
      <c r="EU37">
        <f>h_col*((ES37+ET37)/2)/(1-(ES37+ET37)/2)</f>
        <v/>
      </c>
      <c r="EV37">
        <f>(f_cd*b_col*((3*MIN(EU37,h_col)/7)+(4*MIN(EU37,h_col)/7)*(1-((4*MIN(EU37,h_col)/7)/(EU37-(3*MIN(EU37,h_col)/7)))^2/3))+$D37/2*((MAX(-f_yd,MIN(f_yd,200000*IF(EU37&lt;=h_col,0.0035*(EU37-d_2)/EU37,0.002*(EU37-d_2)/(EU37-3*h_col/7))))-f_cd*(1-(1-MAX(0,MIN(1,IF(EU37&lt;=h_col,0.0035*(EU37-d_2)/EU37,0.002*(EU37-d_2)/(EU37-3*h_col/7))/0.002)))^2))+(MAX(-f_yd,MIN(f_yd,200000*IF(EU37&lt;=h_col,0.0035*(EU37-(h_col-d_2))/EU37,0.002*(EU37-(h_col-d_2))/(EU37-3*h_col/7))))-f_cd*(1-(1-MAX(0,MIN(1,IF(EU37&lt;=h_col,0.0035*(EU37-(h_col-d_2))/EU37,0.002*(EU37-(h_col-d_2))/(EU37-3*h_col/7))/0.002)))^2))))/1000</f>
        <v/>
      </c>
      <c r="EW37">
        <f>IF($EV37&lt;N_Ed-1E-9*MAX(1,N_Ed),(ES37+ET37)/2,ES37)</f>
        <v/>
      </c>
      <c r="EX37">
        <f>IF($EV37&lt;N_Ed-1E-9*MAX(1,N_Ed),ET37,(ES37+ET37)/2)</f>
        <v/>
      </c>
      <c r="EY37">
        <f>h_col*((EW37+EX37)/2)/(1-(EW37+EX37)/2)</f>
        <v/>
      </c>
      <c r="EZ37">
        <f>(f_cd*b_col*((3*MIN(EY37,h_col)/7)+(4*MIN(EY37,h_col)/7)*(1-((4*MIN(EY37,h_col)/7)/(EY37-(3*MIN(EY37,h_col)/7)))^2/3))+$D37/2*((MAX(-f_yd,MIN(f_yd,200000*IF(EY37&lt;=h_col,0.0035*(EY37-d_2)/EY37,0.002*(EY37-d_2)/(EY37-3*h_col/7))))-f_cd*(1-(1-MAX(0,MIN(1,IF(EY37&lt;=h_col,0.0035*(EY37-d_2)/EY37,0.002*(EY37-d_2)/(EY37-3*h_col/7))/0.002)))^2))+(MAX(-f_yd,MIN(f_yd,200000*IF(EY37&lt;=h_col,0.0035*(EY37-(h_col-d_2))/EY37,0.002*(EY37-(h_col-d_2))/(EY37-3*h_col/7))))-f_cd*(1-(1-MAX(0,MIN(1,IF(EY37&lt;=h_col,0.0035*(EY37-(h_col-d_2))/EY37,0.002*(EY37-(h_col-d_2))/(EY37-3*h_col/7))/0.002)))^2))))/1000</f>
        <v/>
      </c>
      <c r="FA37">
        <f>IF($EZ37&lt;N_Ed-1E-9*MAX(1,N_Ed),(EW37+EX37)/2,EW37)</f>
        <v/>
      </c>
      <c r="FB37">
        <f>IF($EZ37&lt;N_Ed-1E-9*MAX(1,N_Ed),EX37,(EW37+EX37)/2)</f>
        <v/>
      </c>
      <c r="FC37">
        <f>h_col*((FA37+FB37)/2)/(1-(FA37+FB37)/2)</f>
        <v/>
      </c>
      <c r="FD37">
        <f>(f_cd*b_col*((3*MIN(FC37,h_col)/7)+(4*MIN(FC37,h_col)/7)*(1-((4*MIN(FC37,h_col)/7)/(FC37-(3*MIN(FC37,h_col)/7)))^2/3))+$D37/2*((MAX(-f_yd,MIN(f_yd,200000*IF(FC37&lt;=h_col,0.0035*(FC37-d_2)/FC37,0.002*(FC37-d_2)/(FC37-3*h_col/7))))-f_cd*(1-(1-MAX(0,MIN(1,IF(FC37&lt;=h_col,0.0035*(FC37-d_2)/FC37,0.002*(FC37-d_2)/(FC37-3*h_col/7))/0.002)))^2))+(MAX(-f_yd,MIN(f_yd,200000*IF(FC37&lt;=h_col,0.0035*(FC37-(h_col-d_2))/FC37,0.002*(FC37-(h_col-d_2))/(FC37-3*h_col/7))))-f_cd*(1-(1-MAX(0,MIN(1,IF(FC37&lt;=h_col,0.0035*(FC37-(h_col-d_2))/FC37,0.002*(FC37-(h_col-d_2))/(FC37-3*h_col/7))/0.002)))^2))))/1000</f>
        <v/>
      </c>
      <c r="FE37">
        <f>IF($FD37&lt;N_Ed-1E-9*MAX(1,N_Ed),(FA37+FB37)/2,FA37)</f>
        <v/>
      </c>
      <c r="FF37">
        <f>IF($FD37&lt;N_Ed-1E-9*MAX(1,N_Ed),FB37,(FA37+FB37)/2)</f>
        <v/>
      </c>
      <c r="FG37">
        <f>h_col*((FE37+FF37)/2)/(1-(FE37+FF37)/2)</f>
        <v/>
      </c>
      <c r="FH37">
        <f>(f_cd*b_col*((3*MIN(FG37,h_col)/7)+(4*MIN(FG37,h_col)/7)*(1-((4*MIN(FG37,h_col)/7)/(FG37-(3*MIN(FG37,h_col)/7)))^2/3))+$D37/2*((MAX(-f_yd,MIN(f_yd,200000*IF(FG37&lt;=h_col,0.0035*(FG37-d_2)/FG37,0.002*(FG37-d_2)/(FG37-3*h_col/7))))-f_cd*(1-(1-MAX(0,MIN(1,IF(FG37&lt;=h_col,0.0035*(FG37-d_2)/FG37,0.002*(FG37-d_2)/(FG37-3*h_col/7))/0.002)))^2))+(MAX(-f_yd,MIN(f_yd,200000*IF(FG37&lt;=h_col,0.0035*(FG37-(h_col-d_2))/FG37,0.002*(FG37-(h_col-d_2))/(FG37-3*h_col/7))))-f_cd*(1-(1-MAX(0,MIN(1,IF(FG37&lt;=h_col,0.0035*(FG37-(h_col-d_2))/FG37,0.002*(FG37-(h_col-d_2))/(FG37-3*h_col/7))/0.002)))^2))))/1000</f>
        <v/>
      </c>
      <c r="FI37">
        <f>IF($FH37&lt;N_Ed-1E-9*MAX(1,N_Ed),(FE37+FF37)/2,FE37)</f>
        <v/>
      </c>
      <c r="FJ37">
        <f>IF($FH37&lt;N_Ed-1E-9*MAX(1,N_Ed),FF37,(FE37+FF37)/2)</f>
        <v/>
      </c>
      <c r="FK37">
        <f>h_col*((FI37+FJ37)/2)/(1-(FI37+FJ37)/2)</f>
        <v/>
      </c>
      <c r="FL37">
        <f>(f_cd*b_col*((3*MIN(FK37,h_col)/7)+(4*MIN(FK37,h_col)/7)*(1-((4*MIN(FK37,h_col)/7)/(FK37-(3*MIN(FK37,h_col)/7)))^2/3))+$D37/2*((MAX(-f_yd,MIN(f_yd,200000*IF(FK37&lt;=h_col,0.0035*(FK37-d_2)/FK37,0.002*(FK37-d_2)/(FK37-3*h_col/7))))-f_cd*(1-(1-MAX(0,MIN(1,IF(FK37&lt;=h_col,0.0035*(FK37-d_2)/FK37,0.002*(FK37-d_2)/(FK37-3*h_col/7))/0.002)))^2))+(MAX(-f_yd,MIN(f_yd,200000*IF(FK37&lt;=h_col,0.0035*(FK37-(h_col-d_2))/FK37,0.002*(FK37-(h_col-d_2))/(FK37-3*h_col/7))))-f_cd*(1-(1-MAX(0,MIN(1,IF(FK37&lt;=h_col,0.0035*(FK37-(h_col-d_2))/FK37,0.002*(FK37-(h_col-d_2))/(FK37-3*h_col/7))/0.002)))^2))))/1000</f>
        <v/>
      </c>
      <c r="FM37">
        <f>IF($FL37&lt;N_Ed-1E-9*MAX(1,N_Ed),(FI37+FJ37)/2,FI37)</f>
        <v/>
      </c>
      <c r="FN37">
        <f>IF($FL37&lt;N_Ed-1E-9*MAX(1,N_Ed),FJ37,(FI37+FJ37)/2)</f>
        <v/>
      </c>
      <c r="FO37">
        <f>h_col*((FM37+FN37)/2)/(1-(FM37+FN37)/2)</f>
        <v/>
      </c>
      <c r="FP37">
        <f>(f_cd*b_col*((3*MIN(FO37,h_col)/7)+(4*MIN(FO37,h_col)/7)*(1-((4*MIN(FO37,h_col)/7)/(FO37-(3*MIN(FO37,h_col)/7)))^2/3))+$D37/2*((MAX(-f_yd,MIN(f_yd,200000*IF(FO37&lt;=h_col,0.0035*(FO37-d_2)/FO37,0.002*(FO37-d_2)/(FO37-3*h_col/7))))-f_cd*(1-(1-MAX(0,MIN(1,IF(FO37&lt;=h_col,0.0035*(FO37-d_2)/FO37,0.002*(FO37-d_2)/(FO37-3*h_col/7))/0.002)))^2))+(MAX(-f_yd,MIN(f_yd,200000*IF(FO37&lt;=h_col,0.0035*(FO37-(h_col-d_2))/FO37,0.002*(FO37-(h_col-d_2))/(FO37-3*h_col/7))))-f_cd*(1-(1-MAX(0,MIN(1,IF(FO37&lt;=h_col,0.0035*(FO37-(h_col-d_2))/FO37,0.002*(FO37-(h_col-d_2))/(FO37-3*h_col/7))/0.002)))^2))))/1000</f>
        <v/>
      </c>
      <c r="FQ37">
        <f>IF($FP37&lt;N_Ed-1E-9*MAX(1,N_Ed),(FM37+FN37)/2,FM37)</f>
        <v/>
      </c>
      <c r="FR37">
        <f>IF($FP37&lt;N_Ed-1E-9*MAX(1,N_Ed),FN37,(FM37+FN37)/2)</f>
        <v/>
      </c>
      <c r="FS37">
        <f>h_col*((FQ37+FR37)/2)/(1-(FQ37+FR37)/2)</f>
        <v/>
      </c>
      <c r="FT37">
        <f>(f_cd*b_col*((3*MIN(FS37,h_col)/7)+(4*MIN(FS37,h_col)/7)*(1-((4*MIN(FS37,h_col)/7)/(FS37-(3*MIN(FS37,h_col)/7)))^2/3))+$D37/2*((MAX(-f_yd,MIN(f_yd,200000*IF(FS37&lt;=h_col,0.0035*(FS37-d_2)/FS37,0.002*(FS37-d_2)/(FS37-3*h_col/7))))-f_cd*(1-(1-MAX(0,MIN(1,IF(FS37&lt;=h_col,0.0035*(FS37-d_2)/FS37,0.002*(FS37-d_2)/(FS37-3*h_col/7))/0.002)))^2))+(MAX(-f_yd,MIN(f_yd,200000*IF(FS37&lt;=h_col,0.0035*(FS37-(h_col-d_2))/FS37,0.002*(FS37-(h_col-d_2))/(FS37-3*h_col/7))))-f_cd*(1-(1-MAX(0,MIN(1,IF(FS37&lt;=h_col,0.0035*(FS37-(h_col-d_2))/FS37,0.002*(FS37-(h_col-d_2))/(FS37-3*h_col/7))/0.002)))^2))))/1000</f>
        <v/>
      </c>
      <c r="FU37">
        <f>IF($FT37&lt;N_Ed-1E-9*MAX(1,N_Ed),(FQ37+FR37)/2,FQ37)</f>
        <v/>
      </c>
      <c r="FV37">
        <f>IF($FT37&lt;N_Ed-1E-9*MAX(1,N_Ed),FR37,(FQ37+FR37)/2)</f>
        <v/>
      </c>
      <c r="FW37">
        <f>h_col*((FU37+FV37)/2)/(1-(FU37+FV37)/2)</f>
        <v/>
      </c>
      <c r="FX37">
        <f>(f_cd*b_col*((3*MIN(FW37,h_col)/7)+(4*MIN(FW37,h_col)/7)*(1-((4*MIN(FW37,h_col)/7)/(FW37-(3*MIN(FW37,h_col)/7)))^2/3))+$D37/2*((MAX(-f_yd,MIN(f_yd,200000*IF(FW37&lt;=h_col,0.0035*(FW37-d_2)/FW37,0.002*(FW37-d_2)/(FW37-3*h_col/7))))-f_cd*(1-(1-MAX(0,MIN(1,IF(FW37&lt;=h_col,0.0035*(FW37-d_2)/FW37,0.002*(FW37-d_2)/(FW37-3*h_col/7))/0.002)))^2))+(MAX(-f_yd,MIN(f_yd,200000*IF(FW37&lt;=h_col,0.0035*(FW37-(h_col-d_2))/FW37,0.002*(FW37-(h_col-d_2))/(FW37-3*h_col/7))))-f_cd*(1-(1-MAX(0,MIN(1,IF(FW37&lt;=h_col,0.0035*(FW37-(h_col-d_2))/FW37,0.002*(FW37-(h_col-d_2))/(FW37-3*h_col/7))/0.002)))^2))))/1000</f>
        <v/>
      </c>
      <c r="FY37">
        <f>IF($FX37&lt;N_Ed-1E-9*MAX(1,N_Ed),(FU37+FV37)/2,FU37)</f>
        <v/>
      </c>
      <c r="FZ37">
        <f>IF($FX37&lt;N_Ed-1E-9*MAX(1,N_Ed),FV37,(FU37+FV37)/2)</f>
        <v/>
      </c>
      <c r="GA37">
        <f>h_col*((FY37+FZ37)/2)/(1-(FY37+FZ37)/2)</f>
        <v/>
      </c>
      <c r="GB37">
        <f>(f_cd*b_col*((3*MIN(GA37,h_col)/7)+(4*MIN(GA37,h_col)/7)*(1-((4*MIN(GA37,h_col)/7)/(GA37-(3*MIN(GA37,h_col)/7)))^2/3))+$D37/2*((MAX(-f_yd,MIN(f_yd,200000*IF(GA37&lt;=h_col,0.0035*(GA37-d_2)/GA37,0.002*(GA37-d_2)/(GA37-3*h_col/7))))-f_cd*(1-(1-MAX(0,MIN(1,IF(GA37&lt;=h_col,0.0035*(GA37-d_2)/GA37,0.002*(GA37-d_2)/(GA37-3*h_col/7))/0.002)))^2))+(MAX(-f_yd,MIN(f_yd,200000*IF(GA37&lt;=h_col,0.0035*(GA37-(h_col-d_2))/GA37,0.002*(GA37-(h_col-d_2))/(GA37-3*h_col/7))))-f_cd*(1-(1-MAX(0,MIN(1,IF(GA37&lt;=h_col,0.0035*(GA37-(h_col-d_2))/GA37,0.002*(GA37-(h_col-d_2))/(GA37-3*h_col/7))/0.002)))^2))))/1000</f>
        <v/>
      </c>
      <c r="GC37">
        <f>IF($GB37&lt;N_Ed-1E-9*MAX(1,N_Ed),(FY37+FZ37)/2,FY37)</f>
        <v/>
      </c>
      <c r="GD37">
        <f>IF($GB37&lt;N_Ed-1E-9*MAX(1,N_Ed),FZ37,(FY37+FZ37)/2)</f>
        <v/>
      </c>
      <c r="GE37">
        <f>h_col*((GC37+GD37)/2)/(1-(GC37+GD37)/2)</f>
        <v/>
      </c>
      <c r="GF37">
        <f>(f_cd*b_col*((3*MIN(GE37,h_col)/7)+(4*MIN(GE37,h_col)/7)*(1-((4*MIN(GE37,h_col)/7)/(GE37-(3*MIN(GE37,h_col)/7)))^2/3))+$D37/2*((MAX(-f_yd,MIN(f_yd,200000*IF(GE37&lt;=h_col,0.0035*(GE37-d_2)/GE37,0.002*(GE37-d_2)/(GE37-3*h_col/7))))-f_cd*(1-(1-MAX(0,MIN(1,IF(GE37&lt;=h_col,0.0035*(GE37-d_2)/GE37,0.002*(GE37-d_2)/(GE37-3*h_col/7))/0.002)))^2))+(MAX(-f_yd,MIN(f_yd,200000*IF(GE37&lt;=h_col,0.0035*(GE37-(h_col-d_2))/GE37,0.002*(GE37-(h_col-d_2))/(GE37-3*h_col/7))))-f_cd*(1-(1-MAX(0,MIN(1,IF(GE37&lt;=h_col,0.0035*(GE37-(h_col-d_2))/GE37,0.002*(GE37-(h_col-d_2))/(GE37-3*h_col/7))/0.002)))^2))))/1000</f>
        <v/>
      </c>
      <c r="GG37">
        <f>IF($GF37&lt;N_Ed-1E-9*MAX(1,N_Ed),(GC37+GD37)/2,GC37)</f>
        <v/>
      </c>
      <c r="GH37">
        <f>IF($GF37&lt;N_Ed-1E-9*MAX(1,N_Ed),GD37,(GC37+GD37)/2)</f>
        <v/>
      </c>
      <c r="GI37">
        <f>h_col*((GG37+GH37)/2)/(1-(GG37+GH37)/2)</f>
        <v/>
      </c>
      <c r="GJ37">
        <f>(f_cd*b_col*((3*MIN(GI37,h_col)/7)+(4*MIN(GI37,h_col)/7)*(1-((4*MIN(GI37,h_col)/7)/(GI37-(3*MIN(GI37,h_col)/7)))^2/3))+$D37/2*((MAX(-f_yd,MIN(f_yd,200000*IF(GI37&lt;=h_col,0.0035*(GI37-d_2)/GI37,0.002*(GI37-d_2)/(GI37-3*h_col/7))))-f_cd*(1-(1-MAX(0,MIN(1,IF(GI37&lt;=h_col,0.0035*(GI37-d_2)/GI37,0.002*(GI37-d_2)/(GI37-3*h_col/7))/0.002)))^2))+(MAX(-f_yd,MIN(f_yd,200000*IF(GI37&lt;=h_col,0.0035*(GI37-(h_col-d_2))/GI37,0.002*(GI37-(h_col-d_2))/(GI37-3*h_col/7))))-f_cd*(1-(1-MAX(0,MIN(1,IF(GI37&lt;=h_col,0.0035*(GI37-(h_col-d_2))/GI37,0.002*(GI37-(h_col-d_2))/(GI37-3*h_col/7))/0.002)))^2))))/1000</f>
        <v/>
      </c>
      <c r="GK37">
        <f>IF($GJ37&lt;N_Ed-1E-9*MAX(1,N_Ed),(GG37+GH37)/2,GG37)</f>
        <v/>
      </c>
      <c r="GL37">
        <f>IF($GJ37&lt;N_Ed-1E-9*MAX(1,N_Ed),GH37,(GG37+GH37)/2)</f>
        <v/>
      </c>
      <c r="GM37">
        <f>h_col*((GK37+GL37)/2)/(1-(GK37+GL37)/2)</f>
        <v/>
      </c>
      <c r="GN37">
        <f>(f_cd*b_col*((3*MIN(GM37,h_col)/7)+(4*MIN(GM37,h_col)/7)*(1-((4*MIN(GM37,h_col)/7)/(GM37-(3*MIN(GM37,h_col)/7)))^2/3))+$D37/2*((MAX(-f_yd,MIN(f_yd,200000*IF(GM37&lt;=h_col,0.0035*(GM37-d_2)/GM37,0.002*(GM37-d_2)/(GM37-3*h_col/7))))-f_cd*(1-(1-MAX(0,MIN(1,IF(GM37&lt;=h_col,0.0035*(GM37-d_2)/GM37,0.002*(GM37-d_2)/(GM37-3*h_col/7))/0.002)))^2))+(MAX(-f_yd,MIN(f_yd,200000*IF(GM37&lt;=h_col,0.0035*(GM37-(h_col-d_2))/GM37,0.002*(GM37-(h_col-d_2))/(GM37-3*h_col/7))))-f_cd*(1-(1-MAX(0,MIN(1,IF(GM37&lt;=h_col,0.0035*(GM37-(h_col-d_2))/GM37,0.002*(GM37-(h_col-d_2))/(GM37-3*h_col/7))/0.002)))^2))))/1000</f>
        <v/>
      </c>
      <c r="GO37">
        <f>IF($GN37&lt;N_Ed-1E-9*MAX(1,N_Ed),(GK37+GL37)/2,GK37)</f>
        <v/>
      </c>
      <c r="GP37">
        <f>IF($GN37&lt;N_Ed-1E-9*MAX(1,N_Ed),GL37,(GK37+GL37)/2)</f>
        <v/>
      </c>
      <c r="GQ37">
        <f>h_col*((GO37+GP37)/2)/(1-(GO37+GP37)/2)</f>
        <v/>
      </c>
      <c r="GR37">
        <f>(f_cd*b_col*((3*MIN(GQ37,h_col)/7)+(4*MIN(GQ37,h_col)/7)*(1-((4*MIN(GQ37,h_col)/7)/(GQ37-(3*MIN(GQ37,h_col)/7)))^2/3))+$D37/2*((MAX(-f_yd,MIN(f_yd,200000*IF(GQ37&lt;=h_col,0.0035*(GQ37-d_2)/GQ37,0.002*(GQ37-d_2)/(GQ37-3*h_col/7))))-f_cd*(1-(1-MAX(0,MIN(1,IF(GQ37&lt;=h_col,0.0035*(GQ37-d_2)/GQ37,0.002*(GQ37-d_2)/(GQ37-3*h_col/7))/0.002)))^2))+(MAX(-f_yd,MIN(f_yd,200000*IF(GQ37&lt;=h_col,0.0035*(GQ37-(h_col-d_2))/GQ37,0.002*(GQ37-(h_col-d_2))/(GQ37-3*h_col/7))))-f_cd*(1-(1-MAX(0,MIN(1,IF(GQ37&lt;=h_col,0.0035*(GQ37-(h_col-d_2))/GQ37,0.002*(GQ37-(h_col-d_2))/(GQ37-3*h_col/7))/0.002)))^2))))/1000</f>
        <v/>
      </c>
      <c r="GS37">
        <f>IF($GR37&lt;N_Ed-1E-9*MAX(1,N_Ed),(GO37+GP37)/2,GO37)</f>
        <v/>
      </c>
      <c r="GT37">
        <f>IF($GR37&lt;N_Ed-1E-9*MAX(1,N_Ed),GP37,(GO37+GP37)/2)</f>
        <v/>
      </c>
      <c r="GU37">
        <f>h_col*((GS37+GT37)/2)/(1-(GS37+GT37)/2)</f>
        <v/>
      </c>
      <c r="GV37">
        <f>(f_cd*b_col*((3*MIN(GU37,h_col)/7)+(4*MIN(GU37,h_col)/7)*(1-((4*MIN(GU37,h_col)/7)/(GU37-(3*MIN(GU37,h_col)/7)))^2/3))+$D37/2*((MAX(-f_yd,MIN(f_yd,200000*IF(GU37&lt;=h_col,0.0035*(GU37-d_2)/GU37,0.002*(GU37-d_2)/(GU37-3*h_col/7))))-f_cd*(1-(1-MAX(0,MIN(1,IF(GU37&lt;=h_col,0.0035*(GU37-d_2)/GU37,0.002*(GU37-d_2)/(GU37-3*h_col/7))/0.002)))^2))+(MAX(-f_yd,MIN(f_yd,200000*IF(GU37&lt;=h_col,0.0035*(GU37-(h_col-d_2))/GU37,0.002*(GU37-(h_col-d_2))/(GU37-3*h_col/7))))-f_cd*(1-(1-MAX(0,MIN(1,IF(GU37&lt;=h_col,0.0035*(GU37-(h_col-d_2))/GU37,0.002*(GU37-(h_col-d_2))/(GU37-3*h_col/7))/0.002)))^2))))/1000</f>
        <v/>
      </c>
      <c r="GW37">
        <f>GU37</f>
        <v/>
      </c>
      <c r="GX37">
        <f>(f_cd*b_col*((3*MIN(GW37,h_col)/7)+(4*MIN(GW37,h_col)/7)*(1-((4*MIN(GW37,h_col)/7)/(GW37-(3*MIN(GW37,h_col)/7)))^2/3))+$D37/2*((MAX(-f_yd,MIN(f_yd,200000*IF(GW37&lt;=h_col,0.0035*(GW37-d_2)/GW37,0.002*(GW37-d_2)/(GW37-3*h_col/7))))-f_cd*(1-(1-MAX(0,MIN(1,IF(GW37&lt;=h_col,0.0035*(GW37-d_2)/GW37,0.002*(GW37-d_2)/(GW37-3*h_col/7))/0.002)))^2))+(MAX(-f_yd,MIN(f_yd,200000*IF(GW37&lt;=h_col,0.0035*(GW37-(h_col-d_2))/GW37,0.002*(GW37-(h_col-d_2))/(GW37-3*h_col/7))))-f_cd*(1-(1-MAX(0,MIN(1,IF(GW37&lt;=h_col,0.0035*(GW37-(h_col-d_2))/GW37,0.002*(GW37-(h_col-d_2))/(GW37-3*h_col/7))/0.002)))^2))))/1000</f>
        <v/>
      </c>
      <c r="GY37">
        <f>(f_cd*b_col*((3*MIN(GW37,h_col)/7)*(h_col/2-(3*MIN(GW37,h_col)/7)/2)+(4*MIN(GW37,h_col)/7)*((h_col/2-(3*MIN(GW37,h_col)/7))*(1-((4*MIN(GW37,h_col)/7)/(GW37-(3*MIN(GW37,h_col)/7)))^2/3)-(4*MIN(GW37,h_col)/7)*(0.5-((4*MIN(GW37,h_col)/7)/(GW37-(3*MIN(GW37,h_col)/7)))^2/4)))+$D37/2*((MAX(-f_yd,MIN(f_yd,200000*IF(GW37&lt;=h_col,0.0035*(GW37-d_2)/GW37,0.002*(GW37-d_2)/(GW37-3*h_col/7))))-f_cd*(1-(1-MAX(0,MIN(1,IF(GW37&lt;=h_col,0.0035*(GW37-d_2)/GW37,0.002*(GW37-d_2)/(GW37-3*h_col/7))/0.002)))^2))-(MAX(-f_yd,MIN(f_yd,200000*IF(GW37&lt;=h_col,0.0035*(GW37-(h_col-d_2))/GW37,0.002*(GW37-(h_col-d_2))/(GW37-3*h_col/7))))-f_cd*(1-(1-MAX(0,MIN(1,IF(GW37&lt;=h_col,0.0035*(GW37-(h_col-d_2))/GW37,0.002*(GW37-(h_col-d_2))/(GW37-3*h_col/7))/0.002)))^2)))*(h_col/2-d_2))/1E6</f>
        <v/>
      </c>
      <c r="GZ37">
        <f>GX37&gt;=N_Ed-1E-6*MAX(1,N_Ed)</f>
        <v/>
      </c>
      <c r="HA37">
        <f>IF(GZ37,GY37,-1E9)</f>
        <v/>
      </c>
    </row>
    <row r="38">
      <c r="A38" t="n">
        <v>33</v>
      </c>
      <c r="B38">
        <f>IF($HA37&gt;=M_d,$B37,$D37)</f>
        <v/>
      </c>
      <c r="C38">
        <f>IF($HA37&gt;=M_d,$D37,$C37)</f>
        <v/>
      </c>
      <c r="D38">
        <f>($B38+$C38)/2</f>
        <v/>
      </c>
      <c r="E38" t="n">
        <v>0</v>
      </c>
      <c r="F38">
        <f>1-1E-12</f>
        <v/>
      </c>
      <c r="G38">
        <f>h_col*((E38+F38)/2)/(1-(E38+F38)/2)</f>
        <v/>
      </c>
      <c r="H38">
        <f>(f_cd*b_col*((3*MIN(G38,h_col)/7)+(4*MIN(G38,h_col)/7)*(1-((4*MIN(G38,h_col)/7)/(G38-(3*MIN(G38,h_col)/7)))^2/3))+$D38/2*((MAX(-f_yd,MIN(f_yd,200000*IF(G38&lt;=h_col,0.0035*(G38-d_2)/G38,0.002*(G38-d_2)/(G38-3*h_col/7))))-f_cd*(1-(1-MAX(0,MIN(1,IF(G38&lt;=h_col,0.0035*(G38-d_2)/G38,0.002*(G38-d_2)/(G38-3*h_col/7))/0.002)))^2))+(MAX(-f_yd,MIN(f_yd,200000*IF(G38&lt;=h_col,0.0035*(G38-(h_col-d_2))/G38,0.002*(G38-(h_col-d_2))/(G38-3*h_col/7))))-f_cd*(1-(1-MAX(0,MIN(1,IF(G38&lt;=h_col,0.0035*(G38-(h_col-d_2))/G38,0.002*(G38-(h_col-d_2))/(G38-3*h_col/7))/0.002)))^2))))/1000</f>
        <v/>
      </c>
      <c r="I38">
        <f>IF($H38&lt;N_Ed-1E-9*MAX(1,N_Ed),(E38+F38)/2,E38)</f>
        <v/>
      </c>
      <c r="J38">
        <f>IF($H38&lt;N_Ed-1E-9*MAX(1,N_Ed),F38,(E38+F38)/2)</f>
        <v/>
      </c>
      <c r="K38">
        <f>h_col*((I38+J38)/2)/(1-(I38+J38)/2)</f>
        <v/>
      </c>
      <c r="L38">
        <f>(f_cd*b_col*((3*MIN(K38,h_col)/7)+(4*MIN(K38,h_col)/7)*(1-((4*MIN(K38,h_col)/7)/(K38-(3*MIN(K38,h_col)/7)))^2/3))+$D38/2*((MAX(-f_yd,MIN(f_yd,200000*IF(K38&lt;=h_col,0.0035*(K38-d_2)/K38,0.002*(K38-d_2)/(K38-3*h_col/7))))-f_cd*(1-(1-MAX(0,MIN(1,IF(K38&lt;=h_col,0.0035*(K38-d_2)/K38,0.002*(K38-d_2)/(K38-3*h_col/7))/0.002)))^2))+(MAX(-f_yd,MIN(f_yd,200000*IF(K38&lt;=h_col,0.0035*(K38-(h_col-d_2))/K38,0.002*(K38-(h_col-d_2))/(K38-3*h_col/7))))-f_cd*(1-(1-MAX(0,MIN(1,IF(K38&lt;=h_col,0.0035*(K38-(h_col-d_2))/K38,0.002*(K38-(h_col-d_2))/(K38-3*h_col/7))/0.002)))^2))))/1000</f>
        <v/>
      </c>
      <c r="M38">
        <f>IF($L38&lt;N_Ed-1E-9*MAX(1,N_Ed),(I38+J38)/2,I38)</f>
        <v/>
      </c>
      <c r="N38">
        <f>IF($L38&lt;N_Ed-1E-9*MAX(1,N_Ed),J38,(I38+J38)/2)</f>
        <v/>
      </c>
      <c r="O38">
        <f>h_col*((M38+N38)/2)/(1-(M38+N38)/2)</f>
        <v/>
      </c>
      <c r="P38">
        <f>(f_cd*b_col*((3*MIN(O38,h_col)/7)+(4*MIN(O38,h_col)/7)*(1-((4*MIN(O38,h_col)/7)/(O38-(3*MIN(O38,h_col)/7)))^2/3))+$D38/2*((MAX(-f_yd,MIN(f_yd,200000*IF(O38&lt;=h_col,0.0035*(O38-d_2)/O38,0.002*(O38-d_2)/(O38-3*h_col/7))))-f_cd*(1-(1-MAX(0,MIN(1,IF(O38&lt;=h_col,0.0035*(O38-d_2)/O38,0.002*(O38-d_2)/(O38-3*h_col/7))/0.002)))^2))+(MAX(-f_yd,MIN(f_yd,200000*IF(O38&lt;=h_col,0.0035*(O38-(h_col-d_2))/O38,0.002*(O38-(h_col-d_2))/(O38-3*h_col/7))))-f_cd*(1-(1-MAX(0,MIN(1,IF(O38&lt;=h_col,0.0035*(O38-(h_col-d_2))/O38,0.002*(O38-(h_col-d_2))/(O38-3*h_col/7))/0.002)))^2))))/1000</f>
        <v/>
      </c>
      <c r="Q38">
        <f>IF($P38&lt;N_Ed-1E-9*MAX(1,N_Ed),(M38+N38)/2,M38)</f>
        <v/>
      </c>
      <c r="R38">
        <f>IF($P38&lt;N_Ed-1E-9*MAX(1,N_Ed),N38,(M38+N38)/2)</f>
        <v/>
      </c>
      <c r="S38">
        <f>h_col*((Q38+R38)/2)/(1-(Q38+R38)/2)</f>
        <v/>
      </c>
      <c r="T38">
        <f>(f_cd*b_col*((3*MIN(S38,h_col)/7)+(4*MIN(S38,h_col)/7)*(1-((4*MIN(S38,h_col)/7)/(S38-(3*MIN(S38,h_col)/7)))^2/3))+$D38/2*((MAX(-f_yd,MIN(f_yd,200000*IF(S38&lt;=h_col,0.0035*(S38-d_2)/S38,0.002*(S38-d_2)/(S38-3*h_col/7))))-f_cd*(1-(1-MAX(0,MIN(1,IF(S38&lt;=h_col,0.0035*(S38-d_2)/S38,0.002*(S38-d_2)/(S38-3*h_col/7))/0.002)))^2))+(MAX(-f_yd,MIN(f_yd,200000*IF(S38&lt;=h_col,0.0035*(S38-(h_col-d_2))/S38,0.002*(S38-(h_col-d_2))/(S38-3*h_col/7))))-f_cd*(1-(1-MAX(0,MIN(1,IF(S38&lt;=h_col,0.0035*(S38-(h_col-d_2))/S38,0.002*(S38-(h_col-d_2))/(S38-3*h_col/7))/0.002)))^2))))/1000</f>
        <v/>
      </c>
      <c r="U38">
        <f>IF($T38&lt;N_Ed-1E-9*MAX(1,N_Ed),(Q38+R38)/2,Q38)</f>
        <v/>
      </c>
      <c r="V38">
        <f>IF($T38&lt;N_Ed-1E-9*MAX(1,N_Ed),R38,(Q38+R38)/2)</f>
        <v/>
      </c>
      <c r="W38">
        <f>h_col*((U38+V38)/2)/(1-(U38+V38)/2)</f>
        <v/>
      </c>
      <c r="X38">
        <f>(f_cd*b_col*((3*MIN(W38,h_col)/7)+(4*MIN(W38,h_col)/7)*(1-((4*MIN(W38,h_col)/7)/(W38-(3*MIN(W38,h_col)/7)))^2/3))+$D38/2*((MAX(-f_yd,MIN(f_yd,200000*IF(W38&lt;=h_col,0.0035*(W38-d_2)/W38,0.002*(W38-d_2)/(W38-3*h_col/7))))-f_cd*(1-(1-MAX(0,MIN(1,IF(W38&lt;=h_col,0.0035*(W38-d_2)/W38,0.002*(W38-d_2)/(W38-3*h_col/7))/0.002)))^2))+(MAX(-f_yd,MIN(f_yd,200000*IF(W38&lt;=h_col,0.0035*(W38-(h_col-d_2))/W38,0.002*(W38-(h_col-d_2))/(W38-3*h_col/7))))-f_cd*(1-(1-MAX(0,MIN(1,IF(W38&lt;=h_col,0.0035*(W38-(h_col-d_2))/W38,0.002*(W38-(h_col-d_2))/(W38-3*h_col/7))/0.002)))^2))))/1000</f>
        <v/>
      </c>
      <c r="Y38">
        <f>IF($X38&lt;N_Ed-1E-9*MAX(1,N_Ed),(U38+V38)/2,U38)</f>
        <v/>
      </c>
      <c r="Z38">
        <f>IF($X38&lt;N_Ed-1E-9*MAX(1,N_Ed),V38,(U38+V38)/2)</f>
        <v/>
      </c>
      <c r="AA38">
        <f>h_col*((Y38+Z38)/2)/(1-(Y38+Z38)/2)</f>
        <v/>
      </c>
      <c r="AB38">
        <f>(f_cd*b_col*((3*MIN(AA38,h_col)/7)+(4*MIN(AA38,h_col)/7)*(1-((4*MIN(AA38,h_col)/7)/(AA38-(3*MIN(AA38,h_col)/7)))^2/3))+$D38/2*((MAX(-f_yd,MIN(f_yd,200000*IF(AA38&lt;=h_col,0.0035*(AA38-d_2)/AA38,0.002*(AA38-d_2)/(AA38-3*h_col/7))))-f_cd*(1-(1-MAX(0,MIN(1,IF(AA38&lt;=h_col,0.0035*(AA38-d_2)/AA38,0.002*(AA38-d_2)/(AA38-3*h_col/7))/0.002)))^2))+(MAX(-f_yd,MIN(f_yd,200000*IF(AA38&lt;=h_col,0.0035*(AA38-(h_col-d_2))/AA38,0.002*(AA38-(h_col-d_2))/(AA38-3*h_col/7))))-f_cd*(1-(1-MAX(0,MIN(1,IF(AA38&lt;=h_col,0.0035*(AA38-(h_col-d_2))/AA38,0.002*(AA38-(h_col-d_2))/(AA38-3*h_col/7))/0.002)))^2))))/1000</f>
        <v/>
      </c>
      <c r="AC38">
        <f>IF($AB38&lt;N_Ed-1E-9*MAX(1,N_Ed),(Y38+Z38)/2,Y38)</f>
        <v/>
      </c>
      <c r="AD38">
        <f>IF($AB38&lt;N_Ed-1E-9*MAX(1,N_Ed),Z38,(Y38+Z38)/2)</f>
        <v/>
      </c>
      <c r="AE38">
        <f>h_col*((AC38+AD38)/2)/(1-(AC38+AD38)/2)</f>
        <v/>
      </c>
      <c r="AF38">
        <f>(f_cd*b_col*((3*MIN(AE38,h_col)/7)+(4*MIN(AE38,h_col)/7)*(1-((4*MIN(AE38,h_col)/7)/(AE38-(3*MIN(AE38,h_col)/7)))^2/3))+$D38/2*((MAX(-f_yd,MIN(f_yd,200000*IF(AE38&lt;=h_col,0.0035*(AE38-d_2)/AE38,0.002*(AE38-d_2)/(AE38-3*h_col/7))))-f_cd*(1-(1-MAX(0,MIN(1,IF(AE38&lt;=h_col,0.0035*(AE38-d_2)/AE38,0.002*(AE38-d_2)/(AE38-3*h_col/7))/0.002)))^2))+(MAX(-f_yd,MIN(f_yd,200000*IF(AE38&lt;=h_col,0.0035*(AE38-(h_col-d_2))/AE38,0.002*(AE38-(h_col-d_2))/(AE38-3*h_col/7))))-f_cd*(1-(1-MAX(0,MIN(1,IF(AE38&lt;=h_col,0.0035*(AE38-(h_col-d_2))/AE38,0.002*(AE38-(h_col-d_2))/(AE38-3*h_col/7))/0.002)))^2))))/1000</f>
        <v/>
      </c>
      <c r="AG38">
        <f>IF($AF38&lt;N_Ed-1E-9*MAX(1,N_Ed),(AC38+AD38)/2,AC38)</f>
        <v/>
      </c>
      <c r="AH38">
        <f>IF($AF38&lt;N_Ed-1E-9*MAX(1,N_Ed),AD38,(AC38+AD38)/2)</f>
        <v/>
      </c>
      <c r="AI38">
        <f>h_col*((AG38+AH38)/2)/(1-(AG38+AH38)/2)</f>
        <v/>
      </c>
      <c r="AJ38">
        <f>(f_cd*b_col*((3*MIN(AI38,h_col)/7)+(4*MIN(AI38,h_col)/7)*(1-((4*MIN(AI38,h_col)/7)/(AI38-(3*MIN(AI38,h_col)/7)))^2/3))+$D38/2*((MAX(-f_yd,MIN(f_yd,200000*IF(AI38&lt;=h_col,0.0035*(AI38-d_2)/AI38,0.002*(AI38-d_2)/(AI38-3*h_col/7))))-f_cd*(1-(1-MAX(0,MIN(1,IF(AI38&lt;=h_col,0.0035*(AI38-d_2)/AI38,0.002*(AI38-d_2)/(AI38-3*h_col/7))/0.002)))^2))+(MAX(-f_yd,MIN(f_yd,200000*IF(AI38&lt;=h_col,0.0035*(AI38-(h_col-d_2))/AI38,0.002*(AI38-(h_col-d_2))/(AI38-3*h_col/7))))-f_cd*(1-(1-MAX(0,MIN(1,IF(AI38&lt;=h_col,0.0035*(AI38-(h_col-d_2))/AI38,0.002*(AI38-(h_col-d_2))/(AI38-3*h_col/7))/0.002)))^2))))/1000</f>
        <v/>
      </c>
      <c r="AK38">
        <f>IF($AJ38&lt;N_Ed-1E-9*MAX(1,N_Ed),(AG38+AH38)/2,AG38)</f>
        <v/>
      </c>
      <c r="AL38">
        <f>IF($AJ38&lt;N_Ed-1E-9*MAX(1,N_Ed),AH38,(AG38+AH38)/2)</f>
        <v/>
      </c>
      <c r="AM38">
        <f>h_col*((AK38+AL38)/2)/(1-(AK38+AL38)/2)</f>
        <v/>
      </c>
      <c r="AN38">
        <f>(f_cd*b_col*((3*MIN(AM38,h_col)/7)+(4*MIN(AM38,h_col)/7)*(1-((4*MIN(AM38,h_col)/7)/(AM38-(3*MIN(AM38,h_col)/7)))^2/3))+$D38/2*((MAX(-f_yd,MIN(f_yd,200000*IF(AM38&lt;=h_col,0.0035*(AM38-d_2)/AM38,0.002*(AM38-d_2)/(AM38-3*h_col/7))))-f_cd*(1-(1-MAX(0,MIN(1,IF(AM38&lt;=h_col,0.0035*(AM38-d_2)/AM38,0.002*(AM38-d_2)/(AM38-3*h_col/7))/0.002)))^2))+(MAX(-f_yd,MIN(f_yd,200000*IF(AM38&lt;=h_col,0.0035*(AM38-(h_col-d_2))/AM38,0.002*(AM38-(h_col-d_2))/(AM38-3*h_col/7))))-f_cd*(1-(1-MAX(0,MIN(1,IF(AM38&lt;=h_col,0.0035*(AM38-(h_col-d_2))/AM38,0.002*(AM38-(h_col-d_2))/(AM38-3*h_col/7))/0.002)))^2))))/1000</f>
        <v/>
      </c>
      <c r="AO38">
        <f>IF($AN38&lt;N_Ed-1E-9*MAX(1,N_Ed),(AK38+AL38)/2,AK38)</f>
        <v/>
      </c>
      <c r="AP38">
        <f>IF($AN38&lt;N_Ed-1E-9*MAX(1,N_Ed),AL38,(AK38+AL38)/2)</f>
        <v/>
      </c>
      <c r="AQ38">
        <f>h_col*((AO38+AP38)/2)/(1-(AO38+AP38)/2)</f>
        <v/>
      </c>
      <c r="AR38">
        <f>(f_cd*b_col*((3*MIN(AQ38,h_col)/7)+(4*MIN(AQ38,h_col)/7)*(1-((4*MIN(AQ38,h_col)/7)/(AQ38-(3*MIN(AQ38,h_col)/7)))^2/3))+$D38/2*((MAX(-f_yd,MIN(f_yd,200000*IF(AQ38&lt;=h_col,0.0035*(AQ38-d_2)/AQ38,0.002*(AQ38-d_2)/(AQ38-3*h_col/7))))-f_cd*(1-(1-MAX(0,MIN(1,IF(AQ38&lt;=h_col,0.0035*(AQ38-d_2)/AQ38,0.002*(AQ38-d_2)/(AQ38-3*h_col/7))/0.002)))^2))+(MAX(-f_yd,MIN(f_yd,200000*IF(AQ38&lt;=h_col,0.0035*(AQ38-(h_col-d_2))/AQ38,0.002*(AQ38-(h_col-d_2))/(AQ38-3*h_col/7))))-f_cd*(1-(1-MAX(0,MIN(1,IF(AQ38&lt;=h_col,0.0035*(AQ38-(h_col-d_2))/AQ38,0.002*(AQ38-(h_col-d_2))/(AQ38-3*h_col/7))/0.002)))^2))))/1000</f>
        <v/>
      </c>
      <c r="AS38">
        <f>IF($AR38&lt;N_Ed-1E-9*MAX(1,N_Ed),(AO38+AP38)/2,AO38)</f>
        <v/>
      </c>
      <c r="AT38">
        <f>IF($AR38&lt;N_Ed-1E-9*MAX(1,N_Ed),AP38,(AO38+AP38)/2)</f>
        <v/>
      </c>
      <c r="AU38">
        <f>h_col*((AS38+AT38)/2)/(1-(AS38+AT38)/2)</f>
        <v/>
      </c>
      <c r="AV38">
        <f>(f_cd*b_col*((3*MIN(AU38,h_col)/7)+(4*MIN(AU38,h_col)/7)*(1-((4*MIN(AU38,h_col)/7)/(AU38-(3*MIN(AU38,h_col)/7)))^2/3))+$D38/2*((MAX(-f_yd,MIN(f_yd,200000*IF(AU38&lt;=h_col,0.0035*(AU38-d_2)/AU38,0.002*(AU38-d_2)/(AU38-3*h_col/7))))-f_cd*(1-(1-MAX(0,MIN(1,IF(AU38&lt;=h_col,0.0035*(AU38-d_2)/AU38,0.002*(AU38-d_2)/(AU38-3*h_col/7))/0.002)))^2))+(MAX(-f_yd,MIN(f_yd,200000*IF(AU38&lt;=h_col,0.0035*(AU38-(h_col-d_2))/AU38,0.002*(AU38-(h_col-d_2))/(AU38-3*h_col/7))))-f_cd*(1-(1-MAX(0,MIN(1,IF(AU38&lt;=h_col,0.0035*(AU38-(h_col-d_2))/AU38,0.002*(AU38-(h_col-d_2))/(AU38-3*h_col/7))/0.002)))^2))))/1000</f>
        <v/>
      </c>
      <c r="AW38">
        <f>IF($AV38&lt;N_Ed-1E-9*MAX(1,N_Ed),(AS38+AT38)/2,AS38)</f>
        <v/>
      </c>
      <c r="AX38">
        <f>IF($AV38&lt;N_Ed-1E-9*MAX(1,N_Ed),AT38,(AS38+AT38)/2)</f>
        <v/>
      </c>
      <c r="AY38">
        <f>h_col*((AW38+AX38)/2)/(1-(AW38+AX38)/2)</f>
        <v/>
      </c>
      <c r="AZ38">
        <f>(f_cd*b_col*((3*MIN(AY38,h_col)/7)+(4*MIN(AY38,h_col)/7)*(1-((4*MIN(AY38,h_col)/7)/(AY38-(3*MIN(AY38,h_col)/7)))^2/3))+$D38/2*((MAX(-f_yd,MIN(f_yd,200000*IF(AY38&lt;=h_col,0.0035*(AY38-d_2)/AY38,0.002*(AY38-d_2)/(AY38-3*h_col/7))))-f_cd*(1-(1-MAX(0,MIN(1,IF(AY38&lt;=h_col,0.0035*(AY38-d_2)/AY38,0.002*(AY38-d_2)/(AY38-3*h_col/7))/0.002)))^2))+(MAX(-f_yd,MIN(f_yd,200000*IF(AY38&lt;=h_col,0.0035*(AY38-(h_col-d_2))/AY38,0.002*(AY38-(h_col-d_2))/(AY38-3*h_col/7))))-f_cd*(1-(1-MAX(0,MIN(1,IF(AY38&lt;=h_col,0.0035*(AY38-(h_col-d_2))/AY38,0.002*(AY38-(h_col-d_2))/(AY38-3*h_col/7))/0.002)))^2))))/1000</f>
        <v/>
      </c>
      <c r="BA38">
        <f>IF($AZ38&lt;N_Ed-1E-9*MAX(1,N_Ed),(AW38+AX38)/2,AW38)</f>
        <v/>
      </c>
      <c r="BB38">
        <f>IF($AZ38&lt;N_Ed-1E-9*MAX(1,N_Ed),AX38,(AW38+AX38)/2)</f>
        <v/>
      </c>
      <c r="BC38">
        <f>h_col*((BA38+BB38)/2)/(1-(BA38+BB38)/2)</f>
        <v/>
      </c>
      <c r="BD38">
        <f>(f_cd*b_col*((3*MIN(BC38,h_col)/7)+(4*MIN(BC38,h_col)/7)*(1-((4*MIN(BC38,h_col)/7)/(BC38-(3*MIN(BC38,h_col)/7)))^2/3))+$D38/2*((MAX(-f_yd,MIN(f_yd,200000*IF(BC38&lt;=h_col,0.0035*(BC38-d_2)/BC38,0.002*(BC38-d_2)/(BC38-3*h_col/7))))-f_cd*(1-(1-MAX(0,MIN(1,IF(BC38&lt;=h_col,0.0035*(BC38-d_2)/BC38,0.002*(BC38-d_2)/(BC38-3*h_col/7))/0.002)))^2))+(MAX(-f_yd,MIN(f_yd,200000*IF(BC38&lt;=h_col,0.0035*(BC38-(h_col-d_2))/BC38,0.002*(BC38-(h_col-d_2))/(BC38-3*h_col/7))))-f_cd*(1-(1-MAX(0,MIN(1,IF(BC38&lt;=h_col,0.0035*(BC38-(h_col-d_2))/BC38,0.002*(BC38-(h_col-d_2))/(BC38-3*h_col/7))/0.002)))^2))))/1000</f>
        <v/>
      </c>
      <c r="BE38">
        <f>IF($BD38&lt;N_Ed-1E-9*MAX(1,N_Ed),(BA38+BB38)/2,BA38)</f>
        <v/>
      </c>
      <c r="BF38">
        <f>IF($BD38&lt;N_Ed-1E-9*MAX(1,N_Ed),BB38,(BA38+BB38)/2)</f>
        <v/>
      </c>
      <c r="BG38">
        <f>h_col*((BE38+BF38)/2)/(1-(BE38+BF38)/2)</f>
        <v/>
      </c>
      <c r="BH38">
        <f>(f_cd*b_col*((3*MIN(BG38,h_col)/7)+(4*MIN(BG38,h_col)/7)*(1-((4*MIN(BG38,h_col)/7)/(BG38-(3*MIN(BG38,h_col)/7)))^2/3))+$D38/2*((MAX(-f_yd,MIN(f_yd,200000*IF(BG38&lt;=h_col,0.0035*(BG38-d_2)/BG38,0.002*(BG38-d_2)/(BG38-3*h_col/7))))-f_cd*(1-(1-MAX(0,MIN(1,IF(BG38&lt;=h_col,0.0035*(BG38-d_2)/BG38,0.002*(BG38-d_2)/(BG38-3*h_col/7))/0.002)))^2))+(MAX(-f_yd,MIN(f_yd,200000*IF(BG38&lt;=h_col,0.0035*(BG38-(h_col-d_2))/BG38,0.002*(BG38-(h_col-d_2))/(BG38-3*h_col/7))))-f_cd*(1-(1-MAX(0,MIN(1,IF(BG38&lt;=h_col,0.0035*(BG38-(h_col-d_2))/BG38,0.002*(BG38-(h_col-d_2))/(BG38-3*h_col/7))/0.002)))^2))))/1000</f>
        <v/>
      </c>
      <c r="BI38">
        <f>IF($BH38&lt;N_Ed-1E-9*MAX(1,N_Ed),(BE38+BF38)/2,BE38)</f>
        <v/>
      </c>
      <c r="BJ38">
        <f>IF($BH38&lt;N_Ed-1E-9*MAX(1,N_Ed),BF38,(BE38+BF38)/2)</f>
        <v/>
      </c>
      <c r="BK38">
        <f>h_col*((BI38+BJ38)/2)/(1-(BI38+BJ38)/2)</f>
        <v/>
      </c>
      <c r="BL38">
        <f>(f_cd*b_col*((3*MIN(BK38,h_col)/7)+(4*MIN(BK38,h_col)/7)*(1-((4*MIN(BK38,h_col)/7)/(BK38-(3*MIN(BK38,h_col)/7)))^2/3))+$D38/2*((MAX(-f_yd,MIN(f_yd,200000*IF(BK38&lt;=h_col,0.0035*(BK38-d_2)/BK38,0.002*(BK38-d_2)/(BK38-3*h_col/7))))-f_cd*(1-(1-MAX(0,MIN(1,IF(BK38&lt;=h_col,0.0035*(BK38-d_2)/BK38,0.002*(BK38-d_2)/(BK38-3*h_col/7))/0.002)))^2))+(MAX(-f_yd,MIN(f_yd,200000*IF(BK38&lt;=h_col,0.0035*(BK38-(h_col-d_2))/BK38,0.002*(BK38-(h_col-d_2))/(BK38-3*h_col/7))))-f_cd*(1-(1-MAX(0,MIN(1,IF(BK38&lt;=h_col,0.0035*(BK38-(h_col-d_2))/BK38,0.002*(BK38-(h_col-d_2))/(BK38-3*h_col/7))/0.002)))^2))))/1000</f>
        <v/>
      </c>
      <c r="BM38">
        <f>IF($BL38&lt;N_Ed-1E-9*MAX(1,N_Ed),(BI38+BJ38)/2,BI38)</f>
        <v/>
      </c>
      <c r="BN38">
        <f>IF($BL38&lt;N_Ed-1E-9*MAX(1,N_Ed),BJ38,(BI38+BJ38)/2)</f>
        <v/>
      </c>
      <c r="BO38">
        <f>h_col*((BM38+BN38)/2)/(1-(BM38+BN38)/2)</f>
        <v/>
      </c>
      <c r="BP38">
        <f>(f_cd*b_col*((3*MIN(BO38,h_col)/7)+(4*MIN(BO38,h_col)/7)*(1-((4*MIN(BO38,h_col)/7)/(BO38-(3*MIN(BO38,h_col)/7)))^2/3))+$D38/2*((MAX(-f_yd,MIN(f_yd,200000*IF(BO38&lt;=h_col,0.0035*(BO38-d_2)/BO38,0.002*(BO38-d_2)/(BO38-3*h_col/7))))-f_cd*(1-(1-MAX(0,MIN(1,IF(BO38&lt;=h_col,0.0035*(BO38-d_2)/BO38,0.002*(BO38-d_2)/(BO38-3*h_col/7))/0.002)))^2))+(MAX(-f_yd,MIN(f_yd,200000*IF(BO38&lt;=h_col,0.0035*(BO38-(h_col-d_2))/BO38,0.002*(BO38-(h_col-d_2))/(BO38-3*h_col/7))))-f_cd*(1-(1-MAX(0,MIN(1,IF(BO38&lt;=h_col,0.0035*(BO38-(h_col-d_2))/BO38,0.002*(BO38-(h_col-d_2))/(BO38-3*h_col/7))/0.002)))^2))))/1000</f>
        <v/>
      </c>
      <c r="BQ38">
        <f>IF($BP38&lt;N_Ed-1E-9*MAX(1,N_Ed),(BM38+BN38)/2,BM38)</f>
        <v/>
      </c>
      <c r="BR38">
        <f>IF($BP38&lt;N_Ed-1E-9*MAX(1,N_Ed),BN38,(BM38+BN38)/2)</f>
        <v/>
      </c>
      <c r="BS38">
        <f>h_col*((BQ38+BR38)/2)/(1-(BQ38+BR38)/2)</f>
        <v/>
      </c>
      <c r="BT38">
        <f>(f_cd*b_col*((3*MIN(BS38,h_col)/7)+(4*MIN(BS38,h_col)/7)*(1-((4*MIN(BS38,h_col)/7)/(BS38-(3*MIN(BS38,h_col)/7)))^2/3))+$D38/2*((MAX(-f_yd,MIN(f_yd,200000*IF(BS38&lt;=h_col,0.0035*(BS38-d_2)/BS38,0.002*(BS38-d_2)/(BS38-3*h_col/7))))-f_cd*(1-(1-MAX(0,MIN(1,IF(BS38&lt;=h_col,0.0035*(BS38-d_2)/BS38,0.002*(BS38-d_2)/(BS38-3*h_col/7))/0.002)))^2))+(MAX(-f_yd,MIN(f_yd,200000*IF(BS38&lt;=h_col,0.0035*(BS38-(h_col-d_2))/BS38,0.002*(BS38-(h_col-d_2))/(BS38-3*h_col/7))))-f_cd*(1-(1-MAX(0,MIN(1,IF(BS38&lt;=h_col,0.0035*(BS38-(h_col-d_2))/BS38,0.002*(BS38-(h_col-d_2))/(BS38-3*h_col/7))/0.002)))^2))))/1000</f>
        <v/>
      </c>
      <c r="BU38">
        <f>IF($BT38&lt;N_Ed-1E-9*MAX(1,N_Ed),(BQ38+BR38)/2,BQ38)</f>
        <v/>
      </c>
      <c r="BV38">
        <f>IF($BT38&lt;N_Ed-1E-9*MAX(1,N_Ed),BR38,(BQ38+BR38)/2)</f>
        <v/>
      </c>
      <c r="BW38">
        <f>h_col*((BU38+BV38)/2)/(1-(BU38+BV38)/2)</f>
        <v/>
      </c>
      <c r="BX38">
        <f>(f_cd*b_col*((3*MIN(BW38,h_col)/7)+(4*MIN(BW38,h_col)/7)*(1-((4*MIN(BW38,h_col)/7)/(BW38-(3*MIN(BW38,h_col)/7)))^2/3))+$D38/2*((MAX(-f_yd,MIN(f_yd,200000*IF(BW38&lt;=h_col,0.0035*(BW38-d_2)/BW38,0.002*(BW38-d_2)/(BW38-3*h_col/7))))-f_cd*(1-(1-MAX(0,MIN(1,IF(BW38&lt;=h_col,0.0035*(BW38-d_2)/BW38,0.002*(BW38-d_2)/(BW38-3*h_col/7))/0.002)))^2))+(MAX(-f_yd,MIN(f_yd,200000*IF(BW38&lt;=h_col,0.0035*(BW38-(h_col-d_2))/BW38,0.002*(BW38-(h_col-d_2))/(BW38-3*h_col/7))))-f_cd*(1-(1-MAX(0,MIN(1,IF(BW38&lt;=h_col,0.0035*(BW38-(h_col-d_2))/BW38,0.002*(BW38-(h_col-d_2))/(BW38-3*h_col/7))/0.002)))^2))))/1000</f>
        <v/>
      </c>
      <c r="BY38">
        <f>IF($BX38&lt;N_Ed-1E-9*MAX(1,N_Ed),(BU38+BV38)/2,BU38)</f>
        <v/>
      </c>
      <c r="BZ38">
        <f>IF($BX38&lt;N_Ed-1E-9*MAX(1,N_Ed),BV38,(BU38+BV38)/2)</f>
        <v/>
      </c>
      <c r="CA38">
        <f>h_col*((BY38+BZ38)/2)/(1-(BY38+BZ38)/2)</f>
        <v/>
      </c>
      <c r="CB38">
        <f>(f_cd*b_col*((3*MIN(CA38,h_col)/7)+(4*MIN(CA38,h_col)/7)*(1-((4*MIN(CA38,h_col)/7)/(CA38-(3*MIN(CA38,h_col)/7)))^2/3))+$D38/2*((MAX(-f_yd,MIN(f_yd,200000*IF(CA38&lt;=h_col,0.0035*(CA38-d_2)/CA38,0.002*(CA38-d_2)/(CA38-3*h_col/7))))-f_cd*(1-(1-MAX(0,MIN(1,IF(CA38&lt;=h_col,0.0035*(CA38-d_2)/CA38,0.002*(CA38-d_2)/(CA38-3*h_col/7))/0.002)))^2))+(MAX(-f_yd,MIN(f_yd,200000*IF(CA38&lt;=h_col,0.0035*(CA38-(h_col-d_2))/CA38,0.002*(CA38-(h_col-d_2))/(CA38-3*h_col/7))))-f_cd*(1-(1-MAX(0,MIN(1,IF(CA38&lt;=h_col,0.0035*(CA38-(h_col-d_2))/CA38,0.002*(CA38-(h_col-d_2))/(CA38-3*h_col/7))/0.002)))^2))))/1000</f>
        <v/>
      </c>
      <c r="CC38">
        <f>IF($CB38&lt;N_Ed-1E-9*MAX(1,N_Ed),(BY38+BZ38)/2,BY38)</f>
        <v/>
      </c>
      <c r="CD38">
        <f>IF($CB38&lt;N_Ed-1E-9*MAX(1,N_Ed),BZ38,(BY38+BZ38)/2)</f>
        <v/>
      </c>
      <c r="CE38">
        <f>h_col*((CC38+CD38)/2)/(1-(CC38+CD38)/2)</f>
        <v/>
      </c>
      <c r="CF38">
        <f>(f_cd*b_col*((3*MIN(CE38,h_col)/7)+(4*MIN(CE38,h_col)/7)*(1-((4*MIN(CE38,h_col)/7)/(CE38-(3*MIN(CE38,h_col)/7)))^2/3))+$D38/2*((MAX(-f_yd,MIN(f_yd,200000*IF(CE38&lt;=h_col,0.0035*(CE38-d_2)/CE38,0.002*(CE38-d_2)/(CE38-3*h_col/7))))-f_cd*(1-(1-MAX(0,MIN(1,IF(CE38&lt;=h_col,0.0035*(CE38-d_2)/CE38,0.002*(CE38-d_2)/(CE38-3*h_col/7))/0.002)))^2))+(MAX(-f_yd,MIN(f_yd,200000*IF(CE38&lt;=h_col,0.0035*(CE38-(h_col-d_2))/CE38,0.002*(CE38-(h_col-d_2))/(CE38-3*h_col/7))))-f_cd*(1-(1-MAX(0,MIN(1,IF(CE38&lt;=h_col,0.0035*(CE38-(h_col-d_2))/CE38,0.002*(CE38-(h_col-d_2))/(CE38-3*h_col/7))/0.002)))^2))))/1000</f>
        <v/>
      </c>
      <c r="CG38">
        <f>IF($CF38&lt;N_Ed-1E-9*MAX(1,N_Ed),(CC38+CD38)/2,CC38)</f>
        <v/>
      </c>
      <c r="CH38">
        <f>IF($CF38&lt;N_Ed-1E-9*MAX(1,N_Ed),CD38,(CC38+CD38)/2)</f>
        <v/>
      </c>
      <c r="CI38">
        <f>h_col*((CG38+CH38)/2)/(1-(CG38+CH38)/2)</f>
        <v/>
      </c>
      <c r="CJ38">
        <f>(f_cd*b_col*((3*MIN(CI38,h_col)/7)+(4*MIN(CI38,h_col)/7)*(1-((4*MIN(CI38,h_col)/7)/(CI38-(3*MIN(CI38,h_col)/7)))^2/3))+$D38/2*((MAX(-f_yd,MIN(f_yd,200000*IF(CI38&lt;=h_col,0.0035*(CI38-d_2)/CI38,0.002*(CI38-d_2)/(CI38-3*h_col/7))))-f_cd*(1-(1-MAX(0,MIN(1,IF(CI38&lt;=h_col,0.0035*(CI38-d_2)/CI38,0.002*(CI38-d_2)/(CI38-3*h_col/7))/0.002)))^2))+(MAX(-f_yd,MIN(f_yd,200000*IF(CI38&lt;=h_col,0.0035*(CI38-(h_col-d_2))/CI38,0.002*(CI38-(h_col-d_2))/(CI38-3*h_col/7))))-f_cd*(1-(1-MAX(0,MIN(1,IF(CI38&lt;=h_col,0.0035*(CI38-(h_col-d_2))/CI38,0.002*(CI38-(h_col-d_2))/(CI38-3*h_col/7))/0.002)))^2))))/1000</f>
        <v/>
      </c>
      <c r="CK38">
        <f>IF($CJ38&lt;N_Ed-1E-9*MAX(1,N_Ed),(CG38+CH38)/2,CG38)</f>
        <v/>
      </c>
      <c r="CL38">
        <f>IF($CJ38&lt;N_Ed-1E-9*MAX(1,N_Ed),CH38,(CG38+CH38)/2)</f>
        <v/>
      </c>
      <c r="CM38">
        <f>h_col*((CK38+CL38)/2)/(1-(CK38+CL38)/2)</f>
        <v/>
      </c>
      <c r="CN38">
        <f>(f_cd*b_col*((3*MIN(CM38,h_col)/7)+(4*MIN(CM38,h_col)/7)*(1-((4*MIN(CM38,h_col)/7)/(CM38-(3*MIN(CM38,h_col)/7)))^2/3))+$D38/2*((MAX(-f_yd,MIN(f_yd,200000*IF(CM38&lt;=h_col,0.0035*(CM38-d_2)/CM38,0.002*(CM38-d_2)/(CM38-3*h_col/7))))-f_cd*(1-(1-MAX(0,MIN(1,IF(CM38&lt;=h_col,0.0035*(CM38-d_2)/CM38,0.002*(CM38-d_2)/(CM38-3*h_col/7))/0.002)))^2))+(MAX(-f_yd,MIN(f_yd,200000*IF(CM38&lt;=h_col,0.0035*(CM38-(h_col-d_2))/CM38,0.002*(CM38-(h_col-d_2))/(CM38-3*h_col/7))))-f_cd*(1-(1-MAX(0,MIN(1,IF(CM38&lt;=h_col,0.0035*(CM38-(h_col-d_2))/CM38,0.002*(CM38-(h_col-d_2))/(CM38-3*h_col/7))/0.002)))^2))))/1000</f>
        <v/>
      </c>
      <c r="CO38">
        <f>IF($CN38&lt;N_Ed-1E-9*MAX(1,N_Ed),(CK38+CL38)/2,CK38)</f>
        <v/>
      </c>
      <c r="CP38">
        <f>IF($CN38&lt;N_Ed-1E-9*MAX(1,N_Ed),CL38,(CK38+CL38)/2)</f>
        <v/>
      </c>
      <c r="CQ38">
        <f>h_col*((CO38+CP38)/2)/(1-(CO38+CP38)/2)</f>
        <v/>
      </c>
      <c r="CR38">
        <f>(f_cd*b_col*((3*MIN(CQ38,h_col)/7)+(4*MIN(CQ38,h_col)/7)*(1-((4*MIN(CQ38,h_col)/7)/(CQ38-(3*MIN(CQ38,h_col)/7)))^2/3))+$D38/2*((MAX(-f_yd,MIN(f_yd,200000*IF(CQ38&lt;=h_col,0.0035*(CQ38-d_2)/CQ38,0.002*(CQ38-d_2)/(CQ38-3*h_col/7))))-f_cd*(1-(1-MAX(0,MIN(1,IF(CQ38&lt;=h_col,0.0035*(CQ38-d_2)/CQ38,0.002*(CQ38-d_2)/(CQ38-3*h_col/7))/0.002)))^2))+(MAX(-f_yd,MIN(f_yd,200000*IF(CQ38&lt;=h_col,0.0035*(CQ38-(h_col-d_2))/CQ38,0.002*(CQ38-(h_col-d_2))/(CQ38-3*h_col/7))))-f_cd*(1-(1-MAX(0,MIN(1,IF(CQ38&lt;=h_col,0.0035*(CQ38-(h_col-d_2))/CQ38,0.002*(CQ38-(h_col-d_2))/(CQ38-3*h_col/7))/0.002)))^2))))/1000</f>
        <v/>
      </c>
      <c r="CS38">
        <f>IF($CR38&lt;N_Ed-1E-9*MAX(1,N_Ed),(CO38+CP38)/2,CO38)</f>
        <v/>
      </c>
      <c r="CT38">
        <f>IF($CR38&lt;N_Ed-1E-9*MAX(1,N_Ed),CP38,(CO38+CP38)/2)</f>
        <v/>
      </c>
      <c r="CU38">
        <f>h_col*((CS38+CT38)/2)/(1-(CS38+CT38)/2)</f>
        <v/>
      </c>
      <c r="CV38">
        <f>(f_cd*b_col*((3*MIN(CU38,h_col)/7)+(4*MIN(CU38,h_col)/7)*(1-((4*MIN(CU38,h_col)/7)/(CU38-(3*MIN(CU38,h_col)/7)))^2/3))+$D38/2*((MAX(-f_yd,MIN(f_yd,200000*IF(CU38&lt;=h_col,0.0035*(CU38-d_2)/CU38,0.002*(CU38-d_2)/(CU38-3*h_col/7))))-f_cd*(1-(1-MAX(0,MIN(1,IF(CU38&lt;=h_col,0.0035*(CU38-d_2)/CU38,0.002*(CU38-d_2)/(CU38-3*h_col/7))/0.002)))^2))+(MAX(-f_yd,MIN(f_yd,200000*IF(CU38&lt;=h_col,0.0035*(CU38-(h_col-d_2))/CU38,0.002*(CU38-(h_col-d_2))/(CU38-3*h_col/7))))-f_cd*(1-(1-MAX(0,MIN(1,IF(CU38&lt;=h_col,0.0035*(CU38-(h_col-d_2))/CU38,0.002*(CU38-(h_col-d_2))/(CU38-3*h_col/7))/0.002)))^2))))/1000</f>
        <v/>
      </c>
      <c r="CW38">
        <f>IF($CV38&lt;N_Ed-1E-9*MAX(1,N_Ed),(CS38+CT38)/2,CS38)</f>
        <v/>
      </c>
      <c r="CX38">
        <f>IF($CV38&lt;N_Ed-1E-9*MAX(1,N_Ed),CT38,(CS38+CT38)/2)</f>
        <v/>
      </c>
      <c r="CY38">
        <f>h_col*((CW38+CX38)/2)/(1-(CW38+CX38)/2)</f>
        <v/>
      </c>
      <c r="CZ38">
        <f>(f_cd*b_col*((3*MIN(CY38,h_col)/7)+(4*MIN(CY38,h_col)/7)*(1-((4*MIN(CY38,h_col)/7)/(CY38-(3*MIN(CY38,h_col)/7)))^2/3))+$D38/2*((MAX(-f_yd,MIN(f_yd,200000*IF(CY38&lt;=h_col,0.0035*(CY38-d_2)/CY38,0.002*(CY38-d_2)/(CY38-3*h_col/7))))-f_cd*(1-(1-MAX(0,MIN(1,IF(CY38&lt;=h_col,0.0035*(CY38-d_2)/CY38,0.002*(CY38-d_2)/(CY38-3*h_col/7))/0.002)))^2))+(MAX(-f_yd,MIN(f_yd,200000*IF(CY38&lt;=h_col,0.0035*(CY38-(h_col-d_2))/CY38,0.002*(CY38-(h_col-d_2))/(CY38-3*h_col/7))))-f_cd*(1-(1-MAX(0,MIN(1,IF(CY38&lt;=h_col,0.0035*(CY38-(h_col-d_2))/CY38,0.002*(CY38-(h_col-d_2))/(CY38-3*h_col/7))/0.002)))^2))))/1000</f>
        <v/>
      </c>
      <c r="DA38">
        <f>IF($CZ38&lt;N_Ed-1E-9*MAX(1,N_Ed),(CW38+CX38)/2,CW38)</f>
        <v/>
      </c>
      <c r="DB38">
        <f>IF($CZ38&lt;N_Ed-1E-9*MAX(1,N_Ed),CX38,(CW38+CX38)/2)</f>
        <v/>
      </c>
      <c r="DC38">
        <f>h_col*((DA38+DB38)/2)/(1-(DA38+DB38)/2)</f>
        <v/>
      </c>
      <c r="DD38">
        <f>(f_cd*b_col*((3*MIN(DC38,h_col)/7)+(4*MIN(DC38,h_col)/7)*(1-((4*MIN(DC38,h_col)/7)/(DC38-(3*MIN(DC38,h_col)/7)))^2/3))+$D38/2*((MAX(-f_yd,MIN(f_yd,200000*IF(DC38&lt;=h_col,0.0035*(DC38-d_2)/DC38,0.002*(DC38-d_2)/(DC38-3*h_col/7))))-f_cd*(1-(1-MAX(0,MIN(1,IF(DC38&lt;=h_col,0.0035*(DC38-d_2)/DC38,0.002*(DC38-d_2)/(DC38-3*h_col/7))/0.002)))^2))+(MAX(-f_yd,MIN(f_yd,200000*IF(DC38&lt;=h_col,0.0035*(DC38-(h_col-d_2))/DC38,0.002*(DC38-(h_col-d_2))/(DC38-3*h_col/7))))-f_cd*(1-(1-MAX(0,MIN(1,IF(DC38&lt;=h_col,0.0035*(DC38-(h_col-d_2))/DC38,0.002*(DC38-(h_col-d_2))/(DC38-3*h_col/7))/0.002)))^2))))/1000</f>
        <v/>
      </c>
      <c r="DE38">
        <f>IF($DD38&lt;N_Ed-1E-9*MAX(1,N_Ed),(DA38+DB38)/2,DA38)</f>
        <v/>
      </c>
      <c r="DF38">
        <f>IF($DD38&lt;N_Ed-1E-9*MAX(1,N_Ed),DB38,(DA38+DB38)/2)</f>
        <v/>
      </c>
      <c r="DG38">
        <f>h_col*((DE38+DF38)/2)/(1-(DE38+DF38)/2)</f>
        <v/>
      </c>
      <c r="DH38">
        <f>(f_cd*b_col*((3*MIN(DG38,h_col)/7)+(4*MIN(DG38,h_col)/7)*(1-((4*MIN(DG38,h_col)/7)/(DG38-(3*MIN(DG38,h_col)/7)))^2/3))+$D38/2*((MAX(-f_yd,MIN(f_yd,200000*IF(DG38&lt;=h_col,0.0035*(DG38-d_2)/DG38,0.002*(DG38-d_2)/(DG38-3*h_col/7))))-f_cd*(1-(1-MAX(0,MIN(1,IF(DG38&lt;=h_col,0.0035*(DG38-d_2)/DG38,0.002*(DG38-d_2)/(DG38-3*h_col/7))/0.002)))^2))+(MAX(-f_yd,MIN(f_yd,200000*IF(DG38&lt;=h_col,0.0035*(DG38-(h_col-d_2))/DG38,0.002*(DG38-(h_col-d_2))/(DG38-3*h_col/7))))-f_cd*(1-(1-MAX(0,MIN(1,IF(DG38&lt;=h_col,0.0035*(DG38-(h_col-d_2))/DG38,0.002*(DG38-(h_col-d_2))/(DG38-3*h_col/7))/0.002)))^2))))/1000</f>
        <v/>
      </c>
      <c r="DI38">
        <f>IF($DH38&lt;N_Ed-1E-9*MAX(1,N_Ed),(DE38+DF38)/2,DE38)</f>
        <v/>
      </c>
      <c r="DJ38">
        <f>IF($DH38&lt;N_Ed-1E-9*MAX(1,N_Ed),DF38,(DE38+DF38)/2)</f>
        <v/>
      </c>
      <c r="DK38">
        <f>h_col*((DI38+DJ38)/2)/(1-(DI38+DJ38)/2)</f>
        <v/>
      </c>
      <c r="DL38">
        <f>(f_cd*b_col*((3*MIN(DK38,h_col)/7)+(4*MIN(DK38,h_col)/7)*(1-((4*MIN(DK38,h_col)/7)/(DK38-(3*MIN(DK38,h_col)/7)))^2/3))+$D38/2*((MAX(-f_yd,MIN(f_yd,200000*IF(DK38&lt;=h_col,0.0035*(DK38-d_2)/DK38,0.002*(DK38-d_2)/(DK38-3*h_col/7))))-f_cd*(1-(1-MAX(0,MIN(1,IF(DK38&lt;=h_col,0.0035*(DK38-d_2)/DK38,0.002*(DK38-d_2)/(DK38-3*h_col/7))/0.002)))^2))+(MAX(-f_yd,MIN(f_yd,200000*IF(DK38&lt;=h_col,0.0035*(DK38-(h_col-d_2))/DK38,0.002*(DK38-(h_col-d_2))/(DK38-3*h_col/7))))-f_cd*(1-(1-MAX(0,MIN(1,IF(DK38&lt;=h_col,0.0035*(DK38-(h_col-d_2))/DK38,0.002*(DK38-(h_col-d_2))/(DK38-3*h_col/7))/0.002)))^2))))/1000</f>
        <v/>
      </c>
      <c r="DM38">
        <f>IF($DL38&lt;N_Ed-1E-9*MAX(1,N_Ed),(DI38+DJ38)/2,DI38)</f>
        <v/>
      </c>
      <c r="DN38">
        <f>IF($DL38&lt;N_Ed-1E-9*MAX(1,N_Ed),DJ38,(DI38+DJ38)/2)</f>
        <v/>
      </c>
      <c r="DO38">
        <f>h_col*((DM38+DN38)/2)/(1-(DM38+DN38)/2)</f>
        <v/>
      </c>
      <c r="DP38">
        <f>(f_cd*b_col*((3*MIN(DO38,h_col)/7)+(4*MIN(DO38,h_col)/7)*(1-((4*MIN(DO38,h_col)/7)/(DO38-(3*MIN(DO38,h_col)/7)))^2/3))+$D38/2*((MAX(-f_yd,MIN(f_yd,200000*IF(DO38&lt;=h_col,0.0035*(DO38-d_2)/DO38,0.002*(DO38-d_2)/(DO38-3*h_col/7))))-f_cd*(1-(1-MAX(0,MIN(1,IF(DO38&lt;=h_col,0.0035*(DO38-d_2)/DO38,0.002*(DO38-d_2)/(DO38-3*h_col/7))/0.002)))^2))+(MAX(-f_yd,MIN(f_yd,200000*IF(DO38&lt;=h_col,0.0035*(DO38-(h_col-d_2))/DO38,0.002*(DO38-(h_col-d_2))/(DO38-3*h_col/7))))-f_cd*(1-(1-MAX(0,MIN(1,IF(DO38&lt;=h_col,0.0035*(DO38-(h_col-d_2))/DO38,0.002*(DO38-(h_col-d_2))/(DO38-3*h_col/7))/0.002)))^2))))/1000</f>
        <v/>
      </c>
      <c r="DQ38">
        <f>IF($DP38&lt;N_Ed-1E-9*MAX(1,N_Ed),(DM38+DN38)/2,DM38)</f>
        <v/>
      </c>
      <c r="DR38">
        <f>IF($DP38&lt;N_Ed-1E-9*MAX(1,N_Ed),DN38,(DM38+DN38)/2)</f>
        <v/>
      </c>
      <c r="DS38">
        <f>h_col*((DQ38+DR38)/2)/(1-(DQ38+DR38)/2)</f>
        <v/>
      </c>
      <c r="DT38">
        <f>(f_cd*b_col*((3*MIN(DS38,h_col)/7)+(4*MIN(DS38,h_col)/7)*(1-((4*MIN(DS38,h_col)/7)/(DS38-(3*MIN(DS38,h_col)/7)))^2/3))+$D38/2*((MAX(-f_yd,MIN(f_yd,200000*IF(DS38&lt;=h_col,0.0035*(DS38-d_2)/DS38,0.002*(DS38-d_2)/(DS38-3*h_col/7))))-f_cd*(1-(1-MAX(0,MIN(1,IF(DS38&lt;=h_col,0.0035*(DS38-d_2)/DS38,0.002*(DS38-d_2)/(DS38-3*h_col/7))/0.002)))^2))+(MAX(-f_yd,MIN(f_yd,200000*IF(DS38&lt;=h_col,0.0035*(DS38-(h_col-d_2))/DS38,0.002*(DS38-(h_col-d_2))/(DS38-3*h_col/7))))-f_cd*(1-(1-MAX(0,MIN(1,IF(DS38&lt;=h_col,0.0035*(DS38-(h_col-d_2))/DS38,0.002*(DS38-(h_col-d_2))/(DS38-3*h_col/7))/0.002)))^2))))/1000</f>
        <v/>
      </c>
      <c r="DU38">
        <f>IF($DT38&lt;N_Ed-1E-9*MAX(1,N_Ed),(DQ38+DR38)/2,DQ38)</f>
        <v/>
      </c>
      <c r="DV38">
        <f>IF($DT38&lt;N_Ed-1E-9*MAX(1,N_Ed),DR38,(DQ38+DR38)/2)</f>
        <v/>
      </c>
      <c r="DW38">
        <f>h_col*((DU38+DV38)/2)/(1-(DU38+DV38)/2)</f>
        <v/>
      </c>
      <c r="DX38">
        <f>(f_cd*b_col*((3*MIN(DW38,h_col)/7)+(4*MIN(DW38,h_col)/7)*(1-((4*MIN(DW38,h_col)/7)/(DW38-(3*MIN(DW38,h_col)/7)))^2/3))+$D38/2*((MAX(-f_yd,MIN(f_yd,200000*IF(DW38&lt;=h_col,0.0035*(DW38-d_2)/DW38,0.002*(DW38-d_2)/(DW38-3*h_col/7))))-f_cd*(1-(1-MAX(0,MIN(1,IF(DW38&lt;=h_col,0.0035*(DW38-d_2)/DW38,0.002*(DW38-d_2)/(DW38-3*h_col/7))/0.002)))^2))+(MAX(-f_yd,MIN(f_yd,200000*IF(DW38&lt;=h_col,0.0035*(DW38-(h_col-d_2))/DW38,0.002*(DW38-(h_col-d_2))/(DW38-3*h_col/7))))-f_cd*(1-(1-MAX(0,MIN(1,IF(DW38&lt;=h_col,0.0035*(DW38-(h_col-d_2))/DW38,0.002*(DW38-(h_col-d_2))/(DW38-3*h_col/7))/0.002)))^2))))/1000</f>
        <v/>
      </c>
      <c r="DY38">
        <f>IF($DX38&lt;N_Ed-1E-9*MAX(1,N_Ed),(DU38+DV38)/2,DU38)</f>
        <v/>
      </c>
      <c r="DZ38">
        <f>IF($DX38&lt;N_Ed-1E-9*MAX(1,N_Ed),DV38,(DU38+DV38)/2)</f>
        <v/>
      </c>
      <c r="EA38">
        <f>h_col*((DY38+DZ38)/2)/(1-(DY38+DZ38)/2)</f>
        <v/>
      </c>
      <c r="EB38">
        <f>(f_cd*b_col*((3*MIN(EA38,h_col)/7)+(4*MIN(EA38,h_col)/7)*(1-((4*MIN(EA38,h_col)/7)/(EA38-(3*MIN(EA38,h_col)/7)))^2/3))+$D38/2*((MAX(-f_yd,MIN(f_yd,200000*IF(EA38&lt;=h_col,0.0035*(EA38-d_2)/EA38,0.002*(EA38-d_2)/(EA38-3*h_col/7))))-f_cd*(1-(1-MAX(0,MIN(1,IF(EA38&lt;=h_col,0.0035*(EA38-d_2)/EA38,0.002*(EA38-d_2)/(EA38-3*h_col/7))/0.002)))^2))+(MAX(-f_yd,MIN(f_yd,200000*IF(EA38&lt;=h_col,0.0035*(EA38-(h_col-d_2))/EA38,0.002*(EA38-(h_col-d_2))/(EA38-3*h_col/7))))-f_cd*(1-(1-MAX(0,MIN(1,IF(EA38&lt;=h_col,0.0035*(EA38-(h_col-d_2))/EA38,0.002*(EA38-(h_col-d_2))/(EA38-3*h_col/7))/0.002)))^2))))/1000</f>
        <v/>
      </c>
      <c r="EC38">
        <f>IF($EB38&lt;N_Ed-1E-9*MAX(1,N_Ed),(DY38+DZ38)/2,DY38)</f>
        <v/>
      </c>
      <c r="ED38">
        <f>IF($EB38&lt;N_Ed-1E-9*MAX(1,N_Ed),DZ38,(DY38+DZ38)/2)</f>
        <v/>
      </c>
      <c r="EE38">
        <f>h_col*((EC38+ED38)/2)/(1-(EC38+ED38)/2)</f>
        <v/>
      </c>
      <c r="EF38">
        <f>(f_cd*b_col*((3*MIN(EE38,h_col)/7)+(4*MIN(EE38,h_col)/7)*(1-((4*MIN(EE38,h_col)/7)/(EE38-(3*MIN(EE38,h_col)/7)))^2/3))+$D38/2*((MAX(-f_yd,MIN(f_yd,200000*IF(EE38&lt;=h_col,0.0035*(EE38-d_2)/EE38,0.002*(EE38-d_2)/(EE38-3*h_col/7))))-f_cd*(1-(1-MAX(0,MIN(1,IF(EE38&lt;=h_col,0.0035*(EE38-d_2)/EE38,0.002*(EE38-d_2)/(EE38-3*h_col/7))/0.002)))^2))+(MAX(-f_yd,MIN(f_yd,200000*IF(EE38&lt;=h_col,0.0035*(EE38-(h_col-d_2))/EE38,0.002*(EE38-(h_col-d_2))/(EE38-3*h_col/7))))-f_cd*(1-(1-MAX(0,MIN(1,IF(EE38&lt;=h_col,0.0035*(EE38-(h_col-d_2))/EE38,0.002*(EE38-(h_col-d_2))/(EE38-3*h_col/7))/0.002)))^2))))/1000</f>
        <v/>
      </c>
      <c r="EG38">
        <f>IF($EF38&lt;N_Ed-1E-9*MAX(1,N_Ed),(EC38+ED38)/2,EC38)</f>
        <v/>
      </c>
      <c r="EH38">
        <f>IF($EF38&lt;N_Ed-1E-9*MAX(1,N_Ed),ED38,(EC38+ED38)/2)</f>
        <v/>
      </c>
      <c r="EI38">
        <f>h_col*((EG38+EH38)/2)/(1-(EG38+EH38)/2)</f>
        <v/>
      </c>
      <c r="EJ38">
        <f>(f_cd*b_col*((3*MIN(EI38,h_col)/7)+(4*MIN(EI38,h_col)/7)*(1-((4*MIN(EI38,h_col)/7)/(EI38-(3*MIN(EI38,h_col)/7)))^2/3))+$D38/2*((MAX(-f_yd,MIN(f_yd,200000*IF(EI38&lt;=h_col,0.0035*(EI38-d_2)/EI38,0.002*(EI38-d_2)/(EI38-3*h_col/7))))-f_cd*(1-(1-MAX(0,MIN(1,IF(EI38&lt;=h_col,0.0035*(EI38-d_2)/EI38,0.002*(EI38-d_2)/(EI38-3*h_col/7))/0.002)))^2))+(MAX(-f_yd,MIN(f_yd,200000*IF(EI38&lt;=h_col,0.0035*(EI38-(h_col-d_2))/EI38,0.002*(EI38-(h_col-d_2))/(EI38-3*h_col/7))))-f_cd*(1-(1-MAX(0,MIN(1,IF(EI38&lt;=h_col,0.0035*(EI38-(h_col-d_2))/EI38,0.002*(EI38-(h_col-d_2))/(EI38-3*h_col/7))/0.002)))^2))))/1000</f>
        <v/>
      </c>
      <c r="EK38">
        <f>IF($EJ38&lt;N_Ed-1E-9*MAX(1,N_Ed),(EG38+EH38)/2,EG38)</f>
        <v/>
      </c>
      <c r="EL38">
        <f>IF($EJ38&lt;N_Ed-1E-9*MAX(1,N_Ed),EH38,(EG38+EH38)/2)</f>
        <v/>
      </c>
      <c r="EM38">
        <f>h_col*((EK38+EL38)/2)/(1-(EK38+EL38)/2)</f>
        <v/>
      </c>
      <c r="EN38">
        <f>(f_cd*b_col*((3*MIN(EM38,h_col)/7)+(4*MIN(EM38,h_col)/7)*(1-((4*MIN(EM38,h_col)/7)/(EM38-(3*MIN(EM38,h_col)/7)))^2/3))+$D38/2*((MAX(-f_yd,MIN(f_yd,200000*IF(EM38&lt;=h_col,0.0035*(EM38-d_2)/EM38,0.002*(EM38-d_2)/(EM38-3*h_col/7))))-f_cd*(1-(1-MAX(0,MIN(1,IF(EM38&lt;=h_col,0.0035*(EM38-d_2)/EM38,0.002*(EM38-d_2)/(EM38-3*h_col/7))/0.002)))^2))+(MAX(-f_yd,MIN(f_yd,200000*IF(EM38&lt;=h_col,0.0035*(EM38-(h_col-d_2))/EM38,0.002*(EM38-(h_col-d_2))/(EM38-3*h_col/7))))-f_cd*(1-(1-MAX(0,MIN(1,IF(EM38&lt;=h_col,0.0035*(EM38-(h_col-d_2))/EM38,0.002*(EM38-(h_col-d_2))/(EM38-3*h_col/7))/0.002)))^2))))/1000</f>
        <v/>
      </c>
      <c r="EO38">
        <f>IF($EN38&lt;N_Ed-1E-9*MAX(1,N_Ed),(EK38+EL38)/2,EK38)</f>
        <v/>
      </c>
      <c r="EP38">
        <f>IF($EN38&lt;N_Ed-1E-9*MAX(1,N_Ed),EL38,(EK38+EL38)/2)</f>
        <v/>
      </c>
      <c r="EQ38">
        <f>h_col*((EO38+EP38)/2)/(1-(EO38+EP38)/2)</f>
        <v/>
      </c>
      <c r="ER38">
        <f>(f_cd*b_col*((3*MIN(EQ38,h_col)/7)+(4*MIN(EQ38,h_col)/7)*(1-((4*MIN(EQ38,h_col)/7)/(EQ38-(3*MIN(EQ38,h_col)/7)))^2/3))+$D38/2*((MAX(-f_yd,MIN(f_yd,200000*IF(EQ38&lt;=h_col,0.0035*(EQ38-d_2)/EQ38,0.002*(EQ38-d_2)/(EQ38-3*h_col/7))))-f_cd*(1-(1-MAX(0,MIN(1,IF(EQ38&lt;=h_col,0.0035*(EQ38-d_2)/EQ38,0.002*(EQ38-d_2)/(EQ38-3*h_col/7))/0.002)))^2))+(MAX(-f_yd,MIN(f_yd,200000*IF(EQ38&lt;=h_col,0.0035*(EQ38-(h_col-d_2))/EQ38,0.002*(EQ38-(h_col-d_2))/(EQ38-3*h_col/7))))-f_cd*(1-(1-MAX(0,MIN(1,IF(EQ38&lt;=h_col,0.0035*(EQ38-(h_col-d_2))/EQ38,0.002*(EQ38-(h_col-d_2))/(EQ38-3*h_col/7))/0.002)))^2))))/1000</f>
        <v/>
      </c>
      <c r="ES38">
        <f>IF($ER38&lt;N_Ed-1E-9*MAX(1,N_Ed),(EO38+EP38)/2,EO38)</f>
        <v/>
      </c>
      <c r="ET38">
        <f>IF($ER38&lt;N_Ed-1E-9*MAX(1,N_Ed),EP38,(EO38+EP38)/2)</f>
        <v/>
      </c>
      <c r="EU38">
        <f>h_col*((ES38+ET38)/2)/(1-(ES38+ET38)/2)</f>
        <v/>
      </c>
      <c r="EV38">
        <f>(f_cd*b_col*((3*MIN(EU38,h_col)/7)+(4*MIN(EU38,h_col)/7)*(1-((4*MIN(EU38,h_col)/7)/(EU38-(3*MIN(EU38,h_col)/7)))^2/3))+$D38/2*((MAX(-f_yd,MIN(f_yd,200000*IF(EU38&lt;=h_col,0.0035*(EU38-d_2)/EU38,0.002*(EU38-d_2)/(EU38-3*h_col/7))))-f_cd*(1-(1-MAX(0,MIN(1,IF(EU38&lt;=h_col,0.0035*(EU38-d_2)/EU38,0.002*(EU38-d_2)/(EU38-3*h_col/7))/0.002)))^2))+(MAX(-f_yd,MIN(f_yd,200000*IF(EU38&lt;=h_col,0.0035*(EU38-(h_col-d_2))/EU38,0.002*(EU38-(h_col-d_2))/(EU38-3*h_col/7))))-f_cd*(1-(1-MAX(0,MIN(1,IF(EU38&lt;=h_col,0.0035*(EU38-(h_col-d_2))/EU38,0.002*(EU38-(h_col-d_2))/(EU38-3*h_col/7))/0.002)))^2))))/1000</f>
        <v/>
      </c>
      <c r="EW38">
        <f>IF($EV38&lt;N_Ed-1E-9*MAX(1,N_Ed),(ES38+ET38)/2,ES38)</f>
        <v/>
      </c>
      <c r="EX38">
        <f>IF($EV38&lt;N_Ed-1E-9*MAX(1,N_Ed),ET38,(ES38+ET38)/2)</f>
        <v/>
      </c>
      <c r="EY38">
        <f>h_col*((EW38+EX38)/2)/(1-(EW38+EX38)/2)</f>
        <v/>
      </c>
      <c r="EZ38">
        <f>(f_cd*b_col*((3*MIN(EY38,h_col)/7)+(4*MIN(EY38,h_col)/7)*(1-((4*MIN(EY38,h_col)/7)/(EY38-(3*MIN(EY38,h_col)/7)))^2/3))+$D38/2*((MAX(-f_yd,MIN(f_yd,200000*IF(EY38&lt;=h_col,0.0035*(EY38-d_2)/EY38,0.002*(EY38-d_2)/(EY38-3*h_col/7))))-f_cd*(1-(1-MAX(0,MIN(1,IF(EY38&lt;=h_col,0.0035*(EY38-d_2)/EY38,0.002*(EY38-d_2)/(EY38-3*h_col/7))/0.002)))^2))+(MAX(-f_yd,MIN(f_yd,200000*IF(EY38&lt;=h_col,0.0035*(EY38-(h_col-d_2))/EY38,0.002*(EY38-(h_col-d_2))/(EY38-3*h_col/7))))-f_cd*(1-(1-MAX(0,MIN(1,IF(EY38&lt;=h_col,0.0035*(EY38-(h_col-d_2))/EY38,0.002*(EY38-(h_col-d_2))/(EY38-3*h_col/7))/0.002)))^2))))/1000</f>
        <v/>
      </c>
      <c r="FA38">
        <f>IF($EZ38&lt;N_Ed-1E-9*MAX(1,N_Ed),(EW38+EX38)/2,EW38)</f>
        <v/>
      </c>
      <c r="FB38">
        <f>IF($EZ38&lt;N_Ed-1E-9*MAX(1,N_Ed),EX38,(EW38+EX38)/2)</f>
        <v/>
      </c>
      <c r="FC38">
        <f>h_col*((FA38+FB38)/2)/(1-(FA38+FB38)/2)</f>
        <v/>
      </c>
      <c r="FD38">
        <f>(f_cd*b_col*((3*MIN(FC38,h_col)/7)+(4*MIN(FC38,h_col)/7)*(1-((4*MIN(FC38,h_col)/7)/(FC38-(3*MIN(FC38,h_col)/7)))^2/3))+$D38/2*((MAX(-f_yd,MIN(f_yd,200000*IF(FC38&lt;=h_col,0.0035*(FC38-d_2)/FC38,0.002*(FC38-d_2)/(FC38-3*h_col/7))))-f_cd*(1-(1-MAX(0,MIN(1,IF(FC38&lt;=h_col,0.0035*(FC38-d_2)/FC38,0.002*(FC38-d_2)/(FC38-3*h_col/7))/0.002)))^2))+(MAX(-f_yd,MIN(f_yd,200000*IF(FC38&lt;=h_col,0.0035*(FC38-(h_col-d_2))/FC38,0.002*(FC38-(h_col-d_2))/(FC38-3*h_col/7))))-f_cd*(1-(1-MAX(0,MIN(1,IF(FC38&lt;=h_col,0.0035*(FC38-(h_col-d_2))/FC38,0.002*(FC38-(h_col-d_2))/(FC38-3*h_col/7))/0.002)))^2))))/1000</f>
        <v/>
      </c>
      <c r="FE38">
        <f>IF($FD38&lt;N_Ed-1E-9*MAX(1,N_Ed),(FA38+FB38)/2,FA38)</f>
        <v/>
      </c>
      <c r="FF38">
        <f>IF($FD38&lt;N_Ed-1E-9*MAX(1,N_Ed),FB38,(FA38+FB38)/2)</f>
        <v/>
      </c>
      <c r="FG38">
        <f>h_col*((FE38+FF38)/2)/(1-(FE38+FF38)/2)</f>
        <v/>
      </c>
      <c r="FH38">
        <f>(f_cd*b_col*((3*MIN(FG38,h_col)/7)+(4*MIN(FG38,h_col)/7)*(1-((4*MIN(FG38,h_col)/7)/(FG38-(3*MIN(FG38,h_col)/7)))^2/3))+$D38/2*((MAX(-f_yd,MIN(f_yd,200000*IF(FG38&lt;=h_col,0.0035*(FG38-d_2)/FG38,0.002*(FG38-d_2)/(FG38-3*h_col/7))))-f_cd*(1-(1-MAX(0,MIN(1,IF(FG38&lt;=h_col,0.0035*(FG38-d_2)/FG38,0.002*(FG38-d_2)/(FG38-3*h_col/7))/0.002)))^2))+(MAX(-f_yd,MIN(f_yd,200000*IF(FG38&lt;=h_col,0.0035*(FG38-(h_col-d_2))/FG38,0.002*(FG38-(h_col-d_2))/(FG38-3*h_col/7))))-f_cd*(1-(1-MAX(0,MIN(1,IF(FG38&lt;=h_col,0.0035*(FG38-(h_col-d_2))/FG38,0.002*(FG38-(h_col-d_2))/(FG38-3*h_col/7))/0.002)))^2))))/1000</f>
        <v/>
      </c>
      <c r="FI38">
        <f>IF($FH38&lt;N_Ed-1E-9*MAX(1,N_Ed),(FE38+FF38)/2,FE38)</f>
        <v/>
      </c>
      <c r="FJ38">
        <f>IF($FH38&lt;N_Ed-1E-9*MAX(1,N_Ed),FF38,(FE38+FF38)/2)</f>
        <v/>
      </c>
      <c r="FK38">
        <f>h_col*((FI38+FJ38)/2)/(1-(FI38+FJ38)/2)</f>
        <v/>
      </c>
      <c r="FL38">
        <f>(f_cd*b_col*((3*MIN(FK38,h_col)/7)+(4*MIN(FK38,h_col)/7)*(1-((4*MIN(FK38,h_col)/7)/(FK38-(3*MIN(FK38,h_col)/7)))^2/3))+$D38/2*((MAX(-f_yd,MIN(f_yd,200000*IF(FK38&lt;=h_col,0.0035*(FK38-d_2)/FK38,0.002*(FK38-d_2)/(FK38-3*h_col/7))))-f_cd*(1-(1-MAX(0,MIN(1,IF(FK38&lt;=h_col,0.0035*(FK38-d_2)/FK38,0.002*(FK38-d_2)/(FK38-3*h_col/7))/0.002)))^2))+(MAX(-f_yd,MIN(f_yd,200000*IF(FK38&lt;=h_col,0.0035*(FK38-(h_col-d_2))/FK38,0.002*(FK38-(h_col-d_2))/(FK38-3*h_col/7))))-f_cd*(1-(1-MAX(0,MIN(1,IF(FK38&lt;=h_col,0.0035*(FK38-(h_col-d_2))/FK38,0.002*(FK38-(h_col-d_2))/(FK38-3*h_col/7))/0.002)))^2))))/1000</f>
        <v/>
      </c>
      <c r="FM38">
        <f>IF($FL38&lt;N_Ed-1E-9*MAX(1,N_Ed),(FI38+FJ38)/2,FI38)</f>
        <v/>
      </c>
      <c r="FN38">
        <f>IF($FL38&lt;N_Ed-1E-9*MAX(1,N_Ed),FJ38,(FI38+FJ38)/2)</f>
        <v/>
      </c>
      <c r="FO38">
        <f>h_col*((FM38+FN38)/2)/(1-(FM38+FN38)/2)</f>
        <v/>
      </c>
      <c r="FP38">
        <f>(f_cd*b_col*((3*MIN(FO38,h_col)/7)+(4*MIN(FO38,h_col)/7)*(1-((4*MIN(FO38,h_col)/7)/(FO38-(3*MIN(FO38,h_col)/7)))^2/3))+$D38/2*((MAX(-f_yd,MIN(f_yd,200000*IF(FO38&lt;=h_col,0.0035*(FO38-d_2)/FO38,0.002*(FO38-d_2)/(FO38-3*h_col/7))))-f_cd*(1-(1-MAX(0,MIN(1,IF(FO38&lt;=h_col,0.0035*(FO38-d_2)/FO38,0.002*(FO38-d_2)/(FO38-3*h_col/7))/0.002)))^2))+(MAX(-f_yd,MIN(f_yd,200000*IF(FO38&lt;=h_col,0.0035*(FO38-(h_col-d_2))/FO38,0.002*(FO38-(h_col-d_2))/(FO38-3*h_col/7))))-f_cd*(1-(1-MAX(0,MIN(1,IF(FO38&lt;=h_col,0.0035*(FO38-(h_col-d_2))/FO38,0.002*(FO38-(h_col-d_2))/(FO38-3*h_col/7))/0.002)))^2))))/1000</f>
        <v/>
      </c>
      <c r="FQ38">
        <f>IF($FP38&lt;N_Ed-1E-9*MAX(1,N_Ed),(FM38+FN38)/2,FM38)</f>
        <v/>
      </c>
      <c r="FR38">
        <f>IF($FP38&lt;N_Ed-1E-9*MAX(1,N_Ed),FN38,(FM38+FN38)/2)</f>
        <v/>
      </c>
      <c r="FS38">
        <f>h_col*((FQ38+FR38)/2)/(1-(FQ38+FR38)/2)</f>
        <v/>
      </c>
      <c r="FT38">
        <f>(f_cd*b_col*((3*MIN(FS38,h_col)/7)+(4*MIN(FS38,h_col)/7)*(1-((4*MIN(FS38,h_col)/7)/(FS38-(3*MIN(FS38,h_col)/7)))^2/3))+$D38/2*((MAX(-f_yd,MIN(f_yd,200000*IF(FS38&lt;=h_col,0.0035*(FS38-d_2)/FS38,0.002*(FS38-d_2)/(FS38-3*h_col/7))))-f_cd*(1-(1-MAX(0,MIN(1,IF(FS38&lt;=h_col,0.0035*(FS38-d_2)/FS38,0.002*(FS38-d_2)/(FS38-3*h_col/7))/0.002)))^2))+(MAX(-f_yd,MIN(f_yd,200000*IF(FS38&lt;=h_col,0.0035*(FS38-(h_col-d_2))/FS38,0.002*(FS38-(h_col-d_2))/(FS38-3*h_col/7))))-f_cd*(1-(1-MAX(0,MIN(1,IF(FS38&lt;=h_col,0.0035*(FS38-(h_col-d_2))/FS38,0.002*(FS38-(h_col-d_2))/(FS38-3*h_col/7))/0.002)))^2))))/1000</f>
        <v/>
      </c>
      <c r="FU38">
        <f>IF($FT38&lt;N_Ed-1E-9*MAX(1,N_Ed),(FQ38+FR38)/2,FQ38)</f>
        <v/>
      </c>
      <c r="FV38">
        <f>IF($FT38&lt;N_Ed-1E-9*MAX(1,N_Ed),FR38,(FQ38+FR38)/2)</f>
        <v/>
      </c>
      <c r="FW38">
        <f>h_col*((FU38+FV38)/2)/(1-(FU38+FV38)/2)</f>
        <v/>
      </c>
      <c r="FX38">
        <f>(f_cd*b_col*((3*MIN(FW38,h_col)/7)+(4*MIN(FW38,h_col)/7)*(1-((4*MIN(FW38,h_col)/7)/(FW38-(3*MIN(FW38,h_col)/7)))^2/3))+$D38/2*((MAX(-f_yd,MIN(f_yd,200000*IF(FW38&lt;=h_col,0.0035*(FW38-d_2)/FW38,0.002*(FW38-d_2)/(FW38-3*h_col/7))))-f_cd*(1-(1-MAX(0,MIN(1,IF(FW38&lt;=h_col,0.0035*(FW38-d_2)/FW38,0.002*(FW38-d_2)/(FW38-3*h_col/7))/0.002)))^2))+(MAX(-f_yd,MIN(f_yd,200000*IF(FW38&lt;=h_col,0.0035*(FW38-(h_col-d_2))/FW38,0.002*(FW38-(h_col-d_2))/(FW38-3*h_col/7))))-f_cd*(1-(1-MAX(0,MIN(1,IF(FW38&lt;=h_col,0.0035*(FW38-(h_col-d_2))/FW38,0.002*(FW38-(h_col-d_2))/(FW38-3*h_col/7))/0.002)))^2))))/1000</f>
        <v/>
      </c>
      <c r="FY38">
        <f>IF($FX38&lt;N_Ed-1E-9*MAX(1,N_Ed),(FU38+FV38)/2,FU38)</f>
        <v/>
      </c>
      <c r="FZ38">
        <f>IF($FX38&lt;N_Ed-1E-9*MAX(1,N_Ed),FV38,(FU38+FV38)/2)</f>
        <v/>
      </c>
      <c r="GA38">
        <f>h_col*((FY38+FZ38)/2)/(1-(FY38+FZ38)/2)</f>
        <v/>
      </c>
      <c r="GB38">
        <f>(f_cd*b_col*((3*MIN(GA38,h_col)/7)+(4*MIN(GA38,h_col)/7)*(1-((4*MIN(GA38,h_col)/7)/(GA38-(3*MIN(GA38,h_col)/7)))^2/3))+$D38/2*((MAX(-f_yd,MIN(f_yd,200000*IF(GA38&lt;=h_col,0.0035*(GA38-d_2)/GA38,0.002*(GA38-d_2)/(GA38-3*h_col/7))))-f_cd*(1-(1-MAX(0,MIN(1,IF(GA38&lt;=h_col,0.0035*(GA38-d_2)/GA38,0.002*(GA38-d_2)/(GA38-3*h_col/7))/0.002)))^2))+(MAX(-f_yd,MIN(f_yd,200000*IF(GA38&lt;=h_col,0.0035*(GA38-(h_col-d_2))/GA38,0.002*(GA38-(h_col-d_2))/(GA38-3*h_col/7))))-f_cd*(1-(1-MAX(0,MIN(1,IF(GA38&lt;=h_col,0.0035*(GA38-(h_col-d_2))/GA38,0.002*(GA38-(h_col-d_2))/(GA38-3*h_col/7))/0.002)))^2))))/1000</f>
        <v/>
      </c>
      <c r="GC38">
        <f>IF($GB38&lt;N_Ed-1E-9*MAX(1,N_Ed),(FY38+FZ38)/2,FY38)</f>
        <v/>
      </c>
      <c r="GD38">
        <f>IF($GB38&lt;N_Ed-1E-9*MAX(1,N_Ed),FZ38,(FY38+FZ38)/2)</f>
        <v/>
      </c>
      <c r="GE38">
        <f>h_col*((GC38+GD38)/2)/(1-(GC38+GD38)/2)</f>
        <v/>
      </c>
      <c r="GF38">
        <f>(f_cd*b_col*((3*MIN(GE38,h_col)/7)+(4*MIN(GE38,h_col)/7)*(1-((4*MIN(GE38,h_col)/7)/(GE38-(3*MIN(GE38,h_col)/7)))^2/3))+$D38/2*((MAX(-f_yd,MIN(f_yd,200000*IF(GE38&lt;=h_col,0.0035*(GE38-d_2)/GE38,0.002*(GE38-d_2)/(GE38-3*h_col/7))))-f_cd*(1-(1-MAX(0,MIN(1,IF(GE38&lt;=h_col,0.0035*(GE38-d_2)/GE38,0.002*(GE38-d_2)/(GE38-3*h_col/7))/0.002)))^2))+(MAX(-f_yd,MIN(f_yd,200000*IF(GE38&lt;=h_col,0.0035*(GE38-(h_col-d_2))/GE38,0.002*(GE38-(h_col-d_2))/(GE38-3*h_col/7))))-f_cd*(1-(1-MAX(0,MIN(1,IF(GE38&lt;=h_col,0.0035*(GE38-(h_col-d_2))/GE38,0.002*(GE38-(h_col-d_2))/(GE38-3*h_col/7))/0.002)))^2))))/1000</f>
        <v/>
      </c>
      <c r="GG38">
        <f>IF($GF38&lt;N_Ed-1E-9*MAX(1,N_Ed),(GC38+GD38)/2,GC38)</f>
        <v/>
      </c>
      <c r="GH38">
        <f>IF($GF38&lt;N_Ed-1E-9*MAX(1,N_Ed),GD38,(GC38+GD38)/2)</f>
        <v/>
      </c>
      <c r="GI38">
        <f>h_col*((GG38+GH38)/2)/(1-(GG38+GH38)/2)</f>
        <v/>
      </c>
      <c r="GJ38">
        <f>(f_cd*b_col*((3*MIN(GI38,h_col)/7)+(4*MIN(GI38,h_col)/7)*(1-((4*MIN(GI38,h_col)/7)/(GI38-(3*MIN(GI38,h_col)/7)))^2/3))+$D38/2*((MAX(-f_yd,MIN(f_yd,200000*IF(GI38&lt;=h_col,0.0035*(GI38-d_2)/GI38,0.002*(GI38-d_2)/(GI38-3*h_col/7))))-f_cd*(1-(1-MAX(0,MIN(1,IF(GI38&lt;=h_col,0.0035*(GI38-d_2)/GI38,0.002*(GI38-d_2)/(GI38-3*h_col/7))/0.002)))^2))+(MAX(-f_yd,MIN(f_yd,200000*IF(GI38&lt;=h_col,0.0035*(GI38-(h_col-d_2))/GI38,0.002*(GI38-(h_col-d_2))/(GI38-3*h_col/7))))-f_cd*(1-(1-MAX(0,MIN(1,IF(GI38&lt;=h_col,0.0035*(GI38-(h_col-d_2))/GI38,0.002*(GI38-(h_col-d_2))/(GI38-3*h_col/7))/0.002)))^2))))/1000</f>
        <v/>
      </c>
      <c r="GK38">
        <f>IF($GJ38&lt;N_Ed-1E-9*MAX(1,N_Ed),(GG38+GH38)/2,GG38)</f>
        <v/>
      </c>
      <c r="GL38">
        <f>IF($GJ38&lt;N_Ed-1E-9*MAX(1,N_Ed),GH38,(GG38+GH38)/2)</f>
        <v/>
      </c>
      <c r="GM38">
        <f>h_col*((GK38+GL38)/2)/(1-(GK38+GL38)/2)</f>
        <v/>
      </c>
      <c r="GN38">
        <f>(f_cd*b_col*((3*MIN(GM38,h_col)/7)+(4*MIN(GM38,h_col)/7)*(1-((4*MIN(GM38,h_col)/7)/(GM38-(3*MIN(GM38,h_col)/7)))^2/3))+$D38/2*((MAX(-f_yd,MIN(f_yd,200000*IF(GM38&lt;=h_col,0.0035*(GM38-d_2)/GM38,0.002*(GM38-d_2)/(GM38-3*h_col/7))))-f_cd*(1-(1-MAX(0,MIN(1,IF(GM38&lt;=h_col,0.0035*(GM38-d_2)/GM38,0.002*(GM38-d_2)/(GM38-3*h_col/7))/0.002)))^2))+(MAX(-f_yd,MIN(f_yd,200000*IF(GM38&lt;=h_col,0.0035*(GM38-(h_col-d_2))/GM38,0.002*(GM38-(h_col-d_2))/(GM38-3*h_col/7))))-f_cd*(1-(1-MAX(0,MIN(1,IF(GM38&lt;=h_col,0.0035*(GM38-(h_col-d_2))/GM38,0.002*(GM38-(h_col-d_2))/(GM38-3*h_col/7))/0.002)))^2))))/1000</f>
        <v/>
      </c>
      <c r="GO38">
        <f>IF($GN38&lt;N_Ed-1E-9*MAX(1,N_Ed),(GK38+GL38)/2,GK38)</f>
        <v/>
      </c>
      <c r="GP38">
        <f>IF($GN38&lt;N_Ed-1E-9*MAX(1,N_Ed),GL38,(GK38+GL38)/2)</f>
        <v/>
      </c>
      <c r="GQ38">
        <f>h_col*((GO38+GP38)/2)/(1-(GO38+GP38)/2)</f>
        <v/>
      </c>
      <c r="GR38">
        <f>(f_cd*b_col*((3*MIN(GQ38,h_col)/7)+(4*MIN(GQ38,h_col)/7)*(1-((4*MIN(GQ38,h_col)/7)/(GQ38-(3*MIN(GQ38,h_col)/7)))^2/3))+$D38/2*((MAX(-f_yd,MIN(f_yd,200000*IF(GQ38&lt;=h_col,0.0035*(GQ38-d_2)/GQ38,0.002*(GQ38-d_2)/(GQ38-3*h_col/7))))-f_cd*(1-(1-MAX(0,MIN(1,IF(GQ38&lt;=h_col,0.0035*(GQ38-d_2)/GQ38,0.002*(GQ38-d_2)/(GQ38-3*h_col/7))/0.002)))^2))+(MAX(-f_yd,MIN(f_yd,200000*IF(GQ38&lt;=h_col,0.0035*(GQ38-(h_col-d_2))/GQ38,0.002*(GQ38-(h_col-d_2))/(GQ38-3*h_col/7))))-f_cd*(1-(1-MAX(0,MIN(1,IF(GQ38&lt;=h_col,0.0035*(GQ38-(h_col-d_2))/GQ38,0.002*(GQ38-(h_col-d_2))/(GQ38-3*h_col/7))/0.002)))^2))))/1000</f>
        <v/>
      </c>
      <c r="GS38">
        <f>IF($GR38&lt;N_Ed-1E-9*MAX(1,N_Ed),(GO38+GP38)/2,GO38)</f>
        <v/>
      </c>
      <c r="GT38">
        <f>IF($GR38&lt;N_Ed-1E-9*MAX(1,N_Ed),GP38,(GO38+GP38)/2)</f>
        <v/>
      </c>
      <c r="GU38">
        <f>h_col*((GS38+GT38)/2)/(1-(GS38+GT38)/2)</f>
        <v/>
      </c>
      <c r="GV38">
        <f>(f_cd*b_col*((3*MIN(GU38,h_col)/7)+(4*MIN(GU38,h_col)/7)*(1-((4*MIN(GU38,h_col)/7)/(GU38-(3*MIN(GU38,h_col)/7)))^2/3))+$D38/2*((MAX(-f_yd,MIN(f_yd,200000*IF(GU38&lt;=h_col,0.0035*(GU38-d_2)/GU38,0.002*(GU38-d_2)/(GU38-3*h_col/7))))-f_cd*(1-(1-MAX(0,MIN(1,IF(GU38&lt;=h_col,0.0035*(GU38-d_2)/GU38,0.002*(GU38-d_2)/(GU38-3*h_col/7))/0.002)))^2))+(MAX(-f_yd,MIN(f_yd,200000*IF(GU38&lt;=h_col,0.0035*(GU38-(h_col-d_2))/GU38,0.002*(GU38-(h_col-d_2))/(GU38-3*h_col/7))))-f_cd*(1-(1-MAX(0,MIN(1,IF(GU38&lt;=h_col,0.0035*(GU38-(h_col-d_2))/GU38,0.002*(GU38-(h_col-d_2))/(GU38-3*h_col/7))/0.002)))^2))))/1000</f>
        <v/>
      </c>
      <c r="GW38">
        <f>GU38</f>
        <v/>
      </c>
      <c r="GX38">
        <f>(f_cd*b_col*((3*MIN(GW38,h_col)/7)+(4*MIN(GW38,h_col)/7)*(1-((4*MIN(GW38,h_col)/7)/(GW38-(3*MIN(GW38,h_col)/7)))^2/3))+$D38/2*((MAX(-f_yd,MIN(f_yd,200000*IF(GW38&lt;=h_col,0.0035*(GW38-d_2)/GW38,0.002*(GW38-d_2)/(GW38-3*h_col/7))))-f_cd*(1-(1-MAX(0,MIN(1,IF(GW38&lt;=h_col,0.0035*(GW38-d_2)/GW38,0.002*(GW38-d_2)/(GW38-3*h_col/7))/0.002)))^2))+(MAX(-f_yd,MIN(f_yd,200000*IF(GW38&lt;=h_col,0.0035*(GW38-(h_col-d_2))/GW38,0.002*(GW38-(h_col-d_2))/(GW38-3*h_col/7))))-f_cd*(1-(1-MAX(0,MIN(1,IF(GW38&lt;=h_col,0.0035*(GW38-(h_col-d_2))/GW38,0.002*(GW38-(h_col-d_2))/(GW38-3*h_col/7))/0.002)))^2))))/1000</f>
        <v/>
      </c>
      <c r="GY38">
        <f>(f_cd*b_col*((3*MIN(GW38,h_col)/7)*(h_col/2-(3*MIN(GW38,h_col)/7)/2)+(4*MIN(GW38,h_col)/7)*((h_col/2-(3*MIN(GW38,h_col)/7))*(1-((4*MIN(GW38,h_col)/7)/(GW38-(3*MIN(GW38,h_col)/7)))^2/3)-(4*MIN(GW38,h_col)/7)*(0.5-((4*MIN(GW38,h_col)/7)/(GW38-(3*MIN(GW38,h_col)/7)))^2/4)))+$D38/2*((MAX(-f_yd,MIN(f_yd,200000*IF(GW38&lt;=h_col,0.0035*(GW38-d_2)/GW38,0.002*(GW38-d_2)/(GW38-3*h_col/7))))-f_cd*(1-(1-MAX(0,MIN(1,IF(GW38&lt;=h_col,0.0035*(GW38-d_2)/GW38,0.002*(GW38-d_2)/(GW38-3*h_col/7))/0.002)))^2))-(MAX(-f_yd,MIN(f_yd,200000*IF(GW38&lt;=h_col,0.0035*(GW38-(h_col-d_2))/GW38,0.002*(GW38-(h_col-d_2))/(GW38-3*h_col/7))))-f_cd*(1-(1-MAX(0,MIN(1,IF(GW38&lt;=h_col,0.0035*(GW38-(h_col-d_2))/GW38,0.002*(GW38-(h_col-d_2))/(GW38-3*h_col/7))/0.002)))^2)))*(h_col/2-d_2))/1E6</f>
        <v/>
      </c>
      <c r="GZ38">
        <f>GX38&gt;=N_Ed-1E-6*MAX(1,N_Ed)</f>
        <v/>
      </c>
      <c r="HA38">
        <f>IF(GZ38,GY38,-1E9)</f>
        <v/>
      </c>
    </row>
    <row r="39">
      <c r="A39" t="n">
        <v>34</v>
      </c>
      <c r="B39">
        <f>IF($HA38&gt;=M_d,$B38,$D38)</f>
        <v/>
      </c>
      <c r="C39">
        <f>IF($HA38&gt;=M_d,$D38,$C38)</f>
        <v/>
      </c>
      <c r="D39">
        <f>($B39+$C39)/2</f>
        <v/>
      </c>
      <c r="E39" t="n">
        <v>0</v>
      </c>
      <c r="F39">
        <f>1-1E-12</f>
        <v/>
      </c>
      <c r="G39">
        <f>h_col*((E39+F39)/2)/(1-(E39+F39)/2)</f>
        <v/>
      </c>
      <c r="H39">
        <f>(f_cd*b_col*((3*MIN(G39,h_col)/7)+(4*MIN(G39,h_col)/7)*(1-((4*MIN(G39,h_col)/7)/(G39-(3*MIN(G39,h_col)/7)))^2/3))+$D39/2*((MAX(-f_yd,MIN(f_yd,200000*IF(G39&lt;=h_col,0.0035*(G39-d_2)/G39,0.002*(G39-d_2)/(G39-3*h_col/7))))-f_cd*(1-(1-MAX(0,MIN(1,IF(G39&lt;=h_col,0.0035*(G39-d_2)/G39,0.002*(G39-d_2)/(G39-3*h_col/7))/0.002)))^2))+(MAX(-f_yd,MIN(f_yd,200000*IF(G39&lt;=h_col,0.0035*(G39-(h_col-d_2))/G39,0.002*(G39-(h_col-d_2))/(G39-3*h_col/7))))-f_cd*(1-(1-MAX(0,MIN(1,IF(G39&lt;=h_col,0.0035*(G39-(h_col-d_2))/G39,0.002*(G39-(h_col-d_2))/(G39-3*h_col/7))/0.002)))^2))))/1000</f>
        <v/>
      </c>
      <c r="I39">
        <f>IF($H39&lt;N_Ed-1E-9*MAX(1,N_Ed),(E39+F39)/2,E39)</f>
        <v/>
      </c>
      <c r="J39">
        <f>IF($H39&lt;N_Ed-1E-9*MAX(1,N_Ed),F39,(E39+F39)/2)</f>
        <v/>
      </c>
      <c r="K39">
        <f>h_col*((I39+J39)/2)/(1-(I39+J39)/2)</f>
        <v/>
      </c>
      <c r="L39">
        <f>(f_cd*b_col*((3*MIN(K39,h_col)/7)+(4*MIN(K39,h_col)/7)*(1-((4*MIN(K39,h_col)/7)/(K39-(3*MIN(K39,h_col)/7)))^2/3))+$D39/2*((MAX(-f_yd,MIN(f_yd,200000*IF(K39&lt;=h_col,0.0035*(K39-d_2)/K39,0.002*(K39-d_2)/(K39-3*h_col/7))))-f_cd*(1-(1-MAX(0,MIN(1,IF(K39&lt;=h_col,0.0035*(K39-d_2)/K39,0.002*(K39-d_2)/(K39-3*h_col/7))/0.002)))^2))+(MAX(-f_yd,MIN(f_yd,200000*IF(K39&lt;=h_col,0.0035*(K39-(h_col-d_2))/K39,0.002*(K39-(h_col-d_2))/(K39-3*h_col/7))))-f_cd*(1-(1-MAX(0,MIN(1,IF(K39&lt;=h_col,0.0035*(K39-(h_col-d_2))/K39,0.002*(K39-(h_col-d_2))/(K39-3*h_col/7))/0.002)))^2))))/1000</f>
        <v/>
      </c>
      <c r="M39">
        <f>IF($L39&lt;N_Ed-1E-9*MAX(1,N_Ed),(I39+J39)/2,I39)</f>
        <v/>
      </c>
      <c r="N39">
        <f>IF($L39&lt;N_Ed-1E-9*MAX(1,N_Ed),J39,(I39+J39)/2)</f>
        <v/>
      </c>
      <c r="O39">
        <f>h_col*((M39+N39)/2)/(1-(M39+N39)/2)</f>
        <v/>
      </c>
      <c r="P39">
        <f>(f_cd*b_col*((3*MIN(O39,h_col)/7)+(4*MIN(O39,h_col)/7)*(1-((4*MIN(O39,h_col)/7)/(O39-(3*MIN(O39,h_col)/7)))^2/3))+$D39/2*((MAX(-f_yd,MIN(f_yd,200000*IF(O39&lt;=h_col,0.0035*(O39-d_2)/O39,0.002*(O39-d_2)/(O39-3*h_col/7))))-f_cd*(1-(1-MAX(0,MIN(1,IF(O39&lt;=h_col,0.0035*(O39-d_2)/O39,0.002*(O39-d_2)/(O39-3*h_col/7))/0.002)))^2))+(MAX(-f_yd,MIN(f_yd,200000*IF(O39&lt;=h_col,0.0035*(O39-(h_col-d_2))/O39,0.002*(O39-(h_col-d_2))/(O39-3*h_col/7))))-f_cd*(1-(1-MAX(0,MIN(1,IF(O39&lt;=h_col,0.0035*(O39-(h_col-d_2))/O39,0.002*(O39-(h_col-d_2))/(O39-3*h_col/7))/0.002)))^2))))/1000</f>
        <v/>
      </c>
      <c r="Q39">
        <f>IF($P39&lt;N_Ed-1E-9*MAX(1,N_Ed),(M39+N39)/2,M39)</f>
        <v/>
      </c>
      <c r="R39">
        <f>IF($P39&lt;N_Ed-1E-9*MAX(1,N_Ed),N39,(M39+N39)/2)</f>
        <v/>
      </c>
      <c r="S39">
        <f>h_col*((Q39+R39)/2)/(1-(Q39+R39)/2)</f>
        <v/>
      </c>
      <c r="T39">
        <f>(f_cd*b_col*((3*MIN(S39,h_col)/7)+(4*MIN(S39,h_col)/7)*(1-((4*MIN(S39,h_col)/7)/(S39-(3*MIN(S39,h_col)/7)))^2/3))+$D39/2*((MAX(-f_yd,MIN(f_yd,200000*IF(S39&lt;=h_col,0.0035*(S39-d_2)/S39,0.002*(S39-d_2)/(S39-3*h_col/7))))-f_cd*(1-(1-MAX(0,MIN(1,IF(S39&lt;=h_col,0.0035*(S39-d_2)/S39,0.002*(S39-d_2)/(S39-3*h_col/7))/0.002)))^2))+(MAX(-f_yd,MIN(f_yd,200000*IF(S39&lt;=h_col,0.0035*(S39-(h_col-d_2))/S39,0.002*(S39-(h_col-d_2))/(S39-3*h_col/7))))-f_cd*(1-(1-MAX(0,MIN(1,IF(S39&lt;=h_col,0.0035*(S39-(h_col-d_2))/S39,0.002*(S39-(h_col-d_2))/(S39-3*h_col/7))/0.002)))^2))))/1000</f>
        <v/>
      </c>
      <c r="U39">
        <f>IF($T39&lt;N_Ed-1E-9*MAX(1,N_Ed),(Q39+R39)/2,Q39)</f>
        <v/>
      </c>
      <c r="V39">
        <f>IF($T39&lt;N_Ed-1E-9*MAX(1,N_Ed),R39,(Q39+R39)/2)</f>
        <v/>
      </c>
      <c r="W39">
        <f>h_col*((U39+V39)/2)/(1-(U39+V39)/2)</f>
        <v/>
      </c>
      <c r="X39">
        <f>(f_cd*b_col*((3*MIN(W39,h_col)/7)+(4*MIN(W39,h_col)/7)*(1-((4*MIN(W39,h_col)/7)/(W39-(3*MIN(W39,h_col)/7)))^2/3))+$D39/2*((MAX(-f_yd,MIN(f_yd,200000*IF(W39&lt;=h_col,0.0035*(W39-d_2)/W39,0.002*(W39-d_2)/(W39-3*h_col/7))))-f_cd*(1-(1-MAX(0,MIN(1,IF(W39&lt;=h_col,0.0035*(W39-d_2)/W39,0.002*(W39-d_2)/(W39-3*h_col/7))/0.002)))^2))+(MAX(-f_yd,MIN(f_yd,200000*IF(W39&lt;=h_col,0.0035*(W39-(h_col-d_2))/W39,0.002*(W39-(h_col-d_2))/(W39-3*h_col/7))))-f_cd*(1-(1-MAX(0,MIN(1,IF(W39&lt;=h_col,0.0035*(W39-(h_col-d_2))/W39,0.002*(W39-(h_col-d_2))/(W39-3*h_col/7))/0.002)))^2))))/1000</f>
        <v/>
      </c>
      <c r="Y39">
        <f>IF($X39&lt;N_Ed-1E-9*MAX(1,N_Ed),(U39+V39)/2,U39)</f>
        <v/>
      </c>
      <c r="Z39">
        <f>IF($X39&lt;N_Ed-1E-9*MAX(1,N_Ed),V39,(U39+V39)/2)</f>
        <v/>
      </c>
      <c r="AA39">
        <f>h_col*((Y39+Z39)/2)/(1-(Y39+Z39)/2)</f>
        <v/>
      </c>
      <c r="AB39">
        <f>(f_cd*b_col*((3*MIN(AA39,h_col)/7)+(4*MIN(AA39,h_col)/7)*(1-((4*MIN(AA39,h_col)/7)/(AA39-(3*MIN(AA39,h_col)/7)))^2/3))+$D39/2*((MAX(-f_yd,MIN(f_yd,200000*IF(AA39&lt;=h_col,0.0035*(AA39-d_2)/AA39,0.002*(AA39-d_2)/(AA39-3*h_col/7))))-f_cd*(1-(1-MAX(0,MIN(1,IF(AA39&lt;=h_col,0.0035*(AA39-d_2)/AA39,0.002*(AA39-d_2)/(AA39-3*h_col/7))/0.002)))^2))+(MAX(-f_yd,MIN(f_yd,200000*IF(AA39&lt;=h_col,0.0035*(AA39-(h_col-d_2))/AA39,0.002*(AA39-(h_col-d_2))/(AA39-3*h_col/7))))-f_cd*(1-(1-MAX(0,MIN(1,IF(AA39&lt;=h_col,0.0035*(AA39-(h_col-d_2))/AA39,0.002*(AA39-(h_col-d_2))/(AA39-3*h_col/7))/0.002)))^2))))/1000</f>
        <v/>
      </c>
      <c r="AC39">
        <f>IF($AB39&lt;N_Ed-1E-9*MAX(1,N_Ed),(Y39+Z39)/2,Y39)</f>
        <v/>
      </c>
      <c r="AD39">
        <f>IF($AB39&lt;N_Ed-1E-9*MAX(1,N_Ed),Z39,(Y39+Z39)/2)</f>
        <v/>
      </c>
      <c r="AE39">
        <f>h_col*((AC39+AD39)/2)/(1-(AC39+AD39)/2)</f>
        <v/>
      </c>
      <c r="AF39">
        <f>(f_cd*b_col*((3*MIN(AE39,h_col)/7)+(4*MIN(AE39,h_col)/7)*(1-((4*MIN(AE39,h_col)/7)/(AE39-(3*MIN(AE39,h_col)/7)))^2/3))+$D39/2*((MAX(-f_yd,MIN(f_yd,200000*IF(AE39&lt;=h_col,0.0035*(AE39-d_2)/AE39,0.002*(AE39-d_2)/(AE39-3*h_col/7))))-f_cd*(1-(1-MAX(0,MIN(1,IF(AE39&lt;=h_col,0.0035*(AE39-d_2)/AE39,0.002*(AE39-d_2)/(AE39-3*h_col/7))/0.002)))^2))+(MAX(-f_yd,MIN(f_yd,200000*IF(AE39&lt;=h_col,0.0035*(AE39-(h_col-d_2))/AE39,0.002*(AE39-(h_col-d_2))/(AE39-3*h_col/7))))-f_cd*(1-(1-MAX(0,MIN(1,IF(AE39&lt;=h_col,0.0035*(AE39-(h_col-d_2))/AE39,0.002*(AE39-(h_col-d_2))/(AE39-3*h_col/7))/0.002)))^2))))/1000</f>
        <v/>
      </c>
      <c r="AG39">
        <f>IF($AF39&lt;N_Ed-1E-9*MAX(1,N_Ed),(AC39+AD39)/2,AC39)</f>
        <v/>
      </c>
      <c r="AH39">
        <f>IF($AF39&lt;N_Ed-1E-9*MAX(1,N_Ed),AD39,(AC39+AD39)/2)</f>
        <v/>
      </c>
      <c r="AI39">
        <f>h_col*((AG39+AH39)/2)/(1-(AG39+AH39)/2)</f>
        <v/>
      </c>
      <c r="AJ39">
        <f>(f_cd*b_col*((3*MIN(AI39,h_col)/7)+(4*MIN(AI39,h_col)/7)*(1-((4*MIN(AI39,h_col)/7)/(AI39-(3*MIN(AI39,h_col)/7)))^2/3))+$D39/2*((MAX(-f_yd,MIN(f_yd,200000*IF(AI39&lt;=h_col,0.0035*(AI39-d_2)/AI39,0.002*(AI39-d_2)/(AI39-3*h_col/7))))-f_cd*(1-(1-MAX(0,MIN(1,IF(AI39&lt;=h_col,0.0035*(AI39-d_2)/AI39,0.002*(AI39-d_2)/(AI39-3*h_col/7))/0.002)))^2))+(MAX(-f_yd,MIN(f_yd,200000*IF(AI39&lt;=h_col,0.0035*(AI39-(h_col-d_2))/AI39,0.002*(AI39-(h_col-d_2))/(AI39-3*h_col/7))))-f_cd*(1-(1-MAX(0,MIN(1,IF(AI39&lt;=h_col,0.0035*(AI39-(h_col-d_2))/AI39,0.002*(AI39-(h_col-d_2))/(AI39-3*h_col/7))/0.002)))^2))))/1000</f>
        <v/>
      </c>
      <c r="AK39">
        <f>IF($AJ39&lt;N_Ed-1E-9*MAX(1,N_Ed),(AG39+AH39)/2,AG39)</f>
        <v/>
      </c>
      <c r="AL39">
        <f>IF($AJ39&lt;N_Ed-1E-9*MAX(1,N_Ed),AH39,(AG39+AH39)/2)</f>
        <v/>
      </c>
      <c r="AM39">
        <f>h_col*((AK39+AL39)/2)/(1-(AK39+AL39)/2)</f>
        <v/>
      </c>
      <c r="AN39">
        <f>(f_cd*b_col*((3*MIN(AM39,h_col)/7)+(4*MIN(AM39,h_col)/7)*(1-((4*MIN(AM39,h_col)/7)/(AM39-(3*MIN(AM39,h_col)/7)))^2/3))+$D39/2*((MAX(-f_yd,MIN(f_yd,200000*IF(AM39&lt;=h_col,0.0035*(AM39-d_2)/AM39,0.002*(AM39-d_2)/(AM39-3*h_col/7))))-f_cd*(1-(1-MAX(0,MIN(1,IF(AM39&lt;=h_col,0.0035*(AM39-d_2)/AM39,0.002*(AM39-d_2)/(AM39-3*h_col/7))/0.002)))^2))+(MAX(-f_yd,MIN(f_yd,200000*IF(AM39&lt;=h_col,0.0035*(AM39-(h_col-d_2))/AM39,0.002*(AM39-(h_col-d_2))/(AM39-3*h_col/7))))-f_cd*(1-(1-MAX(0,MIN(1,IF(AM39&lt;=h_col,0.0035*(AM39-(h_col-d_2))/AM39,0.002*(AM39-(h_col-d_2))/(AM39-3*h_col/7))/0.002)))^2))))/1000</f>
        <v/>
      </c>
      <c r="AO39">
        <f>IF($AN39&lt;N_Ed-1E-9*MAX(1,N_Ed),(AK39+AL39)/2,AK39)</f>
        <v/>
      </c>
      <c r="AP39">
        <f>IF($AN39&lt;N_Ed-1E-9*MAX(1,N_Ed),AL39,(AK39+AL39)/2)</f>
        <v/>
      </c>
      <c r="AQ39">
        <f>h_col*((AO39+AP39)/2)/(1-(AO39+AP39)/2)</f>
        <v/>
      </c>
      <c r="AR39">
        <f>(f_cd*b_col*((3*MIN(AQ39,h_col)/7)+(4*MIN(AQ39,h_col)/7)*(1-((4*MIN(AQ39,h_col)/7)/(AQ39-(3*MIN(AQ39,h_col)/7)))^2/3))+$D39/2*((MAX(-f_yd,MIN(f_yd,200000*IF(AQ39&lt;=h_col,0.0035*(AQ39-d_2)/AQ39,0.002*(AQ39-d_2)/(AQ39-3*h_col/7))))-f_cd*(1-(1-MAX(0,MIN(1,IF(AQ39&lt;=h_col,0.0035*(AQ39-d_2)/AQ39,0.002*(AQ39-d_2)/(AQ39-3*h_col/7))/0.002)))^2))+(MAX(-f_yd,MIN(f_yd,200000*IF(AQ39&lt;=h_col,0.0035*(AQ39-(h_col-d_2))/AQ39,0.002*(AQ39-(h_col-d_2))/(AQ39-3*h_col/7))))-f_cd*(1-(1-MAX(0,MIN(1,IF(AQ39&lt;=h_col,0.0035*(AQ39-(h_col-d_2))/AQ39,0.002*(AQ39-(h_col-d_2))/(AQ39-3*h_col/7))/0.002)))^2))))/1000</f>
        <v/>
      </c>
      <c r="AS39">
        <f>IF($AR39&lt;N_Ed-1E-9*MAX(1,N_Ed),(AO39+AP39)/2,AO39)</f>
        <v/>
      </c>
      <c r="AT39">
        <f>IF($AR39&lt;N_Ed-1E-9*MAX(1,N_Ed),AP39,(AO39+AP39)/2)</f>
        <v/>
      </c>
      <c r="AU39">
        <f>h_col*((AS39+AT39)/2)/(1-(AS39+AT39)/2)</f>
        <v/>
      </c>
      <c r="AV39">
        <f>(f_cd*b_col*((3*MIN(AU39,h_col)/7)+(4*MIN(AU39,h_col)/7)*(1-((4*MIN(AU39,h_col)/7)/(AU39-(3*MIN(AU39,h_col)/7)))^2/3))+$D39/2*((MAX(-f_yd,MIN(f_yd,200000*IF(AU39&lt;=h_col,0.0035*(AU39-d_2)/AU39,0.002*(AU39-d_2)/(AU39-3*h_col/7))))-f_cd*(1-(1-MAX(0,MIN(1,IF(AU39&lt;=h_col,0.0035*(AU39-d_2)/AU39,0.002*(AU39-d_2)/(AU39-3*h_col/7))/0.002)))^2))+(MAX(-f_yd,MIN(f_yd,200000*IF(AU39&lt;=h_col,0.0035*(AU39-(h_col-d_2))/AU39,0.002*(AU39-(h_col-d_2))/(AU39-3*h_col/7))))-f_cd*(1-(1-MAX(0,MIN(1,IF(AU39&lt;=h_col,0.0035*(AU39-(h_col-d_2))/AU39,0.002*(AU39-(h_col-d_2))/(AU39-3*h_col/7))/0.002)))^2))))/1000</f>
        <v/>
      </c>
      <c r="AW39">
        <f>IF($AV39&lt;N_Ed-1E-9*MAX(1,N_Ed),(AS39+AT39)/2,AS39)</f>
        <v/>
      </c>
      <c r="AX39">
        <f>IF($AV39&lt;N_Ed-1E-9*MAX(1,N_Ed),AT39,(AS39+AT39)/2)</f>
        <v/>
      </c>
      <c r="AY39">
        <f>h_col*((AW39+AX39)/2)/(1-(AW39+AX39)/2)</f>
        <v/>
      </c>
      <c r="AZ39">
        <f>(f_cd*b_col*((3*MIN(AY39,h_col)/7)+(4*MIN(AY39,h_col)/7)*(1-((4*MIN(AY39,h_col)/7)/(AY39-(3*MIN(AY39,h_col)/7)))^2/3))+$D39/2*((MAX(-f_yd,MIN(f_yd,200000*IF(AY39&lt;=h_col,0.0035*(AY39-d_2)/AY39,0.002*(AY39-d_2)/(AY39-3*h_col/7))))-f_cd*(1-(1-MAX(0,MIN(1,IF(AY39&lt;=h_col,0.0035*(AY39-d_2)/AY39,0.002*(AY39-d_2)/(AY39-3*h_col/7))/0.002)))^2))+(MAX(-f_yd,MIN(f_yd,200000*IF(AY39&lt;=h_col,0.0035*(AY39-(h_col-d_2))/AY39,0.002*(AY39-(h_col-d_2))/(AY39-3*h_col/7))))-f_cd*(1-(1-MAX(0,MIN(1,IF(AY39&lt;=h_col,0.0035*(AY39-(h_col-d_2))/AY39,0.002*(AY39-(h_col-d_2))/(AY39-3*h_col/7))/0.002)))^2))))/1000</f>
        <v/>
      </c>
      <c r="BA39">
        <f>IF($AZ39&lt;N_Ed-1E-9*MAX(1,N_Ed),(AW39+AX39)/2,AW39)</f>
        <v/>
      </c>
      <c r="BB39">
        <f>IF($AZ39&lt;N_Ed-1E-9*MAX(1,N_Ed),AX39,(AW39+AX39)/2)</f>
        <v/>
      </c>
      <c r="BC39">
        <f>h_col*((BA39+BB39)/2)/(1-(BA39+BB39)/2)</f>
        <v/>
      </c>
      <c r="BD39">
        <f>(f_cd*b_col*((3*MIN(BC39,h_col)/7)+(4*MIN(BC39,h_col)/7)*(1-((4*MIN(BC39,h_col)/7)/(BC39-(3*MIN(BC39,h_col)/7)))^2/3))+$D39/2*((MAX(-f_yd,MIN(f_yd,200000*IF(BC39&lt;=h_col,0.0035*(BC39-d_2)/BC39,0.002*(BC39-d_2)/(BC39-3*h_col/7))))-f_cd*(1-(1-MAX(0,MIN(1,IF(BC39&lt;=h_col,0.0035*(BC39-d_2)/BC39,0.002*(BC39-d_2)/(BC39-3*h_col/7))/0.002)))^2))+(MAX(-f_yd,MIN(f_yd,200000*IF(BC39&lt;=h_col,0.0035*(BC39-(h_col-d_2))/BC39,0.002*(BC39-(h_col-d_2))/(BC39-3*h_col/7))))-f_cd*(1-(1-MAX(0,MIN(1,IF(BC39&lt;=h_col,0.0035*(BC39-(h_col-d_2))/BC39,0.002*(BC39-(h_col-d_2))/(BC39-3*h_col/7))/0.002)))^2))))/1000</f>
        <v/>
      </c>
      <c r="BE39">
        <f>IF($BD39&lt;N_Ed-1E-9*MAX(1,N_Ed),(BA39+BB39)/2,BA39)</f>
        <v/>
      </c>
      <c r="BF39">
        <f>IF($BD39&lt;N_Ed-1E-9*MAX(1,N_Ed),BB39,(BA39+BB39)/2)</f>
        <v/>
      </c>
      <c r="BG39">
        <f>h_col*((BE39+BF39)/2)/(1-(BE39+BF39)/2)</f>
        <v/>
      </c>
      <c r="BH39">
        <f>(f_cd*b_col*((3*MIN(BG39,h_col)/7)+(4*MIN(BG39,h_col)/7)*(1-((4*MIN(BG39,h_col)/7)/(BG39-(3*MIN(BG39,h_col)/7)))^2/3))+$D39/2*((MAX(-f_yd,MIN(f_yd,200000*IF(BG39&lt;=h_col,0.0035*(BG39-d_2)/BG39,0.002*(BG39-d_2)/(BG39-3*h_col/7))))-f_cd*(1-(1-MAX(0,MIN(1,IF(BG39&lt;=h_col,0.0035*(BG39-d_2)/BG39,0.002*(BG39-d_2)/(BG39-3*h_col/7))/0.002)))^2))+(MAX(-f_yd,MIN(f_yd,200000*IF(BG39&lt;=h_col,0.0035*(BG39-(h_col-d_2))/BG39,0.002*(BG39-(h_col-d_2))/(BG39-3*h_col/7))))-f_cd*(1-(1-MAX(0,MIN(1,IF(BG39&lt;=h_col,0.0035*(BG39-(h_col-d_2))/BG39,0.002*(BG39-(h_col-d_2))/(BG39-3*h_col/7))/0.002)))^2))))/1000</f>
        <v/>
      </c>
      <c r="BI39">
        <f>IF($BH39&lt;N_Ed-1E-9*MAX(1,N_Ed),(BE39+BF39)/2,BE39)</f>
        <v/>
      </c>
      <c r="BJ39">
        <f>IF($BH39&lt;N_Ed-1E-9*MAX(1,N_Ed),BF39,(BE39+BF39)/2)</f>
        <v/>
      </c>
      <c r="BK39">
        <f>h_col*((BI39+BJ39)/2)/(1-(BI39+BJ39)/2)</f>
        <v/>
      </c>
      <c r="BL39">
        <f>(f_cd*b_col*((3*MIN(BK39,h_col)/7)+(4*MIN(BK39,h_col)/7)*(1-((4*MIN(BK39,h_col)/7)/(BK39-(3*MIN(BK39,h_col)/7)))^2/3))+$D39/2*((MAX(-f_yd,MIN(f_yd,200000*IF(BK39&lt;=h_col,0.0035*(BK39-d_2)/BK39,0.002*(BK39-d_2)/(BK39-3*h_col/7))))-f_cd*(1-(1-MAX(0,MIN(1,IF(BK39&lt;=h_col,0.0035*(BK39-d_2)/BK39,0.002*(BK39-d_2)/(BK39-3*h_col/7))/0.002)))^2))+(MAX(-f_yd,MIN(f_yd,200000*IF(BK39&lt;=h_col,0.0035*(BK39-(h_col-d_2))/BK39,0.002*(BK39-(h_col-d_2))/(BK39-3*h_col/7))))-f_cd*(1-(1-MAX(0,MIN(1,IF(BK39&lt;=h_col,0.0035*(BK39-(h_col-d_2))/BK39,0.002*(BK39-(h_col-d_2))/(BK39-3*h_col/7))/0.002)))^2))))/1000</f>
        <v/>
      </c>
      <c r="BM39">
        <f>IF($BL39&lt;N_Ed-1E-9*MAX(1,N_Ed),(BI39+BJ39)/2,BI39)</f>
        <v/>
      </c>
      <c r="BN39">
        <f>IF($BL39&lt;N_Ed-1E-9*MAX(1,N_Ed),BJ39,(BI39+BJ39)/2)</f>
        <v/>
      </c>
      <c r="BO39">
        <f>h_col*((BM39+BN39)/2)/(1-(BM39+BN39)/2)</f>
        <v/>
      </c>
      <c r="BP39">
        <f>(f_cd*b_col*((3*MIN(BO39,h_col)/7)+(4*MIN(BO39,h_col)/7)*(1-((4*MIN(BO39,h_col)/7)/(BO39-(3*MIN(BO39,h_col)/7)))^2/3))+$D39/2*((MAX(-f_yd,MIN(f_yd,200000*IF(BO39&lt;=h_col,0.0035*(BO39-d_2)/BO39,0.002*(BO39-d_2)/(BO39-3*h_col/7))))-f_cd*(1-(1-MAX(0,MIN(1,IF(BO39&lt;=h_col,0.0035*(BO39-d_2)/BO39,0.002*(BO39-d_2)/(BO39-3*h_col/7))/0.002)))^2))+(MAX(-f_yd,MIN(f_yd,200000*IF(BO39&lt;=h_col,0.0035*(BO39-(h_col-d_2))/BO39,0.002*(BO39-(h_col-d_2))/(BO39-3*h_col/7))))-f_cd*(1-(1-MAX(0,MIN(1,IF(BO39&lt;=h_col,0.0035*(BO39-(h_col-d_2))/BO39,0.002*(BO39-(h_col-d_2))/(BO39-3*h_col/7))/0.002)))^2))))/1000</f>
        <v/>
      </c>
      <c r="BQ39">
        <f>IF($BP39&lt;N_Ed-1E-9*MAX(1,N_Ed),(BM39+BN39)/2,BM39)</f>
        <v/>
      </c>
      <c r="BR39">
        <f>IF($BP39&lt;N_Ed-1E-9*MAX(1,N_Ed),BN39,(BM39+BN39)/2)</f>
        <v/>
      </c>
      <c r="BS39">
        <f>h_col*((BQ39+BR39)/2)/(1-(BQ39+BR39)/2)</f>
        <v/>
      </c>
      <c r="BT39">
        <f>(f_cd*b_col*((3*MIN(BS39,h_col)/7)+(4*MIN(BS39,h_col)/7)*(1-((4*MIN(BS39,h_col)/7)/(BS39-(3*MIN(BS39,h_col)/7)))^2/3))+$D39/2*((MAX(-f_yd,MIN(f_yd,200000*IF(BS39&lt;=h_col,0.0035*(BS39-d_2)/BS39,0.002*(BS39-d_2)/(BS39-3*h_col/7))))-f_cd*(1-(1-MAX(0,MIN(1,IF(BS39&lt;=h_col,0.0035*(BS39-d_2)/BS39,0.002*(BS39-d_2)/(BS39-3*h_col/7))/0.002)))^2))+(MAX(-f_yd,MIN(f_yd,200000*IF(BS39&lt;=h_col,0.0035*(BS39-(h_col-d_2))/BS39,0.002*(BS39-(h_col-d_2))/(BS39-3*h_col/7))))-f_cd*(1-(1-MAX(0,MIN(1,IF(BS39&lt;=h_col,0.0035*(BS39-(h_col-d_2))/BS39,0.002*(BS39-(h_col-d_2))/(BS39-3*h_col/7))/0.002)))^2))))/1000</f>
        <v/>
      </c>
      <c r="BU39">
        <f>IF($BT39&lt;N_Ed-1E-9*MAX(1,N_Ed),(BQ39+BR39)/2,BQ39)</f>
        <v/>
      </c>
      <c r="BV39">
        <f>IF($BT39&lt;N_Ed-1E-9*MAX(1,N_Ed),BR39,(BQ39+BR39)/2)</f>
        <v/>
      </c>
      <c r="BW39">
        <f>h_col*((BU39+BV39)/2)/(1-(BU39+BV39)/2)</f>
        <v/>
      </c>
      <c r="BX39">
        <f>(f_cd*b_col*((3*MIN(BW39,h_col)/7)+(4*MIN(BW39,h_col)/7)*(1-((4*MIN(BW39,h_col)/7)/(BW39-(3*MIN(BW39,h_col)/7)))^2/3))+$D39/2*((MAX(-f_yd,MIN(f_yd,200000*IF(BW39&lt;=h_col,0.0035*(BW39-d_2)/BW39,0.002*(BW39-d_2)/(BW39-3*h_col/7))))-f_cd*(1-(1-MAX(0,MIN(1,IF(BW39&lt;=h_col,0.0035*(BW39-d_2)/BW39,0.002*(BW39-d_2)/(BW39-3*h_col/7))/0.002)))^2))+(MAX(-f_yd,MIN(f_yd,200000*IF(BW39&lt;=h_col,0.0035*(BW39-(h_col-d_2))/BW39,0.002*(BW39-(h_col-d_2))/(BW39-3*h_col/7))))-f_cd*(1-(1-MAX(0,MIN(1,IF(BW39&lt;=h_col,0.0035*(BW39-(h_col-d_2))/BW39,0.002*(BW39-(h_col-d_2))/(BW39-3*h_col/7))/0.002)))^2))))/1000</f>
        <v/>
      </c>
      <c r="BY39">
        <f>IF($BX39&lt;N_Ed-1E-9*MAX(1,N_Ed),(BU39+BV39)/2,BU39)</f>
        <v/>
      </c>
      <c r="BZ39">
        <f>IF($BX39&lt;N_Ed-1E-9*MAX(1,N_Ed),BV39,(BU39+BV39)/2)</f>
        <v/>
      </c>
      <c r="CA39">
        <f>h_col*((BY39+BZ39)/2)/(1-(BY39+BZ39)/2)</f>
        <v/>
      </c>
      <c r="CB39">
        <f>(f_cd*b_col*((3*MIN(CA39,h_col)/7)+(4*MIN(CA39,h_col)/7)*(1-((4*MIN(CA39,h_col)/7)/(CA39-(3*MIN(CA39,h_col)/7)))^2/3))+$D39/2*((MAX(-f_yd,MIN(f_yd,200000*IF(CA39&lt;=h_col,0.0035*(CA39-d_2)/CA39,0.002*(CA39-d_2)/(CA39-3*h_col/7))))-f_cd*(1-(1-MAX(0,MIN(1,IF(CA39&lt;=h_col,0.0035*(CA39-d_2)/CA39,0.002*(CA39-d_2)/(CA39-3*h_col/7))/0.002)))^2))+(MAX(-f_yd,MIN(f_yd,200000*IF(CA39&lt;=h_col,0.0035*(CA39-(h_col-d_2))/CA39,0.002*(CA39-(h_col-d_2))/(CA39-3*h_col/7))))-f_cd*(1-(1-MAX(0,MIN(1,IF(CA39&lt;=h_col,0.0035*(CA39-(h_col-d_2))/CA39,0.002*(CA39-(h_col-d_2))/(CA39-3*h_col/7))/0.002)))^2))))/1000</f>
        <v/>
      </c>
      <c r="CC39">
        <f>IF($CB39&lt;N_Ed-1E-9*MAX(1,N_Ed),(BY39+BZ39)/2,BY39)</f>
        <v/>
      </c>
      <c r="CD39">
        <f>IF($CB39&lt;N_Ed-1E-9*MAX(1,N_Ed),BZ39,(BY39+BZ39)/2)</f>
        <v/>
      </c>
      <c r="CE39">
        <f>h_col*((CC39+CD39)/2)/(1-(CC39+CD39)/2)</f>
        <v/>
      </c>
      <c r="CF39">
        <f>(f_cd*b_col*((3*MIN(CE39,h_col)/7)+(4*MIN(CE39,h_col)/7)*(1-((4*MIN(CE39,h_col)/7)/(CE39-(3*MIN(CE39,h_col)/7)))^2/3))+$D39/2*((MAX(-f_yd,MIN(f_yd,200000*IF(CE39&lt;=h_col,0.0035*(CE39-d_2)/CE39,0.002*(CE39-d_2)/(CE39-3*h_col/7))))-f_cd*(1-(1-MAX(0,MIN(1,IF(CE39&lt;=h_col,0.0035*(CE39-d_2)/CE39,0.002*(CE39-d_2)/(CE39-3*h_col/7))/0.002)))^2))+(MAX(-f_yd,MIN(f_yd,200000*IF(CE39&lt;=h_col,0.0035*(CE39-(h_col-d_2))/CE39,0.002*(CE39-(h_col-d_2))/(CE39-3*h_col/7))))-f_cd*(1-(1-MAX(0,MIN(1,IF(CE39&lt;=h_col,0.0035*(CE39-(h_col-d_2))/CE39,0.002*(CE39-(h_col-d_2))/(CE39-3*h_col/7))/0.002)))^2))))/1000</f>
        <v/>
      </c>
      <c r="CG39">
        <f>IF($CF39&lt;N_Ed-1E-9*MAX(1,N_Ed),(CC39+CD39)/2,CC39)</f>
        <v/>
      </c>
      <c r="CH39">
        <f>IF($CF39&lt;N_Ed-1E-9*MAX(1,N_Ed),CD39,(CC39+CD39)/2)</f>
        <v/>
      </c>
      <c r="CI39">
        <f>h_col*((CG39+CH39)/2)/(1-(CG39+CH39)/2)</f>
        <v/>
      </c>
      <c r="CJ39">
        <f>(f_cd*b_col*((3*MIN(CI39,h_col)/7)+(4*MIN(CI39,h_col)/7)*(1-((4*MIN(CI39,h_col)/7)/(CI39-(3*MIN(CI39,h_col)/7)))^2/3))+$D39/2*((MAX(-f_yd,MIN(f_yd,200000*IF(CI39&lt;=h_col,0.0035*(CI39-d_2)/CI39,0.002*(CI39-d_2)/(CI39-3*h_col/7))))-f_cd*(1-(1-MAX(0,MIN(1,IF(CI39&lt;=h_col,0.0035*(CI39-d_2)/CI39,0.002*(CI39-d_2)/(CI39-3*h_col/7))/0.002)))^2))+(MAX(-f_yd,MIN(f_yd,200000*IF(CI39&lt;=h_col,0.0035*(CI39-(h_col-d_2))/CI39,0.002*(CI39-(h_col-d_2))/(CI39-3*h_col/7))))-f_cd*(1-(1-MAX(0,MIN(1,IF(CI39&lt;=h_col,0.0035*(CI39-(h_col-d_2))/CI39,0.002*(CI39-(h_col-d_2))/(CI39-3*h_col/7))/0.002)))^2))))/1000</f>
        <v/>
      </c>
      <c r="CK39">
        <f>IF($CJ39&lt;N_Ed-1E-9*MAX(1,N_Ed),(CG39+CH39)/2,CG39)</f>
        <v/>
      </c>
      <c r="CL39">
        <f>IF($CJ39&lt;N_Ed-1E-9*MAX(1,N_Ed),CH39,(CG39+CH39)/2)</f>
        <v/>
      </c>
      <c r="CM39">
        <f>h_col*((CK39+CL39)/2)/(1-(CK39+CL39)/2)</f>
        <v/>
      </c>
      <c r="CN39">
        <f>(f_cd*b_col*((3*MIN(CM39,h_col)/7)+(4*MIN(CM39,h_col)/7)*(1-((4*MIN(CM39,h_col)/7)/(CM39-(3*MIN(CM39,h_col)/7)))^2/3))+$D39/2*((MAX(-f_yd,MIN(f_yd,200000*IF(CM39&lt;=h_col,0.0035*(CM39-d_2)/CM39,0.002*(CM39-d_2)/(CM39-3*h_col/7))))-f_cd*(1-(1-MAX(0,MIN(1,IF(CM39&lt;=h_col,0.0035*(CM39-d_2)/CM39,0.002*(CM39-d_2)/(CM39-3*h_col/7))/0.002)))^2))+(MAX(-f_yd,MIN(f_yd,200000*IF(CM39&lt;=h_col,0.0035*(CM39-(h_col-d_2))/CM39,0.002*(CM39-(h_col-d_2))/(CM39-3*h_col/7))))-f_cd*(1-(1-MAX(0,MIN(1,IF(CM39&lt;=h_col,0.0035*(CM39-(h_col-d_2))/CM39,0.002*(CM39-(h_col-d_2))/(CM39-3*h_col/7))/0.002)))^2))))/1000</f>
        <v/>
      </c>
      <c r="CO39">
        <f>IF($CN39&lt;N_Ed-1E-9*MAX(1,N_Ed),(CK39+CL39)/2,CK39)</f>
        <v/>
      </c>
      <c r="CP39">
        <f>IF($CN39&lt;N_Ed-1E-9*MAX(1,N_Ed),CL39,(CK39+CL39)/2)</f>
        <v/>
      </c>
      <c r="CQ39">
        <f>h_col*((CO39+CP39)/2)/(1-(CO39+CP39)/2)</f>
        <v/>
      </c>
      <c r="CR39">
        <f>(f_cd*b_col*((3*MIN(CQ39,h_col)/7)+(4*MIN(CQ39,h_col)/7)*(1-((4*MIN(CQ39,h_col)/7)/(CQ39-(3*MIN(CQ39,h_col)/7)))^2/3))+$D39/2*((MAX(-f_yd,MIN(f_yd,200000*IF(CQ39&lt;=h_col,0.0035*(CQ39-d_2)/CQ39,0.002*(CQ39-d_2)/(CQ39-3*h_col/7))))-f_cd*(1-(1-MAX(0,MIN(1,IF(CQ39&lt;=h_col,0.0035*(CQ39-d_2)/CQ39,0.002*(CQ39-d_2)/(CQ39-3*h_col/7))/0.002)))^2))+(MAX(-f_yd,MIN(f_yd,200000*IF(CQ39&lt;=h_col,0.0035*(CQ39-(h_col-d_2))/CQ39,0.002*(CQ39-(h_col-d_2))/(CQ39-3*h_col/7))))-f_cd*(1-(1-MAX(0,MIN(1,IF(CQ39&lt;=h_col,0.0035*(CQ39-(h_col-d_2))/CQ39,0.002*(CQ39-(h_col-d_2))/(CQ39-3*h_col/7))/0.002)))^2))))/1000</f>
        <v/>
      </c>
      <c r="CS39">
        <f>IF($CR39&lt;N_Ed-1E-9*MAX(1,N_Ed),(CO39+CP39)/2,CO39)</f>
        <v/>
      </c>
      <c r="CT39">
        <f>IF($CR39&lt;N_Ed-1E-9*MAX(1,N_Ed),CP39,(CO39+CP39)/2)</f>
        <v/>
      </c>
      <c r="CU39">
        <f>h_col*((CS39+CT39)/2)/(1-(CS39+CT39)/2)</f>
        <v/>
      </c>
      <c r="CV39">
        <f>(f_cd*b_col*((3*MIN(CU39,h_col)/7)+(4*MIN(CU39,h_col)/7)*(1-((4*MIN(CU39,h_col)/7)/(CU39-(3*MIN(CU39,h_col)/7)))^2/3))+$D39/2*((MAX(-f_yd,MIN(f_yd,200000*IF(CU39&lt;=h_col,0.0035*(CU39-d_2)/CU39,0.002*(CU39-d_2)/(CU39-3*h_col/7))))-f_cd*(1-(1-MAX(0,MIN(1,IF(CU39&lt;=h_col,0.0035*(CU39-d_2)/CU39,0.002*(CU39-d_2)/(CU39-3*h_col/7))/0.002)))^2))+(MAX(-f_yd,MIN(f_yd,200000*IF(CU39&lt;=h_col,0.0035*(CU39-(h_col-d_2))/CU39,0.002*(CU39-(h_col-d_2))/(CU39-3*h_col/7))))-f_cd*(1-(1-MAX(0,MIN(1,IF(CU39&lt;=h_col,0.0035*(CU39-(h_col-d_2))/CU39,0.002*(CU39-(h_col-d_2))/(CU39-3*h_col/7))/0.002)))^2))))/1000</f>
        <v/>
      </c>
      <c r="CW39">
        <f>IF($CV39&lt;N_Ed-1E-9*MAX(1,N_Ed),(CS39+CT39)/2,CS39)</f>
        <v/>
      </c>
      <c r="CX39">
        <f>IF($CV39&lt;N_Ed-1E-9*MAX(1,N_Ed),CT39,(CS39+CT39)/2)</f>
        <v/>
      </c>
      <c r="CY39">
        <f>h_col*((CW39+CX39)/2)/(1-(CW39+CX39)/2)</f>
        <v/>
      </c>
      <c r="CZ39">
        <f>(f_cd*b_col*((3*MIN(CY39,h_col)/7)+(4*MIN(CY39,h_col)/7)*(1-((4*MIN(CY39,h_col)/7)/(CY39-(3*MIN(CY39,h_col)/7)))^2/3))+$D39/2*((MAX(-f_yd,MIN(f_yd,200000*IF(CY39&lt;=h_col,0.0035*(CY39-d_2)/CY39,0.002*(CY39-d_2)/(CY39-3*h_col/7))))-f_cd*(1-(1-MAX(0,MIN(1,IF(CY39&lt;=h_col,0.0035*(CY39-d_2)/CY39,0.002*(CY39-d_2)/(CY39-3*h_col/7))/0.002)))^2))+(MAX(-f_yd,MIN(f_yd,200000*IF(CY39&lt;=h_col,0.0035*(CY39-(h_col-d_2))/CY39,0.002*(CY39-(h_col-d_2))/(CY39-3*h_col/7))))-f_cd*(1-(1-MAX(0,MIN(1,IF(CY39&lt;=h_col,0.0035*(CY39-(h_col-d_2))/CY39,0.002*(CY39-(h_col-d_2))/(CY39-3*h_col/7))/0.002)))^2))))/1000</f>
        <v/>
      </c>
      <c r="DA39">
        <f>IF($CZ39&lt;N_Ed-1E-9*MAX(1,N_Ed),(CW39+CX39)/2,CW39)</f>
        <v/>
      </c>
      <c r="DB39">
        <f>IF($CZ39&lt;N_Ed-1E-9*MAX(1,N_Ed),CX39,(CW39+CX39)/2)</f>
        <v/>
      </c>
      <c r="DC39">
        <f>h_col*((DA39+DB39)/2)/(1-(DA39+DB39)/2)</f>
        <v/>
      </c>
      <c r="DD39">
        <f>(f_cd*b_col*((3*MIN(DC39,h_col)/7)+(4*MIN(DC39,h_col)/7)*(1-((4*MIN(DC39,h_col)/7)/(DC39-(3*MIN(DC39,h_col)/7)))^2/3))+$D39/2*((MAX(-f_yd,MIN(f_yd,200000*IF(DC39&lt;=h_col,0.0035*(DC39-d_2)/DC39,0.002*(DC39-d_2)/(DC39-3*h_col/7))))-f_cd*(1-(1-MAX(0,MIN(1,IF(DC39&lt;=h_col,0.0035*(DC39-d_2)/DC39,0.002*(DC39-d_2)/(DC39-3*h_col/7))/0.002)))^2))+(MAX(-f_yd,MIN(f_yd,200000*IF(DC39&lt;=h_col,0.0035*(DC39-(h_col-d_2))/DC39,0.002*(DC39-(h_col-d_2))/(DC39-3*h_col/7))))-f_cd*(1-(1-MAX(0,MIN(1,IF(DC39&lt;=h_col,0.0035*(DC39-(h_col-d_2))/DC39,0.002*(DC39-(h_col-d_2))/(DC39-3*h_col/7))/0.002)))^2))))/1000</f>
        <v/>
      </c>
      <c r="DE39">
        <f>IF($DD39&lt;N_Ed-1E-9*MAX(1,N_Ed),(DA39+DB39)/2,DA39)</f>
        <v/>
      </c>
      <c r="DF39">
        <f>IF($DD39&lt;N_Ed-1E-9*MAX(1,N_Ed),DB39,(DA39+DB39)/2)</f>
        <v/>
      </c>
      <c r="DG39">
        <f>h_col*((DE39+DF39)/2)/(1-(DE39+DF39)/2)</f>
        <v/>
      </c>
      <c r="DH39">
        <f>(f_cd*b_col*((3*MIN(DG39,h_col)/7)+(4*MIN(DG39,h_col)/7)*(1-((4*MIN(DG39,h_col)/7)/(DG39-(3*MIN(DG39,h_col)/7)))^2/3))+$D39/2*((MAX(-f_yd,MIN(f_yd,200000*IF(DG39&lt;=h_col,0.0035*(DG39-d_2)/DG39,0.002*(DG39-d_2)/(DG39-3*h_col/7))))-f_cd*(1-(1-MAX(0,MIN(1,IF(DG39&lt;=h_col,0.0035*(DG39-d_2)/DG39,0.002*(DG39-d_2)/(DG39-3*h_col/7))/0.002)))^2))+(MAX(-f_yd,MIN(f_yd,200000*IF(DG39&lt;=h_col,0.0035*(DG39-(h_col-d_2))/DG39,0.002*(DG39-(h_col-d_2))/(DG39-3*h_col/7))))-f_cd*(1-(1-MAX(0,MIN(1,IF(DG39&lt;=h_col,0.0035*(DG39-(h_col-d_2))/DG39,0.002*(DG39-(h_col-d_2))/(DG39-3*h_col/7))/0.002)))^2))))/1000</f>
        <v/>
      </c>
      <c r="DI39">
        <f>IF($DH39&lt;N_Ed-1E-9*MAX(1,N_Ed),(DE39+DF39)/2,DE39)</f>
        <v/>
      </c>
      <c r="DJ39">
        <f>IF($DH39&lt;N_Ed-1E-9*MAX(1,N_Ed),DF39,(DE39+DF39)/2)</f>
        <v/>
      </c>
      <c r="DK39">
        <f>h_col*((DI39+DJ39)/2)/(1-(DI39+DJ39)/2)</f>
        <v/>
      </c>
      <c r="DL39">
        <f>(f_cd*b_col*((3*MIN(DK39,h_col)/7)+(4*MIN(DK39,h_col)/7)*(1-((4*MIN(DK39,h_col)/7)/(DK39-(3*MIN(DK39,h_col)/7)))^2/3))+$D39/2*((MAX(-f_yd,MIN(f_yd,200000*IF(DK39&lt;=h_col,0.0035*(DK39-d_2)/DK39,0.002*(DK39-d_2)/(DK39-3*h_col/7))))-f_cd*(1-(1-MAX(0,MIN(1,IF(DK39&lt;=h_col,0.0035*(DK39-d_2)/DK39,0.002*(DK39-d_2)/(DK39-3*h_col/7))/0.002)))^2))+(MAX(-f_yd,MIN(f_yd,200000*IF(DK39&lt;=h_col,0.0035*(DK39-(h_col-d_2))/DK39,0.002*(DK39-(h_col-d_2))/(DK39-3*h_col/7))))-f_cd*(1-(1-MAX(0,MIN(1,IF(DK39&lt;=h_col,0.0035*(DK39-(h_col-d_2))/DK39,0.002*(DK39-(h_col-d_2))/(DK39-3*h_col/7))/0.002)))^2))))/1000</f>
        <v/>
      </c>
      <c r="DM39">
        <f>IF($DL39&lt;N_Ed-1E-9*MAX(1,N_Ed),(DI39+DJ39)/2,DI39)</f>
        <v/>
      </c>
      <c r="DN39">
        <f>IF($DL39&lt;N_Ed-1E-9*MAX(1,N_Ed),DJ39,(DI39+DJ39)/2)</f>
        <v/>
      </c>
      <c r="DO39">
        <f>h_col*((DM39+DN39)/2)/(1-(DM39+DN39)/2)</f>
        <v/>
      </c>
      <c r="DP39">
        <f>(f_cd*b_col*((3*MIN(DO39,h_col)/7)+(4*MIN(DO39,h_col)/7)*(1-((4*MIN(DO39,h_col)/7)/(DO39-(3*MIN(DO39,h_col)/7)))^2/3))+$D39/2*((MAX(-f_yd,MIN(f_yd,200000*IF(DO39&lt;=h_col,0.0035*(DO39-d_2)/DO39,0.002*(DO39-d_2)/(DO39-3*h_col/7))))-f_cd*(1-(1-MAX(0,MIN(1,IF(DO39&lt;=h_col,0.0035*(DO39-d_2)/DO39,0.002*(DO39-d_2)/(DO39-3*h_col/7))/0.002)))^2))+(MAX(-f_yd,MIN(f_yd,200000*IF(DO39&lt;=h_col,0.0035*(DO39-(h_col-d_2))/DO39,0.002*(DO39-(h_col-d_2))/(DO39-3*h_col/7))))-f_cd*(1-(1-MAX(0,MIN(1,IF(DO39&lt;=h_col,0.0035*(DO39-(h_col-d_2))/DO39,0.002*(DO39-(h_col-d_2))/(DO39-3*h_col/7))/0.002)))^2))))/1000</f>
        <v/>
      </c>
      <c r="DQ39">
        <f>IF($DP39&lt;N_Ed-1E-9*MAX(1,N_Ed),(DM39+DN39)/2,DM39)</f>
        <v/>
      </c>
      <c r="DR39">
        <f>IF($DP39&lt;N_Ed-1E-9*MAX(1,N_Ed),DN39,(DM39+DN39)/2)</f>
        <v/>
      </c>
      <c r="DS39">
        <f>h_col*((DQ39+DR39)/2)/(1-(DQ39+DR39)/2)</f>
        <v/>
      </c>
      <c r="DT39">
        <f>(f_cd*b_col*((3*MIN(DS39,h_col)/7)+(4*MIN(DS39,h_col)/7)*(1-((4*MIN(DS39,h_col)/7)/(DS39-(3*MIN(DS39,h_col)/7)))^2/3))+$D39/2*((MAX(-f_yd,MIN(f_yd,200000*IF(DS39&lt;=h_col,0.0035*(DS39-d_2)/DS39,0.002*(DS39-d_2)/(DS39-3*h_col/7))))-f_cd*(1-(1-MAX(0,MIN(1,IF(DS39&lt;=h_col,0.0035*(DS39-d_2)/DS39,0.002*(DS39-d_2)/(DS39-3*h_col/7))/0.002)))^2))+(MAX(-f_yd,MIN(f_yd,200000*IF(DS39&lt;=h_col,0.0035*(DS39-(h_col-d_2))/DS39,0.002*(DS39-(h_col-d_2))/(DS39-3*h_col/7))))-f_cd*(1-(1-MAX(0,MIN(1,IF(DS39&lt;=h_col,0.0035*(DS39-(h_col-d_2))/DS39,0.002*(DS39-(h_col-d_2))/(DS39-3*h_col/7))/0.002)))^2))))/1000</f>
        <v/>
      </c>
      <c r="DU39">
        <f>IF($DT39&lt;N_Ed-1E-9*MAX(1,N_Ed),(DQ39+DR39)/2,DQ39)</f>
        <v/>
      </c>
      <c r="DV39">
        <f>IF($DT39&lt;N_Ed-1E-9*MAX(1,N_Ed),DR39,(DQ39+DR39)/2)</f>
        <v/>
      </c>
      <c r="DW39">
        <f>h_col*((DU39+DV39)/2)/(1-(DU39+DV39)/2)</f>
        <v/>
      </c>
      <c r="DX39">
        <f>(f_cd*b_col*((3*MIN(DW39,h_col)/7)+(4*MIN(DW39,h_col)/7)*(1-((4*MIN(DW39,h_col)/7)/(DW39-(3*MIN(DW39,h_col)/7)))^2/3))+$D39/2*((MAX(-f_yd,MIN(f_yd,200000*IF(DW39&lt;=h_col,0.0035*(DW39-d_2)/DW39,0.002*(DW39-d_2)/(DW39-3*h_col/7))))-f_cd*(1-(1-MAX(0,MIN(1,IF(DW39&lt;=h_col,0.0035*(DW39-d_2)/DW39,0.002*(DW39-d_2)/(DW39-3*h_col/7))/0.002)))^2))+(MAX(-f_yd,MIN(f_yd,200000*IF(DW39&lt;=h_col,0.0035*(DW39-(h_col-d_2))/DW39,0.002*(DW39-(h_col-d_2))/(DW39-3*h_col/7))))-f_cd*(1-(1-MAX(0,MIN(1,IF(DW39&lt;=h_col,0.0035*(DW39-(h_col-d_2))/DW39,0.002*(DW39-(h_col-d_2))/(DW39-3*h_col/7))/0.002)))^2))))/1000</f>
        <v/>
      </c>
      <c r="DY39">
        <f>IF($DX39&lt;N_Ed-1E-9*MAX(1,N_Ed),(DU39+DV39)/2,DU39)</f>
        <v/>
      </c>
      <c r="DZ39">
        <f>IF($DX39&lt;N_Ed-1E-9*MAX(1,N_Ed),DV39,(DU39+DV39)/2)</f>
        <v/>
      </c>
      <c r="EA39">
        <f>h_col*((DY39+DZ39)/2)/(1-(DY39+DZ39)/2)</f>
        <v/>
      </c>
      <c r="EB39">
        <f>(f_cd*b_col*((3*MIN(EA39,h_col)/7)+(4*MIN(EA39,h_col)/7)*(1-((4*MIN(EA39,h_col)/7)/(EA39-(3*MIN(EA39,h_col)/7)))^2/3))+$D39/2*((MAX(-f_yd,MIN(f_yd,200000*IF(EA39&lt;=h_col,0.0035*(EA39-d_2)/EA39,0.002*(EA39-d_2)/(EA39-3*h_col/7))))-f_cd*(1-(1-MAX(0,MIN(1,IF(EA39&lt;=h_col,0.0035*(EA39-d_2)/EA39,0.002*(EA39-d_2)/(EA39-3*h_col/7))/0.002)))^2))+(MAX(-f_yd,MIN(f_yd,200000*IF(EA39&lt;=h_col,0.0035*(EA39-(h_col-d_2))/EA39,0.002*(EA39-(h_col-d_2))/(EA39-3*h_col/7))))-f_cd*(1-(1-MAX(0,MIN(1,IF(EA39&lt;=h_col,0.0035*(EA39-(h_col-d_2))/EA39,0.002*(EA39-(h_col-d_2))/(EA39-3*h_col/7))/0.002)))^2))))/1000</f>
        <v/>
      </c>
      <c r="EC39">
        <f>IF($EB39&lt;N_Ed-1E-9*MAX(1,N_Ed),(DY39+DZ39)/2,DY39)</f>
        <v/>
      </c>
      <c r="ED39">
        <f>IF($EB39&lt;N_Ed-1E-9*MAX(1,N_Ed),DZ39,(DY39+DZ39)/2)</f>
        <v/>
      </c>
      <c r="EE39">
        <f>h_col*((EC39+ED39)/2)/(1-(EC39+ED39)/2)</f>
        <v/>
      </c>
      <c r="EF39">
        <f>(f_cd*b_col*((3*MIN(EE39,h_col)/7)+(4*MIN(EE39,h_col)/7)*(1-((4*MIN(EE39,h_col)/7)/(EE39-(3*MIN(EE39,h_col)/7)))^2/3))+$D39/2*((MAX(-f_yd,MIN(f_yd,200000*IF(EE39&lt;=h_col,0.0035*(EE39-d_2)/EE39,0.002*(EE39-d_2)/(EE39-3*h_col/7))))-f_cd*(1-(1-MAX(0,MIN(1,IF(EE39&lt;=h_col,0.0035*(EE39-d_2)/EE39,0.002*(EE39-d_2)/(EE39-3*h_col/7))/0.002)))^2))+(MAX(-f_yd,MIN(f_yd,200000*IF(EE39&lt;=h_col,0.0035*(EE39-(h_col-d_2))/EE39,0.002*(EE39-(h_col-d_2))/(EE39-3*h_col/7))))-f_cd*(1-(1-MAX(0,MIN(1,IF(EE39&lt;=h_col,0.0035*(EE39-(h_col-d_2))/EE39,0.002*(EE39-(h_col-d_2))/(EE39-3*h_col/7))/0.002)))^2))))/1000</f>
        <v/>
      </c>
      <c r="EG39">
        <f>IF($EF39&lt;N_Ed-1E-9*MAX(1,N_Ed),(EC39+ED39)/2,EC39)</f>
        <v/>
      </c>
      <c r="EH39">
        <f>IF($EF39&lt;N_Ed-1E-9*MAX(1,N_Ed),ED39,(EC39+ED39)/2)</f>
        <v/>
      </c>
      <c r="EI39">
        <f>h_col*((EG39+EH39)/2)/(1-(EG39+EH39)/2)</f>
        <v/>
      </c>
      <c r="EJ39">
        <f>(f_cd*b_col*((3*MIN(EI39,h_col)/7)+(4*MIN(EI39,h_col)/7)*(1-((4*MIN(EI39,h_col)/7)/(EI39-(3*MIN(EI39,h_col)/7)))^2/3))+$D39/2*((MAX(-f_yd,MIN(f_yd,200000*IF(EI39&lt;=h_col,0.0035*(EI39-d_2)/EI39,0.002*(EI39-d_2)/(EI39-3*h_col/7))))-f_cd*(1-(1-MAX(0,MIN(1,IF(EI39&lt;=h_col,0.0035*(EI39-d_2)/EI39,0.002*(EI39-d_2)/(EI39-3*h_col/7))/0.002)))^2))+(MAX(-f_yd,MIN(f_yd,200000*IF(EI39&lt;=h_col,0.0035*(EI39-(h_col-d_2))/EI39,0.002*(EI39-(h_col-d_2))/(EI39-3*h_col/7))))-f_cd*(1-(1-MAX(0,MIN(1,IF(EI39&lt;=h_col,0.0035*(EI39-(h_col-d_2))/EI39,0.002*(EI39-(h_col-d_2))/(EI39-3*h_col/7))/0.002)))^2))))/1000</f>
        <v/>
      </c>
      <c r="EK39">
        <f>IF($EJ39&lt;N_Ed-1E-9*MAX(1,N_Ed),(EG39+EH39)/2,EG39)</f>
        <v/>
      </c>
      <c r="EL39">
        <f>IF($EJ39&lt;N_Ed-1E-9*MAX(1,N_Ed),EH39,(EG39+EH39)/2)</f>
        <v/>
      </c>
      <c r="EM39">
        <f>h_col*((EK39+EL39)/2)/(1-(EK39+EL39)/2)</f>
        <v/>
      </c>
      <c r="EN39">
        <f>(f_cd*b_col*((3*MIN(EM39,h_col)/7)+(4*MIN(EM39,h_col)/7)*(1-((4*MIN(EM39,h_col)/7)/(EM39-(3*MIN(EM39,h_col)/7)))^2/3))+$D39/2*((MAX(-f_yd,MIN(f_yd,200000*IF(EM39&lt;=h_col,0.0035*(EM39-d_2)/EM39,0.002*(EM39-d_2)/(EM39-3*h_col/7))))-f_cd*(1-(1-MAX(0,MIN(1,IF(EM39&lt;=h_col,0.0035*(EM39-d_2)/EM39,0.002*(EM39-d_2)/(EM39-3*h_col/7))/0.002)))^2))+(MAX(-f_yd,MIN(f_yd,200000*IF(EM39&lt;=h_col,0.0035*(EM39-(h_col-d_2))/EM39,0.002*(EM39-(h_col-d_2))/(EM39-3*h_col/7))))-f_cd*(1-(1-MAX(0,MIN(1,IF(EM39&lt;=h_col,0.0035*(EM39-(h_col-d_2))/EM39,0.002*(EM39-(h_col-d_2))/(EM39-3*h_col/7))/0.002)))^2))))/1000</f>
        <v/>
      </c>
      <c r="EO39">
        <f>IF($EN39&lt;N_Ed-1E-9*MAX(1,N_Ed),(EK39+EL39)/2,EK39)</f>
        <v/>
      </c>
      <c r="EP39">
        <f>IF($EN39&lt;N_Ed-1E-9*MAX(1,N_Ed),EL39,(EK39+EL39)/2)</f>
        <v/>
      </c>
      <c r="EQ39">
        <f>h_col*((EO39+EP39)/2)/(1-(EO39+EP39)/2)</f>
        <v/>
      </c>
      <c r="ER39">
        <f>(f_cd*b_col*((3*MIN(EQ39,h_col)/7)+(4*MIN(EQ39,h_col)/7)*(1-((4*MIN(EQ39,h_col)/7)/(EQ39-(3*MIN(EQ39,h_col)/7)))^2/3))+$D39/2*((MAX(-f_yd,MIN(f_yd,200000*IF(EQ39&lt;=h_col,0.0035*(EQ39-d_2)/EQ39,0.002*(EQ39-d_2)/(EQ39-3*h_col/7))))-f_cd*(1-(1-MAX(0,MIN(1,IF(EQ39&lt;=h_col,0.0035*(EQ39-d_2)/EQ39,0.002*(EQ39-d_2)/(EQ39-3*h_col/7))/0.002)))^2))+(MAX(-f_yd,MIN(f_yd,200000*IF(EQ39&lt;=h_col,0.0035*(EQ39-(h_col-d_2))/EQ39,0.002*(EQ39-(h_col-d_2))/(EQ39-3*h_col/7))))-f_cd*(1-(1-MAX(0,MIN(1,IF(EQ39&lt;=h_col,0.0035*(EQ39-(h_col-d_2))/EQ39,0.002*(EQ39-(h_col-d_2))/(EQ39-3*h_col/7))/0.002)))^2))))/1000</f>
        <v/>
      </c>
      <c r="ES39">
        <f>IF($ER39&lt;N_Ed-1E-9*MAX(1,N_Ed),(EO39+EP39)/2,EO39)</f>
        <v/>
      </c>
      <c r="ET39">
        <f>IF($ER39&lt;N_Ed-1E-9*MAX(1,N_Ed),EP39,(EO39+EP39)/2)</f>
        <v/>
      </c>
      <c r="EU39">
        <f>h_col*((ES39+ET39)/2)/(1-(ES39+ET39)/2)</f>
        <v/>
      </c>
      <c r="EV39">
        <f>(f_cd*b_col*((3*MIN(EU39,h_col)/7)+(4*MIN(EU39,h_col)/7)*(1-((4*MIN(EU39,h_col)/7)/(EU39-(3*MIN(EU39,h_col)/7)))^2/3))+$D39/2*((MAX(-f_yd,MIN(f_yd,200000*IF(EU39&lt;=h_col,0.0035*(EU39-d_2)/EU39,0.002*(EU39-d_2)/(EU39-3*h_col/7))))-f_cd*(1-(1-MAX(0,MIN(1,IF(EU39&lt;=h_col,0.0035*(EU39-d_2)/EU39,0.002*(EU39-d_2)/(EU39-3*h_col/7))/0.002)))^2))+(MAX(-f_yd,MIN(f_yd,200000*IF(EU39&lt;=h_col,0.0035*(EU39-(h_col-d_2))/EU39,0.002*(EU39-(h_col-d_2))/(EU39-3*h_col/7))))-f_cd*(1-(1-MAX(0,MIN(1,IF(EU39&lt;=h_col,0.0035*(EU39-(h_col-d_2))/EU39,0.002*(EU39-(h_col-d_2))/(EU39-3*h_col/7))/0.002)))^2))))/1000</f>
        <v/>
      </c>
      <c r="EW39">
        <f>IF($EV39&lt;N_Ed-1E-9*MAX(1,N_Ed),(ES39+ET39)/2,ES39)</f>
        <v/>
      </c>
      <c r="EX39">
        <f>IF($EV39&lt;N_Ed-1E-9*MAX(1,N_Ed),ET39,(ES39+ET39)/2)</f>
        <v/>
      </c>
      <c r="EY39">
        <f>h_col*((EW39+EX39)/2)/(1-(EW39+EX39)/2)</f>
        <v/>
      </c>
      <c r="EZ39">
        <f>(f_cd*b_col*((3*MIN(EY39,h_col)/7)+(4*MIN(EY39,h_col)/7)*(1-((4*MIN(EY39,h_col)/7)/(EY39-(3*MIN(EY39,h_col)/7)))^2/3))+$D39/2*((MAX(-f_yd,MIN(f_yd,200000*IF(EY39&lt;=h_col,0.0035*(EY39-d_2)/EY39,0.002*(EY39-d_2)/(EY39-3*h_col/7))))-f_cd*(1-(1-MAX(0,MIN(1,IF(EY39&lt;=h_col,0.0035*(EY39-d_2)/EY39,0.002*(EY39-d_2)/(EY39-3*h_col/7))/0.002)))^2))+(MAX(-f_yd,MIN(f_yd,200000*IF(EY39&lt;=h_col,0.0035*(EY39-(h_col-d_2))/EY39,0.002*(EY39-(h_col-d_2))/(EY39-3*h_col/7))))-f_cd*(1-(1-MAX(0,MIN(1,IF(EY39&lt;=h_col,0.0035*(EY39-(h_col-d_2))/EY39,0.002*(EY39-(h_col-d_2))/(EY39-3*h_col/7))/0.002)))^2))))/1000</f>
        <v/>
      </c>
      <c r="FA39">
        <f>IF($EZ39&lt;N_Ed-1E-9*MAX(1,N_Ed),(EW39+EX39)/2,EW39)</f>
        <v/>
      </c>
      <c r="FB39">
        <f>IF($EZ39&lt;N_Ed-1E-9*MAX(1,N_Ed),EX39,(EW39+EX39)/2)</f>
        <v/>
      </c>
      <c r="FC39">
        <f>h_col*((FA39+FB39)/2)/(1-(FA39+FB39)/2)</f>
        <v/>
      </c>
      <c r="FD39">
        <f>(f_cd*b_col*((3*MIN(FC39,h_col)/7)+(4*MIN(FC39,h_col)/7)*(1-((4*MIN(FC39,h_col)/7)/(FC39-(3*MIN(FC39,h_col)/7)))^2/3))+$D39/2*((MAX(-f_yd,MIN(f_yd,200000*IF(FC39&lt;=h_col,0.0035*(FC39-d_2)/FC39,0.002*(FC39-d_2)/(FC39-3*h_col/7))))-f_cd*(1-(1-MAX(0,MIN(1,IF(FC39&lt;=h_col,0.0035*(FC39-d_2)/FC39,0.002*(FC39-d_2)/(FC39-3*h_col/7))/0.002)))^2))+(MAX(-f_yd,MIN(f_yd,200000*IF(FC39&lt;=h_col,0.0035*(FC39-(h_col-d_2))/FC39,0.002*(FC39-(h_col-d_2))/(FC39-3*h_col/7))))-f_cd*(1-(1-MAX(0,MIN(1,IF(FC39&lt;=h_col,0.0035*(FC39-(h_col-d_2))/FC39,0.002*(FC39-(h_col-d_2))/(FC39-3*h_col/7))/0.002)))^2))))/1000</f>
        <v/>
      </c>
      <c r="FE39">
        <f>IF($FD39&lt;N_Ed-1E-9*MAX(1,N_Ed),(FA39+FB39)/2,FA39)</f>
        <v/>
      </c>
      <c r="FF39">
        <f>IF($FD39&lt;N_Ed-1E-9*MAX(1,N_Ed),FB39,(FA39+FB39)/2)</f>
        <v/>
      </c>
      <c r="FG39">
        <f>h_col*((FE39+FF39)/2)/(1-(FE39+FF39)/2)</f>
        <v/>
      </c>
      <c r="FH39">
        <f>(f_cd*b_col*((3*MIN(FG39,h_col)/7)+(4*MIN(FG39,h_col)/7)*(1-((4*MIN(FG39,h_col)/7)/(FG39-(3*MIN(FG39,h_col)/7)))^2/3))+$D39/2*((MAX(-f_yd,MIN(f_yd,200000*IF(FG39&lt;=h_col,0.0035*(FG39-d_2)/FG39,0.002*(FG39-d_2)/(FG39-3*h_col/7))))-f_cd*(1-(1-MAX(0,MIN(1,IF(FG39&lt;=h_col,0.0035*(FG39-d_2)/FG39,0.002*(FG39-d_2)/(FG39-3*h_col/7))/0.002)))^2))+(MAX(-f_yd,MIN(f_yd,200000*IF(FG39&lt;=h_col,0.0035*(FG39-(h_col-d_2))/FG39,0.002*(FG39-(h_col-d_2))/(FG39-3*h_col/7))))-f_cd*(1-(1-MAX(0,MIN(1,IF(FG39&lt;=h_col,0.0035*(FG39-(h_col-d_2))/FG39,0.002*(FG39-(h_col-d_2))/(FG39-3*h_col/7))/0.002)))^2))))/1000</f>
        <v/>
      </c>
      <c r="FI39">
        <f>IF($FH39&lt;N_Ed-1E-9*MAX(1,N_Ed),(FE39+FF39)/2,FE39)</f>
        <v/>
      </c>
      <c r="FJ39">
        <f>IF($FH39&lt;N_Ed-1E-9*MAX(1,N_Ed),FF39,(FE39+FF39)/2)</f>
        <v/>
      </c>
      <c r="FK39">
        <f>h_col*((FI39+FJ39)/2)/(1-(FI39+FJ39)/2)</f>
        <v/>
      </c>
      <c r="FL39">
        <f>(f_cd*b_col*((3*MIN(FK39,h_col)/7)+(4*MIN(FK39,h_col)/7)*(1-((4*MIN(FK39,h_col)/7)/(FK39-(3*MIN(FK39,h_col)/7)))^2/3))+$D39/2*((MAX(-f_yd,MIN(f_yd,200000*IF(FK39&lt;=h_col,0.0035*(FK39-d_2)/FK39,0.002*(FK39-d_2)/(FK39-3*h_col/7))))-f_cd*(1-(1-MAX(0,MIN(1,IF(FK39&lt;=h_col,0.0035*(FK39-d_2)/FK39,0.002*(FK39-d_2)/(FK39-3*h_col/7))/0.002)))^2))+(MAX(-f_yd,MIN(f_yd,200000*IF(FK39&lt;=h_col,0.0035*(FK39-(h_col-d_2))/FK39,0.002*(FK39-(h_col-d_2))/(FK39-3*h_col/7))))-f_cd*(1-(1-MAX(0,MIN(1,IF(FK39&lt;=h_col,0.0035*(FK39-(h_col-d_2))/FK39,0.002*(FK39-(h_col-d_2))/(FK39-3*h_col/7))/0.002)))^2))))/1000</f>
        <v/>
      </c>
      <c r="FM39">
        <f>IF($FL39&lt;N_Ed-1E-9*MAX(1,N_Ed),(FI39+FJ39)/2,FI39)</f>
        <v/>
      </c>
      <c r="FN39">
        <f>IF($FL39&lt;N_Ed-1E-9*MAX(1,N_Ed),FJ39,(FI39+FJ39)/2)</f>
        <v/>
      </c>
      <c r="FO39">
        <f>h_col*((FM39+FN39)/2)/(1-(FM39+FN39)/2)</f>
        <v/>
      </c>
      <c r="FP39">
        <f>(f_cd*b_col*((3*MIN(FO39,h_col)/7)+(4*MIN(FO39,h_col)/7)*(1-((4*MIN(FO39,h_col)/7)/(FO39-(3*MIN(FO39,h_col)/7)))^2/3))+$D39/2*((MAX(-f_yd,MIN(f_yd,200000*IF(FO39&lt;=h_col,0.0035*(FO39-d_2)/FO39,0.002*(FO39-d_2)/(FO39-3*h_col/7))))-f_cd*(1-(1-MAX(0,MIN(1,IF(FO39&lt;=h_col,0.0035*(FO39-d_2)/FO39,0.002*(FO39-d_2)/(FO39-3*h_col/7))/0.002)))^2))+(MAX(-f_yd,MIN(f_yd,200000*IF(FO39&lt;=h_col,0.0035*(FO39-(h_col-d_2))/FO39,0.002*(FO39-(h_col-d_2))/(FO39-3*h_col/7))))-f_cd*(1-(1-MAX(0,MIN(1,IF(FO39&lt;=h_col,0.0035*(FO39-(h_col-d_2))/FO39,0.002*(FO39-(h_col-d_2))/(FO39-3*h_col/7))/0.002)))^2))))/1000</f>
        <v/>
      </c>
      <c r="FQ39">
        <f>IF($FP39&lt;N_Ed-1E-9*MAX(1,N_Ed),(FM39+FN39)/2,FM39)</f>
        <v/>
      </c>
      <c r="FR39">
        <f>IF($FP39&lt;N_Ed-1E-9*MAX(1,N_Ed),FN39,(FM39+FN39)/2)</f>
        <v/>
      </c>
      <c r="FS39">
        <f>h_col*((FQ39+FR39)/2)/(1-(FQ39+FR39)/2)</f>
        <v/>
      </c>
      <c r="FT39">
        <f>(f_cd*b_col*((3*MIN(FS39,h_col)/7)+(4*MIN(FS39,h_col)/7)*(1-((4*MIN(FS39,h_col)/7)/(FS39-(3*MIN(FS39,h_col)/7)))^2/3))+$D39/2*((MAX(-f_yd,MIN(f_yd,200000*IF(FS39&lt;=h_col,0.0035*(FS39-d_2)/FS39,0.002*(FS39-d_2)/(FS39-3*h_col/7))))-f_cd*(1-(1-MAX(0,MIN(1,IF(FS39&lt;=h_col,0.0035*(FS39-d_2)/FS39,0.002*(FS39-d_2)/(FS39-3*h_col/7))/0.002)))^2))+(MAX(-f_yd,MIN(f_yd,200000*IF(FS39&lt;=h_col,0.0035*(FS39-(h_col-d_2))/FS39,0.002*(FS39-(h_col-d_2))/(FS39-3*h_col/7))))-f_cd*(1-(1-MAX(0,MIN(1,IF(FS39&lt;=h_col,0.0035*(FS39-(h_col-d_2))/FS39,0.002*(FS39-(h_col-d_2))/(FS39-3*h_col/7))/0.002)))^2))))/1000</f>
        <v/>
      </c>
      <c r="FU39">
        <f>IF($FT39&lt;N_Ed-1E-9*MAX(1,N_Ed),(FQ39+FR39)/2,FQ39)</f>
        <v/>
      </c>
      <c r="FV39">
        <f>IF($FT39&lt;N_Ed-1E-9*MAX(1,N_Ed),FR39,(FQ39+FR39)/2)</f>
        <v/>
      </c>
      <c r="FW39">
        <f>h_col*((FU39+FV39)/2)/(1-(FU39+FV39)/2)</f>
        <v/>
      </c>
      <c r="FX39">
        <f>(f_cd*b_col*((3*MIN(FW39,h_col)/7)+(4*MIN(FW39,h_col)/7)*(1-((4*MIN(FW39,h_col)/7)/(FW39-(3*MIN(FW39,h_col)/7)))^2/3))+$D39/2*((MAX(-f_yd,MIN(f_yd,200000*IF(FW39&lt;=h_col,0.0035*(FW39-d_2)/FW39,0.002*(FW39-d_2)/(FW39-3*h_col/7))))-f_cd*(1-(1-MAX(0,MIN(1,IF(FW39&lt;=h_col,0.0035*(FW39-d_2)/FW39,0.002*(FW39-d_2)/(FW39-3*h_col/7))/0.002)))^2))+(MAX(-f_yd,MIN(f_yd,200000*IF(FW39&lt;=h_col,0.0035*(FW39-(h_col-d_2))/FW39,0.002*(FW39-(h_col-d_2))/(FW39-3*h_col/7))))-f_cd*(1-(1-MAX(0,MIN(1,IF(FW39&lt;=h_col,0.0035*(FW39-(h_col-d_2))/FW39,0.002*(FW39-(h_col-d_2))/(FW39-3*h_col/7))/0.002)))^2))))/1000</f>
        <v/>
      </c>
      <c r="FY39">
        <f>IF($FX39&lt;N_Ed-1E-9*MAX(1,N_Ed),(FU39+FV39)/2,FU39)</f>
        <v/>
      </c>
      <c r="FZ39">
        <f>IF($FX39&lt;N_Ed-1E-9*MAX(1,N_Ed),FV39,(FU39+FV39)/2)</f>
        <v/>
      </c>
      <c r="GA39">
        <f>h_col*((FY39+FZ39)/2)/(1-(FY39+FZ39)/2)</f>
        <v/>
      </c>
      <c r="GB39">
        <f>(f_cd*b_col*((3*MIN(GA39,h_col)/7)+(4*MIN(GA39,h_col)/7)*(1-((4*MIN(GA39,h_col)/7)/(GA39-(3*MIN(GA39,h_col)/7)))^2/3))+$D39/2*((MAX(-f_yd,MIN(f_yd,200000*IF(GA39&lt;=h_col,0.0035*(GA39-d_2)/GA39,0.002*(GA39-d_2)/(GA39-3*h_col/7))))-f_cd*(1-(1-MAX(0,MIN(1,IF(GA39&lt;=h_col,0.0035*(GA39-d_2)/GA39,0.002*(GA39-d_2)/(GA39-3*h_col/7))/0.002)))^2))+(MAX(-f_yd,MIN(f_yd,200000*IF(GA39&lt;=h_col,0.0035*(GA39-(h_col-d_2))/GA39,0.002*(GA39-(h_col-d_2))/(GA39-3*h_col/7))))-f_cd*(1-(1-MAX(0,MIN(1,IF(GA39&lt;=h_col,0.0035*(GA39-(h_col-d_2))/GA39,0.002*(GA39-(h_col-d_2))/(GA39-3*h_col/7))/0.002)))^2))))/1000</f>
        <v/>
      </c>
      <c r="GC39">
        <f>IF($GB39&lt;N_Ed-1E-9*MAX(1,N_Ed),(FY39+FZ39)/2,FY39)</f>
        <v/>
      </c>
      <c r="GD39">
        <f>IF($GB39&lt;N_Ed-1E-9*MAX(1,N_Ed),FZ39,(FY39+FZ39)/2)</f>
        <v/>
      </c>
      <c r="GE39">
        <f>h_col*((GC39+GD39)/2)/(1-(GC39+GD39)/2)</f>
        <v/>
      </c>
      <c r="GF39">
        <f>(f_cd*b_col*((3*MIN(GE39,h_col)/7)+(4*MIN(GE39,h_col)/7)*(1-((4*MIN(GE39,h_col)/7)/(GE39-(3*MIN(GE39,h_col)/7)))^2/3))+$D39/2*((MAX(-f_yd,MIN(f_yd,200000*IF(GE39&lt;=h_col,0.0035*(GE39-d_2)/GE39,0.002*(GE39-d_2)/(GE39-3*h_col/7))))-f_cd*(1-(1-MAX(0,MIN(1,IF(GE39&lt;=h_col,0.0035*(GE39-d_2)/GE39,0.002*(GE39-d_2)/(GE39-3*h_col/7))/0.002)))^2))+(MAX(-f_yd,MIN(f_yd,200000*IF(GE39&lt;=h_col,0.0035*(GE39-(h_col-d_2))/GE39,0.002*(GE39-(h_col-d_2))/(GE39-3*h_col/7))))-f_cd*(1-(1-MAX(0,MIN(1,IF(GE39&lt;=h_col,0.0035*(GE39-(h_col-d_2))/GE39,0.002*(GE39-(h_col-d_2))/(GE39-3*h_col/7))/0.002)))^2))))/1000</f>
        <v/>
      </c>
      <c r="GG39">
        <f>IF($GF39&lt;N_Ed-1E-9*MAX(1,N_Ed),(GC39+GD39)/2,GC39)</f>
        <v/>
      </c>
      <c r="GH39">
        <f>IF($GF39&lt;N_Ed-1E-9*MAX(1,N_Ed),GD39,(GC39+GD39)/2)</f>
        <v/>
      </c>
      <c r="GI39">
        <f>h_col*((GG39+GH39)/2)/(1-(GG39+GH39)/2)</f>
        <v/>
      </c>
      <c r="GJ39">
        <f>(f_cd*b_col*((3*MIN(GI39,h_col)/7)+(4*MIN(GI39,h_col)/7)*(1-((4*MIN(GI39,h_col)/7)/(GI39-(3*MIN(GI39,h_col)/7)))^2/3))+$D39/2*((MAX(-f_yd,MIN(f_yd,200000*IF(GI39&lt;=h_col,0.0035*(GI39-d_2)/GI39,0.002*(GI39-d_2)/(GI39-3*h_col/7))))-f_cd*(1-(1-MAX(0,MIN(1,IF(GI39&lt;=h_col,0.0035*(GI39-d_2)/GI39,0.002*(GI39-d_2)/(GI39-3*h_col/7))/0.002)))^2))+(MAX(-f_yd,MIN(f_yd,200000*IF(GI39&lt;=h_col,0.0035*(GI39-(h_col-d_2))/GI39,0.002*(GI39-(h_col-d_2))/(GI39-3*h_col/7))))-f_cd*(1-(1-MAX(0,MIN(1,IF(GI39&lt;=h_col,0.0035*(GI39-(h_col-d_2))/GI39,0.002*(GI39-(h_col-d_2))/(GI39-3*h_col/7))/0.002)))^2))))/1000</f>
        <v/>
      </c>
      <c r="GK39">
        <f>IF($GJ39&lt;N_Ed-1E-9*MAX(1,N_Ed),(GG39+GH39)/2,GG39)</f>
        <v/>
      </c>
      <c r="GL39">
        <f>IF($GJ39&lt;N_Ed-1E-9*MAX(1,N_Ed),GH39,(GG39+GH39)/2)</f>
        <v/>
      </c>
      <c r="GM39">
        <f>h_col*((GK39+GL39)/2)/(1-(GK39+GL39)/2)</f>
        <v/>
      </c>
      <c r="GN39">
        <f>(f_cd*b_col*((3*MIN(GM39,h_col)/7)+(4*MIN(GM39,h_col)/7)*(1-((4*MIN(GM39,h_col)/7)/(GM39-(3*MIN(GM39,h_col)/7)))^2/3))+$D39/2*((MAX(-f_yd,MIN(f_yd,200000*IF(GM39&lt;=h_col,0.0035*(GM39-d_2)/GM39,0.002*(GM39-d_2)/(GM39-3*h_col/7))))-f_cd*(1-(1-MAX(0,MIN(1,IF(GM39&lt;=h_col,0.0035*(GM39-d_2)/GM39,0.002*(GM39-d_2)/(GM39-3*h_col/7))/0.002)))^2))+(MAX(-f_yd,MIN(f_yd,200000*IF(GM39&lt;=h_col,0.0035*(GM39-(h_col-d_2))/GM39,0.002*(GM39-(h_col-d_2))/(GM39-3*h_col/7))))-f_cd*(1-(1-MAX(0,MIN(1,IF(GM39&lt;=h_col,0.0035*(GM39-(h_col-d_2))/GM39,0.002*(GM39-(h_col-d_2))/(GM39-3*h_col/7))/0.002)))^2))))/1000</f>
        <v/>
      </c>
      <c r="GO39">
        <f>IF($GN39&lt;N_Ed-1E-9*MAX(1,N_Ed),(GK39+GL39)/2,GK39)</f>
        <v/>
      </c>
      <c r="GP39">
        <f>IF($GN39&lt;N_Ed-1E-9*MAX(1,N_Ed),GL39,(GK39+GL39)/2)</f>
        <v/>
      </c>
      <c r="GQ39">
        <f>h_col*((GO39+GP39)/2)/(1-(GO39+GP39)/2)</f>
        <v/>
      </c>
      <c r="GR39">
        <f>(f_cd*b_col*((3*MIN(GQ39,h_col)/7)+(4*MIN(GQ39,h_col)/7)*(1-((4*MIN(GQ39,h_col)/7)/(GQ39-(3*MIN(GQ39,h_col)/7)))^2/3))+$D39/2*((MAX(-f_yd,MIN(f_yd,200000*IF(GQ39&lt;=h_col,0.0035*(GQ39-d_2)/GQ39,0.002*(GQ39-d_2)/(GQ39-3*h_col/7))))-f_cd*(1-(1-MAX(0,MIN(1,IF(GQ39&lt;=h_col,0.0035*(GQ39-d_2)/GQ39,0.002*(GQ39-d_2)/(GQ39-3*h_col/7))/0.002)))^2))+(MAX(-f_yd,MIN(f_yd,200000*IF(GQ39&lt;=h_col,0.0035*(GQ39-(h_col-d_2))/GQ39,0.002*(GQ39-(h_col-d_2))/(GQ39-3*h_col/7))))-f_cd*(1-(1-MAX(0,MIN(1,IF(GQ39&lt;=h_col,0.0035*(GQ39-(h_col-d_2))/GQ39,0.002*(GQ39-(h_col-d_2))/(GQ39-3*h_col/7))/0.002)))^2))))/1000</f>
        <v/>
      </c>
      <c r="GS39">
        <f>IF($GR39&lt;N_Ed-1E-9*MAX(1,N_Ed),(GO39+GP39)/2,GO39)</f>
        <v/>
      </c>
      <c r="GT39">
        <f>IF($GR39&lt;N_Ed-1E-9*MAX(1,N_Ed),GP39,(GO39+GP39)/2)</f>
        <v/>
      </c>
      <c r="GU39">
        <f>h_col*((GS39+GT39)/2)/(1-(GS39+GT39)/2)</f>
        <v/>
      </c>
      <c r="GV39">
        <f>(f_cd*b_col*((3*MIN(GU39,h_col)/7)+(4*MIN(GU39,h_col)/7)*(1-((4*MIN(GU39,h_col)/7)/(GU39-(3*MIN(GU39,h_col)/7)))^2/3))+$D39/2*((MAX(-f_yd,MIN(f_yd,200000*IF(GU39&lt;=h_col,0.0035*(GU39-d_2)/GU39,0.002*(GU39-d_2)/(GU39-3*h_col/7))))-f_cd*(1-(1-MAX(0,MIN(1,IF(GU39&lt;=h_col,0.0035*(GU39-d_2)/GU39,0.002*(GU39-d_2)/(GU39-3*h_col/7))/0.002)))^2))+(MAX(-f_yd,MIN(f_yd,200000*IF(GU39&lt;=h_col,0.0035*(GU39-(h_col-d_2))/GU39,0.002*(GU39-(h_col-d_2))/(GU39-3*h_col/7))))-f_cd*(1-(1-MAX(0,MIN(1,IF(GU39&lt;=h_col,0.0035*(GU39-(h_col-d_2))/GU39,0.002*(GU39-(h_col-d_2))/(GU39-3*h_col/7))/0.002)))^2))))/1000</f>
        <v/>
      </c>
      <c r="GW39">
        <f>GU39</f>
        <v/>
      </c>
      <c r="GX39">
        <f>(f_cd*b_col*((3*MIN(GW39,h_col)/7)+(4*MIN(GW39,h_col)/7)*(1-((4*MIN(GW39,h_col)/7)/(GW39-(3*MIN(GW39,h_col)/7)))^2/3))+$D39/2*((MAX(-f_yd,MIN(f_yd,200000*IF(GW39&lt;=h_col,0.0035*(GW39-d_2)/GW39,0.002*(GW39-d_2)/(GW39-3*h_col/7))))-f_cd*(1-(1-MAX(0,MIN(1,IF(GW39&lt;=h_col,0.0035*(GW39-d_2)/GW39,0.002*(GW39-d_2)/(GW39-3*h_col/7))/0.002)))^2))+(MAX(-f_yd,MIN(f_yd,200000*IF(GW39&lt;=h_col,0.0035*(GW39-(h_col-d_2))/GW39,0.002*(GW39-(h_col-d_2))/(GW39-3*h_col/7))))-f_cd*(1-(1-MAX(0,MIN(1,IF(GW39&lt;=h_col,0.0035*(GW39-(h_col-d_2))/GW39,0.002*(GW39-(h_col-d_2))/(GW39-3*h_col/7))/0.002)))^2))))/1000</f>
        <v/>
      </c>
      <c r="GY39">
        <f>(f_cd*b_col*((3*MIN(GW39,h_col)/7)*(h_col/2-(3*MIN(GW39,h_col)/7)/2)+(4*MIN(GW39,h_col)/7)*((h_col/2-(3*MIN(GW39,h_col)/7))*(1-((4*MIN(GW39,h_col)/7)/(GW39-(3*MIN(GW39,h_col)/7)))^2/3)-(4*MIN(GW39,h_col)/7)*(0.5-((4*MIN(GW39,h_col)/7)/(GW39-(3*MIN(GW39,h_col)/7)))^2/4)))+$D39/2*((MAX(-f_yd,MIN(f_yd,200000*IF(GW39&lt;=h_col,0.0035*(GW39-d_2)/GW39,0.002*(GW39-d_2)/(GW39-3*h_col/7))))-f_cd*(1-(1-MAX(0,MIN(1,IF(GW39&lt;=h_col,0.0035*(GW39-d_2)/GW39,0.002*(GW39-d_2)/(GW39-3*h_col/7))/0.002)))^2))-(MAX(-f_yd,MIN(f_yd,200000*IF(GW39&lt;=h_col,0.0035*(GW39-(h_col-d_2))/GW39,0.002*(GW39-(h_col-d_2))/(GW39-3*h_col/7))))-f_cd*(1-(1-MAX(0,MIN(1,IF(GW39&lt;=h_col,0.0035*(GW39-(h_col-d_2))/GW39,0.002*(GW39-(h_col-d_2))/(GW39-3*h_col/7))/0.002)))^2)))*(h_col/2-d_2))/1E6</f>
        <v/>
      </c>
      <c r="GZ39">
        <f>GX39&gt;=N_Ed-1E-6*MAX(1,N_Ed)</f>
        <v/>
      </c>
      <c r="HA39">
        <f>IF(GZ39,GY39,-1E9)</f>
        <v/>
      </c>
    </row>
    <row r="40">
      <c r="A40" t="n">
        <v>35</v>
      </c>
      <c r="B40">
        <f>IF($HA39&gt;=M_d,$B39,$D39)</f>
        <v/>
      </c>
      <c r="C40">
        <f>IF($HA39&gt;=M_d,$D39,$C39)</f>
        <v/>
      </c>
      <c r="D40">
        <f>($B40+$C40)/2</f>
        <v/>
      </c>
      <c r="E40" t="n">
        <v>0</v>
      </c>
      <c r="F40">
        <f>1-1E-12</f>
        <v/>
      </c>
      <c r="G40">
        <f>h_col*((E40+F40)/2)/(1-(E40+F40)/2)</f>
        <v/>
      </c>
      <c r="H40">
        <f>(f_cd*b_col*((3*MIN(G40,h_col)/7)+(4*MIN(G40,h_col)/7)*(1-((4*MIN(G40,h_col)/7)/(G40-(3*MIN(G40,h_col)/7)))^2/3))+$D40/2*((MAX(-f_yd,MIN(f_yd,200000*IF(G40&lt;=h_col,0.0035*(G40-d_2)/G40,0.002*(G40-d_2)/(G40-3*h_col/7))))-f_cd*(1-(1-MAX(0,MIN(1,IF(G40&lt;=h_col,0.0035*(G40-d_2)/G40,0.002*(G40-d_2)/(G40-3*h_col/7))/0.002)))^2))+(MAX(-f_yd,MIN(f_yd,200000*IF(G40&lt;=h_col,0.0035*(G40-(h_col-d_2))/G40,0.002*(G40-(h_col-d_2))/(G40-3*h_col/7))))-f_cd*(1-(1-MAX(0,MIN(1,IF(G40&lt;=h_col,0.0035*(G40-(h_col-d_2))/G40,0.002*(G40-(h_col-d_2))/(G40-3*h_col/7))/0.002)))^2))))/1000</f>
        <v/>
      </c>
      <c r="I40">
        <f>IF($H40&lt;N_Ed-1E-9*MAX(1,N_Ed),(E40+F40)/2,E40)</f>
        <v/>
      </c>
      <c r="J40">
        <f>IF($H40&lt;N_Ed-1E-9*MAX(1,N_Ed),F40,(E40+F40)/2)</f>
        <v/>
      </c>
      <c r="K40">
        <f>h_col*((I40+J40)/2)/(1-(I40+J40)/2)</f>
        <v/>
      </c>
      <c r="L40">
        <f>(f_cd*b_col*((3*MIN(K40,h_col)/7)+(4*MIN(K40,h_col)/7)*(1-((4*MIN(K40,h_col)/7)/(K40-(3*MIN(K40,h_col)/7)))^2/3))+$D40/2*((MAX(-f_yd,MIN(f_yd,200000*IF(K40&lt;=h_col,0.0035*(K40-d_2)/K40,0.002*(K40-d_2)/(K40-3*h_col/7))))-f_cd*(1-(1-MAX(0,MIN(1,IF(K40&lt;=h_col,0.0035*(K40-d_2)/K40,0.002*(K40-d_2)/(K40-3*h_col/7))/0.002)))^2))+(MAX(-f_yd,MIN(f_yd,200000*IF(K40&lt;=h_col,0.0035*(K40-(h_col-d_2))/K40,0.002*(K40-(h_col-d_2))/(K40-3*h_col/7))))-f_cd*(1-(1-MAX(0,MIN(1,IF(K40&lt;=h_col,0.0035*(K40-(h_col-d_2))/K40,0.002*(K40-(h_col-d_2))/(K40-3*h_col/7))/0.002)))^2))))/1000</f>
        <v/>
      </c>
      <c r="M40">
        <f>IF($L40&lt;N_Ed-1E-9*MAX(1,N_Ed),(I40+J40)/2,I40)</f>
        <v/>
      </c>
      <c r="N40">
        <f>IF($L40&lt;N_Ed-1E-9*MAX(1,N_Ed),J40,(I40+J40)/2)</f>
        <v/>
      </c>
      <c r="O40">
        <f>h_col*((M40+N40)/2)/(1-(M40+N40)/2)</f>
        <v/>
      </c>
      <c r="P40">
        <f>(f_cd*b_col*((3*MIN(O40,h_col)/7)+(4*MIN(O40,h_col)/7)*(1-((4*MIN(O40,h_col)/7)/(O40-(3*MIN(O40,h_col)/7)))^2/3))+$D40/2*((MAX(-f_yd,MIN(f_yd,200000*IF(O40&lt;=h_col,0.0035*(O40-d_2)/O40,0.002*(O40-d_2)/(O40-3*h_col/7))))-f_cd*(1-(1-MAX(0,MIN(1,IF(O40&lt;=h_col,0.0035*(O40-d_2)/O40,0.002*(O40-d_2)/(O40-3*h_col/7))/0.002)))^2))+(MAX(-f_yd,MIN(f_yd,200000*IF(O40&lt;=h_col,0.0035*(O40-(h_col-d_2))/O40,0.002*(O40-(h_col-d_2))/(O40-3*h_col/7))))-f_cd*(1-(1-MAX(0,MIN(1,IF(O40&lt;=h_col,0.0035*(O40-(h_col-d_2))/O40,0.002*(O40-(h_col-d_2))/(O40-3*h_col/7))/0.002)))^2))))/1000</f>
        <v/>
      </c>
      <c r="Q40">
        <f>IF($P40&lt;N_Ed-1E-9*MAX(1,N_Ed),(M40+N40)/2,M40)</f>
        <v/>
      </c>
      <c r="R40">
        <f>IF($P40&lt;N_Ed-1E-9*MAX(1,N_Ed),N40,(M40+N40)/2)</f>
        <v/>
      </c>
      <c r="S40">
        <f>h_col*((Q40+R40)/2)/(1-(Q40+R40)/2)</f>
        <v/>
      </c>
      <c r="T40">
        <f>(f_cd*b_col*((3*MIN(S40,h_col)/7)+(4*MIN(S40,h_col)/7)*(1-((4*MIN(S40,h_col)/7)/(S40-(3*MIN(S40,h_col)/7)))^2/3))+$D40/2*((MAX(-f_yd,MIN(f_yd,200000*IF(S40&lt;=h_col,0.0035*(S40-d_2)/S40,0.002*(S40-d_2)/(S40-3*h_col/7))))-f_cd*(1-(1-MAX(0,MIN(1,IF(S40&lt;=h_col,0.0035*(S40-d_2)/S40,0.002*(S40-d_2)/(S40-3*h_col/7))/0.002)))^2))+(MAX(-f_yd,MIN(f_yd,200000*IF(S40&lt;=h_col,0.0035*(S40-(h_col-d_2))/S40,0.002*(S40-(h_col-d_2))/(S40-3*h_col/7))))-f_cd*(1-(1-MAX(0,MIN(1,IF(S40&lt;=h_col,0.0035*(S40-(h_col-d_2))/S40,0.002*(S40-(h_col-d_2))/(S40-3*h_col/7))/0.002)))^2))))/1000</f>
        <v/>
      </c>
      <c r="U40">
        <f>IF($T40&lt;N_Ed-1E-9*MAX(1,N_Ed),(Q40+R40)/2,Q40)</f>
        <v/>
      </c>
      <c r="V40">
        <f>IF($T40&lt;N_Ed-1E-9*MAX(1,N_Ed),R40,(Q40+R40)/2)</f>
        <v/>
      </c>
      <c r="W40">
        <f>h_col*((U40+V40)/2)/(1-(U40+V40)/2)</f>
        <v/>
      </c>
      <c r="X40">
        <f>(f_cd*b_col*((3*MIN(W40,h_col)/7)+(4*MIN(W40,h_col)/7)*(1-((4*MIN(W40,h_col)/7)/(W40-(3*MIN(W40,h_col)/7)))^2/3))+$D40/2*((MAX(-f_yd,MIN(f_yd,200000*IF(W40&lt;=h_col,0.0035*(W40-d_2)/W40,0.002*(W40-d_2)/(W40-3*h_col/7))))-f_cd*(1-(1-MAX(0,MIN(1,IF(W40&lt;=h_col,0.0035*(W40-d_2)/W40,0.002*(W40-d_2)/(W40-3*h_col/7))/0.002)))^2))+(MAX(-f_yd,MIN(f_yd,200000*IF(W40&lt;=h_col,0.0035*(W40-(h_col-d_2))/W40,0.002*(W40-(h_col-d_2))/(W40-3*h_col/7))))-f_cd*(1-(1-MAX(0,MIN(1,IF(W40&lt;=h_col,0.0035*(W40-(h_col-d_2))/W40,0.002*(W40-(h_col-d_2))/(W40-3*h_col/7))/0.002)))^2))))/1000</f>
        <v/>
      </c>
      <c r="Y40">
        <f>IF($X40&lt;N_Ed-1E-9*MAX(1,N_Ed),(U40+V40)/2,U40)</f>
        <v/>
      </c>
      <c r="Z40">
        <f>IF($X40&lt;N_Ed-1E-9*MAX(1,N_Ed),V40,(U40+V40)/2)</f>
        <v/>
      </c>
      <c r="AA40">
        <f>h_col*((Y40+Z40)/2)/(1-(Y40+Z40)/2)</f>
        <v/>
      </c>
      <c r="AB40">
        <f>(f_cd*b_col*((3*MIN(AA40,h_col)/7)+(4*MIN(AA40,h_col)/7)*(1-((4*MIN(AA40,h_col)/7)/(AA40-(3*MIN(AA40,h_col)/7)))^2/3))+$D40/2*((MAX(-f_yd,MIN(f_yd,200000*IF(AA40&lt;=h_col,0.0035*(AA40-d_2)/AA40,0.002*(AA40-d_2)/(AA40-3*h_col/7))))-f_cd*(1-(1-MAX(0,MIN(1,IF(AA40&lt;=h_col,0.0035*(AA40-d_2)/AA40,0.002*(AA40-d_2)/(AA40-3*h_col/7))/0.002)))^2))+(MAX(-f_yd,MIN(f_yd,200000*IF(AA40&lt;=h_col,0.0035*(AA40-(h_col-d_2))/AA40,0.002*(AA40-(h_col-d_2))/(AA40-3*h_col/7))))-f_cd*(1-(1-MAX(0,MIN(1,IF(AA40&lt;=h_col,0.0035*(AA40-(h_col-d_2))/AA40,0.002*(AA40-(h_col-d_2))/(AA40-3*h_col/7))/0.002)))^2))))/1000</f>
        <v/>
      </c>
      <c r="AC40">
        <f>IF($AB40&lt;N_Ed-1E-9*MAX(1,N_Ed),(Y40+Z40)/2,Y40)</f>
        <v/>
      </c>
      <c r="AD40">
        <f>IF($AB40&lt;N_Ed-1E-9*MAX(1,N_Ed),Z40,(Y40+Z40)/2)</f>
        <v/>
      </c>
      <c r="AE40">
        <f>h_col*((AC40+AD40)/2)/(1-(AC40+AD40)/2)</f>
        <v/>
      </c>
      <c r="AF40">
        <f>(f_cd*b_col*((3*MIN(AE40,h_col)/7)+(4*MIN(AE40,h_col)/7)*(1-((4*MIN(AE40,h_col)/7)/(AE40-(3*MIN(AE40,h_col)/7)))^2/3))+$D40/2*((MAX(-f_yd,MIN(f_yd,200000*IF(AE40&lt;=h_col,0.0035*(AE40-d_2)/AE40,0.002*(AE40-d_2)/(AE40-3*h_col/7))))-f_cd*(1-(1-MAX(0,MIN(1,IF(AE40&lt;=h_col,0.0035*(AE40-d_2)/AE40,0.002*(AE40-d_2)/(AE40-3*h_col/7))/0.002)))^2))+(MAX(-f_yd,MIN(f_yd,200000*IF(AE40&lt;=h_col,0.0035*(AE40-(h_col-d_2))/AE40,0.002*(AE40-(h_col-d_2))/(AE40-3*h_col/7))))-f_cd*(1-(1-MAX(0,MIN(1,IF(AE40&lt;=h_col,0.0035*(AE40-(h_col-d_2))/AE40,0.002*(AE40-(h_col-d_2))/(AE40-3*h_col/7))/0.002)))^2))))/1000</f>
        <v/>
      </c>
      <c r="AG40">
        <f>IF($AF40&lt;N_Ed-1E-9*MAX(1,N_Ed),(AC40+AD40)/2,AC40)</f>
        <v/>
      </c>
      <c r="AH40">
        <f>IF($AF40&lt;N_Ed-1E-9*MAX(1,N_Ed),AD40,(AC40+AD40)/2)</f>
        <v/>
      </c>
      <c r="AI40">
        <f>h_col*((AG40+AH40)/2)/(1-(AG40+AH40)/2)</f>
        <v/>
      </c>
      <c r="AJ40">
        <f>(f_cd*b_col*((3*MIN(AI40,h_col)/7)+(4*MIN(AI40,h_col)/7)*(1-((4*MIN(AI40,h_col)/7)/(AI40-(3*MIN(AI40,h_col)/7)))^2/3))+$D40/2*((MAX(-f_yd,MIN(f_yd,200000*IF(AI40&lt;=h_col,0.0035*(AI40-d_2)/AI40,0.002*(AI40-d_2)/(AI40-3*h_col/7))))-f_cd*(1-(1-MAX(0,MIN(1,IF(AI40&lt;=h_col,0.0035*(AI40-d_2)/AI40,0.002*(AI40-d_2)/(AI40-3*h_col/7))/0.002)))^2))+(MAX(-f_yd,MIN(f_yd,200000*IF(AI40&lt;=h_col,0.0035*(AI40-(h_col-d_2))/AI40,0.002*(AI40-(h_col-d_2))/(AI40-3*h_col/7))))-f_cd*(1-(1-MAX(0,MIN(1,IF(AI40&lt;=h_col,0.0035*(AI40-(h_col-d_2))/AI40,0.002*(AI40-(h_col-d_2))/(AI40-3*h_col/7))/0.002)))^2))))/1000</f>
        <v/>
      </c>
      <c r="AK40">
        <f>IF($AJ40&lt;N_Ed-1E-9*MAX(1,N_Ed),(AG40+AH40)/2,AG40)</f>
        <v/>
      </c>
      <c r="AL40">
        <f>IF($AJ40&lt;N_Ed-1E-9*MAX(1,N_Ed),AH40,(AG40+AH40)/2)</f>
        <v/>
      </c>
      <c r="AM40">
        <f>h_col*((AK40+AL40)/2)/(1-(AK40+AL40)/2)</f>
        <v/>
      </c>
      <c r="AN40">
        <f>(f_cd*b_col*((3*MIN(AM40,h_col)/7)+(4*MIN(AM40,h_col)/7)*(1-((4*MIN(AM40,h_col)/7)/(AM40-(3*MIN(AM40,h_col)/7)))^2/3))+$D40/2*((MAX(-f_yd,MIN(f_yd,200000*IF(AM40&lt;=h_col,0.0035*(AM40-d_2)/AM40,0.002*(AM40-d_2)/(AM40-3*h_col/7))))-f_cd*(1-(1-MAX(0,MIN(1,IF(AM40&lt;=h_col,0.0035*(AM40-d_2)/AM40,0.002*(AM40-d_2)/(AM40-3*h_col/7))/0.002)))^2))+(MAX(-f_yd,MIN(f_yd,200000*IF(AM40&lt;=h_col,0.0035*(AM40-(h_col-d_2))/AM40,0.002*(AM40-(h_col-d_2))/(AM40-3*h_col/7))))-f_cd*(1-(1-MAX(0,MIN(1,IF(AM40&lt;=h_col,0.0035*(AM40-(h_col-d_2))/AM40,0.002*(AM40-(h_col-d_2))/(AM40-3*h_col/7))/0.002)))^2))))/1000</f>
        <v/>
      </c>
      <c r="AO40">
        <f>IF($AN40&lt;N_Ed-1E-9*MAX(1,N_Ed),(AK40+AL40)/2,AK40)</f>
        <v/>
      </c>
      <c r="AP40">
        <f>IF($AN40&lt;N_Ed-1E-9*MAX(1,N_Ed),AL40,(AK40+AL40)/2)</f>
        <v/>
      </c>
      <c r="AQ40">
        <f>h_col*((AO40+AP40)/2)/(1-(AO40+AP40)/2)</f>
        <v/>
      </c>
      <c r="AR40">
        <f>(f_cd*b_col*((3*MIN(AQ40,h_col)/7)+(4*MIN(AQ40,h_col)/7)*(1-((4*MIN(AQ40,h_col)/7)/(AQ40-(3*MIN(AQ40,h_col)/7)))^2/3))+$D40/2*((MAX(-f_yd,MIN(f_yd,200000*IF(AQ40&lt;=h_col,0.0035*(AQ40-d_2)/AQ40,0.002*(AQ40-d_2)/(AQ40-3*h_col/7))))-f_cd*(1-(1-MAX(0,MIN(1,IF(AQ40&lt;=h_col,0.0035*(AQ40-d_2)/AQ40,0.002*(AQ40-d_2)/(AQ40-3*h_col/7))/0.002)))^2))+(MAX(-f_yd,MIN(f_yd,200000*IF(AQ40&lt;=h_col,0.0035*(AQ40-(h_col-d_2))/AQ40,0.002*(AQ40-(h_col-d_2))/(AQ40-3*h_col/7))))-f_cd*(1-(1-MAX(0,MIN(1,IF(AQ40&lt;=h_col,0.0035*(AQ40-(h_col-d_2))/AQ40,0.002*(AQ40-(h_col-d_2))/(AQ40-3*h_col/7))/0.002)))^2))))/1000</f>
        <v/>
      </c>
      <c r="AS40">
        <f>IF($AR40&lt;N_Ed-1E-9*MAX(1,N_Ed),(AO40+AP40)/2,AO40)</f>
        <v/>
      </c>
      <c r="AT40">
        <f>IF($AR40&lt;N_Ed-1E-9*MAX(1,N_Ed),AP40,(AO40+AP40)/2)</f>
        <v/>
      </c>
      <c r="AU40">
        <f>h_col*((AS40+AT40)/2)/(1-(AS40+AT40)/2)</f>
        <v/>
      </c>
      <c r="AV40">
        <f>(f_cd*b_col*((3*MIN(AU40,h_col)/7)+(4*MIN(AU40,h_col)/7)*(1-((4*MIN(AU40,h_col)/7)/(AU40-(3*MIN(AU40,h_col)/7)))^2/3))+$D40/2*((MAX(-f_yd,MIN(f_yd,200000*IF(AU40&lt;=h_col,0.0035*(AU40-d_2)/AU40,0.002*(AU40-d_2)/(AU40-3*h_col/7))))-f_cd*(1-(1-MAX(0,MIN(1,IF(AU40&lt;=h_col,0.0035*(AU40-d_2)/AU40,0.002*(AU40-d_2)/(AU40-3*h_col/7))/0.002)))^2))+(MAX(-f_yd,MIN(f_yd,200000*IF(AU40&lt;=h_col,0.0035*(AU40-(h_col-d_2))/AU40,0.002*(AU40-(h_col-d_2))/(AU40-3*h_col/7))))-f_cd*(1-(1-MAX(0,MIN(1,IF(AU40&lt;=h_col,0.0035*(AU40-(h_col-d_2))/AU40,0.002*(AU40-(h_col-d_2))/(AU40-3*h_col/7))/0.002)))^2))))/1000</f>
        <v/>
      </c>
      <c r="AW40">
        <f>IF($AV40&lt;N_Ed-1E-9*MAX(1,N_Ed),(AS40+AT40)/2,AS40)</f>
        <v/>
      </c>
      <c r="AX40">
        <f>IF($AV40&lt;N_Ed-1E-9*MAX(1,N_Ed),AT40,(AS40+AT40)/2)</f>
        <v/>
      </c>
      <c r="AY40">
        <f>h_col*((AW40+AX40)/2)/(1-(AW40+AX40)/2)</f>
        <v/>
      </c>
      <c r="AZ40">
        <f>(f_cd*b_col*((3*MIN(AY40,h_col)/7)+(4*MIN(AY40,h_col)/7)*(1-((4*MIN(AY40,h_col)/7)/(AY40-(3*MIN(AY40,h_col)/7)))^2/3))+$D40/2*((MAX(-f_yd,MIN(f_yd,200000*IF(AY40&lt;=h_col,0.0035*(AY40-d_2)/AY40,0.002*(AY40-d_2)/(AY40-3*h_col/7))))-f_cd*(1-(1-MAX(0,MIN(1,IF(AY40&lt;=h_col,0.0035*(AY40-d_2)/AY40,0.002*(AY40-d_2)/(AY40-3*h_col/7))/0.002)))^2))+(MAX(-f_yd,MIN(f_yd,200000*IF(AY40&lt;=h_col,0.0035*(AY40-(h_col-d_2))/AY40,0.002*(AY40-(h_col-d_2))/(AY40-3*h_col/7))))-f_cd*(1-(1-MAX(0,MIN(1,IF(AY40&lt;=h_col,0.0035*(AY40-(h_col-d_2))/AY40,0.002*(AY40-(h_col-d_2))/(AY40-3*h_col/7))/0.002)))^2))))/1000</f>
        <v/>
      </c>
      <c r="BA40">
        <f>IF($AZ40&lt;N_Ed-1E-9*MAX(1,N_Ed),(AW40+AX40)/2,AW40)</f>
        <v/>
      </c>
      <c r="BB40">
        <f>IF($AZ40&lt;N_Ed-1E-9*MAX(1,N_Ed),AX40,(AW40+AX40)/2)</f>
        <v/>
      </c>
      <c r="BC40">
        <f>h_col*((BA40+BB40)/2)/(1-(BA40+BB40)/2)</f>
        <v/>
      </c>
      <c r="BD40">
        <f>(f_cd*b_col*((3*MIN(BC40,h_col)/7)+(4*MIN(BC40,h_col)/7)*(1-((4*MIN(BC40,h_col)/7)/(BC40-(3*MIN(BC40,h_col)/7)))^2/3))+$D40/2*((MAX(-f_yd,MIN(f_yd,200000*IF(BC40&lt;=h_col,0.0035*(BC40-d_2)/BC40,0.002*(BC40-d_2)/(BC40-3*h_col/7))))-f_cd*(1-(1-MAX(0,MIN(1,IF(BC40&lt;=h_col,0.0035*(BC40-d_2)/BC40,0.002*(BC40-d_2)/(BC40-3*h_col/7))/0.002)))^2))+(MAX(-f_yd,MIN(f_yd,200000*IF(BC40&lt;=h_col,0.0035*(BC40-(h_col-d_2))/BC40,0.002*(BC40-(h_col-d_2))/(BC40-3*h_col/7))))-f_cd*(1-(1-MAX(0,MIN(1,IF(BC40&lt;=h_col,0.0035*(BC40-(h_col-d_2))/BC40,0.002*(BC40-(h_col-d_2))/(BC40-3*h_col/7))/0.002)))^2))))/1000</f>
        <v/>
      </c>
      <c r="BE40">
        <f>IF($BD40&lt;N_Ed-1E-9*MAX(1,N_Ed),(BA40+BB40)/2,BA40)</f>
        <v/>
      </c>
      <c r="BF40">
        <f>IF($BD40&lt;N_Ed-1E-9*MAX(1,N_Ed),BB40,(BA40+BB40)/2)</f>
        <v/>
      </c>
      <c r="BG40">
        <f>h_col*((BE40+BF40)/2)/(1-(BE40+BF40)/2)</f>
        <v/>
      </c>
      <c r="BH40">
        <f>(f_cd*b_col*((3*MIN(BG40,h_col)/7)+(4*MIN(BG40,h_col)/7)*(1-((4*MIN(BG40,h_col)/7)/(BG40-(3*MIN(BG40,h_col)/7)))^2/3))+$D40/2*((MAX(-f_yd,MIN(f_yd,200000*IF(BG40&lt;=h_col,0.0035*(BG40-d_2)/BG40,0.002*(BG40-d_2)/(BG40-3*h_col/7))))-f_cd*(1-(1-MAX(0,MIN(1,IF(BG40&lt;=h_col,0.0035*(BG40-d_2)/BG40,0.002*(BG40-d_2)/(BG40-3*h_col/7))/0.002)))^2))+(MAX(-f_yd,MIN(f_yd,200000*IF(BG40&lt;=h_col,0.0035*(BG40-(h_col-d_2))/BG40,0.002*(BG40-(h_col-d_2))/(BG40-3*h_col/7))))-f_cd*(1-(1-MAX(0,MIN(1,IF(BG40&lt;=h_col,0.0035*(BG40-(h_col-d_2))/BG40,0.002*(BG40-(h_col-d_2))/(BG40-3*h_col/7))/0.002)))^2))))/1000</f>
        <v/>
      </c>
      <c r="BI40">
        <f>IF($BH40&lt;N_Ed-1E-9*MAX(1,N_Ed),(BE40+BF40)/2,BE40)</f>
        <v/>
      </c>
      <c r="BJ40">
        <f>IF($BH40&lt;N_Ed-1E-9*MAX(1,N_Ed),BF40,(BE40+BF40)/2)</f>
        <v/>
      </c>
      <c r="BK40">
        <f>h_col*((BI40+BJ40)/2)/(1-(BI40+BJ40)/2)</f>
        <v/>
      </c>
      <c r="BL40">
        <f>(f_cd*b_col*((3*MIN(BK40,h_col)/7)+(4*MIN(BK40,h_col)/7)*(1-((4*MIN(BK40,h_col)/7)/(BK40-(3*MIN(BK40,h_col)/7)))^2/3))+$D40/2*((MAX(-f_yd,MIN(f_yd,200000*IF(BK40&lt;=h_col,0.0035*(BK40-d_2)/BK40,0.002*(BK40-d_2)/(BK40-3*h_col/7))))-f_cd*(1-(1-MAX(0,MIN(1,IF(BK40&lt;=h_col,0.0035*(BK40-d_2)/BK40,0.002*(BK40-d_2)/(BK40-3*h_col/7))/0.002)))^2))+(MAX(-f_yd,MIN(f_yd,200000*IF(BK40&lt;=h_col,0.0035*(BK40-(h_col-d_2))/BK40,0.002*(BK40-(h_col-d_2))/(BK40-3*h_col/7))))-f_cd*(1-(1-MAX(0,MIN(1,IF(BK40&lt;=h_col,0.0035*(BK40-(h_col-d_2))/BK40,0.002*(BK40-(h_col-d_2))/(BK40-3*h_col/7))/0.002)))^2))))/1000</f>
        <v/>
      </c>
      <c r="BM40">
        <f>IF($BL40&lt;N_Ed-1E-9*MAX(1,N_Ed),(BI40+BJ40)/2,BI40)</f>
        <v/>
      </c>
      <c r="BN40">
        <f>IF($BL40&lt;N_Ed-1E-9*MAX(1,N_Ed),BJ40,(BI40+BJ40)/2)</f>
        <v/>
      </c>
      <c r="BO40">
        <f>h_col*((BM40+BN40)/2)/(1-(BM40+BN40)/2)</f>
        <v/>
      </c>
      <c r="BP40">
        <f>(f_cd*b_col*((3*MIN(BO40,h_col)/7)+(4*MIN(BO40,h_col)/7)*(1-((4*MIN(BO40,h_col)/7)/(BO40-(3*MIN(BO40,h_col)/7)))^2/3))+$D40/2*((MAX(-f_yd,MIN(f_yd,200000*IF(BO40&lt;=h_col,0.0035*(BO40-d_2)/BO40,0.002*(BO40-d_2)/(BO40-3*h_col/7))))-f_cd*(1-(1-MAX(0,MIN(1,IF(BO40&lt;=h_col,0.0035*(BO40-d_2)/BO40,0.002*(BO40-d_2)/(BO40-3*h_col/7))/0.002)))^2))+(MAX(-f_yd,MIN(f_yd,200000*IF(BO40&lt;=h_col,0.0035*(BO40-(h_col-d_2))/BO40,0.002*(BO40-(h_col-d_2))/(BO40-3*h_col/7))))-f_cd*(1-(1-MAX(0,MIN(1,IF(BO40&lt;=h_col,0.0035*(BO40-(h_col-d_2))/BO40,0.002*(BO40-(h_col-d_2))/(BO40-3*h_col/7))/0.002)))^2))))/1000</f>
        <v/>
      </c>
      <c r="BQ40">
        <f>IF($BP40&lt;N_Ed-1E-9*MAX(1,N_Ed),(BM40+BN40)/2,BM40)</f>
        <v/>
      </c>
      <c r="BR40">
        <f>IF($BP40&lt;N_Ed-1E-9*MAX(1,N_Ed),BN40,(BM40+BN40)/2)</f>
        <v/>
      </c>
      <c r="BS40">
        <f>h_col*((BQ40+BR40)/2)/(1-(BQ40+BR40)/2)</f>
        <v/>
      </c>
      <c r="BT40">
        <f>(f_cd*b_col*((3*MIN(BS40,h_col)/7)+(4*MIN(BS40,h_col)/7)*(1-((4*MIN(BS40,h_col)/7)/(BS40-(3*MIN(BS40,h_col)/7)))^2/3))+$D40/2*((MAX(-f_yd,MIN(f_yd,200000*IF(BS40&lt;=h_col,0.0035*(BS40-d_2)/BS40,0.002*(BS40-d_2)/(BS40-3*h_col/7))))-f_cd*(1-(1-MAX(0,MIN(1,IF(BS40&lt;=h_col,0.0035*(BS40-d_2)/BS40,0.002*(BS40-d_2)/(BS40-3*h_col/7))/0.002)))^2))+(MAX(-f_yd,MIN(f_yd,200000*IF(BS40&lt;=h_col,0.0035*(BS40-(h_col-d_2))/BS40,0.002*(BS40-(h_col-d_2))/(BS40-3*h_col/7))))-f_cd*(1-(1-MAX(0,MIN(1,IF(BS40&lt;=h_col,0.0035*(BS40-(h_col-d_2))/BS40,0.002*(BS40-(h_col-d_2))/(BS40-3*h_col/7))/0.002)))^2))))/1000</f>
        <v/>
      </c>
      <c r="BU40">
        <f>IF($BT40&lt;N_Ed-1E-9*MAX(1,N_Ed),(BQ40+BR40)/2,BQ40)</f>
        <v/>
      </c>
      <c r="BV40">
        <f>IF($BT40&lt;N_Ed-1E-9*MAX(1,N_Ed),BR40,(BQ40+BR40)/2)</f>
        <v/>
      </c>
      <c r="BW40">
        <f>h_col*((BU40+BV40)/2)/(1-(BU40+BV40)/2)</f>
        <v/>
      </c>
      <c r="BX40">
        <f>(f_cd*b_col*((3*MIN(BW40,h_col)/7)+(4*MIN(BW40,h_col)/7)*(1-((4*MIN(BW40,h_col)/7)/(BW40-(3*MIN(BW40,h_col)/7)))^2/3))+$D40/2*((MAX(-f_yd,MIN(f_yd,200000*IF(BW40&lt;=h_col,0.0035*(BW40-d_2)/BW40,0.002*(BW40-d_2)/(BW40-3*h_col/7))))-f_cd*(1-(1-MAX(0,MIN(1,IF(BW40&lt;=h_col,0.0035*(BW40-d_2)/BW40,0.002*(BW40-d_2)/(BW40-3*h_col/7))/0.002)))^2))+(MAX(-f_yd,MIN(f_yd,200000*IF(BW40&lt;=h_col,0.0035*(BW40-(h_col-d_2))/BW40,0.002*(BW40-(h_col-d_2))/(BW40-3*h_col/7))))-f_cd*(1-(1-MAX(0,MIN(1,IF(BW40&lt;=h_col,0.0035*(BW40-(h_col-d_2))/BW40,0.002*(BW40-(h_col-d_2))/(BW40-3*h_col/7))/0.002)))^2))))/1000</f>
        <v/>
      </c>
      <c r="BY40">
        <f>IF($BX40&lt;N_Ed-1E-9*MAX(1,N_Ed),(BU40+BV40)/2,BU40)</f>
        <v/>
      </c>
      <c r="BZ40">
        <f>IF($BX40&lt;N_Ed-1E-9*MAX(1,N_Ed),BV40,(BU40+BV40)/2)</f>
        <v/>
      </c>
      <c r="CA40">
        <f>h_col*((BY40+BZ40)/2)/(1-(BY40+BZ40)/2)</f>
        <v/>
      </c>
      <c r="CB40">
        <f>(f_cd*b_col*((3*MIN(CA40,h_col)/7)+(4*MIN(CA40,h_col)/7)*(1-((4*MIN(CA40,h_col)/7)/(CA40-(3*MIN(CA40,h_col)/7)))^2/3))+$D40/2*((MAX(-f_yd,MIN(f_yd,200000*IF(CA40&lt;=h_col,0.0035*(CA40-d_2)/CA40,0.002*(CA40-d_2)/(CA40-3*h_col/7))))-f_cd*(1-(1-MAX(0,MIN(1,IF(CA40&lt;=h_col,0.0035*(CA40-d_2)/CA40,0.002*(CA40-d_2)/(CA40-3*h_col/7))/0.002)))^2))+(MAX(-f_yd,MIN(f_yd,200000*IF(CA40&lt;=h_col,0.0035*(CA40-(h_col-d_2))/CA40,0.002*(CA40-(h_col-d_2))/(CA40-3*h_col/7))))-f_cd*(1-(1-MAX(0,MIN(1,IF(CA40&lt;=h_col,0.0035*(CA40-(h_col-d_2))/CA40,0.002*(CA40-(h_col-d_2))/(CA40-3*h_col/7))/0.002)))^2))))/1000</f>
        <v/>
      </c>
      <c r="CC40">
        <f>IF($CB40&lt;N_Ed-1E-9*MAX(1,N_Ed),(BY40+BZ40)/2,BY40)</f>
        <v/>
      </c>
      <c r="CD40">
        <f>IF($CB40&lt;N_Ed-1E-9*MAX(1,N_Ed),BZ40,(BY40+BZ40)/2)</f>
        <v/>
      </c>
      <c r="CE40">
        <f>h_col*((CC40+CD40)/2)/(1-(CC40+CD40)/2)</f>
        <v/>
      </c>
      <c r="CF40">
        <f>(f_cd*b_col*((3*MIN(CE40,h_col)/7)+(4*MIN(CE40,h_col)/7)*(1-((4*MIN(CE40,h_col)/7)/(CE40-(3*MIN(CE40,h_col)/7)))^2/3))+$D40/2*((MAX(-f_yd,MIN(f_yd,200000*IF(CE40&lt;=h_col,0.0035*(CE40-d_2)/CE40,0.002*(CE40-d_2)/(CE40-3*h_col/7))))-f_cd*(1-(1-MAX(0,MIN(1,IF(CE40&lt;=h_col,0.0035*(CE40-d_2)/CE40,0.002*(CE40-d_2)/(CE40-3*h_col/7))/0.002)))^2))+(MAX(-f_yd,MIN(f_yd,200000*IF(CE40&lt;=h_col,0.0035*(CE40-(h_col-d_2))/CE40,0.002*(CE40-(h_col-d_2))/(CE40-3*h_col/7))))-f_cd*(1-(1-MAX(0,MIN(1,IF(CE40&lt;=h_col,0.0035*(CE40-(h_col-d_2))/CE40,0.002*(CE40-(h_col-d_2))/(CE40-3*h_col/7))/0.002)))^2))))/1000</f>
        <v/>
      </c>
      <c r="CG40">
        <f>IF($CF40&lt;N_Ed-1E-9*MAX(1,N_Ed),(CC40+CD40)/2,CC40)</f>
        <v/>
      </c>
      <c r="CH40">
        <f>IF($CF40&lt;N_Ed-1E-9*MAX(1,N_Ed),CD40,(CC40+CD40)/2)</f>
        <v/>
      </c>
      <c r="CI40">
        <f>h_col*((CG40+CH40)/2)/(1-(CG40+CH40)/2)</f>
        <v/>
      </c>
      <c r="CJ40">
        <f>(f_cd*b_col*((3*MIN(CI40,h_col)/7)+(4*MIN(CI40,h_col)/7)*(1-((4*MIN(CI40,h_col)/7)/(CI40-(3*MIN(CI40,h_col)/7)))^2/3))+$D40/2*((MAX(-f_yd,MIN(f_yd,200000*IF(CI40&lt;=h_col,0.0035*(CI40-d_2)/CI40,0.002*(CI40-d_2)/(CI40-3*h_col/7))))-f_cd*(1-(1-MAX(0,MIN(1,IF(CI40&lt;=h_col,0.0035*(CI40-d_2)/CI40,0.002*(CI40-d_2)/(CI40-3*h_col/7))/0.002)))^2))+(MAX(-f_yd,MIN(f_yd,200000*IF(CI40&lt;=h_col,0.0035*(CI40-(h_col-d_2))/CI40,0.002*(CI40-(h_col-d_2))/(CI40-3*h_col/7))))-f_cd*(1-(1-MAX(0,MIN(1,IF(CI40&lt;=h_col,0.0035*(CI40-(h_col-d_2))/CI40,0.002*(CI40-(h_col-d_2))/(CI40-3*h_col/7))/0.002)))^2))))/1000</f>
        <v/>
      </c>
      <c r="CK40">
        <f>IF($CJ40&lt;N_Ed-1E-9*MAX(1,N_Ed),(CG40+CH40)/2,CG40)</f>
        <v/>
      </c>
      <c r="CL40">
        <f>IF($CJ40&lt;N_Ed-1E-9*MAX(1,N_Ed),CH40,(CG40+CH40)/2)</f>
        <v/>
      </c>
      <c r="CM40">
        <f>h_col*((CK40+CL40)/2)/(1-(CK40+CL40)/2)</f>
        <v/>
      </c>
      <c r="CN40">
        <f>(f_cd*b_col*((3*MIN(CM40,h_col)/7)+(4*MIN(CM40,h_col)/7)*(1-((4*MIN(CM40,h_col)/7)/(CM40-(3*MIN(CM40,h_col)/7)))^2/3))+$D40/2*((MAX(-f_yd,MIN(f_yd,200000*IF(CM40&lt;=h_col,0.0035*(CM40-d_2)/CM40,0.002*(CM40-d_2)/(CM40-3*h_col/7))))-f_cd*(1-(1-MAX(0,MIN(1,IF(CM40&lt;=h_col,0.0035*(CM40-d_2)/CM40,0.002*(CM40-d_2)/(CM40-3*h_col/7))/0.002)))^2))+(MAX(-f_yd,MIN(f_yd,200000*IF(CM40&lt;=h_col,0.0035*(CM40-(h_col-d_2))/CM40,0.002*(CM40-(h_col-d_2))/(CM40-3*h_col/7))))-f_cd*(1-(1-MAX(0,MIN(1,IF(CM40&lt;=h_col,0.0035*(CM40-(h_col-d_2))/CM40,0.002*(CM40-(h_col-d_2))/(CM40-3*h_col/7))/0.002)))^2))))/1000</f>
        <v/>
      </c>
      <c r="CO40">
        <f>IF($CN40&lt;N_Ed-1E-9*MAX(1,N_Ed),(CK40+CL40)/2,CK40)</f>
        <v/>
      </c>
      <c r="CP40">
        <f>IF($CN40&lt;N_Ed-1E-9*MAX(1,N_Ed),CL40,(CK40+CL40)/2)</f>
        <v/>
      </c>
      <c r="CQ40">
        <f>h_col*((CO40+CP40)/2)/(1-(CO40+CP40)/2)</f>
        <v/>
      </c>
      <c r="CR40">
        <f>(f_cd*b_col*((3*MIN(CQ40,h_col)/7)+(4*MIN(CQ40,h_col)/7)*(1-((4*MIN(CQ40,h_col)/7)/(CQ40-(3*MIN(CQ40,h_col)/7)))^2/3))+$D40/2*((MAX(-f_yd,MIN(f_yd,200000*IF(CQ40&lt;=h_col,0.0035*(CQ40-d_2)/CQ40,0.002*(CQ40-d_2)/(CQ40-3*h_col/7))))-f_cd*(1-(1-MAX(0,MIN(1,IF(CQ40&lt;=h_col,0.0035*(CQ40-d_2)/CQ40,0.002*(CQ40-d_2)/(CQ40-3*h_col/7))/0.002)))^2))+(MAX(-f_yd,MIN(f_yd,200000*IF(CQ40&lt;=h_col,0.0035*(CQ40-(h_col-d_2))/CQ40,0.002*(CQ40-(h_col-d_2))/(CQ40-3*h_col/7))))-f_cd*(1-(1-MAX(0,MIN(1,IF(CQ40&lt;=h_col,0.0035*(CQ40-(h_col-d_2))/CQ40,0.002*(CQ40-(h_col-d_2))/(CQ40-3*h_col/7))/0.002)))^2))))/1000</f>
        <v/>
      </c>
      <c r="CS40">
        <f>IF($CR40&lt;N_Ed-1E-9*MAX(1,N_Ed),(CO40+CP40)/2,CO40)</f>
        <v/>
      </c>
      <c r="CT40">
        <f>IF($CR40&lt;N_Ed-1E-9*MAX(1,N_Ed),CP40,(CO40+CP40)/2)</f>
        <v/>
      </c>
      <c r="CU40">
        <f>h_col*((CS40+CT40)/2)/(1-(CS40+CT40)/2)</f>
        <v/>
      </c>
      <c r="CV40">
        <f>(f_cd*b_col*((3*MIN(CU40,h_col)/7)+(4*MIN(CU40,h_col)/7)*(1-((4*MIN(CU40,h_col)/7)/(CU40-(3*MIN(CU40,h_col)/7)))^2/3))+$D40/2*((MAX(-f_yd,MIN(f_yd,200000*IF(CU40&lt;=h_col,0.0035*(CU40-d_2)/CU40,0.002*(CU40-d_2)/(CU40-3*h_col/7))))-f_cd*(1-(1-MAX(0,MIN(1,IF(CU40&lt;=h_col,0.0035*(CU40-d_2)/CU40,0.002*(CU40-d_2)/(CU40-3*h_col/7))/0.002)))^2))+(MAX(-f_yd,MIN(f_yd,200000*IF(CU40&lt;=h_col,0.0035*(CU40-(h_col-d_2))/CU40,0.002*(CU40-(h_col-d_2))/(CU40-3*h_col/7))))-f_cd*(1-(1-MAX(0,MIN(1,IF(CU40&lt;=h_col,0.0035*(CU40-(h_col-d_2))/CU40,0.002*(CU40-(h_col-d_2))/(CU40-3*h_col/7))/0.002)))^2))))/1000</f>
        <v/>
      </c>
      <c r="CW40">
        <f>IF($CV40&lt;N_Ed-1E-9*MAX(1,N_Ed),(CS40+CT40)/2,CS40)</f>
        <v/>
      </c>
      <c r="CX40">
        <f>IF($CV40&lt;N_Ed-1E-9*MAX(1,N_Ed),CT40,(CS40+CT40)/2)</f>
        <v/>
      </c>
      <c r="CY40">
        <f>h_col*((CW40+CX40)/2)/(1-(CW40+CX40)/2)</f>
        <v/>
      </c>
      <c r="CZ40">
        <f>(f_cd*b_col*((3*MIN(CY40,h_col)/7)+(4*MIN(CY40,h_col)/7)*(1-((4*MIN(CY40,h_col)/7)/(CY40-(3*MIN(CY40,h_col)/7)))^2/3))+$D40/2*((MAX(-f_yd,MIN(f_yd,200000*IF(CY40&lt;=h_col,0.0035*(CY40-d_2)/CY40,0.002*(CY40-d_2)/(CY40-3*h_col/7))))-f_cd*(1-(1-MAX(0,MIN(1,IF(CY40&lt;=h_col,0.0035*(CY40-d_2)/CY40,0.002*(CY40-d_2)/(CY40-3*h_col/7))/0.002)))^2))+(MAX(-f_yd,MIN(f_yd,200000*IF(CY40&lt;=h_col,0.0035*(CY40-(h_col-d_2))/CY40,0.002*(CY40-(h_col-d_2))/(CY40-3*h_col/7))))-f_cd*(1-(1-MAX(0,MIN(1,IF(CY40&lt;=h_col,0.0035*(CY40-(h_col-d_2))/CY40,0.002*(CY40-(h_col-d_2))/(CY40-3*h_col/7))/0.002)))^2))))/1000</f>
        <v/>
      </c>
      <c r="DA40">
        <f>IF($CZ40&lt;N_Ed-1E-9*MAX(1,N_Ed),(CW40+CX40)/2,CW40)</f>
        <v/>
      </c>
      <c r="DB40">
        <f>IF($CZ40&lt;N_Ed-1E-9*MAX(1,N_Ed),CX40,(CW40+CX40)/2)</f>
        <v/>
      </c>
      <c r="DC40">
        <f>h_col*((DA40+DB40)/2)/(1-(DA40+DB40)/2)</f>
        <v/>
      </c>
      <c r="DD40">
        <f>(f_cd*b_col*((3*MIN(DC40,h_col)/7)+(4*MIN(DC40,h_col)/7)*(1-((4*MIN(DC40,h_col)/7)/(DC40-(3*MIN(DC40,h_col)/7)))^2/3))+$D40/2*((MAX(-f_yd,MIN(f_yd,200000*IF(DC40&lt;=h_col,0.0035*(DC40-d_2)/DC40,0.002*(DC40-d_2)/(DC40-3*h_col/7))))-f_cd*(1-(1-MAX(0,MIN(1,IF(DC40&lt;=h_col,0.0035*(DC40-d_2)/DC40,0.002*(DC40-d_2)/(DC40-3*h_col/7))/0.002)))^2))+(MAX(-f_yd,MIN(f_yd,200000*IF(DC40&lt;=h_col,0.0035*(DC40-(h_col-d_2))/DC40,0.002*(DC40-(h_col-d_2))/(DC40-3*h_col/7))))-f_cd*(1-(1-MAX(0,MIN(1,IF(DC40&lt;=h_col,0.0035*(DC40-(h_col-d_2))/DC40,0.002*(DC40-(h_col-d_2))/(DC40-3*h_col/7))/0.002)))^2))))/1000</f>
        <v/>
      </c>
      <c r="DE40">
        <f>IF($DD40&lt;N_Ed-1E-9*MAX(1,N_Ed),(DA40+DB40)/2,DA40)</f>
        <v/>
      </c>
      <c r="DF40">
        <f>IF($DD40&lt;N_Ed-1E-9*MAX(1,N_Ed),DB40,(DA40+DB40)/2)</f>
        <v/>
      </c>
      <c r="DG40">
        <f>h_col*((DE40+DF40)/2)/(1-(DE40+DF40)/2)</f>
        <v/>
      </c>
      <c r="DH40">
        <f>(f_cd*b_col*((3*MIN(DG40,h_col)/7)+(4*MIN(DG40,h_col)/7)*(1-((4*MIN(DG40,h_col)/7)/(DG40-(3*MIN(DG40,h_col)/7)))^2/3))+$D40/2*((MAX(-f_yd,MIN(f_yd,200000*IF(DG40&lt;=h_col,0.0035*(DG40-d_2)/DG40,0.002*(DG40-d_2)/(DG40-3*h_col/7))))-f_cd*(1-(1-MAX(0,MIN(1,IF(DG40&lt;=h_col,0.0035*(DG40-d_2)/DG40,0.002*(DG40-d_2)/(DG40-3*h_col/7))/0.002)))^2))+(MAX(-f_yd,MIN(f_yd,200000*IF(DG40&lt;=h_col,0.0035*(DG40-(h_col-d_2))/DG40,0.002*(DG40-(h_col-d_2))/(DG40-3*h_col/7))))-f_cd*(1-(1-MAX(0,MIN(1,IF(DG40&lt;=h_col,0.0035*(DG40-(h_col-d_2))/DG40,0.002*(DG40-(h_col-d_2))/(DG40-3*h_col/7))/0.002)))^2))))/1000</f>
        <v/>
      </c>
      <c r="DI40">
        <f>IF($DH40&lt;N_Ed-1E-9*MAX(1,N_Ed),(DE40+DF40)/2,DE40)</f>
        <v/>
      </c>
      <c r="DJ40">
        <f>IF($DH40&lt;N_Ed-1E-9*MAX(1,N_Ed),DF40,(DE40+DF40)/2)</f>
        <v/>
      </c>
      <c r="DK40">
        <f>h_col*((DI40+DJ40)/2)/(1-(DI40+DJ40)/2)</f>
        <v/>
      </c>
      <c r="DL40">
        <f>(f_cd*b_col*((3*MIN(DK40,h_col)/7)+(4*MIN(DK40,h_col)/7)*(1-((4*MIN(DK40,h_col)/7)/(DK40-(3*MIN(DK40,h_col)/7)))^2/3))+$D40/2*((MAX(-f_yd,MIN(f_yd,200000*IF(DK40&lt;=h_col,0.0035*(DK40-d_2)/DK40,0.002*(DK40-d_2)/(DK40-3*h_col/7))))-f_cd*(1-(1-MAX(0,MIN(1,IF(DK40&lt;=h_col,0.0035*(DK40-d_2)/DK40,0.002*(DK40-d_2)/(DK40-3*h_col/7))/0.002)))^2))+(MAX(-f_yd,MIN(f_yd,200000*IF(DK40&lt;=h_col,0.0035*(DK40-(h_col-d_2))/DK40,0.002*(DK40-(h_col-d_2))/(DK40-3*h_col/7))))-f_cd*(1-(1-MAX(0,MIN(1,IF(DK40&lt;=h_col,0.0035*(DK40-(h_col-d_2))/DK40,0.002*(DK40-(h_col-d_2))/(DK40-3*h_col/7))/0.002)))^2))))/1000</f>
        <v/>
      </c>
      <c r="DM40">
        <f>IF($DL40&lt;N_Ed-1E-9*MAX(1,N_Ed),(DI40+DJ40)/2,DI40)</f>
        <v/>
      </c>
      <c r="DN40">
        <f>IF($DL40&lt;N_Ed-1E-9*MAX(1,N_Ed),DJ40,(DI40+DJ40)/2)</f>
        <v/>
      </c>
      <c r="DO40">
        <f>h_col*((DM40+DN40)/2)/(1-(DM40+DN40)/2)</f>
        <v/>
      </c>
      <c r="DP40">
        <f>(f_cd*b_col*((3*MIN(DO40,h_col)/7)+(4*MIN(DO40,h_col)/7)*(1-((4*MIN(DO40,h_col)/7)/(DO40-(3*MIN(DO40,h_col)/7)))^2/3))+$D40/2*((MAX(-f_yd,MIN(f_yd,200000*IF(DO40&lt;=h_col,0.0035*(DO40-d_2)/DO40,0.002*(DO40-d_2)/(DO40-3*h_col/7))))-f_cd*(1-(1-MAX(0,MIN(1,IF(DO40&lt;=h_col,0.0035*(DO40-d_2)/DO40,0.002*(DO40-d_2)/(DO40-3*h_col/7))/0.002)))^2))+(MAX(-f_yd,MIN(f_yd,200000*IF(DO40&lt;=h_col,0.0035*(DO40-(h_col-d_2))/DO40,0.002*(DO40-(h_col-d_2))/(DO40-3*h_col/7))))-f_cd*(1-(1-MAX(0,MIN(1,IF(DO40&lt;=h_col,0.0035*(DO40-(h_col-d_2))/DO40,0.002*(DO40-(h_col-d_2))/(DO40-3*h_col/7))/0.002)))^2))))/1000</f>
        <v/>
      </c>
      <c r="DQ40">
        <f>IF($DP40&lt;N_Ed-1E-9*MAX(1,N_Ed),(DM40+DN40)/2,DM40)</f>
        <v/>
      </c>
      <c r="DR40">
        <f>IF($DP40&lt;N_Ed-1E-9*MAX(1,N_Ed),DN40,(DM40+DN40)/2)</f>
        <v/>
      </c>
      <c r="DS40">
        <f>h_col*((DQ40+DR40)/2)/(1-(DQ40+DR40)/2)</f>
        <v/>
      </c>
      <c r="DT40">
        <f>(f_cd*b_col*((3*MIN(DS40,h_col)/7)+(4*MIN(DS40,h_col)/7)*(1-((4*MIN(DS40,h_col)/7)/(DS40-(3*MIN(DS40,h_col)/7)))^2/3))+$D40/2*((MAX(-f_yd,MIN(f_yd,200000*IF(DS40&lt;=h_col,0.0035*(DS40-d_2)/DS40,0.002*(DS40-d_2)/(DS40-3*h_col/7))))-f_cd*(1-(1-MAX(0,MIN(1,IF(DS40&lt;=h_col,0.0035*(DS40-d_2)/DS40,0.002*(DS40-d_2)/(DS40-3*h_col/7))/0.002)))^2))+(MAX(-f_yd,MIN(f_yd,200000*IF(DS40&lt;=h_col,0.0035*(DS40-(h_col-d_2))/DS40,0.002*(DS40-(h_col-d_2))/(DS40-3*h_col/7))))-f_cd*(1-(1-MAX(0,MIN(1,IF(DS40&lt;=h_col,0.0035*(DS40-(h_col-d_2))/DS40,0.002*(DS40-(h_col-d_2))/(DS40-3*h_col/7))/0.002)))^2))))/1000</f>
        <v/>
      </c>
      <c r="DU40">
        <f>IF($DT40&lt;N_Ed-1E-9*MAX(1,N_Ed),(DQ40+DR40)/2,DQ40)</f>
        <v/>
      </c>
      <c r="DV40">
        <f>IF($DT40&lt;N_Ed-1E-9*MAX(1,N_Ed),DR40,(DQ40+DR40)/2)</f>
        <v/>
      </c>
      <c r="DW40">
        <f>h_col*((DU40+DV40)/2)/(1-(DU40+DV40)/2)</f>
        <v/>
      </c>
      <c r="DX40">
        <f>(f_cd*b_col*((3*MIN(DW40,h_col)/7)+(4*MIN(DW40,h_col)/7)*(1-((4*MIN(DW40,h_col)/7)/(DW40-(3*MIN(DW40,h_col)/7)))^2/3))+$D40/2*((MAX(-f_yd,MIN(f_yd,200000*IF(DW40&lt;=h_col,0.0035*(DW40-d_2)/DW40,0.002*(DW40-d_2)/(DW40-3*h_col/7))))-f_cd*(1-(1-MAX(0,MIN(1,IF(DW40&lt;=h_col,0.0035*(DW40-d_2)/DW40,0.002*(DW40-d_2)/(DW40-3*h_col/7))/0.002)))^2))+(MAX(-f_yd,MIN(f_yd,200000*IF(DW40&lt;=h_col,0.0035*(DW40-(h_col-d_2))/DW40,0.002*(DW40-(h_col-d_2))/(DW40-3*h_col/7))))-f_cd*(1-(1-MAX(0,MIN(1,IF(DW40&lt;=h_col,0.0035*(DW40-(h_col-d_2))/DW40,0.002*(DW40-(h_col-d_2))/(DW40-3*h_col/7))/0.002)))^2))))/1000</f>
        <v/>
      </c>
      <c r="DY40">
        <f>IF($DX40&lt;N_Ed-1E-9*MAX(1,N_Ed),(DU40+DV40)/2,DU40)</f>
        <v/>
      </c>
      <c r="DZ40">
        <f>IF($DX40&lt;N_Ed-1E-9*MAX(1,N_Ed),DV40,(DU40+DV40)/2)</f>
        <v/>
      </c>
      <c r="EA40">
        <f>h_col*((DY40+DZ40)/2)/(1-(DY40+DZ40)/2)</f>
        <v/>
      </c>
      <c r="EB40">
        <f>(f_cd*b_col*((3*MIN(EA40,h_col)/7)+(4*MIN(EA40,h_col)/7)*(1-((4*MIN(EA40,h_col)/7)/(EA40-(3*MIN(EA40,h_col)/7)))^2/3))+$D40/2*((MAX(-f_yd,MIN(f_yd,200000*IF(EA40&lt;=h_col,0.0035*(EA40-d_2)/EA40,0.002*(EA40-d_2)/(EA40-3*h_col/7))))-f_cd*(1-(1-MAX(0,MIN(1,IF(EA40&lt;=h_col,0.0035*(EA40-d_2)/EA40,0.002*(EA40-d_2)/(EA40-3*h_col/7))/0.002)))^2))+(MAX(-f_yd,MIN(f_yd,200000*IF(EA40&lt;=h_col,0.0035*(EA40-(h_col-d_2))/EA40,0.002*(EA40-(h_col-d_2))/(EA40-3*h_col/7))))-f_cd*(1-(1-MAX(0,MIN(1,IF(EA40&lt;=h_col,0.0035*(EA40-(h_col-d_2))/EA40,0.002*(EA40-(h_col-d_2))/(EA40-3*h_col/7))/0.002)))^2))))/1000</f>
        <v/>
      </c>
      <c r="EC40">
        <f>IF($EB40&lt;N_Ed-1E-9*MAX(1,N_Ed),(DY40+DZ40)/2,DY40)</f>
        <v/>
      </c>
      <c r="ED40">
        <f>IF($EB40&lt;N_Ed-1E-9*MAX(1,N_Ed),DZ40,(DY40+DZ40)/2)</f>
        <v/>
      </c>
      <c r="EE40">
        <f>h_col*((EC40+ED40)/2)/(1-(EC40+ED40)/2)</f>
        <v/>
      </c>
      <c r="EF40">
        <f>(f_cd*b_col*((3*MIN(EE40,h_col)/7)+(4*MIN(EE40,h_col)/7)*(1-((4*MIN(EE40,h_col)/7)/(EE40-(3*MIN(EE40,h_col)/7)))^2/3))+$D40/2*((MAX(-f_yd,MIN(f_yd,200000*IF(EE40&lt;=h_col,0.0035*(EE40-d_2)/EE40,0.002*(EE40-d_2)/(EE40-3*h_col/7))))-f_cd*(1-(1-MAX(0,MIN(1,IF(EE40&lt;=h_col,0.0035*(EE40-d_2)/EE40,0.002*(EE40-d_2)/(EE40-3*h_col/7))/0.002)))^2))+(MAX(-f_yd,MIN(f_yd,200000*IF(EE40&lt;=h_col,0.0035*(EE40-(h_col-d_2))/EE40,0.002*(EE40-(h_col-d_2))/(EE40-3*h_col/7))))-f_cd*(1-(1-MAX(0,MIN(1,IF(EE40&lt;=h_col,0.0035*(EE40-(h_col-d_2))/EE40,0.002*(EE40-(h_col-d_2))/(EE40-3*h_col/7))/0.002)))^2))))/1000</f>
        <v/>
      </c>
      <c r="EG40">
        <f>IF($EF40&lt;N_Ed-1E-9*MAX(1,N_Ed),(EC40+ED40)/2,EC40)</f>
        <v/>
      </c>
      <c r="EH40">
        <f>IF($EF40&lt;N_Ed-1E-9*MAX(1,N_Ed),ED40,(EC40+ED40)/2)</f>
        <v/>
      </c>
      <c r="EI40">
        <f>h_col*((EG40+EH40)/2)/(1-(EG40+EH40)/2)</f>
        <v/>
      </c>
      <c r="EJ40">
        <f>(f_cd*b_col*((3*MIN(EI40,h_col)/7)+(4*MIN(EI40,h_col)/7)*(1-((4*MIN(EI40,h_col)/7)/(EI40-(3*MIN(EI40,h_col)/7)))^2/3))+$D40/2*((MAX(-f_yd,MIN(f_yd,200000*IF(EI40&lt;=h_col,0.0035*(EI40-d_2)/EI40,0.002*(EI40-d_2)/(EI40-3*h_col/7))))-f_cd*(1-(1-MAX(0,MIN(1,IF(EI40&lt;=h_col,0.0035*(EI40-d_2)/EI40,0.002*(EI40-d_2)/(EI40-3*h_col/7))/0.002)))^2))+(MAX(-f_yd,MIN(f_yd,200000*IF(EI40&lt;=h_col,0.0035*(EI40-(h_col-d_2))/EI40,0.002*(EI40-(h_col-d_2))/(EI40-3*h_col/7))))-f_cd*(1-(1-MAX(0,MIN(1,IF(EI40&lt;=h_col,0.0035*(EI40-(h_col-d_2))/EI40,0.002*(EI40-(h_col-d_2))/(EI40-3*h_col/7))/0.002)))^2))))/1000</f>
        <v/>
      </c>
      <c r="EK40">
        <f>IF($EJ40&lt;N_Ed-1E-9*MAX(1,N_Ed),(EG40+EH40)/2,EG40)</f>
        <v/>
      </c>
      <c r="EL40">
        <f>IF($EJ40&lt;N_Ed-1E-9*MAX(1,N_Ed),EH40,(EG40+EH40)/2)</f>
        <v/>
      </c>
      <c r="EM40">
        <f>h_col*((EK40+EL40)/2)/(1-(EK40+EL40)/2)</f>
        <v/>
      </c>
      <c r="EN40">
        <f>(f_cd*b_col*((3*MIN(EM40,h_col)/7)+(4*MIN(EM40,h_col)/7)*(1-((4*MIN(EM40,h_col)/7)/(EM40-(3*MIN(EM40,h_col)/7)))^2/3))+$D40/2*((MAX(-f_yd,MIN(f_yd,200000*IF(EM40&lt;=h_col,0.0035*(EM40-d_2)/EM40,0.002*(EM40-d_2)/(EM40-3*h_col/7))))-f_cd*(1-(1-MAX(0,MIN(1,IF(EM40&lt;=h_col,0.0035*(EM40-d_2)/EM40,0.002*(EM40-d_2)/(EM40-3*h_col/7))/0.002)))^2))+(MAX(-f_yd,MIN(f_yd,200000*IF(EM40&lt;=h_col,0.0035*(EM40-(h_col-d_2))/EM40,0.002*(EM40-(h_col-d_2))/(EM40-3*h_col/7))))-f_cd*(1-(1-MAX(0,MIN(1,IF(EM40&lt;=h_col,0.0035*(EM40-(h_col-d_2))/EM40,0.002*(EM40-(h_col-d_2))/(EM40-3*h_col/7))/0.002)))^2))))/1000</f>
        <v/>
      </c>
      <c r="EO40">
        <f>IF($EN40&lt;N_Ed-1E-9*MAX(1,N_Ed),(EK40+EL40)/2,EK40)</f>
        <v/>
      </c>
      <c r="EP40">
        <f>IF($EN40&lt;N_Ed-1E-9*MAX(1,N_Ed),EL40,(EK40+EL40)/2)</f>
        <v/>
      </c>
      <c r="EQ40">
        <f>h_col*((EO40+EP40)/2)/(1-(EO40+EP40)/2)</f>
        <v/>
      </c>
      <c r="ER40">
        <f>(f_cd*b_col*((3*MIN(EQ40,h_col)/7)+(4*MIN(EQ40,h_col)/7)*(1-((4*MIN(EQ40,h_col)/7)/(EQ40-(3*MIN(EQ40,h_col)/7)))^2/3))+$D40/2*((MAX(-f_yd,MIN(f_yd,200000*IF(EQ40&lt;=h_col,0.0035*(EQ40-d_2)/EQ40,0.002*(EQ40-d_2)/(EQ40-3*h_col/7))))-f_cd*(1-(1-MAX(0,MIN(1,IF(EQ40&lt;=h_col,0.0035*(EQ40-d_2)/EQ40,0.002*(EQ40-d_2)/(EQ40-3*h_col/7))/0.002)))^2))+(MAX(-f_yd,MIN(f_yd,200000*IF(EQ40&lt;=h_col,0.0035*(EQ40-(h_col-d_2))/EQ40,0.002*(EQ40-(h_col-d_2))/(EQ40-3*h_col/7))))-f_cd*(1-(1-MAX(0,MIN(1,IF(EQ40&lt;=h_col,0.0035*(EQ40-(h_col-d_2))/EQ40,0.002*(EQ40-(h_col-d_2))/(EQ40-3*h_col/7))/0.002)))^2))))/1000</f>
        <v/>
      </c>
      <c r="ES40">
        <f>IF($ER40&lt;N_Ed-1E-9*MAX(1,N_Ed),(EO40+EP40)/2,EO40)</f>
        <v/>
      </c>
      <c r="ET40">
        <f>IF($ER40&lt;N_Ed-1E-9*MAX(1,N_Ed),EP40,(EO40+EP40)/2)</f>
        <v/>
      </c>
      <c r="EU40">
        <f>h_col*((ES40+ET40)/2)/(1-(ES40+ET40)/2)</f>
        <v/>
      </c>
      <c r="EV40">
        <f>(f_cd*b_col*((3*MIN(EU40,h_col)/7)+(4*MIN(EU40,h_col)/7)*(1-((4*MIN(EU40,h_col)/7)/(EU40-(3*MIN(EU40,h_col)/7)))^2/3))+$D40/2*((MAX(-f_yd,MIN(f_yd,200000*IF(EU40&lt;=h_col,0.0035*(EU40-d_2)/EU40,0.002*(EU40-d_2)/(EU40-3*h_col/7))))-f_cd*(1-(1-MAX(0,MIN(1,IF(EU40&lt;=h_col,0.0035*(EU40-d_2)/EU40,0.002*(EU40-d_2)/(EU40-3*h_col/7))/0.002)))^2))+(MAX(-f_yd,MIN(f_yd,200000*IF(EU40&lt;=h_col,0.0035*(EU40-(h_col-d_2))/EU40,0.002*(EU40-(h_col-d_2))/(EU40-3*h_col/7))))-f_cd*(1-(1-MAX(0,MIN(1,IF(EU40&lt;=h_col,0.0035*(EU40-(h_col-d_2))/EU40,0.002*(EU40-(h_col-d_2))/(EU40-3*h_col/7))/0.002)))^2))))/1000</f>
        <v/>
      </c>
      <c r="EW40">
        <f>IF($EV40&lt;N_Ed-1E-9*MAX(1,N_Ed),(ES40+ET40)/2,ES40)</f>
        <v/>
      </c>
      <c r="EX40">
        <f>IF($EV40&lt;N_Ed-1E-9*MAX(1,N_Ed),ET40,(ES40+ET40)/2)</f>
        <v/>
      </c>
      <c r="EY40">
        <f>h_col*((EW40+EX40)/2)/(1-(EW40+EX40)/2)</f>
        <v/>
      </c>
      <c r="EZ40">
        <f>(f_cd*b_col*((3*MIN(EY40,h_col)/7)+(4*MIN(EY40,h_col)/7)*(1-((4*MIN(EY40,h_col)/7)/(EY40-(3*MIN(EY40,h_col)/7)))^2/3))+$D40/2*((MAX(-f_yd,MIN(f_yd,200000*IF(EY40&lt;=h_col,0.0035*(EY40-d_2)/EY40,0.002*(EY40-d_2)/(EY40-3*h_col/7))))-f_cd*(1-(1-MAX(0,MIN(1,IF(EY40&lt;=h_col,0.0035*(EY40-d_2)/EY40,0.002*(EY40-d_2)/(EY40-3*h_col/7))/0.002)))^2))+(MAX(-f_yd,MIN(f_yd,200000*IF(EY40&lt;=h_col,0.0035*(EY40-(h_col-d_2))/EY40,0.002*(EY40-(h_col-d_2))/(EY40-3*h_col/7))))-f_cd*(1-(1-MAX(0,MIN(1,IF(EY40&lt;=h_col,0.0035*(EY40-(h_col-d_2))/EY40,0.002*(EY40-(h_col-d_2))/(EY40-3*h_col/7))/0.002)))^2))))/1000</f>
        <v/>
      </c>
      <c r="FA40">
        <f>IF($EZ40&lt;N_Ed-1E-9*MAX(1,N_Ed),(EW40+EX40)/2,EW40)</f>
        <v/>
      </c>
      <c r="FB40">
        <f>IF($EZ40&lt;N_Ed-1E-9*MAX(1,N_Ed),EX40,(EW40+EX40)/2)</f>
        <v/>
      </c>
      <c r="FC40">
        <f>h_col*((FA40+FB40)/2)/(1-(FA40+FB40)/2)</f>
        <v/>
      </c>
      <c r="FD40">
        <f>(f_cd*b_col*((3*MIN(FC40,h_col)/7)+(4*MIN(FC40,h_col)/7)*(1-((4*MIN(FC40,h_col)/7)/(FC40-(3*MIN(FC40,h_col)/7)))^2/3))+$D40/2*((MAX(-f_yd,MIN(f_yd,200000*IF(FC40&lt;=h_col,0.0035*(FC40-d_2)/FC40,0.002*(FC40-d_2)/(FC40-3*h_col/7))))-f_cd*(1-(1-MAX(0,MIN(1,IF(FC40&lt;=h_col,0.0035*(FC40-d_2)/FC40,0.002*(FC40-d_2)/(FC40-3*h_col/7))/0.002)))^2))+(MAX(-f_yd,MIN(f_yd,200000*IF(FC40&lt;=h_col,0.0035*(FC40-(h_col-d_2))/FC40,0.002*(FC40-(h_col-d_2))/(FC40-3*h_col/7))))-f_cd*(1-(1-MAX(0,MIN(1,IF(FC40&lt;=h_col,0.0035*(FC40-(h_col-d_2))/FC40,0.002*(FC40-(h_col-d_2))/(FC40-3*h_col/7))/0.002)))^2))))/1000</f>
        <v/>
      </c>
      <c r="FE40">
        <f>IF($FD40&lt;N_Ed-1E-9*MAX(1,N_Ed),(FA40+FB40)/2,FA40)</f>
        <v/>
      </c>
      <c r="FF40">
        <f>IF($FD40&lt;N_Ed-1E-9*MAX(1,N_Ed),FB40,(FA40+FB40)/2)</f>
        <v/>
      </c>
      <c r="FG40">
        <f>h_col*((FE40+FF40)/2)/(1-(FE40+FF40)/2)</f>
        <v/>
      </c>
      <c r="FH40">
        <f>(f_cd*b_col*((3*MIN(FG40,h_col)/7)+(4*MIN(FG40,h_col)/7)*(1-((4*MIN(FG40,h_col)/7)/(FG40-(3*MIN(FG40,h_col)/7)))^2/3))+$D40/2*((MAX(-f_yd,MIN(f_yd,200000*IF(FG40&lt;=h_col,0.0035*(FG40-d_2)/FG40,0.002*(FG40-d_2)/(FG40-3*h_col/7))))-f_cd*(1-(1-MAX(0,MIN(1,IF(FG40&lt;=h_col,0.0035*(FG40-d_2)/FG40,0.002*(FG40-d_2)/(FG40-3*h_col/7))/0.002)))^2))+(MAX(-f_yd,MIN(f_yd,200000*IF(FG40&lt;=h_col,0.0035*(FG40-(h_col-d_2))/FG40,0.002*(FG40-(h_col-d_2))/(FG40-3*h_col/7))))-f_cd*(1-(1-MAX(0,MIN(1,IF(FG40&lt;=h_col,0.0035*(FG40-(h_col-d_2))/FG40,0.002*(FG40-(h_col-d_2))/(FG40-3*h_col/7))/0.002)))^2))))/1000</f>
        <v/>
      </c>
      <c r="FI40">
        <f>IF($FH40&lt;N_Ed-1E-9*MAX(1,N_Ed),(FE40+FF40)/2,FE40)</f>
        <v/>
      </c>
      <c r="FJ40">
        <f>IF($FH40&lt;N_Ed-1E-9*MAX(1,N_Ed),FF40,(FE40+FF40)/2)</f>
        <v/>
      </c>
      <c r="FK40">
        <f>h_col*((FI40+FJ40)/2)/(1-(FI40+FJ40)/2)</f>
        <v/>
      </c>
      <c r="FL40">
        <f>(f_cd*b_col*((3*MIN(FK40,h_col)/7)+(4*MIN(FK40,h_col)/7)*(1-((4*MIN(FK40,h_col)/7)/(FK40-(3*MIN(FK40,h_col)/7)))^2/3))+$D40/2*((MAX(-f_yd,MIN(f_yd,200000*IF(FK40&lt;=h_col,0.0035*(FK40-d_2)/FK40,0.002*(FK40-d_2)/(FK40-3*h_col/7))))-f_cd*(1-(1-MAX(0,MIN(1,IF(FK40&lt;=h_col,0.0035*(FK40-d_2)/FK40,0.002*(FK40-d_2)/(FK40-3*h_col/7))/0.002)))^2))+(MAX(-f_yd,MIN(f_yd,200000*IF(FK40&lt;=h_col,0.0035*(FK40-(h_col-d_2))/FK40,0.002*(FK40-(h_col-d_2))/(FK40-3*h_col/7))))-f_cd*(1-(1-MAX(0,MIN(1,IF(FK40&lt;=h_col,0.0035*(FK40-(h_col-d_2))/FK40,0.002*(FK40-(h_col-d_2))/(FK40-3*h_col/7))/0.002)))^2))))/1000</f>
        <v/>
      </c>
      <c r="FM40">
        <f>IF($FL40&lt;N_Ed-1E-9*MAX(1,N_Ed),(FI40+FJ40)/2,FI40)</f>
        <v/>
      </c>
      <c r="FN40">
        <f>IF($FL40&lt;N_Ed-1E-9*MAX(1,N_Ed),FJ40,(FI40+FJ40)/2)</f>
        <v/>
      </c>
      <c r="FO40">
        <f>h_col*((FM40+FN40)/2)/(1-(FM40+FN40)/2)</f>
        <v/>
      </c>
      <c r="FP40">
        <f>(f_cd*b_col*((3*MIN(FO40,h_col)/7)+(4*MIN(FO40,h_col)/7)*(1-((4*MIN(FO40,h_col)/7)/(FO40-(3*MIN(FO40,h_col)/7)))^2/3))+$D40/2*((MAX(-f_yd,MIN(f_yd,200000*IF(FO40&lt;=h_col,0.0035*(FO40-d_2)/FO40,0.002*(FO40-d_2)/(FO40-3*h_col/7))))-f_cd*(1-(1-MAX(0,MIN(1,IF(FO40&lt;=h_col,0.0035*(FO40-d_2)/FO40,0.002*(FO40-d_2)/(FO40-3*h_col/7))/0.002)))^2))+(MAX(-f_yd,MIN(f_yd,200000*IF(FO40&lt;=h_col,0.0035*(FO40-(h_col-d_2))/FO40,0.002*(FO40-(h_col-d_2))/(FO40-3*h_col/7))))-f_cd*(1-(1-MAX(0,MIN(1,IF(FO40&lt;=h_col,0.0035*(FO40-(h_col-d_2))/FO40,0.002*(FO40-(h_col-d_2))/(FO40-3*h_col/7))/0.002)))^2))))/1000</f>
        <v/>
      </c>
      <c r="FQ40">
        <f>IF($FP40&lt;N_Ed-1E-9*MAX(1,N_Ed),(FM40+FN40)/2,FM40)</f>
        <v/>
      </c>
      <c r="FR40">
        <f>IF($FP40&lt;N_Ed-1E-9*MAX(1,N_Ed),FN40,(FM40+FN40)/2)</f>
        <v/>
      </c>
      <c r="FS40">
        <f>h_col*((FQ40+FR40)/2)/(1-(FQ40+FR40)/2)</f>
        <v/>
      </c>
      <c r="FT40">
        <f>(f_cd*b_col*((3*MIN(FS40,h_col)/7)+(4*MIN(FS40,h_col)/7)*(1-((4*MIN(FS40,h_col)/7)/(FS40-(3*MIN(FS40,h_col)/7)))^2/3))+$D40/2*((MAX(-f_yd,MIN(f_yd,200000*IF(FS40&lt;=h_col,0.0035*(FS40-d_2)/FS40,0.002*(FS40-d_2)/(FS40-3*h_col/7))))-f_cd*(1-(1-MAX(0,MIN(1,IF(FS40&lt;=h_col,0.0035*(FS40-d_2)/FS40,0.002*(FS40-d_2)/(FS40-3*h_col/7))/0.002)))^2))+(MAX(-f_yd,MIN(f_yd,200000*IF(FS40&lt;=h_col,0.0035*(FS40-(h_col-d_2))/FS40,0.002*(FS40-(h_col-d_2))/(FS40-3*h_col/7))))-f_cd*(1-(1-MAX(0,MIN(1,IF(FS40&lt;=h_col,0.0035*(FS40-(h_col-d_2))/FS40,0.002*(FS40-(h_col-d_2))/(FS40-3*h_col/7))/0.002)))^2))))/1000</f>
        <v/>
      </c>
      <c r="FU40">
        <f>IF($FT40&lt;N_Ed-1E-9*MAX(1,N_Ed),(FQ40+FR40)/2,FQ40)</f>
        <v/>
      </c>
      <c r="FV40">
        <f>IF($FT40&lt;N_Ed-1E-9*MAX(1,N_Ed),FR40,(FQ40+FR40)/2)</f>
        <v/>
      </c>
      <c r="FW40">
        <f>h_col*((FU40+FV40)/2)/(1-(FU40+FV40)/2)</f>
        <v/>
      </c>
      <c r="FX40">
        <f>(f_cd*b_col*((3*MIN(FW40,h_col)/7)+(4*MIN(FW40,h_col)/7)*(1-((4*MIN(FW40,h_col)/7)/(FW40-(3*MIN(FW40,h_col)/7)))^2/3))+$D40/2*((MAX(-f_yd,MIN(f_yd,200000*IF(FW40&lt;=h_col,0.0035*(FW40-d_2)/FW40,0.002*(FW40-d_2)/(FW40-3*h_col/7))))-f_cd*(1-(1-MAX(0,MIN(1,IF(FW40&lt;=h_col,0.0035*(FW40-d_2)/FW40,0.002*(FW40-d_2)/(FW40-3*h_col/7))/0.002)))^2))+(MAX(-f_yd,MIN(f_yd,200000*IF(FW40&lt;=h_col,0.0035*(FW40-(h_col-d_2))/FW40,0.002*(FW40-(h_col-d_2))/(FW40-3*h_col/7))))-f_cd*(1-(1-MAX(0,MIN(1,IF(FW40&lt;=h_col,0.0035*(FW40-(h_col-d_2))/FW40,0.002*(FW40-(h_col-d_2))/(FW40-3*h_col/7))/0.002)))^2))))/1000</f>
        <v/>
      </c>
      <c r="FY40">
        <f>IF($FX40&lt;N_Ed-1E-9*MAX(1,N_Ed),(FU40+FV40)/2,FU40)</f>
        <v/>
      </c>
      <c r="FZ40">
        <f>IF($FX40&lt;N_Ed-1E-9*MAX(1,N_Ed),FV40,(FU40+FV40)/2)</f>
        <v/>
      </c>
      <c r="GA40">
        <f>h_col*((FY40+FZ40)/2)/(1-(FY40+FZ40)/2)</f>
        <v/>
      </c>
      <c r="GB40">
        <f>(f_cd*b_col*((3*MIN(GA40,h_col)/7)+(4*MIN(GA40,h_col)/7)*(1-((4*MIN(GA40,h_col)/7)/(GA40-(3*MIN(GA40,h_col)/7)))^2/3))+$D40/2*((MAX(-f_yd,MIN(f_yd,200000*IF(GA40&lt;=h_col,0.0035*(GA40-d_2)/GA40,0.002*(GA40-d_2)/(GA40-3*h_col/7))))-f_cd*(1-(1-MAX(0,MIN(1,IF(GA40&lt;=h_col,0.0035*(GA40-d_2)/GA40,0.002*(GA40-d_2)/(GA40-3*h_col/7))/0.002)))^2))+(MAX(-f_yd,MIN(f_yd,200000*IF(GA40&lt;=h_col,0.0035*(GA40-(h_col-d_2))/GA40,0.002*(GA40-(h_col-d_2))/(GA40-3*h_col/7))))-f_cd*(1-(1-MAX(0,MIN(1,IF(GA40&lt;=h_col,0.0035*(GA40-(h_col-d_2))/GA40,0.002*(GA40-(h_col-d_2))/(GA40-3*h_col/7))/0.002)))^2))))/1000</f>
        <v/>
      </c>
      <c r="GC40">
        <f>IF($GB40&lt;N_Ed-1E-9*MAX(1,N_Ed),(FY40+FZ40)/2,FY40)</f>
        <v/>
      </c>
      <c r="GD40">
        <f>IF($GB40&lt;N_Ed-1E-9*MAX(1,N_Ed),FZ40,(FY40+FZ40)/2)</f>
        <v/>
      </c>
      <c r="GE40">
        <f>h_col*((GC40+GD40)/2)/(1-(GC40+GD40)/2)</f>
        <v/>
      </c>
      <c r="GF40">
        <f>(f_cd*b_col*((3*MIN(GE40,h_col)/7)+(4*MIN(GE40,h_col)/7)*(1-((4*MIN(GE40,h_col)/7)/(GE40-(3*MIN(GE40,h_col)/7)))^2/3))+$D40/2*((MAX(-f_yd,MIN(f_yd,200000*IF(GE40&lt;=h_col,0.0035*(GE40-d_2)/GE40,0.002*(GE40-d_2)/(GE40-3*h_col/7))))-f_cd*(1-(1-MAX(0,MIN(1,IF(GE40&lt;=h_col,0.0035*(GE40-d_2)/GE40,0.002*(GE40-d_2)/(GE40-3*h_col/7))/0.002)))^2))+(MAX(-f_yd,MIN(f_yd,200000*IF(GE40&lt;=h_col,0.0035*(GE40-(h_col-d_2))/GE40,0.002*(GE40-(h_col-d_2))/(GE40-3*h_col/7))))-f_cd*(1-(1-MAX(0,MIN(1,IF(GE40&lt;=h_col,0.0035*(GE40-(h_col-d_2))/GE40,0.002*(GE40-(h_col-d_2))/(GE40-3*h_col/7))/0.002)))^2))))/1000</f>
        <v/>
      </c>
      <c r="GG40">
        <f>IF($GF40&lt;N_Ed-1E-9*MAX(1,N_Ed),(GC40+GD40)/2,GC40)</f>
        <v/>
      </c>
      <c r="GH40">
        <f>IF($GF40&lt;N_Ed-1E-9*MAX(1,N_Ed),GD40,(GC40+GD40)/2)</f>
        <v/>
      </c>
      <c r="GI40">
        <f>h_col*((GG40+GH40)/2)/(1-(GG40+GH40)/2)</f>
        <v/>
      </c>
      <c r="GJ40">
        <f>(f_cd*b_col*((3*MIN(GI40,h_col)/7)+(4*MIN(GI40,h_col)/7)*(1-((4*MIN(GI40,h_col)/7)/(GI40-(3*MIN(GI40,h_col)/7)))^2/3))+$D40/2*((MAX(-f_yd,MIN(f_yd,200000*IF(GI40&lt;=h_col,0.0035*(GI40-d_2)/GI40,0.002*(GI40-d_2)/(GI40-3*h_col/7))))-f_cd*(1-(1-MAX(0,MIN(1,IF(GI40&lt;=h_col,0.0035*(GI40-d_2)/GI40,0.002*(GI40-d_2)/(GI40-3*h_col/7))/0.002)))^2))+(MAX(-f_yd,MIN(f_yd,200000*IF(GI40&lt;=h_col,0.0035*(GI40-(h_col-d_2))/GI40,0.002*(GI40-(h_col-d_2))/(GI40-3*h_col/7))))-f_cd*(1-(1-MAX(0,MIN(1,IF(GI40&lt;=h_col,0.0035*(GI40-(h_col-d_2))/GI40,0.002*(GI40-(h_col-d_2))/(GI40-3*h_col/7))/0.002)))^2))))/1000</f>
        <v/>
      </c>
      <c r="GK40">
        <f>IF($GJ40&lt;N_Ed-1E-9*MAX(1,N_Ed),(GG40+GH40)/2,GG40)</f>
        <v/>
      </c>
      <c r="GL40">
        <f>IF($GJ40&lt;N_Ed-1E-9*MAX(1,N_Ed),GH40,(GG40+GH40)/2)</f>
        <v/>
      </c>
      <c r="GM40">
        <f>h_col*((GK40+GL40)/2)/(1-(GK40+GL40)/2)</f>
        <v/>
      </c>
      <c r="GN40">
        <f>(f_cd*b_col*((3*MIN(GM40,h_col)/7)+(4*MIN(GM40,h_col)/7)*(1-((4*MIN(GM40,h_col)/7)/(GM40-(3*MIN(GM40,h_col)/7)))^2/3))+$D40/2*((MAX(-f_yd,MIN(f_yd,200000*IF(GM40&lt;=h_col,0.0035*(GM40-d_2)/GM40,0.002*(GM40-d_2)/(GM40-3*h_col/7))))-f_cd*(1-(1-MAX(0,MIN(1,IF(GM40&lt;=h_col,0.0035*(GM40-d_2)/GM40,0.002*(GM40-d_2)/(GM40-3*h_col/7))/0.002)))^2))+(MAX(-f_yd,MIN(f_yd,200000*IF(GM40&lt;=h_col,0.0035*(GM40-(h_col-d_2))/GM40,0.002*(GM40-(h_col-d_2))/(GM40-3*h_col/7))))-f_cd*(1-(1-MAX(0,MIN(1,IF(GM40&lt;=h_col,0.0035*(GM40-(h_col-d_2))/GM40,0.002*(GM40-(h_col-d_2))/(GM40-3*h_col/7))/0.002)))^2))))/1000</f>
        <v/>
      </c>
      <c r="GO40">
        <f>IF($GN40&lt;N_Ed-1E-9*MAX(1,N_Ed),(GK40+GL40)/2,GK40)</f>
        <v/>
      </c>
      <c r="GP40">
        <f>IF($GN40&lt;N_Ed-1E-9*MAX(1,N_Ed),GL40,(GK40+GL40)/2)</f>
        <v/>
      </c>
      <c r="GQ40">
        <f>h_col*((GO40+GP40)/2)/(1-(GO40+GP40)/2)</f>
        <v/>
      </c>
      <c r="GR40">
        <f>(f_cd*b_col*((3*MIN(GQ40,h_col)/7)+(4*MIN(GQ40,h_col)/7)*(1-((4*MIN(GQ40,h_col)/7)/(GQ40-(3*MIN(GQ40,h_col)/7)))^2/3))+$D40/2*((MAX(-f_yd,MIN(f_yd,200000*IF(GQ40&lt;=h_col,0.0035*(GQ40-d_2)/GQ40,0.002*(GQ40-d_2)/(GQ40-3*h_col/7))))-f_cd*(1-(1-MAX(0,MIN(1,IF(GQ40&lt;=h_col,0.0035*(GQ40-d_2)/GQ40,0.002*(GQ40-d_2)/(GQ40-3*h_col/7))/0.002)))^2))+(MAX(-f_yd,MIN(f_yd,200000*IF(GQ40&lt;=h_col,0.0035*(GQ40-(h_col-d_2))/GQ40,0.002*(GQ40-(h_col-d_2))/(GQ40-3*h_col/7))))-f_cd*(1-(1-MAX(0,MIN(1,IF(GQ40&lt;=h_col,0.0035*(GQ40-(h_col-d_2))/GQ40,0.002*(GQ40-(h_col-d_2))/(GQ40-3*h_col/7))/0.002)))^2))))/1000</f>
        <v/>
      </c>
      <c r="GS40">
        <f>IF($GR40&lt;N_Ed-1E-9*MAX(1,N_Ed),(GO40+GP40)/2,GO40)</f>
        <v/>
      </c>
      <c r="GT40">
        <f>IF($GR40&lt;N_Ed-1E-9*MAX(1,N_Ed),GP40,(GO40+GP40)/2)</f>
        <v/>
      </c>
      <c r="GU40">
        <f>h_col*((GS40+GT40)/2)/(1-(GS40+GT40)/2)</f>
        <v/>
      </c>
      <c r="GV40">
        <f>(f_cd*b_col*((3*MIN(GU40,h_col)/7)+(4*MIN(GU40,h_col)/7)*(1-((4*MIN(GU40,h_col)/7)/(GU40-(3*MIN(GU40,h_col)/7)))^2/3))+$D40/2*((MAX(-f_yd,MIN(f_yd,200000*IF(GU40&lt;=h_col,0.0035*(GU40-d_2)/GU40,0.002*(GU40-d_2)/(GU40-3*h_col/7))))-f_cd*(1-(1-MAX(0,MIN(1,IF(GU40&lt;=h_col,0.0035*(GU40-d_2)/GU40,0.002*(GU40-d_2)/(GU40-3*h_col/7))/0.002)))^2))+(MAX(-f_yd,MIN(f_yd,200000*IF(GU40&lt;=h_col,0.0035*(GU40-(h_col-d_2))/GU40,0.002*(GU40-(h_col-d_2))/(GU40-3*h_col/7))))-f_cd*(1-(1-MAX(0,MIN(1,IF(GU40&lt;=h_col,0.0035*(GU40-(h_col-d_2))/GU40,0.002*(GU40-(h_col-d_2))/(GU40-3*h_col/7))/0.002)))^2))))/1000</f>
        <v/>
      </c>
      <c r="GW40">
        <f>GU40</f>
        <v/>
      </c>
      <c r="GX40">
        <f>(f_cd*b_col*((3*MIN(GW40,h_col)/7)+(4*MIN(GW40,h_col)/7)*(1-((4*MIN(GW40,h_col)/7)/(GW40-(3*MIN(GW40,h_col)/7)))^2/3))+$D40/2*((MAX(-f_yd,MIN(f_yd,200000*IF(GW40&lt;=h_col,0.0035*(GW40-d_2)/GW40,0.002*(GW40-d_2)/(GW40-3*h_col/7))))-f_cd*(1-(1-MAX(0,MIN(1,IF(GW40&lt;=h_col,0.0035*(GW40-d_2)/GW40,0.002*(GW40-d_2)/(GW40-3*h_col/7))/0.002)))^2))+(MAX(-f_yd,MIN(f_yd,200000*IF(GW40&lt;=h_col,0.0035*(GW40-(h_col-d_2))/GW40,0.002*(GW40-(h_col-d_2))/(GW40-3*h_col/7))))-f_cd*(1-(1-MAX(0,MIN(1,IF(GW40&lt;=h_col,0.0035*(GW40-(h_col-d_2))/GW40,0.002*(GW40-(h_col-d_2))/(GW40-3*h_col/7))/0.002)))^2))))/1000</f>
        <v/>
      </c>
      <c r="GY40">
        <f>(f_cd*b_col*((3*MIN(GW40,h_col)/7)*(h_col/2-(3*MIN(GW40,h_col)/7)/2)+(4*MIN(GW40,h_col)/7)*((h_col/2-(3*MIN(GW40,h_col)/7))*(1-((4*MIN(GW40,h_col)/7)/(GW40-(3*MIN(GW40,h_col)/7)))^2/3)-(4*MIN(GW40,h_col)/7)*(0.5-((4*MIN(GW40,h_col)/7)/(GW40-(3*MIN(GW40,h_col)/7)))^2/4)))+$D40/2*((MAX(-f_yd,MIN(f_yd,200000*IF(GW40&lt;=h_col,0.0035*(GW40-d_2)/GW40,0.002*(GW40-d_2)/(GW40-3*h_col/7))))-f_cd*(1-(1-MAX(0,MIN(1,IF(GW40&lt;=h_col,0.0035*(GW40-d_2)/GW40,0.002*(GW40-d_2)/(GW40-3*h_col/7))/0.002)))^2))-(MAX(-f_yd,MIN(f_yd,200000*IF(GW40&lt;=h_col,0.0035*(GW40-(h_col-d_2))/GW40,0.002*(GW40-(h_col-d_2))/(GW40-3*h_col/7))))-f_cd*(1-(1-MAX(0,MIN(1,IF(GW40&lt;=h_col,0.0035*(GW40-(h_col-d_2))/GW40,0.002*(GW40-(h_col-d_2))/(GW40-3*h_col/7))/0.002)))^2)))*(h_col/2-d_2))/1E6</f>
        <v/>
      </c>
      <c r="GZ40">
        <f>GX40&gt;=N_Ed-1E-6*MAX(1,N_Ed)</f>
        <v/>
      </c>
      <c r="HA40">
        <f>IF(GZ40,GY40,-1E9)</f>
        <v/>
      </c>
    </row>
    <row r="41">
      <c r="A41" t="n">
        <v>36</v>
      </c>
      <c r="B41">
        <f>IF($HA40&gt;=M_d,$B40,$D40)</f>
        <v/>
      </c>
      <c r="C41">
        <f>IF($HA40&gt;=M_d,$D40,$C40)</f>
        <v/>
      </c>
      <c r="D41">
        <f>($B41+$C41)/2</f>
        <v/>
      </c>
      <c r="E41" t="n">
        <v>0</v>
      </c>
      <c r="F41">
        <f>1-1E-12</f>
        <v/>
      </c>
      <c r="G41">
        <f>h_col*((E41+F41)/2)/(1-(E41+F41)/2)</f>
        <v/>
      </c>
      <c r="H41">
        <f>(f_cd*b_col*((3*MIN(G41,h_col)/7)+(4*MIN(G41,h_col)/7)*(1-((4*MIN(G41,h_col)/7)/(G41-(3*MIN(G41,h_col)/7)))^2/3))+$D41/2*((MAX(-f_yd,MIN(f_yd,200000*IF(G41&lt;=h_col,0.0035*(G41-d_2)/G41,0.002*(G41-d_2)/(G41-3*h_col/7))))-f_cd*(1-(1-MAX(0,MIN(1,IF(G41&lt;=h_col,0.0035*(G41-d_2)/G41,0.002*(G41-d_2)/(G41-3*h_col/7))/0.002)))^2))+(MAX(-f_yd,MIN(f_yd,200000*IF(G41&lt;=h_col,0.0035*(G41-(h_col-d_2))/G41,0.002*(G41-(h_col-d_2))/(G41-3*h_col/7))))-f_cd*(1-(1-MAX(0,MIN(1,IF(G41&lt;=h_col,0.0035*(G41-(h_col-d_2))/G41,0.002*(G41-(h_col-d_2))/(G41-3*h_col/7))/0.002)))^2))))/1000</f>
        <v/>
      </c>
      <c r="I41">
        <f>IF($H41&lt;N_Ed-1E-9*MAX(1,N_Ed),(E41+F41)/2,E41)</f>
        <v/>
      </c>
      <c r="J41">
        <f>IF($H41&lt;N_Ed-1E-9*MAX(1,N_Ed),F41,(E41+F41)/2)</f>
        <v/>
      </c>
      <c r="K41">
        <f>h_col*((I41+J41)/2)/(1-(I41+J41)/2)</f>
        <v/>
      </c>
      <c r="L41">
        <f>(f_cd*b_col*((3*MIN(K41,h_col)/7)+(4*MIN(K41,h_col)/7)*(1-((4*MIN(K41,h_col)/7)/(K41-(3*MIN(K41,h_col)/7)))^2/3))+$D41/2*((MAX(-f_yd,MIN(f_yd,200000*IF(K41&lt;=h_col,0.0035*(K41-d_2)/K41,0.002*(K41-d_2)/(K41-3*h_col/7))))-f_cd*(1-(1-MAX(0,MIN(1,IF(K41&lt;=h_col,0.0035*(K41-d_2)/K41,0.002*(K41-d_2)/(K41-3*h_col/7))/0.002)))^2))+(MAX(-f_yd,MIN(f_yd,200000*IF(K41&lt;=h_col,0.0035*(K41-(h_col-d_2))/K41,0.002*(K41-(h_col-d_2))/(K41-3*h_col/7))))-f_cd*(1-(1-MAX(0,MIN(1,IF(K41&lt;=h_col,0.0035*(K41-(h_col-d_2))/K41,0.002*(K41-(h_col-d_2))/(K41-3*h_col/7))/0.002)))^2))))/1000</f>
        <v/>
      </c>
      <c r="M41">
        <f>IF($L41&lt;N_Ed-1E-9*MAX(1,N_Ed),(I41+J41)/2,I41)</f>
        <v/>
      </c>
      <c r="N41">
        <f>IF($L41&lt;N_Ed-1E-9*MAX(1,N_Ed),J41,(I41+J41)/2)</f>
        <v/>
      </c>
      <c r="O41">
        <f>h_col*((M41+N41)/2)/(1-(M41+N41)/2)</f>
        <v/>
      </c>
      <c r="P41">
        <f>(f_cd*b_col*((3*MIN(O41,h_col)/7)+(4*MIN(O41,h_col)/7)*(1-((4*MIN(O41,h_col)/7)/(O41-(3*MIN(O41,h_col)/7)))^2/3))+$D41/2*((MAX(-f_yd,MIN(f_yd,200000*IF(O41&lt;=h_col,0.0035*(O41-d_2)/O41,0.002*(O41-d_2)/(O41-3*h_col/7))))-f_cd*(1-(1-MAX(0,MIN(1,IF(O41&lt;=h_col,0.0035*(O41-d_2)/O41,0.002*(O41-d_2)/(O41-3*h_col/7))/0.002)))^2))+(MAX(-f_yd,MIN(f_yd,200000*IF(O41&lt;=h_col,0.0035*(O41-(h_col-d_2))/O41,0.002*(O41-(h_col-d_2))/(O41-3*h_col/7))))-f_cd*(1-(1-MAX(0,MIN(1,IF(O41&lt;=h_col,0.0035*(O41-(h_col-d_2))/O41,0.002*(O41-(h_col-d_2))/(O41-3*h_col/7))/0.002)))^2))))/1000</f>
        <v/>
      </c>
      <c r="Q41">
        <f>IF($P41&lt;N_Ed-1E-9*MAX(1,N_Ed),(M41+N41)/2,M41)</f>
        <v/>
      </c>
      <c r="R41">
        <f>IF($P41&lt;N_Ed-1E-9*MAX(1,N_Ed),N41,(M41+N41)/2)</f>
        <v/>
      </c>
      <c r="S41">
        <f>h_col*((Q41+R41)/2)/(1-(Q41+R41)/2)</f>
        <v/>
      </c>
      <c r="T41">
        <f>(f_cd*b_col*((3*MIN(S41,h_col)/7)+(4*MIN(S41,h_col)/7)*(1-((4*MIN(S41,h_col)/7)/(S41-(3*MIN(S41,h_col)/7)))^2/3))+$D41/2*((MAX(-f_yd,MIN(f_yd,200000*IF(S41&lt;=h_col,0.0035*(S41-d_2)/S41,0.002*(S41-d_2)/(S41-3*h_col/7))))-f_cd*(1-(1-MAX(0,MIN(1,IF(S41&lt;=h_col,0.0035*(S41-d_2)/S41,0.002*(S41-d_2)/(S41-3*h_col/7))/0.002)))^2))+(MAX(-f_yd,MIN(f_yd,200000*IF(S41&lt;=h_col,0.0035*(S41-(h_col-d_2))/S41,0.002*(S41-(h_col-d_2))/(S41-3*h_col/7))))-f_cd*(1-(1-MAX(0,MIN(1,IF(S41&lt;=h_col,0.0035*(S41-(h_col-d_2))/S41,0.002*(S41-(h_col-d_2))/(S41-3*h_col/7))/0.002)))^2))))/1000</f>
        <v/>
      </c>
      <c r="U41">
        <f>IF($T41&lt;N_Ed-1E-9*MAX(1,N_Ed),(Q41+R41)/2,Q41)</f>
        <v/>
      </c>
      <c r="V41">
        <f>IF($T41&lt;N_Ed-1E-9*MAX(1,N_Ed),R41,(Q41+R41)/2)</f>
        <v/>
      </c>
      <c r="W41">
        <f>h_col*((U41+V41)/2)/(1-(U41+V41)/2)</f>
        <v/>
      </c>
      <c r="X41">
        <f>(f_cd*b_col*((3*MIN(W41,h_col)/7)+(4*MIN(W41,h_col)/7)*(1-((4*MIN(W41,h_col)/7)/(W41-(3*MIN(W41,h_col)/7)))^2/3))+$D41/2*((MAX(-f_yd,MIN(f_yd,200000*IF(W41&lt;=h_col,0.0035*(W41-d_2)/W41,0.002*(W41-d_2)/(W41-3*h_col/7))))-f_cd*(1-(1-MAX(0,MIN(1,IF(W41&lt;=h_col,0.0035*(W41-d_2)/W41,0.002*(W41-d_2)/(W41-3*h_col/7))/0.002)))^2))+(MAX(-f_yd,MIN(f_yd,200000*IF(W41&lt;=h_col,0.0035*(W41-(h_col-d_2))/W41,0.002*(W41-(h_col-d_2))/(W41-3*h_col/7))))-f_cd*(1-(1-MAX(0,MIN(1,IF(W41&lt;=h_col,0.0035*(W41-(h_col-d_2))/W41,0.002*(W41-(h_col-d_2))/(W41-3*h_col/7))/0.002)))^2))))/1000</f>
        <v/>
      </c>
      <c r="Y41">
        <f>IF($X41&lt;N_Ed-1E-9*MAX(1,N_Ed),(U41+V41)/2,U41)</f>
        <v/>
      </c>
      <c r="Z41">
        <f>IF($X41&lt;N_Ed-1E-9*MAX(1,N_Ed),V41,(U41+V41)/2)</f>
        <v/>
      </c>
      <c r="AA41">
        <f>h_col*((Y41+Z41)/2)/(1-(Y41+Z41)/2)</f>
        <v/>
      </c>
      <c r="AB41">
        <f>(f_cd*b_col*((3*MIN(AA41,h_col)/7)+(4*MIN(AA41,h_col)/7)*(1-((4*MIN(AA41,h_col)/7)/(AA41-(3*MIN(AA41,h_col)/7)))^2/3))+$D41/2*((MAX(-f_yd,MIN(f_yd,200000*IF(AA41&lt;=h_col,0.0035*(AA41-d_2)/AA41,0.002*(AA41-d_2)/(AA41-3*h_col/7))))-f_cd*(1-(1-MAX(0,MIN(1,IF(AA41&lt;=h_col,0.0035*(AA41-d_2)/AA41,0.002*(AA41-d_2)/(AA41-3*h_col/7))/0.002)))^2))+(MAX(-f_yd,MIN(f_yd,200000*IF(AA41&lt;=h_col,0.0035*(AA41-(h_col-d_2))/AA41,0.002*(AA41-(h_col-d_2))/(AA41-3*h_col/7))))-f_cd*(1-(1-MAX(0,MIN(1,IF(AA41&lt;=h_col,0.0035*(AA41-(h_col-d_2))/AA41,0.002*(AA41-(h_col-d_2))/(AA41-3*h_col/7))/0.002)))^2))))/1000</f>
        <v/>
      </c>
      <c r="AC41">
        <f>IF($AB41&lt;N_Ed-1E-9*MAX(1,N_Ed),(Y41+Z41)/2,Y41)</f>
        <v/>
      </c>
      <c r="AD41">
        <f>IF($AB41&lt;N_Ed-1E-9*MAX(1,N_Ed),Z41,(Y41+Z41)/2)</f>
        <v/>
      </c>
      <c r="AE41">
        <f>h_col*((AC41+AD41)/2)/(1-(AC41+AD41)/2)</f>
        <v/>
      </c>
      <c r="AF41">
        <f>(f_cd*b_col*((3*MIN(AE41,h_col)/7)+(4*MIN(AE41,h_col)/7)*(1-((4*MIN(AE41,h_col)/7)/(AE41-(3*MIN(AE41,h_col)/7)))^2/3))+$D41/2*((MAX(-f_yd,MIN(f_yd,200000*IF(AE41&lt;=h_col,0.0035*(AE41-d_2)/AE41,0.002*(AE41-d_2)/(AE41-3*h_col/7))))-f_cd*(1-(1-MAX(0,MIN(1,IF(AE41&lt;=h_col,0.0035*(AE41-d_2)/AE41,0.002*(AE41-d_2)/(AE41-3*h_col/7))/0.002)))^2))+(MAX(-f_yd,MIN(f_yd,200000*IF(AE41&lt;=h_col,0.0035*(AE41-(h_col-d_2))/AE41,0.002*(AE41-(h_col-d_2))/(AE41-3*h_col/7))))-f_cd*(1-(1-MAX(0,MIN(1,IF(AE41&lt;=h_col,0.0035*(AE41-(h_col-d_2))/AE41,0.002*(AE41-(h_col-d_2))/(AE41-3*h_col/7))/0.002)))^2))))/1000</f>
        <v/>
      </c>
      <c r="AG41">
        <f>IF($AF41&lt;N_Ed-1E-9*MAX(1,N_Ed),(AC41+AD41)/2,AC41)</f>
        <v/>
      </c>
      <c r="AH41">
        <f>IF($AF41&lt;N_Ed-1E-9*MAX(1,N_Ed),AD41,(AC41+AD41)/2)</f>
        <v/>
      </c>
      <c r="AI41">
        <f>h_col*((AG41+AH41)/2)/(1-(AG41+AH41)/2)</f>
        <v/>
      </c>
      <c r="AJ41">
        <f>(f_cd*b_col*((3*MIN(AI41,h_col)/7)+(4*MIN(AI41,h_col)/7)*(1-((4*MIN(AI41,h_col)/7)/(AI41-(3*MIN(AI41,h_col)/7)))^2/3))+$D41/2*((MAX(-f_yd,MIN(f_yd,200000*IF(AI41&lt;=h_col,0.0035*(AI41-d_2)/AI41,0.002*(AI41-d_2)/(AI41-3*h_col/7))))-f_cd*(1-(1-MAX(0,MIN(1,IF(AI41&lt;=h_col,0.0035*(AI41-d_2)/AI41,0.002*(AI41-d_2)/(AI41-3*h_col/7))/0.002)))^2))+(MAX(-f_yd,MIN(f_yd,200000*IF(AI41&lt;=h_col,0.0035*(AI41-(h_col-d_2))/AI41,0.002*(AI41-(h_col-d_2))/(AI41-3*h_col/7))))-f_cd*(1-(1-MAX(0,MIN(1,IF(AI41&lt;=h_col,0.0035*(AI41-(h_col-d_2))/AI41,0.002*(AI41-(h_col-d_2))/(AI41-3*h_col/7))/0.002)))^2))))/1000</f>
        <v/>
      </c>
      <c r="AK41">
        <f>IF($AJ41&lt;N_Ed-1E-9*MAX(1,N_Ed),(AG41+AH41)/2,AG41)</f>
        <v/>
      </c>
      <c r="AL41">
        <f>IF($AJ41&lt;N_Ed-1E-9*MAX(1,N_Ed),AH41,(AG41+AH41)/2)</f>
        <v/>
      </c>
      <c r="AM41">
        <f>h_col*((AK41+AL41)/2)/(1-(AK41+AL41)/2)</f>
        <v/>
      </c>
      <c r="AN41">
        <f>(f_cd*b_col*((3*MIN(AM41,h_col)/7)+(4*MIN(AM41,h_col)/7)*(1-((4*MIN(AM41,h_col)/7)/(AM41-(3*MIN(AM41,h_col)/7)))^2/3))+$D41/2*((MAX(-f_yd,MIN(f_yd,200000*IF(AM41&lt;=h_col,0.0035*(AM41-d_2)/AM41,0.002*(AM41-d_2)/(AM41-3*h_col/7))))-f_cd*(1-(1-MAX(0,MIN(1,IF(AM41&lt;=h_col,0.0035*(AM41-d_2)/AM41,0.002*(AM41-d_2)/(AM41-3*h_col/7))/0.002)))^2))+(MAX(-f_yd,MIN(f_yd,200000*IF(AM41&lt;=h_col,0.0035*(AM41-(h_col-d_2))/AM41,0.002*(AM41-(h_col-d_2))/(AM41-3*h_col/7))))-f_cd*(1-(1-MAX(0,MIN(1,IF(AM41&lt;=h_col,0.0035*(AM41-(h_col-d_2))/AM41,0.002*(AM41-(h_col-d_2))/(AM41-3*h_col/7))/0.002)))^2))))/1000</f>
        <v/>
      </c>
      <c r="AO41">
        <f>IF($AN41&lt;N_Ed-1E-9*MAX(1,N_Ed),(AK41+AL41)/2,AK41)</f>
        <v/>
      </c>
      <c r="AP41">
        <f>IF($AN41&lt;N_Ed-1E-9*MAX(1,N_Ed),AL41,(AK41+AL41)/2)</f>
        <v/>
      </c>
      <c r="AQ41">
        <f>h_col*((AO41+AP41)/2)/(1-(AO41+AP41)/2)</f>
        <v/>
      </c>
      <c r="AR41">
        <f>(f_cd*b_col*((3*MIN(AQ41,h_col)/7)+(4*MIN(AQ41,h_col)/7)*(1-((4*MIN(AQ41,h_col)/7)/(AQ41-(3*MIN(AQ41,h_col)/7)))^2/3))+$D41/2*((MAX(-f_yd,MIN(f_yd,200000*IF(AQ41&lt;=h_col,0.0035*(AQ41-d_2)/AQ41,0.002*(AQ41-d_2)/(AQ41-3*h_col/7))))-f_cd*(1-(1-MAX(0,MIN(1,IF(AQ41&lt;=h_col,0.0035*(AQ41-d_2)/AQ41,0.002*(AQ41-d_2)/(AQ41-3*h_col/7))/0.002)))^2))+(MAX(-f_yd,MIN(f_yd,200000*IF(AQ41&lt;=h_col,0.0035*(AQ41-(h_col-d_2))/AQ41,0.002*(AQ41-(h_col-d_2))/(AQ41-3*h_col/7))))-f_cd*(1-(1-MAX(0,MIN(1,IF(AQ41&lt;=h_col,0.0035*(AQ41-(h_col-d_2))/AQ41,0.002*(AQ41-(h_col-d_2))/(AQ41-3*h_col/7))/0.002)))^2))))/1000</f>
        <v/>
      </c>
      <c r="AS41">
        <f>IF($AR41&lt;N_Ed-1E-9*MAX(1,N_Ed),(AO41+AP41)/2,AO41)</f>
        <v/>
      </c>
      <c r="AT41">
        <f>IF($AR41&lt;N_Ed-1E-9*MAX(1,N_Ed),AP41,(AO41+AP41)/2)</f>
        <v/>
      </c>
      <c r="AU41">
        <f>h_col*((AS41+AT41)/2)/(1-(AS41+AT41)/2)</f>
        <v/>
      </c>
      <c r="AV41">
        <f>(f_cd*b_col*((3*MIN(AU41,h_col)/7)+(4*MIN(AU41,h_col)/7)*(1-((4*MIN(AU41,h_col)/7)/(AU41-(3*MIN(AU41,h_col)/7)))^2/3))+$D41/2*((MAX(-f_yd,MIN(f_yd,200000*IF(AU41&lt;=h_col,0.0035*(AU41-d_2)/AU41,0.002*(AU41-d_2)/(AU41-3*h_col/7))))-f_cd*(1-(1-MAX(0,MIN(1,IF(AU41&lt;=h_col,0.0035*(AU41-d_2)/AU41,0.002*(AU41-d_2)/(AU41-3*h_col/7))/0.002)))^2))+(MAX(-f_yd,MIN(f_yd,200000*IF(AU41&lt;=h_col,0.0035*(AU41-(h_col-d_2))/AU41,0.002*(AU41-(h_col-d_2))/(AU41-3*h_col/7))))-f_cd*(1-(1-MAX(0,MIN(1,IF(AU41&lt;=h_col,0.0035*(AU41-(h_col-d_2))/AU41,0.002*(AU41-(h_col-d_2))/(AU41-3*h_col/7))/0.002)))^2))))/1000</f>
        <v/>
      </c>
      <c r="AW41">
        <f>IF($AV41&lt;N_Ed-1E-9*MAX(1,N_Ed),(AS41+AT41)/2,AS41)</f>
        <v/>
      </c>
      <c r="AX41">
        <f>IF($AV41&lt;N_Ed-1E-9*MAX(1,N_Ed),AT41,(AS41+AT41)/2)</f>
        <v/>
      </c>
      <c r="AY41">
        <f>h_col*((AW41+AX41)/2)/(1-(AW41+AX41)/2)</f>
        <v/>
      </c>
      <c r="AZ41">
        <f>(f_cd*b_col*((3*MIN(AY41,h_col)/7)+(4*MIN(AY41,h_col)/7)*(1-((4*MIN(AY41,h_col)/7)/(AY41-(3*MIN(AY41,h_col)/7)))^2/3))+$D41/2*((MAX(-f_yd,MIN(f_yd,200000*IF(AY41&lt;=h_col,0.0035*(AY41-d_2)/AY41,0.002*(AY41-d_2)/(AY41-3*h_col/7))))-f_cd*(1-(1-MAX(0,MIN(1,IF(AY41&lt;=h_col,0.0035*(AY41-d_2)/AY41,0.002*(AY41-d_2)/(AY41-3*h_col/7))/0.002)))^2))+(MAX(-f_yd,MIN(f_yd,200000*IF(AY41&lt;=h_col,0.0035*(AY41-(h_col-d_2))/AY41,0.002*(AY41-(h_col-d_2))/(AY41-3*h_col/7))))-f_cd*(1-(1-MAX(0,MIN(1,IF(AY41&lt;=h_col,0.0035*(AY41-(h_col-d_2))/AY41,0.002*(AY41-(h_col-d_2))/(AY41-3*h_col/7))/0.002)))^2))))/1000</f>
        <v/>
      </c>
      <c r="BA41">
        <f>IF($AZ41&lt;N_Ed-1E-9*MAX(1,N_Ed),(AW41+AX41)/2,AW41)</f>
        <v/>
      </c>
      <c r="BB41">
        <f>IF($AZ41&lt;N_Ed-1E-9*MAX(1,N_Ed),AX41,(AW41+AX41)/2)</f>
        <v/>
      </c>
      <c r="BC41">
        <f>h_col*((BA41+BB41)/2)/(1-(BA41+BB41)/2)</f>
        <v/>
      </c>
      <c r="BD41">
        <f>(f_cd*b_col*((3*MIN(BC41,h_col)/7)+(4*MIN(BC41,h_col)/7)*(1-((4*MIN(BC41,h_col)/7)/(BC41-(3*MIN(BC41,h_col)/7)))^2/3))+$D41/2*((MAX(-f_yd,MIN(f_yd,200000*IF(BC41&lt;=h_col,0.0035*(BC41-d_2)/BC41,0.002*(BC41-d_2)/(BC41-3*h_col/7))))-f_cd*(1-(1-MAX(0,MIN(1,IF(BC41&lt;=h_col,0.0035*(BC41-d_2)/BC41,0.002*(BC41-d_2)/(BC41-3*h_col/7))/0.002)))^2))+(MAX(-f_yd,MIN(f_yd,200000*IF(BC41&lt;=h_col,0.0035*(BC41-(h_col-d_2))/BC41,0.002*(BC41-(h_col-d_2))/(BC41-3*h_col/7))))-f_cd*(1-(1-MAX(0,MIN(1,IF(BC41&lt;=h_col,0.0035*(BC41-(h_col-d_2))/BC41,0.002*(BC41-(h_col-d_2))/(BC41-3*h_col/7))/0.002)))^2))))/1000</f>
        <v/>
      </c>
      <c r="BE41">
        <f>IF($BD41&lt;N_Ed-1E-9*MAX(1,N_Ed),(BA41+BB41)/2,BA41)</f>
        <v/>
      </c>
      <c r="BF41">
        <f>IF($BD41&lt;N_Ed-1E-9*MAX(1,N_Ed),BB41,(BA41+BB41)/2)</f>
        <v/>
      </c>
      <c r="BG41">
        <f>h_col*((BE41+BF41)/2)/(1-(BE41+BF41)/2)</f>
        <v/>
      </c>
      <c r="BH41">
        <f>(f_cd*b_col*((3*MIN(BG41,h_col)/7)+(4*MIN(BG41,h_col)/7)*(1-((4*MIN(BG41,h_col)/7)/(BG41-(3*MIN(BG41,h_col)/7)))^2/3))+$D41/2*((MAX(-f_yd,MIN(f_yd,200000*IF(BG41&lt;=h_col,0.0035*(BG41-d_2)/BG41,0.002*(BG41-d_2)/(BG41-3*h_col/7))))-f_cd*(1-(1-MAX(0,MIN(1,IF(BG41&lt;=h_col,0.0035*(BG41-d_2)/BG41,0.002*(BG41-d_2)/(BG41-3*h_col/7))/0.002)))^2))+(MAX(-f_yd,MIN(f_yd,200000*IF(BG41&lt;=h_col,0.0035*(BG41-(h_col-d_2))/BG41,0.002*(BG41-(h_col-d_2))/(BG41-3*h_col/7))))-f_cd*(1-(1-MAX(0,MIN(1,IF(BG41&lt;=h_col,0.0035*(BG41-(h_col-d_2))/BG41,0.002*(BG41-(h_col-d_2))/(BG41-3*h_col/7))/0.002)))^2))))/1000</f>
        <v/>
      </c>
      <c r="BI41">
        <f>IF($BH41&lt;N_Ed-1E-9*MAX(1,N_Ed),(BE41+BF41)/2,BE41)</f>
        <v/>
      </c>
      <c r="BJ41">
        <f>IF($BH41&lt;N_Ed-1E-9*MAX(1,N_Ed),BF41,(BE41+BF41)/2)</f>
        <v/>
      </c>
      <c r="BK41">
        <f>h_col*((BI41+BJ41)/2)/(1-(BI41+BJ41)/2)</f>
        <v/>
      </c>
      <c r="BL41">
        <f>(f_cd*b_col*((3*MIN(BK41,h_col)/7)+(4*MIN(BK41,h_col)/7)*(1-((4*MIN(BK41,h_col)/7)/(BK41-(3*MIN(BK41,h_col)/7)))^2/3))+$D41/2*((MAX(-f_yd,MIN(f_yd,200000*IF(BK41&lt;=h_col,0.0035*(BK41-d_2)/BK41,0.002*(BK41-d_2)/(BK41-3*h_col/7))))-f_cd*(1-(1-MAX(0,MIN(1,IF(BK41&lt;=h_col,0.0035*(BK41-d_2)/BK41,0.002*(BK41-d_2)/(BK41-3*h_col/7))/0.002)))^2))+(MAX(-f_yd,MIN(f_yd,200000*IF(BK41&lt;=h_col,0.0035*(BK41-(h_col-d_2))/BK41,0.002*(BK41-(h_col-d_2))/(BK41-3*h_col/7))))-f_cd*(1-(1-MAX(0,MIN(1,IF(BK41&lt;=h_col,0.0035*(BK41-(h_col-d_2))/BK41,0.002*(BK41-(h_col-d_2))/(BK41-3*h_col/7))/0.002)))^2))))/1000</f>
        <v/>
      </c>
      <c r="BM41">
        <f>IF($BL41&lt;N_Ed-1E-9*MAX(1,N_Ed),(BI41+BJ41)/2,BI41)</f>
        <v/>
      </c>
      <c r="BN41">
        <f>IF($BL41&lt;N_Ed-1E-9*MAX(1,N_Ed),BJ41,(BI41+BJ41)/2)</f>
        <v/>
      </c>
      <c r="BO41">
        <f>h_col*((BM41+BN41)/2)/(1-(BM41+BN41)/2)</f>
        <v/>
      </c>
      <c r="BP41">
        <f>(f_cd*b_col*((3*MIN(BO41,h_col)/7)+(4*MIN(BO41,h_col)/7)*(1-((4*MIN(BO41,h_col)/7)/(BO41-(3*MIN(BO41,h_col)/7)))^2/3))+$D41/2*((MAX(-f_yd,MIN(f_yd,200000*IF(BO41&lt;=h_col,0.0035*(BO41-d_2)/BO41,0.002*(BO41-d_2)/(BO41-3*h_col/7))))-f_cd*(1-(1-MAX(0,MIN(1,IF(BO41&lt;=h_col,0.0035*(BO41-d_2)/BO41,0.002*(BO41-d_2)/(BO41-3*h_col/7))/0.002)))^2))+(MAX(-f_yd,MIN(f_yd,200000*IF(BO41&lt;=h_col,0.0035*(BO41-(h_col-d_2))/BO41,0.002*(BO41-(h_col-d_2))/(BO41-3*h_col/7))))-f_cd*(1-(1-MAX(0,MIN(1,IF(BO41&lt;=h_col,0.0035*(BO41-(h_col-d_2))/BO41,0.002*(BO41-(h_col-d_2))/(BO41-3*h_col/7))/0.002)))^2))))/1000</f>
        <v/>
      </c>
      <c r="BQ41">
        <f>IF($BP41&lt;N_Ed-1E-9*MAX(1,N_Ed),(BM41+BN41)/2,BM41)</f>
        <v/>
      </c>
      <c r="BR41">
        <f>IF($BP41&lt;N_Ed-1E-9*MAX(1,N_Ed),BN41,(BM41+BN41)/2)</f>
        <v/>
      </c>
      <c r="BS41">
        <f>h_col*((BQ41+BR41)/2)/(1-(BQ41+BR41)/2)</f>
        <v/>
      </c>
      <c r="BT41">
        <f>(f_cd*b_col*((3*MIN(BS41,h_col)/7)+(4*MIN(BS41,h_col)/7)*(1-((4*MIN(BS41,h_col)/7)/(BS41-(3*MIN(BS41,h_col)/7)))^2/3))+$D41/2*((MAX(-f_yd,MIN(f_yd,200000*IF(BS41&lt;=h_col,0.0035*(BS41-d_2)/BS41,0.002*(BS41-d_2)/(BS41-3*h_col/7))))-f_cd*(1-(1-MAX(0,MIN(1,IF(BS41&lt;=h_col,0.0035*(BS41-d_2)/BS41,0.002*(BS41-d_2)/(BS41-3*h_col/7))/0.002)))^2))+(MAX(-f_yd,MIN(f_yd,200000*IF(BS41&lt;=h_col,0.0035*(BS41-(h_col-d_2))/BS41,0.002*(BS41-(h_col-d_2))/(BS41-3*h_col/7))))-f_cd*(1-(1-MAX(0,MIN(1,IF(BS41&lt;=h_col,0.0035*(BS41-(h_col-d_2))/BS41,0.002*(BS41-(h_col-d_2))/(BS41-3*h_col/7))/0.002)))^2))))/1000</f>
        <v/>
      </c>
      <c r="BU41">
        <f>IF($BT41&lt;N_Ed-1E-9*MAX(1,N_Ed),(BQ41+BR41)/2,BQ41)</f>
        <v/>
      </c>
      <c r="BV41">
        <f>IF($BT41&lt;N_Ed-1E-9*MAX(1,N_Ed),BR41,(BQ41+BR41)/2)</f>
        <v/>
      </c>
      <c r="BW41">
        <f>h_col*((BU41+BV41)/2)/(1-(BU41+BV41)/2)</f>
        <v/>
      </c>
      <c r="BX41">
        <f>(f_cd*b_col*((3*MIN(BW41,h_col)/7)+(4*MIN(BW41,h_col)/7)*(1-((4*MIN(BW41,h_col)/7)/(BW41-(3*MIN(BW41,h_col)/7)))^2/3))+$D41/2*((MAX(-f_yd,MIN(f_yd,200000*IF(BW41&lt;=h_col,0.0035*(BW41-d_2)/BW41,0.002*(BW41-d_2)/(BW41-3*h_col/7))))-f_cd*(1-(1-MAX(0,MIN(1,IF(BW41&lt;=h_col,0.0035*(BW41-d_2)/BW41,0.002*(BW41-d_2)/(BW41-3*h_col/7))/0.002)))^2))+(MAX(-f_yd,MIN(f_yd,200000*IF(BW41&lt;=h_col,0.0035*(BW41-(h_col-d_2))/BW41,0.002*(BW41-(h_col-d_2))/(BW41-3*h_col/7))))-f_cd*(1-(1-MAX(0,MIN(1,IF(BW41&lt;=h_col,0.0035*(BW41-(h_col-d_2))/BW41,0.002*(BW41-(h_col-d_2))/(BW41-3*h_col/7))/0.002)))^2))))/1000</f>
        <v/>
      </c>
      <c r="BY41">
        <f>IF($BX41&lt;N_Ed-1E-9*MAX(1,N_Ed),(BU41+BV41)/2,BU41)</f>
        <v/>
      </c>
      <c r="BZ41">
        <f>IF($BX41&lt;N_Ed-1E-9*MAX(1,N_Ed),BV41,(BU41+BV41)/2)</f>
        <v/>
      </c>
      <c r="CA41">
        <f>h_col*((BY41+BZ41)/2)/(1-(BY41+BZ41)/2)</f>
        <v/>
      </c>
      <c r="CB41">
        <f>(f_cd*b_col*((3*MIN(CA41,h_col)/7)+(4*MIN(CA41,h_col)/7)*(1-((4*MIN(CA41,h_col)/7)/(CA41-(3*MIN(CA41,h_col)/7)))^2/3))+$D41/2*((MAX(-f_yd,MIN(f_yd,200000*IF(CA41&lt;=h_col,0.0035*(CA41-d_2)/CA41,0.002*(CA41-d_2)/(CA41-3*h_col/7))))-f_cd*(1-(1-MAX(0,MIN(1,IF(CA41&lt;=h_col,0.0035*(CA41-d_2)/CA41,0.002*(CA41-d_2)/(CA41-3*h_col/7))/0.002)))^2))+(MAX(-f_yd,MIN(f_yd,200000*IF(CA41&lt;=h_col,0.0035*(CA41-(h_col-d_2))/CA41,0.002*(CA41-(h_col-d_2))/(CA41-3*h_col/7))))-f_cd*(1-(1-MAX(0,MIN(1,IF(CA41&lt;=h_col,0.0035*(CA41-(h_col-d_2))/CA41,0.002*(CA41-(h_col-d_2))/(CA41-3*h_col/7))/0.002)))^2))))/1000</f>
        <v/>
      </c>
      <c r="CC41">
        <f>IF($CB41&lt;N_Ed-1E-9*MAX(1,N_Ed),(BY41+BZ41)/2,BY41)</f>
        <v/>
      </c>
      <c r="CD41">
        <f>IF($CB41&lt;N_Ed-1E-9*MAX(1,N_Ed),BZ41,(BY41+BZ41)/2)</f>
        <v/>
      </c>
      <c r="CE41">
        <f>h_col*((CC41+CD41)/2)/(1-(CC41+CD41)/2)</f>
        <v/>
      </c>
      <c r="CF41">
        <f>(f_cd*b_col*((3*MIN(CE41,h_col)/7)+(4*MIN(CE41,h_col)/7)*(1-((4*MIN(CE41,h_col)/7)/(CE41-(3*MIN(CE41,h_col)/7)))^2/3))+$D41/2*((MAX(-f_yd,MIN(f_yd,200000*IF(CE41&lt;=h_col,0.0035*(CE41-d_2)/CE41,0.002*(CE41-d_2)/(CE41-3*h_col/7))))-f_cd*(1-(1-MAX(0,MIN(1,IF(CE41&lt;=h_col,0.0035*(CE41-d_2)/CE41,0.002*(CE41-d_2)/(CE41-3*h_col/7))/0.002)))^2))+(MAX(-f_yd,MIN(f_yd,200000*IF(CE41&lt;=h_col,0.0035*(CE41-(h_col-d_2))/CE41,0.002*(CE41-(h_col-d_2))/(CE41-3*h_col/7))))-f_cd*(1-(1-MAX(0,MIN(1,IF(CE41&lt;=h_col,0.0035*(CE41-(h_col-d_2))/CE41,0.002*(CE41-(h_col-d_2))/(CE41-3*h_col/7))/0.002)))^2))))/1000</f>
        <v/>
      </c>
      <c r="CG41">
        <f>IF($CF41&lt;N_Ed-1E-9*MAX(1,N_Ed),(CC41+CD41)/2,CC41)</f>
        <v/>
      </c>
      <c r="CH41">
        <f>IF($CF41&lt;N_Ed-1E-9*MAX(1,N_Ed),CD41,(CC41+CD41)/2)</f>
        <v/>
      </c>
      <c r="CI41">
        <f>h_col*((CG41+CH41)/2)/(1-(CG41+CH41)/2)</f>
        <v/>
      </c>
      <c r="CJ41">
        <f>(f_cd*b_col*((3*MIN(CI41,h_col)/7)+(4*MIN(CI41,h_col)/7)*(1-((4*MIN(CI41,h_col)/7)/(CI41-(3*MIN(CI41,h_col)/7)))^2/3))+$D41/2*((MAX(-f_yd,MIN(f_yd,200000*IF(CI41&lt;=h_col,0.0035*(CI41-d_2)/CI41,0.002*(CI41-d_2)/(CI41-3*h_col/7))))-f_cd*(1-(1-MAX(0,MIN(1,IF(CI41&lt;=h_col,0.0035*(CI41-d_2)/CI41,0.002*(CI41-d_2)/(CI41-3*h_col/7))/0.002)))^2))+(MAX(-f_yd,MIN(f_yd,200000*IF(CI41&lt;=h_col,0.0035*(CI41-(h_col-d_2))/CI41,0.002*(CI41-(h_col-d_2))/(CI41-3*h_col/7))))-f_cd*(1-(1-MAX(0,MIN(1,IF(CI41&lt;=h_col,0.0035*(CI41-(h_col-d_2))/CI41,0.002*(CI41-(h_col-d_2))/(CI41-3*h_col/7))/0.002)))^2))))/1000</f>
        <v/>
      </c>
      <c r="CK41">
        <f>IF($CJ41&lt;N_Ed-1E-9*MAX(1,N_Ed),(CG41+CH41)/2,CG41)</f>
        <v/>
      </c>
      <c r="CL41">
        <f>IF($CJ41&lt;N_Ed-1E-9*MAX(1,N_Ed),CH41,(CG41+CH41)/2)</f>
        <v/>
      </c>
      <c r="CM41">
        <f>h_col*((CK41+CL41)/2)/(1-(CK41+CL41)/2)</f>
        <v/>
      </c>
      <c r="CN41">
        <f>(f_cd*b_col*((3*MIN(CM41,h_col)/7)+(4*MIN(CM41,h_col)/7)*(1-((4*MIN(CM41,h_col)/7)/(CM41-(3*MIN(CM41,h_col)/7)))^2/3))+$D41/2*((MAX(-f_yd,MIN(f_yd,200000*IF(CM41&lt;=h_col,0.0035*(CM41-d_2)/CM41,0.002*(CM41-d_2)/(CM41-3*h_col/7))))-f_cd*(1-(1-MAX(0,MIN(1,IF(CM41&lt;=h_col,0.0035*(CM41-d_2)/CM41,0.002*(CM41-d_2)/(CM41-3*h_col/7))/0.002)))^2))+(MAX(-f_yd,MIN(f_yd,200000*IF(CM41&lt;=h_col,0.0035*(CM41-(h_col-d_2))/CM41,0.002*(CM41-(h_col-d_2))/(CM41-3*h_col/7))))-f_cd*(1-(1-MAX(0,MIN(1,IF(CM41&lt;=h_col,0.0035*(CM41-(h_col-d_2))/CM41,0.002*(CM41-(h_col-d_2))/(CM41-3*h_col/7))/0.002)))^2))))/1000</f>
        <v/>
      </c>
      <c r="CO41">
        <f>IF($CN41&lt;N_Ed-1E-9*MAX(1,N_Ed),(CK41+CL41)/2,CK41)</f>
        <v/>
      </c>
      <c r="CP41">
        <f>IF($CN41&lt;N_Ed-1E-9*MAX(1,N_Ed),CL41,(CK41+CL41)/2)</f>
        <v/>
      </c>
      <c r="CQ41">
        <f>h_col*((CO41+CP41)/2)/(1-(CO41+CP41)/2)</f>
        <v/>
      </c>
      <c r="CR41">
        <f>(f_cd*b_col*((3*MIN(CQ41,h_col)/7)+(4*MIN(CQ41,h_col)/7)*(1-((4*MIN(CQ41,h_col)/7)/(CQ41-(3*MIN(CQ41,h_col)/7)))^2/3))+$D41/2*((MAX(-f_yd,MIN(f_yd,200000*IF(CQ41&lt;=h_col,0.0035*(CQ41-d_2)/CQ41,0.002*(CQ41-d_2)/(CQ41-3*h_col/7))))-f_cd*(1-(1-MAX(0,MIN(1,IF(CQ41&lt;=h_col,0.0035*(CQ41-d_2)/CQ41,0.002*(CQ41-d_2)/(CQ41-3*h_col/7))/0.002)))^2))+(MAX(-f_yd,MIN(f_yd,200000*IF(CQ41&lt;=h_col,0.0035*(CQ41-(h_col-d_2))/CQ41,0.002*(CQ41-(h_col-d_2))/(CQ41-3*h_col/7))))-f_cd*(1-(1-MAX(0,MIN(1,IF(CQ41&lt;=h_col,0.0035*(CQ41-(h_col-d_2))/CQ41,0.002*(CQ41-(h_col-d_2))/(CQ41-3*h_col/7))/0.002)))^2))))/1000</f>
        <v/>
      </c>
      <c r="CS41">
        <f>IF($CR41&lt;N_Ed-1E-9*MAX(1,N_Ed),(CO41+CP41)/2,CO41)</f>
        <v/>
      </c>
      <c r="CT41">
        <f>IF($CR41&lt;N_Ed-1E-9*MAX(1,N_Ed),CP41,(CO41+CP41)/2)</f>
        <v/>
      </c>
      <c r="CU41">
        <f>h_col*((CS41+CT41)/2)/(1-(CS41+CT41)/2)</f>
        <v/>
      </c>
      <c r="CV41">
        <f>(f_cd*b_col*((3*MIN(CU41,h_col)/7)+(4*MIN(CU41,h_col)/7)*(1-((4*MIN(CU41,h_col)/7)/(CU41-(3*MIN(CU41,h_col)/7)))^2/3))+$D41/2*((MAX(-f_yd,MIN(f_yd,200000*IF(CU41&lt;=h_col,0.0035*(CU41-d_2)/CU41,0.002*(CU41-d_2)/(CU41-3*h_col/7))))-f_cd*(1-(1-MAX(0,MIN(1,IF(CU41&lt;=h_col,0.0035*(CU41-d_2)/CU41,0.002*(CU41-d_2)/(CU41-3*h_col/7))/0.002)))^2))+(MAX(-f_yd,MIN(f_yd,200000*IF(CU41&lt;=h_col,0.0035*(CU41-(h_col-d_2))/CU41,0.002*(CU41-(h_col-d_2))/(CU41-3*h_col/7))))-f_cd*(1-(1-MAX(0,MIN(1,IF(CU41&lt;=h_col,0.0035*(CU41-(h_col-d_2))/CU41,0.002*(CU41-(h_col-d_2))/(CU41-3*h_col/7))/0.002)))^2))))/1000</f>
        <v/>
      </c>
      <c r="CW41">
        <f>IF($CV41&lt;N_Ed-1E-9*MAX(1,N_Ed),(CS41+CT41)/2,CS41)</f>
        <v/>
      </c>
      <c r="CX41">
        <f>IF($CV41&lt;N_Ed-1E-9*MAX(1,N_Ed),CT41,(CS41+CT41)/2)</f>
        <v/>
      </c>
      <c r="CY41">
        <f>h_col*((CW41+CX41)/2)/(1-(CW41+CX41)/2)</f>
        <v/>
      </c>
      <c r="CZ41">
        <f>(f_cd*b_col*((3*MIN(CY41,h_col)/7)+(4*MIN(CY41,h_col)/7)*(1-((4*MIN(CY41,h_col)/7)/(CY41-(3*MIN(CY41,h_col)/7)))^2/3))+$D41/2*((MAX(-f_yd,MIN(f_yd,200000*IF(CY41&lt;=h_col,0.0035*(CY41-d_2)/CY41,0.002*(CY41-d_2)/(CY41-3*h_col/7))))-f_cd*(1-(1-MAX(0,MIN(1,IF(CY41&lt;=h_col,0.0035*(CY41-d_2)/CY41,0.002*(CY41-d_2)/(CY41-3*h_col/7))/0.002)))^2))+(MAX(-f_yd,MIN(f_yd,200000*IF(CY41&lt;=h_col,0.0035*(CY41-(h_col-d_2))/CY41,0.002*(CY41-(h_col-d_2))/(CY41-3*h_col/7))))-f_cd*(1-(1-MAX(0,MIN(1,IF(CY41&lt;=h_col,0.0035*(CY41-(h_col-d_2))/CY41,0.002*(CY41-(h_col-d_2))/(CY41-3*h_col/7))/0.002)))^2))))/1000</f>
        <v/>
      </c>
      <c r="DA41">
        <f>IF($CZ41&lt;N_Ed-1E-9*MAX(1,N_Ed),(CW41+CX41)/2,CW41)</f>
        <v/>
      </c>
      <c r="DB41">
        <f>IF($CZ41&lt;N_Ed-1E-9*MAX(1,N_Ed),CX41,(CW41+CX41)/2)</f>
        <v/>
      </c>
      <c r="DC41">
        <f>h_col*((DA41+DB41)/2)/(1-(DA41+DB41)/2)</f>
        <v/>
      </c>
      <c r="DD41">
        <f>(f_cd*b_col*((3*MIN(DC41,h_col)/7)+(4*MIN(DC41,h_col)/7)*(1-((4*MIN(DC41,h_col)/7)/(DC41-(3*MIN(DC41,h_col)/7)))^2/3))+$D41/2*((MAX(-f_yd,MIN(f_yd,200000*IF(DC41&lt;=h_col,0.0035*(DC41-d_2)/DC41,0.002*(DC41-d_2)/(DC41-3*h_col/7))))-f_cd*(1-(1-MAX(0,MIN(1,IF(DC41&lt;=h_col,0.0035*(DC41-d_2)/DC41,0.002*(DC41-d_2)/(DC41-3*h_col/7))/0.002)))^2))+(MAX(-f_yd,MIN(f_yd,200000*IF(DC41&lt;=h_col,0.0035*(DC41-(h_col-d_2))/DC41,0.002*(DC41-(h_col-d_2))/(DC41-3*h_col/7))))-f_cd*(1-(1-MAX(0,MIN(1,IF(DC41&lt;=h_col,0.0035*(DC41-(h_col-d_2))/DC41,0.002*(DC41-(h_col-d_2))/(DC41-3*h_col/7))/0.002)))^2))))/1000</f>
        <v/>
      </c>
      <c r="DE41">
        <f>IF($DD41&lt;N_Ed-1E-9*MAX(1,N_Ed),(DA41+DB41)/2,DA41)</f>
        <v/>
      </c>
      <c r="DF41">
        <f>IF($DD41&lt;N_Ed-1E-9*MAX(1,N_Ed),DB41,(DA41+DB41)/2)</f>
        <v/>
      </c>
      <c r="DG41">
        <f>h_col*((DE41+DF41)/2)/(1-(DE41+DF41)/2)</f>
        <v/>
      </c>
      <c r="DH41">
        <f>(f_cd*b_col*((3*MIN(DG41,h_col)/7)+(4*MIN(DG41,h_col)/7)*(1-((4*MIN(DG41,h_col)/7)/(DG41-(3*MIN(DG41,h_col)/7)))^2/3))+$D41/2*((MAX(-f_yd,MIN(f_yd,200000*IF(DG41&lt;=h_col,0.0035*(DG41-d_2)/DG41,0.002*(DG41-d_2)/(DG41-3*h_col/7))))-f_cd*(1-(1-MAX(0,MIN(1,IF(DG41&lt;=h_col,0.0035*(DG41-d_2)/DG41,0.002*(DG41-d_2)/(DG41-3*h_col/7))/0.002)))^2))+(MAX(-f_yd,MIN(f_yd,200000*IF(DG41&lt;=h_col,0.0035*(DG41-(h_col-d_2))/DG41,0.002*(DG41-(h_col-d_2))/(DG41-3*h_col/7))))-f_cd*(1-(1-MAX(0,MIN(1,IF(DG41&lt;=h_col,0.0035*(DG41-(h_col-d_2))/DG41,0.002*(DG41-(h_col-d_2))/(DG41-3*h_col/7))/0.002)))^2))))/1000</f>
        <v/>
      </c>
      <c r="DI41">
        <f>IF($DH41&lt;N_Ed-1E-9*MAX(1,N_Ed),(DE41+DF41)/2,DE41)</f>
        <v/>
      </c>
      <c r="DJ41">
        <f>IF($DH41&lt;N_Ed-1E-9*MAX(1,N_Ed),DF41,(DE41+DF41)/2)</f>
        <v/>
      </c>
      <c r="DK41">
        <f>h_col*((DI41+DJ41)/2)/(1-(DI41+DJ41)/2)</f>
        <v/>
      </c>
      <c r="DL41">
        <f>(f_cd*b_col*((3*MIN(DK41,h_col)/7)+(4*MIN(DK41,h_col)/7)*(1-((4*MIN(DK41,h_col)/7)/(DK41-(3*MIN(DK41,h_col)/7)))^2/3))+$D41/2*((MAX(-f_yd,MIN(f_yd,200000*IF(DK41&lt;=h_col,0.0035*(DK41-d_2)/DK41,0.002*(DK41-d_2)/(DK41-3*h_col/7))))-f_cd*(1-(1-MAX(0,MIN(1,IF(DK41&lt;=h_col,0.0035*(DK41-d_2)/DK41,0.002*(DK41-d_2)/(DK41-3*h_col/7))/0.002)))^2))+(MAX(-f_yd,MIN(f_yd,200000*IF(DK41&lt;=h_col,0.0035*(DK41-(h_col-d_2))/DK41,0.002*(DK41-(h_col-d_2))/(DK41-3*h_col/7))))-f_cd*(1-(1-MAX(0,MIN(1,IF(DK41&lt;=h_col,0.0035*(DK41-(h_col-d_2))/DK41,0.002*(DK41-(h_col-d_2))/(DK41-3*h_col/7))/0.002)))^2))))/1000</f>
        <v/>
      </c>
      <c r="DM41">
        <f>IF($DL41&lt;N_Ed-1E-9*MAX(1,N_Ed),(DI41+DJ41)/2,DI41)</f>
        <v/>
      </c>
      <c r="DN41">
        <f>IF($DL41&lt;N_Ed-1E-9*MAX(1,N_Ed),DJ41,(DI41+DJ41)/2)</f>
        <v/>
      </c>
      <c r="DO41">
        <f>h_col*((DM41+DN41)/2)/(1-(DM41+DN41)/2)</f>
        <v/>
      </c>
      <c r="DP41">
        <f>(f_cd*b_col*((3*MIN(DO41,h_col)/7)+(4*MIN(DO41,h_col)/7)*(1-((4*MIN(DO41,h_col)/7)/(DO41-(3*MIN(DO41,h_col)/7)))^2/3))+$D41/2*((MAX(-f_yd,MIN(f_yd,200000*IF(DO41&lt;=h_col,0.0035*(DO41-d_2)/DO41,0.002*(DO41-d_2)/(DO41-3*h_col/7))))-f_cd*(1-(1-MAX(0,MIN(1,IF(DO41&lt;=h_col,0.0035*(DO41-d_2)/DO41,0.002*(DO41-d_2)/(DO41-3*h_col/7))/0.002)))^2))+(MAX(-f_yd,MIN(f_yd,200000*IF(DO41&lt;=h_col,0.0035*(DO41-(h_col-d_2))/DO41,0.002*(DO41-(h_col-d_2))/(DO41-3*h_col/7))))-f_cd*(1-(1-MAX(0,MIN(1,IF(DO41&lt;=h_col,0.0035*(DO41-(h_col-d_2))/DO41,0.002*(DO41-(h_col-d_2))/(DO41-3*h_col/7))/0.002)))^2))))/1000</f>
        <v/>
      </c>
      <c r="DQ41">
        <f>IF($DP41&lt;N_Ed-1E-9*MAX(1,N_Ed),(DM41+DN41)/2,DM41)</f>
        <v/>
      </c>
      <c r="DR41">
        <f>IF($DP41&lt;N_Ed-1E-9*MAX(1,N_Ed),DN41,(DM41+DN41)/2)</f>
        <v/>
      </c>
      <c r="DS41">
        <f>h_col*((DQ41+DR41)/2)/(1-(DQ41+DR41)/2)</f>
        <v/>
      </c>
      <c r="DT41">
        <f>(f_cd*b_col*((3*MIN(DS41,h_col)/7)+(4*MIN(DS41,h_col)/7)*(1-((4*MIN(DS41,h_col)/7)/(DS41-(3*MIN(DS41,h_col)/7)))^2/3))+$D41/2*((MAX(-f_yd,MIN(f_yd,200000*IF(DS41&lt;=h_col,0.0035*(DS41-d_2)/DS41,0.002*(DS41-d_2)/(DS41-3*h_col/7))))-f_cd*(1-(1-MAX(0,MIN(1,IF(DS41&lt;=h_col,0.0035*(DS41-d_2)/DS41,0.002*(DS41-d_2)/(DS41-3*h_col/7))/0.002)))^2))+(MAX(-f_yd,MIN(f_yd,200000*IF(DS41&lt;=h_col,0.0035*(DS41-(h_col-d_2))/DS41,0.002*(DS41-(h_col-d_2))/(DS41-3*h_col/7))))-f_cd*(1-(1-MAX(0,MIN(1,IF(DS41&lt;=h_col,0.0035*(DS41-(h_col-d_2))/DS41,0.002*(DS41-(h_col-d_2))/(DS41-3*h_col/7))/0.002)))^2))))/1000</f>
        <v/>
      </c>
      <c r="DU41">
        <f>IF($DT41&lt;N_Ed-1E-9*MAX(1,N_Ed),(DQ41+DR41)/2,DQ41)</f>
        <v/>
      </c>
      <c r="DV41">
        <f>IF($DT41&lt;N_Ed-1E-9*MAX(1,N_Ed),DR41,(DQ41+DR41)/2)</f>
        <v/>
      </c>
      <c r="DW41">
        <f>h_col*((DU41+DV41)/2)/(1-(DU41+DV41)/2)</f>
        <v/>
      </c>
      <c r="DX41">
        <f>(f_cd*b_col*((3*MIN(DW41,h_col)/7)+(4*MIN(DW41,h_col)/7)*(1-((4*MIN(DW41,h_col)/7)/(DW41-(3*MIN(DW41,h_col)/7)))^2/3))+$D41/2*((MAX(-f_yd,MIN(f_yd,200000*IF(DW41&lt;=h_col,0.0035*(DW41-d_2)/DW41,0.002*(DW41-d_2)/(DW41-3*h_col/7))))-f_cd*(1-(1-MAX(0,MIN(1,IF(DW41&lt;=h_col,0.0035*(DW41-d_2)/DW41,0.002*(DW41-d_2)/(DW41-3*h_col/7))/0.002)))^2))+(MAX(-f_yd,MIN(f_yd,200000*IF(DW41&lt;=h_col,0.0035*(DW41-(h_col-d_2))/DW41,0.002*(DW41-(h_col-d_2))/(DW41-3*h_col/7))))-f_cd*(1-(1-MAX(0,MIN(1,IF(DW41&lt;=h_col,0.0035*(DW41-(h_col-d_2))/DW41,0.002*(DW41-(h_col-d_2))/(DW41-3*h_col/7))/0.002)))^2))))/1000</f>
        <v/>
      </c>
      <c r="DY41">
        <f>IF($DX41&lt;N_Ed-1E-9*MAX(1,N_Ed),(DU41+DV41)/2,DU41)</f>
        <v/>
      </c>
      <c r="DZ41">
        <f>IF($DX41&lt;N_Ed-1E-9*MAX(1,N_Ed),DV41,(DU41+DV41)/2)</f>
        <v/>
      </c>
      <c r="EA41">
        <f>h_col*((DY41+DZ41)/2)/(1-(DY41+DZ41)/2)</f>
        <v/>
      </c>
      <c r="EB41">
        <f>(f_cd*b_col*((3*MIN(EA41,h_col)/7)+(4*MIN(EA41,h_col)/7)*(1-((4*MIN(EA41,h_col)/7)/(EA41-(3*MIN(EA41,h_col)/7)))^2/3))+$D41/2*((MAX(-f_yd,MIN(f_yd,200000*IF(EA41&lt;=h_col,0.0035*(EA41-d_2)/EA41,0.002*(EA41-d_2)/(EA41-3*h_col/7))))-f_cd*(1-(1-MAX(0,MIN(1,IF(EA41&lt;=h_col,0.0035*(EA41-d_2)/EA41,0.002*(EA41-d_2)/(EA41-3*h_col/7))/0.002)))^2))+(MAX(-f_yd,MIN(f_yd,200000*IF(EA41&lt;=h_col,0.0035*(EA41-(h_col-d_2))/EA41,0.002*(EA41-(h_col-d_2))/(EA41-3*h_col/7))))-f_cd*(1-(1-MAX(0,MIN(1,IF(EA41&lt;=h_col,0.0035*(EA41-(h_col-d_2))/EA41,0.002*(EA41-(h_col-d_2))/(EA41-3*h_col/7))/0.002)))^2))))/1000</f>
        <v/>
      </c>
      <c r="EC41">
        <f>IF($EB41&lt;N_Ed-1E-9*MAX(1,N_Ed),(DY41+DZ41)/2,DY41)</f>
        <v/>
      </c>
      <c r="ED41">
        <f>IF($EB41&lt;N_Ed-1E-9*MAX(1,N_Ed),DZ41,(DY41+DZ41)/2)</f>
        <v/>
      </c>
      <c r="EE41">
        <f>h_col*((EC41+ED41)/2)/(1-(EC41+ED41)/2)</f>
        <v/>
      </c>
      <c r="EF41">
        <f>(f_cd*b_col*((3*MIN(EE41,h_col)/7)+(4*MIN(EE41,h_col)/7)*(1-((4*MIN(EE41,h_col)/7)/(EE41-(3*MIN(EE41,h_col)/7)))^2/3))+$D41/2*((MAX(-f_yd,MIN(f_yd,200000*IF(EE41&lt;=h_col,0.0035*(EE41-d_2)/EE41,0.002*(EE41-d_2)/(EE41-3*h_col/7))))-f_cd*(1-(1-MAX(0,MIN(1,IF(EE41&lt;=h_col,0.0035*(EE41-d_2)/EE41,0.002*(EE41-d_2)/(EE41-3*h_col/7))/0.002)))^2))+(MAX(-f_yd,MIN(f_yd,200000*IF(EE41&lt;=h_col,0.0035*(EE41-(h_col-d_2))/EE41,0.002*(EE41-(h_col-d_2))/(EE41-3*h_col/7))))-f_cd*(1-(1-MAX(0,MIN(1,IF(EE41&lt;=h_col,0.0035*(EE41-(h_col-d_2))/EE41,0.002*(EE41-(h_col-d_2))/(EE41-3*h_col/7))/0.002)))^2))))/1000</f>
        <v/>
      </c>
      <c r="EG41">
        <f>IF($EF41&lt;N_Ed-1E-9*MAX(1,N_Ed),(EC41+ED41)/2,EC41)</f>
        <v/>
      </c>
      <c r="EH41">
        <f>IF($EF41&lt;N_Ed-1E-9*MAX(1,N_Ed),ED41,(EC41+ED41)/2)</f>
        <v/>
      </c>
      <c r="EI41">
        <f>h_col*((EG41+EH41)/2)/(1-(EG41+EH41)/2)</f>
        <v/>
      </c>
      <c r="EJ41">
        <f>(f_cd*b_col*((3*MIN(EI41,h_col)/7)+(4*MIN(EI41,h_col)/7)*(1-((4*MIN(EI41,h_col)/7)/(EI41-(3*MIN(EI41,h_col)/7)))^2/3))+$D41/2*((MAX(-f_yd,MIN(f_yd,200000*IF(EI41&lt;=h_col,0.0035*(EI41-d_2)/EI41,0.002*(EI41-d_2)/(EI41-3*h_col/7))))-f_cd*(1-(1-MAX(0,MIN(1,IF(EI41&lt;=h_col,0.0035*(EI41-d_2)/EI41,0.002*(EI41-d_2)/(EI41-3*h_col/7))/0.002)))^2))+(MAX(-f_yd,MIN(f_yd,200000*IF(EI41&lt;=h_col,0.0035*(EI41-(h_col-d_2))/EI41,0.002*(EI41-(h_col-d_2))/(EI41-3*h_col/7))))-f_cd*(1-(1-MAX(0,MIN(1,IF(EI41&lt;=h_col,0.0035*(EI41-(h_col-d_2))/EI41,0.002*(EI41-(h_col-d_2))/(EI41-3*h_col/7))/0.002)))^2))))/1000</f>
        <v/>
      </c>
      <c r="EK41">
        <f>IF($EJ41&lt;N_Ed-1E-9*MAX(1,N_Ed),(EG41+EH41)/2,EG41)</f>
        <v/>
      </c>
      <c r="EL41">
        <f>IF($EJ41&lt;N_Ed-1E-9*MAX(1,N_Ed),EH41,(EG41+EH41)/2)</f>
        <v/>
      </c>
      <c r="EM41">
        <f>h_col*((EK41+EL41)/2)/(1-(EK41+EL41)/2)</f>
        <v/>
      </c>
      <c r="EN41">
        <f>(f_cd*b_col*((3*MIN(EM41,h_col)/7)+(4*MIN(EM41,h_col)/7)*(1-((4*MIN(EM41,h_col)/7)/(EM41-(3*MIN(EM41,h_col)/7)))^2/3))+$D41/2*((MAX(-f_yd,MIN(f_yd,200000*IF(EM41&lt;=h_col,0.0035*(EM41-d_2)/EM41,0.002*(EM41-d_2)/(EM41-3*h_col/7))))-f_cd*(1-(1-MAX(0,MIN(1,IF(EM41&lt;=h_col,0.0035*(EM41-d_2)/EM41,0.002*(EM41-d_2)/(EM41-3*h_col/7))/0.002)))^2))+(MAX(-f_yd,MIN(f_yd,200000*IF(EM41&lt;=h_col,0.0035*(EM41-(h_col-d_2))/EM41,0.002*(EM41-(h_col-d_2))/(EM41-3*h_col/7))))-f_cd*(1-(1-MAX(0,MIN(1,IF(EM41&lt;=h_col,0.0035*(EM41-(h_col-d_2))/EM41,0.002*(EM41-(h_col-d_2))/(EM41-3*h_col/7))/0.002)))^2))))/1000</f>
        <v/>
      </c>
      <c r="EO41">
        <f>IF($EN41&lt;N_Ed-1E-9*MAX(1,N_Ed),(EK41+EL41)/2,EK41)</f>
        <v/>
      </c>
      <c r="EP41">
        <f>IF($EN41&lt;N_Ed-1E-9*MAX(1,N_Ed),EL41,(EK41+EL41)/2)</f>
        <v/>
      </c>
      <c r="EQ41">
        <f>h_col*((EO41+EP41)/2)/(1-(EO41+EP41)/2)</f>
        <v/>
      </c>
      <c r="ER41">
        <f>(f_cd*b_col*((3*MIN(EQ41,h_col)/7)+(4*MIN(EQ41,h_col)/7)*(1-((4*MIN(EQ41,h_col)/7)/(EQ41-(3*MIN(EQ41,h_col)/7)))^2/3))+$D41/2*((MAX(-f_yd,MIN(f_yd,200000*IF(EQ41&lt;=h_col,0.0035*(EQ41-d_2)/EQ41,0.002*(EQ41-d_2)/(EQ41-3*h_col/7))))-f_cd*(1-(1-MAX(0,MIN(1,IF(EQ41&lt;=h_col,0.0035*(EQ41-d_2)/EQ41,0.002*(EQ41-d_2)/(EQ41-3*h_col/7))/0.002)))^2))+(MAX(-f_yd,MIN(f_yd,200000*IF(EQ41&lt;=h_col,0.0035*(EQ41-(h_col-d_2))/EQ41,0.002*(EQ41-(h_col-d_2))/(EQ41-3*h_col/7))))-f_cd*(1-(1-MAX(0,MIN(1,IF(EQ41&lt;=h_col,0.0035*(EQ41-(h_col-d_2))/EQ41,0.002*(EQ41-(h_col-d_2))/(EQ41-3*h_col/7))/0.002)))^2))))/1000</f>
        <v/>
      </c>
      <c r="ES41">
        <f>IF($ER41&lt;N_Ed-1E-9*MAX(1,N_Ed),(EO41+EP41)/2,EO41)</f>
        <v/>
      </c>
      <c r="ET41">
        <f>IF($ER41&lt;N_Ed-1E-9*MAX(1,N_Ed),EP41,(EO41+EP41)/2)</f>
        <v/>
      </c>
      <c r="EU41">
        <f>h_col*((ES41+ET41)/2)/(1-(ES41+ET41)/2)</f>
        <v/>
      </c>
      <c r="EV41">
        <f>(f_cd*b_col*((3*MIN(EU41,h_col)/7)+(4*MIN(EU41,h_col)/7)*(1-((4*MIN(EU41,h_col)/7)/(EU41-(3*MIN(EU41,h_col)/7)))^2/3))+$D41/2*((MAX(-f_yd,MIN(f_yd,200000*IF(EU41&lt;=h_col,0.0035*(EU41-d_2)/EU41,0.002*(EU41-d_2)/(EU41-3*h_col/7))))-f_cd*(1-(1-MAX(0,MIN(1,IF(EU41&lt;=h_col,0.0035*(EU41-d_2)/EU41,0.002*(EU41-d_2)/(EU41-3*h_col/7))/0.002)))^2))+(MAX(-f_yd,MIN(f_yd,200000*IF(EU41&lt;=h_col,0.0035*(EU41-(h_col-d_2))/EU41,0.002*(EU41-(h_col-d_2))/(EU41-3*h_col/7))))-f_cd*(1-(1-MAX(0,MIN(1,IF(EU41&lt;=h_col,0.0035*(EU41-(h_col-d_2))/EU41,0.002*(EU41-(h_col-d_2))/(EU41-3*h_col/7))/0.002)))^2))))/1000</f>
        <v/>
      </c>
      <c r="EW41">
        <f>IF($EV41&lt;N_Ed-1E-9*MAX(1,N_Ed),(ES41+ET41)/2,ES41)</f>
        <v/>
      </c>
      <c r="EX41">
        <f>IF($EV41&lt;N_Ed-1E-9*MAX(1,N_Ed),ET41,(ES41+ET41)/2)</f>
        <v/>
      </c>
      <c r="EY41">
        <f>h_col*((EW41+EX41)/2)/(1-(EW41+EX41)/2)</f>
        <v/>
      </c>
      <c r="EZ41">
        <f>(f_cd*b_col*((3*MIN(EY41,h_col)/7)+(4*MIN(EY41,h_col)/7)*(1-((4*MIN(EY41,h_col)/7)/(EY41-(3*MIN(EY41,h_col)/7)))^2/3))+$D41/2*((MAX(-f_yd,MIN(f_yd,200000*IF(EY41&lt;=h_col,0.0035*(EY41-d_2)/EY41,0.002*(EY41-d_2)/(EY41-3*h_col/7))))-f_cd*(1-(1-MAX(0,MIN(1,IF(EY41&lt;=h_col,0.0035*(EY41-d_2)/EY41,0.002*(EY41-d_2)/(EY41-3*h_col/7))/0.002)))^2))+(MAX(-f_yd,MIN(f_yd,200000*IF(EY41&lt;=h_col,0.0035*(EY41-(h_col-d_2))/EY41,0.002*(EY41-(h_col-d_2))/(EY41-3*h_col/7))))-f_cd*(1-(1-MAX(0,MIN(1,IF(EY41&lt;=h_col,0.0035*(EY41-(h_col-d_2))/EY41,0.002*(EY41-(h_col-d_2))/(EY41-3*h_col/7))/0.002)))^2))))/1000</f>
        <v/>
      </c>
      <c r="FA41">
        <f>IF($EZ41&lt;N_Ed-1E-9*MAX(1,N_Ed),(EW41+EX41)/2,EW41)</f>
        <v/>
      </c>
      <c r="FB41">
        <f>IF($EZ41&lt;N_Ed-1E-9*MAX(1,N_Ed),EX41,(EW41+EX41)/2)</f>
        <v/>
      </c>
      <c r="FC41">
        <f>h_col*((FA41+FB41)/2)/(1-(FA41+FB41)/2)</f>
        <v/>
      </c>
      <c r="FD41">
        <f>(f_cd*b_col*((3*MIN(FC41,h_col)/7)+(4*MIN(FC41,h_col)/7)*(1-((4*MIN(FC41,h_col)/7)/(FC41-(3*MIN(FC41,h_col)/7)))^2/3))+$D41/2*((MAX(-f_yd,MIN(f_yd,200000*IF(FC41&lt;=h_col,0.0035*(FC41-d_2)/FC41,0.002*(FC41-d_2)/(FC41-3*h_col/7))))-f_cd*(1-(1-MAX(0,MIN(1,IF(FC41&lt;=h_col,0.0035*(FC41-d_2)/FC41,0.002*(FC41-d_2)/(FC41-3*h_col/7))/0.002)))^2))+(MAX(-f_yd,MIN(f_yd,200000*IF(FC41&lt;=h_col,0.0035*(FC41-(h_col-d_2))/FC41,0.002*(FC41-(h_col-d_2))/(FC41-3*h_col/7))))-f_cd*(1-(1-MAX(0,MIN(1,IF(FC41&lt;=h_col,0.0035*(FC41-(h_col-d_2))/FC41,0.002*(FC41-(h_col-d_2))/(FC41-3*h_col/7))/0.002)))^2))))/1000</f>
        <v/>
      </c>
      <c r="FE41">
        <f>IF($FD41&lt;N_Ed-1E-9*MAX(1,N_Ed),(FA41+FB41)/2,FA41)</f>
        <v/>
      </c>
      <c r="FF41">
        <f>IF($FD41&lt;N_Ed-1E-9*MAX(1,N_Ed),FB41,(FA41+FB41)/2)</f>
        <v/>
      </c>
      <c r="FG41">
        <f>h_col*((FE41+FF41)/2)/(1-(FE41+FF41)/2)</f>
        <v/>
      </c>
      <c r="FH41">
        <f>(f_cd*b_col*((3*MIN(FG41,h_col)/7)+(4*MIN(FG41,h_col)/7)*(1-((4*MIN(FG41,h_col)/7)/(FG41-(3*MIN(FG41,h_col)/7)))^2/3))+$D41/2*((MAX(-f_yd,MIN(f_yd,200000*IF(FG41&lt;=h_col,0.0035*(FG41-d_2)/FG41,0.002*(FG41-d_2)/(FG41-3*h_col/7))))-f_cd*(1-(1-MAX(0,MIN(1,IF(FG41&lt;=h_col,0.0035*(FG41-d_2)/FG41,0.002*(FG41-d_2)/(FG41-3*h_col/7))/0.002)))^2))+(MAX(-f_yd,MIN(f_yd,200000*IF(FG41&lt;=h_col,0.0035*(FG41-(h_col-d_2))/FG41,0.002*(FG41-(h_col-d_2))/(FG41-3*h_col/7))))-f_cd*(1-(1-MAX(0,MIN(1,IF(FG41&lt;=h_col,0.0035*(FG41-(h_col-d_2))/FG41,0.002*(FG41-(h_col-d_2))/(FG41-3*h_col/7))/0.002)))^2))))/1000</f>
        <v/>
      </c>
      <c r="FI41">
        <f>IF($FH41&lt;N_Ed-1E-9*MAX(1,N_Ed),(FE41+FF41)/2,FE41)</f>
        <v/>
      </c>
      <c r="FJ41">
        <f>IF($FH41&lt;N_Ed-1E-9*MAX(1,N_Ed),FF41,(FE41+FF41)/2)</f>
        <v/>
      </c>
      <c r="FK41">
        <f>h_col*((FI41+FJ41)/2)/(1-(FI41+FJ41)/2)</f>
        <v/>
      </c>
      <c r="FL41">
        <f>(f_cd*b_col*((3*MIN(FK41,h_col)/7)+(4*MIN(FK41,h_col)/7)*(1-((4*MIN(FK41,h_col)/7)/(FK41-(3*MIN(FK41,h_col)/7)))^2/3))+$D41/2*((MAX(-f_yd,MIN(f_yd,200000*IF(FK41&lt;=h_col,0.0035*(FK41-d_2)/FK41,0.002*(FK41-d_2)/(FK41-3*h_col/7))))-f_cd*(1-(1-MAX(0,MIN(1,IF(FK41&lt;=h_col,0.0035*(FK41-d_2)/FK41,0.002*(FK41-d_2)/(FK41-3*h_col/7))/0.002)))^2))+(MAX(-f_yd,MIN(f_yd,200000*IF(FK41&lt;=h_col,0.0035*(FK41-(h_col-d_2))/FK41,0.002*(FK41-(h_col-d_2))/(FK41-3*h_col/7))))-f_cd*(1-(1-MAX(0,MIN(1,IF(FK41&lt;=h_col,0.0035*(FK41-(h_col-d_2))/FK41,0.002*(FK41-(h_col-d_2))/(FK41-3*h_col/7))/0.002)))^2))))/1000</f>
        <v/>
      </c>
      <c r="FM41">
        <f>IF($FL41&lt;N_Ed-1E-9*MAX(1,N_Ed),(FI41+FJ41)/2,FI41)</f>
        <v/>
      </c>
      <c r="FN41">
        <f>IF($FL41&lt;N_Ed-1E-9*MAX(1,N_Ed),FJ41,(FI41+FJ41)/2)</f>
        <v/>
      </c>
      <c r="FO41">
        <f>h_col*((FM41+FN41)/2)/(1-(FM41+FN41)/2)</f>
        <v/>
      </c>
      <c r="FP41">
        <f>(f_cd*b_col*((3*MIN(FO41,h_col)/7)+(4*MIN(FO41,h_col)/7)*(1-((4*MIN(FO41,h_col)/7)/(FO41-(3*MIN(FO41,h_col)/7)))^2/3))+$D41/2*((MAX(-f_yd,MIN(f_yd,200000*IF(FO41&lt;=h_col,0.0035*(FO41-d_2)/FO41,0.002*(FO41-d_2)/(FO41-3*h_col/7))))-f_cd*(1-(1-MAX(0,MIN(1,IF(FO41&lt;=h_col,0.0035*(FO41-d_2)/FO41,0.002*(FO41-d_2)/(FO41-3*h_col/7))/0.002)))^2))+(MAX(-f_yd,MIN(f_yd,200000*IF(FO41&lt;=h_col,0.0035*(FO41-(h_col-d_2))/FO41,0.002*(FO41-(h_col-d_2))/(FO41-3*h_col/7))))-f_cd*(1-(1-MAX(0,MIN(1,IF(FO41&lt;=h_col,0.0035*(FO41-(h_col-d_2))/FO41,0.002*(FO41-(h_col-d_2))/(FO41-3*h_col/7))/0.002)))^2))))/1000</f>
        <v/>
      </c>
      <c r="FQ41">
        <f>IF($FP41&lt;N_Ed-1E-9*MAX(1,N_Ed),(FM41+FN41)/2,FM41)</f>
        <v/>
      </c>
      <c r="FR41">
        <f>IF($FP41&lt;N_Ed-1E-9*MAX(1,N_Ed),FN41,(FM41+FN41)/2)</f>
        <v/>
      </c>
      <c r="FS41">
        <f>h_col*((FQ41+FR41)/2)/(1-(FQ41+FR41)/2)</f>
        <v/>
      </c>
      <c r="FT41">
        <f>(f_cd*b_col*((3*MIN(FS41,h_col)/7)+(4*MIN(FS41,h_col)/7)*(1-((4*MIN(FS41,h_col)/7)/(FS41-(3*MIN(FS41,h_col)/7)))^2/3))+$D41/2*((MAX(-f_yd,MIN(f_yd,200000*IF(FS41&lt;=h_col,0.0035*(FS41-d_2)/FS41,0.002*(FS41-d_2)/(FS41-3*h_col/7))))-f_cd*(1-(1-MAX(0,MIN(1,IF(FS41&lt;=h_col,0.0035*(FS41-d_2)/FS41,0.002*(FS41-d_2)/(FS41-3*h_col/7))/0.002)))^2))+(MAX(-f_yd,MIN(f_yd,200000*IF(FS41&lt;=h_col,0.0035*(FS41-(h_col-d_2))/FS41,0.002*(FS41-(h_col-d_2))/(FS41-3*h_col/7))))-f_cd*(1-(1-MAX(0,MIN(1,IF(FS41&lt;=h_col,0.0035*(FS41-(h_col-d_2))/FS41,0.002*(FS41-(h_col-d_2))/(FS41-3*h_col/7))/0.002)))^2))))/1000</f>
        <v/>
      </c>
      <c r="FU41">
        <f>IF($FT41&lt;N_Ed-1E-9*MAX(1,N_Ed),(FQ41+FR41)/2,FQ41)</f>
        <v/>
      </c>
      <c r="FV41">
        <f>IF($FT41&lt;N_Ed-1E-9*MAX(1,N_Ed),FR41,(FQ41+FR41)/2)</f>
        <v/>
      </c>
      <c r="FW41">
        <f>h_col*((FU41+FV41)/2)/(1-(FU41+FV41)/2)</f>
        <v/>
      </c>
      <c r="FX41">
        <f>(f_cd*b_col*((3*MIN(FW41,h_col)/7)+(4*MIN(FW41,h_col)/7)*(1-((4*MIN(FW41,h_col)/7)/(FW41-(3*MIN(FW41,h_col)/7)))^2/3))+$D41/2*((MAX(-f_yd,MIN(f_yd,200000*IF(FW41&lt;=h_col,0.0035*(FW41-d_2)/FW41,0.002*(FW41-d_2)/(FW41-3*h_col/7))))-f_cd*(1-(1-MAX(0,MIN(1,IF(FW41&lt;=h_col,0.0035*(FW41-d_2)/FW41,0.002*(FW41-d_2)/(FW41-3*h_col/7))/0.002)))^2))+(MAX(-f_yd,MIN(f_yd,200000*IF(FW41&lt;=h_col,0.0035*(FW41-(h_col-d_2))/FW41,0.002*(FW41-(h_col-d_2))/(FW41-3*h_col/7))))-f_cd*(1-(1-MAX(0,MIN(1,IF(FW41&lt;=h_col,0.0035*(FW41-(h_col-d_2))/FW41,0.002*(FW41-(h_col-d_2))/(FW41-3*h_col/7))/0.002)))^2))))/1000</f>
        <v/>
      </c>
      <c r="FY41">
        <f>IF($FX41&lt;N_Ed-1E-9*MAX(1,N_Ed),(FU41+FV41)/2,FU41)</f>
        <v/>
      </c>
      <c r="FZ41">
        <f>IF($FX41&lt;N_Ed-1E-9*MAX(1,N_Ed),FV41,(FU41+FV41)/2)</f>
        <v/>
      </c>
      <c r="GA41">
        <f>h_col*((FY41+FZ41)/2)/(1-(FY41+FZ41)/2)</f>
        <v/>
      </c>
      <c r="GB41">
        <f>(f_cd*b_col*((3*MIN(GA41,h_col)/7)+(4*MIN(GA41,h_col)/7)*(1-((4*MIN(GA41,h_col)/7)/(GA41-(3*MIN(GA41,h_col)/7)))^2/3))+$D41/2*((MAX(-f_yd,MIN(f_yd,200000*IF(GA41&lt;=h_col,0.0035*(GA41-d_2)/GA41,0.002*(GA41-d_2)/(GA41-3*h_col/7))))-f_cd*(1-(1-MAX(0,MIN(1,IF(GA41&lt;=h_col,0.0035*(GA41-d_2)/GA41,0.002*(GA41-d_2)/(GA41-3*h_col/7))/0.002)))^2))+(MAX(-f_yd,MIN(f_yd,200000*IF(GA41&lt;=h_col,0.0035*(GA41-(h_col-d_2))/GA41,0.002*(GA41-(h_col-d_2))/(GA41-3*h_col/7))))-f_cd*(1-(1-MAX(0,MIN(1,IF(GA41&lt;=h_col,0.0035*(GA41-(h_col-d_2))/GA41,0.002*(GA41-(h_col-d_2))/(GA41-3*h_col/7))/0.002)))^2))))/1000</f>
        <v/>
      </c>
      <c r="GC41">
        <f>IF($GB41&lt;N_Ed-1E-9*MAX(1,N_Ed),(FY41+FZ41)/2,FY41)</f>
        <v/>
      </c>
      <c r="GD41">
        <f>IF($GB41&lt;N_Ed-1E-9*MAX(1,N_Ed),FZ41,(FY41+FZ41)/2)</f>
        <v/>
      </c>
      <c r="GE41">
        <f>h_col*((GC41+GD41)/2)/(1-(GC41+GD41)/2)</f>
        <v/>
      </c>
      <c r="GF41">
        <f>(f_cd*b_col*((3*MIN(GE41,h_col)/7)+(4*MIN(GE41,h_col)/7)*(1-((4*MIN(GE41,h_col)/7)/(GE41-(3*MIN(GE41,h_col)/7)))^2/3))+$D41/2*((MAX(-f_yd,MIN(f_yd,200000*IF(GE41&lt;=h_col,0.0035*(GE41-d_2)/GE41,0.002*(GE41-d_2)/(GE41-3*h_col/7))))-f_cd*(1-(1-MAX(0,MIN(1,IF(GE41&lt;=h_col,0.0035*(GE41-d_2)/GE41,0.002*(GE41-d_2)/(GE41-3*h_col/7))/0.002)))^2))+(MAX(-f_yd,MIN(f_yd,200000*IF(GE41&lt;=h_col,0.0035*(GE41-(h_col-d_2))/GE41,0.002*(GE41-(h_col-d_2))/(GE41-3*h_col/7))))-f_cd*(1-(1-MAX(0,MIN(1,IF(GE41&lt;=h_col,0.0035*(GE41-(h_col-d_2))/GE41,0.002*(GE41-(h_col-d_2))/(GE41-3*h_col/7))/0.002)))^2))))/1000</f>
        <v/>
      </c>
      <c r="GG41">
        <f>IF($GF41&lt;N_Ed-1E-9*MAX(1,N_Ed),(GC41+GD41)/2,GC41)</f>
        <v/>
      </c>
      <c r="GH41">
        <f>IF($GF41&lt;N_Ed-1E-9*MAX(1,N_Ed),GD41,(GC41+GD41)/2)</f>
        <v/>
      </c>
      <c r="GI41">
        <f>h_col*((GG41+GH41)/2)/(1-(GG41+GH41)/2)</f>
        <v/>
      </c>
      <c r="GJ41">
        <f>(f_cd*b_col*((3*MIN(GI41,h_col)/7)+(4*MIN(GI41,h_col)/7)*(1-((4*MIN(GI41,h_col)/7)/(GI41-(3*MIN(GI41,h_col)/7)))^2/3))+$D41/2*((MAX(-f_yd,MIN(f_yd,200000*IF(GI41&lt;=h_col,0.0035*(GI41-d_2)/GI41,0.002*(GI41-d_2)/(GI41-3*h_col/7))))-f_cd*(1-(1-MAX(0,MIN(1,IF(GI41&lt;=h_col,0.0035*(GI41-d_2)/GI41,0.002*(GI41-d_2)/(GI41-3*h_col/7))/0.002)))^2))+(MAX(-f_yd,MIN(f_yd,200000*IF(GI41&lt;=h_col,0.0035*(GI41-(h_col-d_2))/GI41,0.002*(GI41-(h_col-d_2))/(GI41-3*h_col/7))))-f_cd*(1-(1-MAX(0,MIN(1,IF(GI41&lt;=h_col,0.0035*(GI41-(h_col-d_2))/GI41,0.002*(GI41-(h_col-d_2))/(GI41-3*h_col/7))/0.002)))^2))))/1000</f>
        <v/>
      </c>
      <c r="GK41">
        <f>IF($GJ41&lt;N_Ed-1E-9*MAX(1,N_Ed),(GG41+GH41)/2,GG41)</f>
        <v/>
      </c>
      <c r="GL41">
        <f>IF($GJ41&lt;N_Ed-1E-9*MAX(1,N_Ed),GH41,(GG41+GH41)/2)</f>
        <v/>
      </c>
      <c r="GM41">
        <f>h_col*((GK41+GL41)/2)/(1-(GK41+GL41)/2)</f>
        <v/>
      </c>
      <c r="GN41">
        <f>(f_cd*b_col*((3*MIN(GM41,h_col)/7)+(4*MIN(GM41,h_col)/7)*(1-((4*MIN(GM41,h_col)/7)/(GM41-(3*MIN(GM41,h_col)/7)))^2/3))+$D41/2*((MAX(-f_yd,MIN(f_yd,200000*IF(GM41&lt;=h_col,0.0035*(GM41-d_2)/GM41,0.002*(GM41-d_2)/(GM41-3*h_col/7))))-f_cd*(1-(1-MAX(0,MIN(1,IF(GM41&lt;=h_col,0.0035*(GM41-d_2)/GM41,0.002*(GM41-d_2)/(GM41-3*h_col/7))/0.002)))^2))+(MAX(-f_yd,MIN(f_yd,200000*IF(GM41&lt;=h_col,0.0035*(GM41-(h_col-d_2))/GM41,0.002*(GM41-(h_col-d_2))/(GM41-3*h_col/7))))-f_cd*(1-(1-MAX(0,MIN(1,IF(GM41&lt;=h_col,0.0035*(GM41-(h_col-d_2))/GM41,0.002*(GM41-(h_col-d_2))/(GM41-3*h_col/7))/0.002)))^2))))/1000</f>
        <v/>
      </c>
      <c r="GO41">
        <f>IF($GN41&lt;N_Ed-1E-9*MAX(1,N_Ed),(GK41+GL41)/2,GK41)</f>
        <v/>
      </c>
      <c r="GP41">
        <f>IF($GN41&lt;N_Ed-1E-9*MAX(1,N_Ed),GL41,(GK41+GL41)/2)</f>
        <v/>
      </c>
      <c r="GQ41">
        <f>h_col*((GO41+GP41)/2)/(1-(GO41+GP41)/2)</f>
        <v/>
      </c>
      <c r="GR41">
        <f>(f_cd*b_col*((3*MIN(GQ41,h_col)/7)+(4*MIN(GQ41,h_col)/7)*(1-((4*MIN(GQ41,h_col)/7)/(GQ41-(3*MIN(GQ41,h_col)/7)))^2/3))+$D41/2*((MAX(-f_yd,MIN(f_yd,200000*IF(GQ41&lt;=h_col,0.0035*(GQ41-d_2)/GQ41,0.002*(GQ41-d_2)/(GQ41-3*h_col/7))))-f_cd*(1-(1-MAX(0,MIN(1,IF(GQ41&lt;=h_col,0.0035*(GQ41-d_2)/GQ41,0.002*(GQ41-d_2)/(GQ41-3*h_col/7))/0.002)))^2))+(MAX(-f_yd,MIN(f_yd,200000*IF(GQ41&lt;=h_col,0.0035*(GQ41-(h_col-d_2))/GQ41,0.002*(GQ41-(h_col-d_2))/(GQ41-3*h_col/7))))-f_cd*(1-(1-MAX(0,MIN(1,IF(GQ41&lt;=h_col,0.0035*(GQ41-(h_col-d_2))/GQ41,0.002*(GQ41-(h_col-d_2))/(GQ41-3*h_col/7))/0.002)))^2))))/1000</f>
        <v/>
      </c>
      <c r="GS41">
        <f>IF($GR41&lt;N_Ed-1E-9*MAX(1,N_Ed),(GO41+GP41)/2,GO41)</f>
        <v/>
      </c>
      <c r="GT41">
        <f>IF($GR41&lt;N_Ed-1E-9*MAX(1,N_Ed),GP41,(GO41+GP41)/2)</f>
        <v/>
      </c>
      <c r="GU41">
        <f>h_col*((GS41+GT41)/2)/(1-(GS41+GT41)/2)</f>
        <v/>
      </c>
      <c r="GV41">
        <f>(f_cd*b_col*((3*MIN(GU41,h_col)/7)+(4*MIN(GU41,h_col)/7)*(1-((4*MIN(GU41,h_col)/7)/(GU41-(3*MIN(GU41,h_col)/7)))^2/3))+$D41/2*((MAX(-f_yd,MIN(f_yd,200000*IF(GU41&lt;=h_col,0.0035*(GU41-d_2)/GU41,0.002*(GU41-d_2)/(GU41-3*h_col/7))))-f_cd*(1-(1-MAX(0,MIN(1,IF(GU41&lt;=h_col,0.0035*(GU41-d_2)/GU41,0.002*(GU41-d_2)/(GU41-3*h_col/7))/0.002)))^2))+(MAX(-f_yd,MIN(f_yd,200000*IF(GU41&lt;=h_col,0.0035*(GU41-(h_col-d_2))/GU41,0.002*(GU41-(h_col-d_2))/(GU41-3*h_col/7))))-f_cd*(1-(1-MAX(0,MIN(1,IF(GU41&lt;=h_col,0.0035*(GU41-(h_col-d_2))/GU41,0.002*(GU41-(h_col-d_2))/(GU41-3*h_col/7))/0.002)))^2))))/1000</f>
        <v/>
      </c>
      <c r="GW41">
        <f>GU41</f>
        <v/>
      </c>
      <c r="GX41">
        <f>(f_cd*b_col*((3*MIN(GW41,h_col)/7)+(4*MIN(GW41,h_col)/7)*(1-((4*MIN(GW41,h_col)/7)/(GW41-(3*MIN(GW41,h_col)/7)))^2/3))+$D41/2*((MAX(-f_yd,MIN(f_yd,200000*IF(GW41&lt;=h_col,0.0035*(GW41-d_2)/GW41,0.002*(GW41-d_2)/(GW41-3*h_col/7))))-f_cd*(1-(1-MAX(0,MIN(1,IF(GW41&lt;=h_col,0.0035*(GW41-d_2)/GW41,0.002*(GW41-d_2)/(GW41-3*h_col/7))/0.002)))^2))+(MAX(-f_yd,MIN(f_yd,200000*IF(GW41&lt;=h_col,0.0035*(GW41-(h_col-d_2))/GW41,0.002*(GW41-(h_col-d_2))/(GW41-3*h_col/7))))-f_cd*(1-(1-MAX(0,MIN(1,IF(GW41&lt;=h_col,0.0035*(GW41-(h_col-d_2))/GW41,0.002*(GW41-(h_col-d_2))/(GW41-3*h_col/7))/0.002)))^2))))/1000</f>
        <v/>
      </c>
      <c r="GY41">
        <f>(f_cd*b_col*((3*MIN(GW41,h_col)/7)*(h_col/2-(3*MIN(GW41,h_col)/7)/2)+(4*MIN(GW41,h_col)/7)*((h_col/2-(3*MIN(GW41,h_col)/7))*(1-((4*MIN(GW41,h_col)/7)/(GW41-(3*MIN(GW41,h_col)/7)))^2/3)-(4*MIN(GW41,h_col)/7)*(0.5-((4*MIN(GW41,h_col)/7)/(GW41-(3*MIN(GW41,h_col)/7)))^2/4)))+$D41/2*((MAX(-f_yd,MIN(f_yd,200000*IF(GW41&lt;=h_col,0.0035*(GW41-d_2)/GW41,0.002*(GW41-d_2)/(GW41-3*h_col/7))))-f_cd*(1-(1-MAX(0,MIN(1,IF(GW41&lt;=h_col,0.0035*(GW41-d_2)/GW41,0.002*(GW41-d_2)/(GW41-3*h_col/7))/0.002)))^2))-(MAX(-f_yd,MIN(f_yd,200000*IF(GW41&lt;=h_col,0.0035*(GW41-(h_col-d_2))/GW41,0.002*(GW41-(h_col-d_2))/(GW41-3*h_col/7))))-f_cd*(1-(1-MAX(0,MIN(1,IF(GW41&lt;=h_col,0.0035*(GW41-(h_col-d_2))/GW41,0.002*(GW41-(h_col-d_2))/(GW41-3*h_col/7))/0.002)))^2)))*(h_col/2-d_2))/1E6</f>
        <v/>
      </c>
      <c r="GZ41">
        <f>GX41&gt;=N_Ed-1E-6*MAX(1,N_Ed)</f>
        <v/>
      </c>
      <c r="HA41">
        <f>IF(GZ41,GY41,-1E9)</f>
        <v/>
      </c>
    </row>
    <row r="42">
      <c r="A42" t="n">
        <v>37</v>
      </c>
      <c r="B42">
        <f>IF($HA41&gt;=M_d,$B41,$D41)</f>
        <v/>
      </c>
      <c r="C42">
        <f>IF($HA41&gt;=M_d,$D41,$C41)</f>
        <v/>
      </c>
      <c r="D42">
        <f>($B42+$C42)/2</f>
        <v/>
      </c>
      <c r="E42" t="n">
        <v>0</v>
      </c>
      <c r="F42">
        <f>1-1E-12</f>
        <v/>
      </c>
      <c r="G42">
        <f>h_col*((E42+F42)/2)/(1-(E42+F42)/2)</f>
        <v/>
      </c>
      <c r="H42">
        <f>(f_cd*b_col*((3*MIN(G42,h_col)/7)+(4*MIN(G42,h_col)/7)*(1-((4*MIN(G42,h_col)/7)/(G42-(3*MIN(G42,h_col)/7)))^2/3))+$D42/2*((MAX(-f_yd,MIN(f_yd,200000*IF(G42&lt;=h_col,0.0035*(G42-d_2)/G42,0.002*(G42-d_2)/(G42-3*h_col/7))))-f_cd*(1-(1-MAX(0,MIN(1,IF(G42&lt;=h_col,0.0035*(G42-d_2)/G42,0.002*(G42-d_2)/(G42-3*h_col/7))/0.002)))^2))+(MAX(-f_yd,MIN(f_yd,200000*IF(G42&lt;=h_col,0.0035*(G42-(h_col-d_2))/G42,0.002*(G42-(h_col-d_2))/(G42-3*h_col/7))))-f_cd*(1-(1-MAX(0,MIN(1,IF(G42&lt;=h_col,0.0035*(G42-(h_col-d_2))/G42,0.002*(G42-(h_col-d_2))/(G42-3*h_col/7))/0.002)))^2))))/1000</f>
        <v/>
      </c>
      <c r="I42">
        <f>IF($H42&lt;N_Ed-1E-9*MAX(1,N_Ed),(E42+F42)/2,E42)</f>
        <v/>
      </c>
      <c r="J42">
        <f>IF($H42&lt;N_Ed-1E-9*MAX(1,N_Ed),F42,(E42+F42)/2)</f>
        <v/>
      </c>
      <c r="K42">
        <f>h_col*((I42+J42)/2)/(1-(I42+J42)/2)</f>
        <v/>
      </c>
      <c r="L42">
        <f>(f_cd*b_col*((3*MIN(K42,h_col)/7)+(4*MIN(K42,h_col)/7)*(1-((4*MIN(K42,h_col)/7)/(K42-(3*MIN(K42,h_col)/7)))^2/3))+$D42/2*((MAX(-f_yd,MIN(f_yd,200000*IF(K42&lt;=h_col,0.0035*(K42-d_2)/K42,0.002*(K42-d_2)/(K42-3*h_col/7))))-f_cd*(1-(1-MAX(0,MIN(1,IF(K42&lt;=h_col,0.0035*(K42-d_2)/K42,0.002*(K42-d_2)/(K42-3*h_col/7))/0.002)))^2))+(MAX(-f_yd,MIN(f_yd,200000*IF(K42&lt;=h_col,0.0035*(K42-(h_col-d_2))/K42,0.002*(K42-(h_col-d_2))/(K42-3*h_col/7))))-f_cd*(1-(1-MAX(0,MIN(1,IF(K42&lt;=h_col,0.0035*(K42-(h_col-d_2))/K42,0.002*(K42-(h_col-d_2))/(K42-3*h_col/7))/0.002)))^2))))/1000</f>
        <v/>
      </c>
      <c r="M42">
        <f>IF($L42&lt;N_Ed-1E-9*MAX(1,N_Ed),(I42+J42)/2,I42)</f>
        <v/>
      </c>
      <c r="N42">
        <f>IF($L42&lt;N_Ed-1E-9*MAX(1,N_Ed),J42,(I42+J42)/2)</f>
        <v/>
      </c>
      <c r="O42">
        <f>h_col*((M42+N42)/2)/(1-(M42+N42)/2)</f>
        <v/>
      </c>
      <c r="P42">
        <f>(f_cd*b_col*((3*MIN(O42,h_col)/7)+(4*MIN(O42,h_col)/7)*(1-((4*MIN(O42,h_col)/7)/(O42-(3*MIN(O42,h_col)/7)))^2/3))+$D42/2*((MAX(-f_yd,MIN(f_yd,200000*IF(O42&lt;=h_col,0.0035*(O42-d_2)/O42,0.002*(O42-d_2)/(O42-3*h_col/7))))-f_cd*(1-(1-MAX(0,MIN(1,IF(O42&lt;=h_col,0.0035*(O42-d_2)/O42,0.002*(O42-d_2)/(O42-3*h_col/7))/0.002)))^2))+(MAX(-f_yd,MIN(f_yd,200000*IF(O42&lt;=h_col,0.0035*(O42-(h_col-d_2))/O42,0.002*(O42-(h_col-d_2))/(O42-3*h_col/7))))-f_cd*(1-(1-MAX(0,MIN(1,IF(O42&lt;=h_col,0.0035*(O42-(h_col-d_2))/O42,0.002*(O42-(h_col-d_2))/(O42-3*h_col/7))/0.002)))^2))))/1000</f>
        <v/>
      </c>
      <c r="Q42">
        <f>IF($P42&lt;N_Ed-1E-9*MAX(1,N_Ed),(M42+N42)/2,M42)</f>
        <v/>
      </c>
      <c r="R42">
        <f>IF($P42&lt;N_Ed-1E-9*MAX(1,N_Ed),N42,(M42+N42)/2)</f>
        <v/>
      </c>
      <c r="S42">
        <f>h_col*((Q42+R42)/2)/(1-(Q42+R42)/2)</f>
        <v/>
      </c>
      <c r="T42">
        <f>(f_cd*b_col*((3*MIN(S42,h_col)/7)+(4*MIN(S42,h_col)/7)*(1-((4*MIN(S42,h_col)/7)/(S42-(3*MIN(S42,h_col)/7)))^2/3))+$D42/2*((MAX(-f_yd,MIN(f_yd,200000*IF(S42&lt;=h_col,0.0035*(S42-d_2)/S42,0.002*(S42-d_2)/(S42-3*h_col/7))))-f_cd*(1-(1-MAX(0,MIN(1,IF(S42&lt;=h_col,0.0035*(S42-d_2)/S42,0.002*(S42-d_2)/(S42-3*h_col/7))/0.002)))^2))+(MAX(-f_yd,MIN(f_yd,200000*IF(S42&lt;=h_col,0.0035*(S42-(h_col-d_2))/S42,0.002*(S42-(h_col-d_2))/(S42-3*h_col/7))))-f_cd*(1-(1-MAX(0,MIN(1,IF(S42&lt;=h_col,0.0035*(S42-(h_col-d_2))/S42,0.002*(S42-(h_col-d_2))/(S42-3*h_col/7))/0.002)))^2))))/1000</f>
        <v/>
      </c>
      <c r="U42">
        <f>IF($T42&lt;N_Ed-1E-9*MAX(1,N_Ed),(Q42+R42)/2,Q42)</f>
        <v/>
      </c>
      <c r="V42">
        <f>IF($T42&lt;N_Ed-1E-9*MAX(1,N_Ed),R42,(Q42+R42)/2)</f>
        <v/>
      </c>
      <c r="W42">
        <f>h_col*((U42+V42)/2)/(1-(U42+V42)/2)</f>
        <v/>
      </c>
      <c r="X42">
        <f>(f_cd*b_col*((3*MIN(W42,h_col)/7)+(4*MIN(W42,h_col)/7)*(1-((4*MIN(W42,h_col)/7)/(W42-(3*MIN(W42,h_col)/7)))^2/3))+$D42/2*((MAX(-f_yd,MIN(f_yd,200000*IF(W42&lt;=h_col,0.0035*(W42-d_2)/W42,0.002*(W42-d_2)/(W42-3*h_col/7))))-f_cd*(1-(1-MAX(0,MIN(1,IF(W42&lt;=h_col,0.0035*(W42-d_2)/W42,0.002*(W42-d_2)/(W42-3*h_col/7))/0.002)))^2))+(MAX(-f_yd,MIN(f_yd,200000*IF(W42&lt;=h_col,0.0035*(W42-(h_col-d_2))/W42,0.002*(W42-(h_col-d_2))/(W42-3*h_col/7))))-f_cd*(1-(1-MAX(0,MIN(1,IF(W42&lt;=h_col,0.0035*(W42-(h_col-d_2))/W42,0.002*(W42-(h_col-d_2))/(W42-3*h_col/7))/0.002)))^2))))/1000</f>
        <v/>
      </c>
      <c r="Y42">
        <f>IF($X42&lt;N_Ed-1E-9*MAX(1,N_Ed),(U42+V42)/2,U42)</f>
        <v/>
      </c>
      <c r="Z42">
        <f>IF($X42&lt;N_Ed-1E-9*MAX(1,N_Ed),V42,(U42+V42)/2)</f>
        <v/>
      </c>
      <c r="AA42">
        <f>h_col*((Y42+Z42)/2)/(1-(Y42+Z42)/2)</f>
        <v/>
      </c>
      <c r="AB42">
        <f>(f_cd*b_col*((3*MIN(AA42,h_col)/7)+(4*MIN(AA42,h_col)/7)*(1-((4*MIN(AA42,h_col)/7)/(AA42-(3*MIN(AA42,h_col)/7)))^2/3))+$D42/2*((MAX(-f_yd,MIN(f_yd,200000*IF(AA42&lt;=h_col,0.0035*(AA42-d_2)/AA42,0.002*(AA42-d_2)/(AA42-3*h_col/7))))-f_cd*(1-(1-MAX(0,MIN(1,IF(AA42&lt;=h_col,0.0035*(AA42-d_2)/AA42,0.002*(AA42-d_2)/(AA42-3*h_col/7))/0.002)))^2))+(MAX(-f_yd,MIN(f_yd,200000*IF(AA42&lt;=h_col,0.0035*(AA42-(h_col-d_2))/AA42,0.002*(AA42-(h_col-d_2))/(AA42-3*h_col/7))))-f_cd*(1-(1-MAX(0,MIN(1,IF(AA42&lt;=h_col,0.0035*(AA42-(h_col-d_2))/AA42,0.002*(AA42-(h_col-d_2))/(AA42-3*h_col/7))/0.002)))^2))))/1000</f>
        <v/>
      </c>
      <c r="AC42">
        <f>IF($AB42&lt;N_Ed-1E-9*MAX(1,N_Ed),(Y42+Z42)/2,Y42)</f>
        <v/>
      </c>
      <c r="AD42">
        <f>IF($AB42&lt;N_Ed-1E-9*MAX(1,N_Ed),Z42,(Y42+Z42)/2)</f>
        <v/>
      </c>
      <c r="AE42">
        <f>h_col*((AC42+AD42)/2)/(1-(AC42+AD42)/2)</f>
        <v/>
      </c>
      <c r="AF42">
        <f>(f_cd*b_col*((3*MIN(AE42,h_col)/7)+(4*MIN(AE42,h_col)/7)*(1-((4*MIN(AE42,h_col)/7)/(AE42-(3*MIN(AE42,h_col)/7)))^2/3))+$D42/2*((MAX(-f_yd,MIN(f_yd,200000*IF(AE42&lt;=h_col,0.0035*(AE42-d_2)/AE42,0.002*(AE42-d_2)/(AE42-3*h_col/7))))-f_cd*(1-(1-MAX(0,MIN(1,IF(AE42&lt;=h_col,0.0035*(AE42-d_2)/AE42,0.002*(AE42-d_2)/(AE42-3*h_col/7))/0.002)))^2))+(MAX(-f_yd,MIN(f_yd,200000*IF(AE42&lt;=h_col,0.0035*(AE42-(h_col-d_2))/AE42,0.002*(AE42-(h_col-d_2))/(AE42-3*h_col/7))))-f_cd*(1-(1-MAX(0,MIN(1,IF(AE42&lt;=h_col,0.0035*(AE42-(h_col-d_2))/AE42,0.002*(AE42-(h_col-d_2))/(AE42-3*h_col/7))/0.002)))^2))))/1000</f>
        <v/>
      </c>
      <c r="AG42">
        <f>IF($AF42&lt;N_Ed-1E-9*MAX(1,N_Ed),(AC42+AD42)/2,AC42)</f>
        <v/>
      </c>
      <c r="AH42">
        <f>IF($AF42&lt;N_Ed-1E-9*MAX(1,N_Ed),AD42,(AC42+AD42)/2)</f>
        <v/>
      </c>
      <c r="AI42">
        <f>h_col*((AG42+AH42)/2)/(1-(AG42+AH42)/2)</f>
        <v/>
      </c>
      <c r="AJ42">
        <f>(f_cd*b_col*((3*MIN(AI42,h_col)/7)+(4*MIN(AI42,h_col)/7)*(1-((4*MIN(AI42,h_col)/7)/(AI42-(3*MIN(AI42,h_col)/7)))^2/3))+$D42/2*((MAX(-f_yd,MIN(f_yd,200000*IF(AI42&lt;=h_col,0.0035*(AI42-d_2)/AI42,0.002*(AI42-d_2)/(AI42-3*h_col/7))))-f_cd*(1-(1-MAX(0,MIN(1,IF(AI42&lt;=h_col,0.0035*(AI42-d_2)/AI42,0.002*(AI42-d_2)/(AI42-3*h_col/7))/0.002)))^2))+(MAX(-f_yd,MIN(f_yd,200000*IF(AI42&lt;=h_col,0.0035*(AI42-(h_col-d_2))/AI42,0.002*(AI42-(h_col-d_2))/(AI42-3*h_col/7))))-f_cd*(1-(1-MAX(0,MIN(1,IF(AI42&lt;=h_col,0.0035*(AI42-(h_col-d_2))/AI42,0.002*(AI42-(h_col-d_2))/(AI42-3*h_col/7))/0.002)))^2))))/1000</f>
        <v/>
      </c>
      <c r="AK42">
        <f>IF($AJ42&lt;N_Ed-1E-9*MAX(1,N_Ed),(AG42+AH42)/2,AG42)</f>
        <v/>
      </c>
      <c r="AL42">
        <f>IF($AJ42&lt;N_Ed-1E-9*MAX(1,N_Ed),AH42,(AG42+AH42)/2)</f>
        <v/>
      </c>
      <c r="AM42">
        <f>h_col*((AK42+AL42)/2)/(1-(AK42+AL42)/2)</f>
        <v/>
      </c>
      <c r="AN42">
        <f>(f_cd*b_col*((3*MIN(AM42,h_col)/7)+(4*MIN(AM42,h_col)/7)*(1-((4*MIN(AM42,h_col)/7)/(AM42-(3*MIN(AM42,h_col)/7)))^2/3))+$D42/2*((MAX(-f_yd,MIN(f_yd,200000*IF(AM42&lt;=h_col,0.0035*(AM42-d_2)/AM42,0.002*(AM42-d_2)/(AM42-3*h_col/7))))-f_cd*(1-(1-MAX(0,MIN(1,IF(AM42&lt;=h_col,0.0035*(AM42-d_2)/AM42,0.002*(AM42-d_2)/(AM42-3*h_col/7))/0.002)))^2))+(MAX(-f_yd,MIN(f_yd,200000*IF(AM42&lt;=h_col,0.0035*(AM42-(h_col-d_2))/AM42,0.002*(AM42-(h_col-d_2))/(AM42-3*h_col/7))))-f_cd*(1-(1-MAX(0,MIN(1,IF(AM42&lt;=h_col,0.0035*(AM42-(h_col-d_2))/AM42,0.002*(AM42-(h_col-d_2))/(AM42-3*h_col/7))/0.002)))^2))))/1000</f>
        <v/>
      </c>
      <c r="AO42">
        <f>IF($AN42&lt;N_Ed-1E-9*MAX(1,N_Ed),(AK42+AL42)/2,AK42)</f>
        <v/>
      </c>
      <c r="AP42">
        <f>IF($AN42&lt;N_Ed-1E-9*MAX(1,N_Ed),AL42,(AK42+AL42)/2)</f>
        <v/>
      </c>
      <c r="AQ42">
        <f>h_col*((AO42+AP42)/2)/(1-(AO42+AP42)/2)</f>
        <v/>
      </c>
      <c r="AR42">
        <f>(f_cd*b_col*((3*MIN(AQ42,h_col)/7)+(4*MIN(AQ42,h_col)/7)*(1-((4*MIN(AQ42,h_col)/7)/(AQ42-(3*MIN(AQ42,h_col)/7)))^2/3))+$D42/2*((MAX(-f_yd,MIN(f_yd,200000*IF(AQ42&lt;=h_col,0.0035*(AQ42-d_2)/AQ42,0.002*(AQ42-d_2)/(AQ42-3*h_col/7))))-f_cd*(1-(1-MAX(0,MIN(1,IF(AQ42&lt;=h_col,0.0035*(AQ42-d_2)/AQ42,0.002*(AQ42-d_2)/(AQ42-3*h_col/7))/0.002)))^2))+(MAX(-f_yd,MIN(f_yd,200000*IF(AQ42&lt;=h_col,0.0035*(AQ42-(h_col-d_2))/AQ42,0.002*(AQ42-(h_col-d_2))/(AQ42-3*h_col/7))))-f_cd*(1-(1-MAX(0,MIN(1,IF(AQ42&lt;=h_col,0.0035*(AQ42-(h_col-d_2))/AQ42,0.002*(AQ42-(h_col-d_2))/(AQ42-3*h_col/7))/0.002)))^2))))/1000</f>
        <v/>
      </c>
      <c r="AS42">
        <f>IF($AR42&lt;N_Ed-1E-9*MAX(1,N_Ed),(AO42+AP42)/2,AO42)</f>
        <v/>
      </c>
      <c r="AT42">
        <f>IF($AR42&lt;N_Ed-1E-9*MAX(1,N_Ed),AP42,(AO42+AP42)/2)</f>
        <v/>
      </c>
      <c r="AU42">
        <f>h_col*((AS42+AT42)/2)/(1-(AS42+AT42)/2)</f>
        <v/>
      </c>
      <c r="AV42">
        <f>(f_cd*b_col*((3*MIN(AU42,h_col)/7)+(4*MIN(AU42,h_col)/7)*(1-((4*MIN(AU42,h_col)/7)/(AU42-(3*MIN(AU42,h_col)/7)))^2/3))+$D42/2*((MAX(-f_yd,MIN(f_yd,200000*IF(AU42&lt;=h_col,0.0035*(AU42-d_2)/AU42,0.002*(AU42-d_2)/(AU42-3*h_col/7))))-f_cd*(1-(1-MAX(0,MIN(1,IF(AU42&lt;=h_col,0.0035*(AU42-d_2)/AU42,0.002*(AU42-d_2)/(AU42-3*h_col/7))/0.002)))^2))+(MAX(-f_yd,MIN(f_yd,200000*IF(AU42&lt;=h_col,0.0035*(AU42-(h_col-d_2))/AU42,0.002*(AU42-(h_col-d_2))/(AU42-3*h_col/7))))-f_cd*(1-(1-MAX(0,MIN(1,IF(AU42&lt;=h_col,0.0035*(AU42-(h_col-d_2))/AU42,0.002*(AU42-(h_col-d_2))/(AU42-3*h_col/7))/0.002)))^2))))/1000</f>
        <v/>
      </c>
      <c r="AW42">
        <f>IF($AV42&lt;N_Ed-1E-9*MAX(1,N_Ed),(AS42+AT42)/2,AS42)</f>
        <v/>
      </c>
      <c r="AX42">
        <f>IF($AV42&lt;N_Ed-1E-9*MAX(1,N_Ed),AT42,(AS42+AT42)/2)</f>
        <v/>
      </c>
      <c r="AY42">
        <f>h_col*((AW42+AX42)/2)/(1-(AW42+AX42)/2)</f>
        <v/>
      </c>
      <c r="AZ42">
        <f>(f_cd*b_col*((3*MIN(AY42,h_col)/7)+(4*MIN(AY42,h_col)/7)*(1-((4*MIN(AY42,h_col)/7)/(AY42-(3*MIN(AY42,h_col)/7)))^2/3))+$D42/2*((MAX(-f_yd,MIN(f_yd,200000*IF(AY42&lt;=h_col,0.0035*(AY42-d_2)/AY42,0.002*(AY42-d_2)/(AY42-3*h_col/7))))-f_cd*(1-(1-MAX(0,MIN(1,IF(AY42&lt;=h_col,0.0035*(AY42-d_2)/AY42,0.002*(AY42-d_2)/(AY42-3*h_col/7))/0.002)))^2))+(MAX(-f_yd,MIN(f_yd,200000*IF(AY42&lt;=h_col,0.0035*(AY42-(h_col-d_2))/AY42,0.002*(AY42-(h_col-d_2))/(AY42-3*h_col/7))))-f_cd*(1-(1-MAX(0,MIN(1,IF(AY42&lt;=h_col,0.0035*(AY42-(h_col-d_2))/AY42,0.002*(AY42-(h_col-d_2))/(AY42-3*h_col/7))/0.002)))^2))))/1000</f>
        <v/>
      </c>
      <c r="BA42">
        <f>IF($AZ42&lt;N_Ed-1E-9*MAX(1,N_Ed),(AW42+AX42)/2,AW42)</f>
        <v/>
      </c>
      <c r="BB42">
        <f>IF($AZ42&lt;N_Ed-1E-9*MAX(1,N_Ed),AX42,(AW42+AX42)/2)</f>
        <v/>
      </c>
      <c r="BC42">
        <f>h_col*((BA42+BB42)/2)/(1-(BA42+BB42)/2)</f>
        <v/>
      </c>
      <c r="BD42">
        <f>(f_cd*b_col*((3*MIN(BC42,h_col)/7)+(4*MIN(BC42,h_col)/7)*(1-((4*MIN(BC42,h_col)/7)/(BC42-(3*MIN(BC42,h_col)/7)))^2/3))+$D42/2*((MAX(-f_yd,MIN(f_yd,200000*IF(BC42&lt;=h_col,0.0035*(BC42-d_2)/BC42,0.002*(BC42-d_2)/(BC42-3*h_col/7))))-f_cd*(1-(1-MAX(0,MIN(1,IF(BC42&lt;=h_col,0.0035*(BC42-d_2)/BC42,0.002*(BC42-d_2)/(BC42-3*h_col/7))/0.002)))^2))+(MAX(-f_yd,MIN(f_yd,200000*IF(BC42&lt;=h_col,0.0035*(BC42-(h_col-d_2))/BC42,0.002*(BC42-(h_col-d_2))/(BC42-3*h_col/7))))-f_cd*(1-(1-MAX(0,MIN(1,IF(BC42&lt;=h_col,0.0035*(BC42-(h_col-d_2))/BC42,0.002*(BC42-(h_col-d_2))/(BC42-3*h_col/7))/0.002)))^2))))/1000</f>
        <v/>
      </c>
      <c r="BE42">
        <f>IF($BD42&lt;N_Ed-1E-9*MAX(1,N_Ed),(BA42+BB42)/2,BA42)</f>
        <v/>
      </c>
      <c r="BF42">
        <f>IF($BD42&lt;N_Ed-1E-9*MAX(1,N_Ed),BB42,(BA42+BB42)/2)</f>
        <v/>
      </c>
      <c r="BG42">
        <f>h_col*((BE42+BF42)/2)/(1-(BE42+BF42)/2)</f>
        <v/>
      </c>
      <c r="BH42">
        <f>(f_cd*b_col*((3*MIN(BG42,h_col)/7)+(4*MIN(BG42,h_col)/7)*(1-((4*MIN(BG42,h_col)/7)/(BG42-(3*MIN(BG42,h_col)/7)))^2/3))+$D42/2*((MAX(-f_yd,MIN(f_yd,200000*IF(BG42&lt;=h_col,0.0035*(BG42-d_2)/BG42,0.002*(BG42-d_2)/(BG42-3*h_col/7))))-f_cd*(1-(1-MAX(0,MIN(1,IF(BG42&lt;=h_col,0.0035*(BG42-d_2)/BG42,0.002*(BG42-d_2)/(BG42-3*h_col/7))/0.002)))^2))+(MAX(-f_yd,MIN(f_yd,200000*IF(BG42&lt;=h_col,0.0035*(BG42-(h_col-d_2))/BG42,0.002*(BG42-(h_col-d_2))/(BG42-3*h_col/7))))-f_cd*(1-(1-MAX(0,MIN(1,IF(BG42&lt;=h_col,0.0035*(BG42-(h_col-d_2))/BG42,0.002*(BG42-(h_col-d_2))/(BG42-3*h_col/7))/0.002)))^2))))/1000</f>
        <v/>
      </c>
      <c r="BI42">
        <f>IF($BH42&lt;N_Ed-1E-9*MAX(1,N_Ed),(BE42+BF42)/2,BE42)</f>
        <v/>
      </c>
      <c r="BJ42">
        <f>IF($BH42&lt;N_Ed-1E-9*MAX(1,N_Ed),BF42,(BE42+BF42)/2)</f>
        <v/>
      </c>
      <c r="BK42">
        <f>h_col*((BI42+BJ42)/2)/(1-(BI42+BJ42)/2)</f>
        <v/>
      </c>
      <c r="BL42">
        <f>(f_cd*b_col*((3*MIN(BK42,h_col)/7)+(4*MIN(BK42,h_col)/7)*(1-((4*MIN(BK42,h_col)/7)/(BK42-(3*MIN(BK42,h_col)/7)))^2/3))+$D42/2*((MAX(-f_yd,MIN(f_yd,200000*IF(BK42&lt;=h_col,0.0035*(BK42-d_2)/BK42,0.002*(BK42-d_2)/(BK42-3*h_col/7))))-f_cd*(1-(1-MAX(0,MIN(1,IF(BK42&lt;=h_col,0.0035*(BK42-d_2)/BK42,0.002*(BK42-d_2)/(BK42-3*h_col/7))/0.002)))^2))+(MAX(-f_yd,MIN(f_yd,200000*IF(BK42&lt;=h_col,0.0035*(BK42-(h_col-d_2))/BK42,0.002*(BK42-(h_col-d_2))/(BK42-3*h_col/7))))-f_cd*(1-(1-MAX(0,MIN(1,IF(BK42&lt;=h_col,0.0035*(BK42-(h_col-d_2))/BK42,0.002*(BK42-(h_col-d_2))/(BK42-3*h_col/7))/0.002)))^2))))/1000</f>
        <v/>
      </c>
      <c r="BM42">
        <f>IF($BL42&lt;N_Ed-1E-9*MAX(1,N_Ed),(BI42+BJ42)/2,BI42)</f>
        <v/>
      </c>
      <c r="BN42">
        <f>IF($BL42&lt;N_Ed-1E-9*MAX(1,N_Ed),BJ42,(BI42+BJ42)/2)</f>
        <v/>
      </c>
      <c r="BO42">
        <f>h_col*((BM42+BN42)/2)/(1-(BM42+BN42)/2)</f>
        <v/>
      </c>
      <c r="BP42">
        <f>(f_cd*b_col*((3*MIN(BO42,h_col)/7)+(4*MIN(BO42,h_col)/7)*(1-((4*MIN(BO42,h_col)/7)/(BO42-(3*MIN(BO42,h_col)/7)))^2/3))+$D42/2*((MAX(-f_yd,MIN(f_yd,200000*IF(BO42&lt;=h_col,0.0035*(BO42-d_2)/BO42,0.002*(BO42-d_2)/(BO42-3*h_col/7))))-f_cd*(1-(1-MAX(0,MIN(1,IF(BO42&lt;=h_col,0.0035*(BO42-d_2)/BO42,0.002*(BO42-d_2)/(BO42-3*h_col/7))/0.002)))^2))+(MAX(-f_yd,MIN(f_yd,200000*IF(BO42&lt;=h_col,0.0035*(BO42-(h_col-d_2))/BO42,0.002*(BO42-(h_col-d_2))/(BO42-3*h_col/7))))-f_cd*(1-(1-MAX(0,MIN(1,IF(BO42&lt;=h_col,0.0035*(BO42-(h_col-d_2))/BO42,0.002*(BO42-(h_col-d_2))/(BO42-3*h_col/7))/0.002)))^2))))/1000</f>
        <v/>
      </c>
      <c r="BQ42">
        <f>IF($BP42&lt;N_Ed-1E-9*MAX(1,N_Ed),(BM42+BN42)/2,BM42)</f>
        <v/>
      </c>
      <c r="BR42">
        <f>IF($BP42&lt;N_Ed-1E-9*MAX(1,N_Ed),BN42,(BM42+BN42)/2)</f>
        <v/>
      </c>
      <c r="BS42">
        <f>h_col*((BQ42+BR42)/2)/(1-(BQ42+BR42)/2)</f>
        <v/>
      </c>
      <c r="BT42">
        <f>(f_cd*b_col*((3*MIN(BS42,h_col)/7)+(4*MIN(BS42,h_col)/7)*(1-((4*MIN(BS42,h_col)/7)/(BS42-(3*MIN(BS42,h_col)/7)))^2/3))+$D42/2*((MAX(-f_yd,MIN(f_yd,200000*IF(BS42&lt;=h_col,0.0035*(BS42-d_2)/BS42,0.002*(BS42-d_2)/(BS42-3*h_col/7))))-f_cd*(1-(1-MAX(0,MIN(1,IF(BS42&lt;=h_col,0.0035*(BS42-d_2)/BS42,0.002*(BS42-d_2)/(BS42-3*h_col/7))/0.002)))^2))+(MAX(-f_yd,MIN(f_yd,200000*IF(BS42&lt;=h_col,0.0035*(BS42-(h_col-d_2))/BS42,0.002*(BS42-(h_col-d_2))/(BS42-3*h_col/7))))-f_cd*(1-(1-MAX(0,MIN(1,IF(BS42&lt;=h_col,0.0035*(BS42-(h_col-d_2))/BS42,0.002*(BS42-(h_col-d_2))/(BS42-3*h_col/7))/0.002)))^2))))/1000</f>
        <v/>
      </c>
      <c r="BU42">
        <f>IF($BT42&lt;N_Ed-1E-9*MAX(1,N_Ed),(BQ42+BR42)/2,BQ42)</f>
        <v/>
      </c>
      <c r="BV42">
        <f>IF($BT42&lt;N_Ed-1E-9*MAX(1,N_Ed),BR42,(BQ42+BR42)/2)</f>
        <v/>
      </c>
      <c r="BW42">
        <f>h_col*((BU42+BV42)/2)/(1-(BU42+BV42)/2)</f>
        <v/>
      </c>
      <c r="BX42">
        <f>(f_cd*b_col*((3*MIN(BW42,h_col)/7)+(4*MIN(BW42,h_col)/7)*(1-((4*MIN(BW42,h_col)/7)/(BW42-(3*MIN(BW42,h_col)/7)))^2/3))+$D42/2*((MAX(-f_yd,MIN(f_yd,200000*IF(BW42&lt;=h_col,0.0035*(BW42-d_2)/BW42,0.002*(BW42-d_2)/(BW42-3*h_col/7))))-f_cd*(1-(1-MAX(0,MIN(1,IF(BW42&lt;=h_col,0.0035*(BW42-d_2)/BW42,0.002*(BW42-d_2)/(BW42-3*h_col/7))/0.002)))^2))+(MAX(-f_yd,MIN(f_yd,200000*IF(BW42&lt;=h_col,0.0035*(BW42-(h_col-d_2))/BW42,0.002*(BW42-(h_col-d_2))/(BW42-3*h_col/7))))-f_cd*(1-(1-MAX(0,MIN(1,IF(BW42&lt;=h_col,0.0035*(BW42-(h_col-d_2))/BW42,0.002*(BW42-(h_col-d_2))/(BW42-3*h_col/7))/0.002)))^2))))/1000</f>
        <v/>
      </c>
      <c r="BY42">
        <f>IF($BX42&lt;N_Ed-1E-9*MAX(1,N_Ed),(BU42+BV42)/2,BU42)</f>
        <v/>
      </c>
      <c r="BZ42">
        <f>IF($BX42&lt;N_Ed-1E-9*MAX(1,N_Ed),BV42,(BU42+BV42)/2)</f>
        <v/>
      </c>
      <c r="CA42">
        <f>h_col*((BY42+BZ42)/2)/(1-(BY42+BZ42)/2)</f>
        <v/>
      </c>
      <c r="CB42">
        <f>(f_cd*b_col*((3*MIN(CA42,h_col)/7)+(4*MIN(CA42,h_col)/7)*(1-((4*MIN(CA42,h_col)/7)/(CA42-(3*MIN(CA42,h_col)/7)))^2/3))+$D42/2*((MAX(-f_yd,MIN(f_yd,200000*IF(CA42&lt;=h_col,0.0035*(CA42-d_2)/CA42,0.002*(CA42-d_2)/(CA42-3*h_col/7))))-f_cd*(1-(1-MAX(0,MIN(1,IF(CA42&lt;=h_col,0.0035*(CA42-d_2)/CA42,0.002*(CA42-d_2)/(CA42-3*h_col/7))/0.002)))^2))+(MAX(-f_yd,MIN(f_yd,200000*IF(CA42&lt;=h_col,0.0035*(CA42-(h_col-d_2))/CA42,0.002*(CA42-(h_col-d_2))/(CA42-3*h_col/7))))-f_cd*(1-(1-MAX(0,MIN(1,IF(CA42&lt;=h_col,0.0035*(CA42-(h_col-d_2))/CA42,0.002*(CA42-(h_col-d_2))/(CA42-3*h_col/7))/0.002)))^2))))/1000</f>
        <v/>
      </c>
      <c r="CC42">
        <f>IF($CB42&lt;N_Ed-1E-9*MAX(1,N_Ed),(BY42+BZ42)/2,BY42)</f>
        <v/>
      </c>
      <c r="CD42">
        <f>IF($CB42&lt;N_Ed-1E-9*MAX(1,N_Ed),BZ42,(BY42+BZ42)/2)</f>
        <v/>
      </c>
      <c r="CE42">
        <f>h_col*((CC42+CD42)/2)/(1-(CC42+CD42)/2)</f>
        <v/>
      </c>
      <c r="CF42">
        <f>(f_cd*b_col*((3*MIN(CE42,h_col)/7)+(4*MIN(CE42,h_col)/7)*(1-((4*MIN(CE42,h_col)/7)/(CE42-(3*MIN(CE42,h_col)/7)))^2/3))+$D42/2*((MAX(-f_yd,MIN(f_yd,200000*IF(CE42&lt;=h_col,0.0035*(CE42-d_2)/CE42,0.002*(CE42-d_2)/(CE42-3*h_col/7))))-f_cd*(1-(1-MAX(0,MIN(1,IF(CE42&lt;=h_col,0.0035*(CE42-d_2)/CE42,0.002*(CE42-d_2)/(CE42-3*h_col/7))/0.002)))^2))+(MAX(-f_yd,MIN(f_yd,200000*IF(CE42&lt;=h_col,0.0035*(CE42-(h_col-d_2))/CE42,0.002*(CE42-(h_col-d_2))/(CE42-3*h_col/7))))-f_cd*(1-(1-MAX(0,MIN(1,IF(CE42&lt;=h_col,0.0035*(CE42-(h_col-d_2))/CE42,0.002*(CE42-(h_col-d_2))/(CE42-3*h_col/7))/0.002)))^2))))/1000</f>
        <v/>
      </c>
      <c r="CG42">
        <f>IF($CF42&lt;N_Ed-1E-9*MAX(1,N_Ed),(CC42+CD42)/2,CC42)</f>
        <v/>
      </c>
      <c r="CH42">
        <f>IF($CF42&lt;N_Ed-1E-9*MAX(1,N_Ed),CD42,(CC42+CD42)/2)</f>
        <v/>
      </c>
      <c r="CI42">
        <f>h_col*((CG42+CH42)/2)/(1-(CG42+CH42)/2)</f>
        <v/>
      </c>
      <c r="CJ42">
        <f>(f_cd*b_col*((3*MIN(CI42,h_col)/7)+(4*MIN(CI42,h_col)/7)*(1-((4*MIN(CI42,h_col)/7)/(CI42-(3*MIN(CI42,h_col)/7)))^2/3))+$D42/2*((MAX(-f_yd,MIN(f_yd,200000*IF(CI42&lt;=h_col,0.0035*(CI42-d_2)/CI42,0.002*(CI42-d_2)/(CI42-3*h_col/7))))-f_cd*(1-(1-MAX(0,MIN(1,IF(CI42&lt;=h_col,0.0035*(CI42-d_2)/CI42,0.002*(CI42-d_2)/(CI42-3*h_col/7))/0.002)))^2))+(MAX(-f_yd,MIN(f_yd,200000*IF(CI42&lt;=h_col,0.0035*(CI42-(h_col-d_2))/CI42,0.002*(CI42-(h_col-d_2))/(CI42-3*h_col/7))))-f_cd*(1-(1-MAX(0,MIN(1,IF(CI42&lt;=h_col,0.0035*(CI42-(h_col-d_2))/CI42,0.002*(CI42-(h_col-d_2))/(CI42-3*h_col/7))/0.002)))^2))))/1000</f>
        <v/>
      </c>
      <c r="CK42">
        <f>IF($CJ42&lt;N_Ed-1E-9*MAX(1,N_Ed),(CG42+CH42)/2,CG42)</f>
        <v/>
      </c>
      <c r="CL42">
        <f>IF($CJ42&lt;N_Ed-1E-9*MAX(1,N_Ed),CH42,(CG42+CH42)/2)</f>
        <v/>
      </c>
      <c r="CM42">
        <f>h_col*((CK42+CL42)/2)/(1-(CK42+CL42)/2)</f>
        <v/>
      </c>
      <c r="CN42">
        <f>(f_cd*b_col*((3*MIN(CM42,h_col)/7)+(4*MIN(CM42,h_col)/7)*(1-((4*MIN(CM42,h_col)/7)/(CM42-(3*MIN(CM42,h_col)/7)))^2/3))+$D42/2*((MAX(-f_yd,MIN(f_yd,200000*IF(CM42&lt;=h_col,0.0035*(CM42-d_2)/CM42,0.002*(CM42-d_2)/(CM42-3*h_col/7))))-f_cd*(1-(1-MAX(0,MIN(1,IF(CM42&lt;=h_col,0.0035*(CM42-d_2)/CM42,0.002*(CM42-d_2)/(CM42-3*h_col/7))/0.002)))^2))+(MAX(-f_yd,MIN(f_yd,200000*IF(CM42&lt;=h_col,0.0035*(CM42-(h_col-d_2))/CM42,0.002*(CM42-(h_col-d_2))/(CM42-3*h_col/7))))-f_cd*(1-(1-MAX(0,MIN(1,IF(CM42&lt;=h_col,0.0035*(CM42-(h_col-d_2))/CM42,0.002*(CM42-(h_col-d_2))/(CM42-3*h_col/7))/0.002)))^2))))/1000</f>
        <v/>
      </c>
      <c r="CO42">
        <f>IF($CN42&lt;N_Ed-1E-9*MAX(1,N_Ed),(CK42+CL42)/2,CK42)</f>
        <v/>
      </c>
      <c r="CP42">
        <f>IF($CN42&lt;N_Ed-1E-9*MAX(1,N_Ed),CL42,(CK42+CL42)/2)</f>
        <v/>
      </c>
      <c r="CQ42">
        <f>h_col*((CO42+CP42)/2)/(1-(CO42+CP42)/2)</f>
        <v/>
      </c>
      <c r="CR42">
        <f>(f_cd*b_col*((3*MIN(CQ42,h_col)/7)+(4*MIN(CQ42,h_col)/7)*(1-((4*MIN(CQ42,h_col)/7)/(CQ42-(3*MIN(CQ42,h_col)/7)))^2/3))+$D42/2*((MAX(-f_yd,MIN(f_yd,200000*IF(CQ42&lt;=h_col,0.0035*(CQ42-d_2)/CQ42,0.002*(CQ42-d_2)/(CQ42-3*h_col/7))))-f_cd*(1-(1-MAX(0,MIN(1,IF(CQ42&lt;=h_col,0.0035*(CQ42-d_2)/CQ42,0.002*(CQ42-d_2)/(CQ42-3*h_col/7))/0.002)))^2))+(MAX(-f_yd,MIN(f_yd,200000*IF(CQ42&lt;=h_col,0.0035*(CQ42-(h_col-d_2))/CQ42,0.002*(CQ42-(h_col-d_2))/(CQ42-3*h_col/7))))-f_cd*(1-(1-MAX(0,MIN(1,IF(CQ42&lt;=h_col,0.0035*(CQ42-(h_col-d_2))/CQ42,0.002*(CQ42-(h_col-d_2))/(CQ42-3*h_col/7))/0.002)))^2))))/1000</f>
        <v/>
      </c>
      <c r="CS42">
        <f>IF($CR42&lt;N_Ed-1E-9*MAX(1,N_Ed),(CO42+CP42)/2,CO42)</f>
        <v/>
      </c>
      <c r="CT42">
        <f>IF($CR42&lt;N_Ed-1E-9*MAX(1,N_Ed),CP42,(CO42+CP42)/2)</f>
        <v/>
      </c>
      <c r="CU42">
        <f>h_col*((CS42+CT42)/2)/(1-(CS42+CT42)/2)</f>
        <v/>
      </c>
      <c r="CV42">
        <f>(f_cd*b_col*((3*MIN(CU42,h_col)/7)+(4*MIN(CU42,h_col)/7)*(1-((4*MIN(CU42,h_col)/7)/(CU42-(3*MIN(CU42,h_col)/7)))^2/3))+$D42/2*((MAX(-f_yd,MIN(f_yd,200000*IF(CU42&lt;=h_col,0.0035*(CU42-d_2)/CU42,0.002*(CU42-d_2)/(CU42-3*h_col/7))))-f_cd*(1-(1-MAX(0,MIN(1,IF(CU42&lt;=h_col,0.0035*(CU42-d_2)/CU42,0.002*(CU42-d_2)/(CU42-3*h_col/7))/0.002)))^2))+(MAX(-f_yd,MIN(f_yd,200000*IF(CU42&lt;=h_col,0.0035*(CU42-(h_col-d_2))/CU42,0.002*(CU42-(h_col-d_2))/(CU42-3*h_col/7))))-f_cd*(1-(1-MAX(0,MIN(1,IF(CU42&lt;=h_col,0.0035*(CU42-(h_col-d_2))/CU42,0.002*(CU42-(h_col-d_2))/(CU42-3*h_col/7))/0.002)))^2))))/1000</f>
        <v/>
      </c>
      <c r="CW42">
        <f>IF($CV42&lt;N_Ed-1E-9*MAX(1,N_Ed),(CS42+CT42)/2,CS42)</f>
        <v/>
      </c>
      <c r="CX42">
        <f>IF($CV42&lt;N_Ed-1E-9*MAX(1,N_Ed),CT42,(CS42+CT42)/2)</f>
        <v/>
      </c>
      <c r="CY42">
        <f>h_col*((CW42+CX42)/2)/(1-(CW42+CX42)/2)</f>
        <v/>
      </c>
      <c r="CZ42">
        <f>(f_cd*b_col*((3*MIN(CY42,h_col)/7)+(4*MIN(CY42,h_col)/7)*(1-((4*MIN(CY42,h_col)/7)/(CY42-(3*MIN(CY42,h_col)/7)))^2/3))+$D42/2*((MAX(-f_yd,MIN(f_yd,200000*IF(CY42&lt;=h_col,0.0035*(CY42-d_2)/CY42,0.002*(CY42-d_2)/(CY42-3*h_col/7))))-f_cd*(1-(1-MAX(0,MIN(1,IF(CY42&lt;=h_col,0.0035*(CY42-d_2)/CY42,0.002*(CY42-d_2)/(CY42-3*h_col/7))/0.002)))^2))+(MAX(-f_yd,MIN(f_yd,200000*IF(CY42&lt;=h_col,0.0035*(CY42-(h_col-d_2))/CY42,0.002*(CY42-(h_col-d_2))/(CY42-3*h_col/7))))-f_cd*(1-(1-MAX(0,MIN(1,IF(CY42&lt;=h_col,0.0035*(CY42-(h_col-d_2))/CY42,0.002*(CY42-(h_col-d_2))/(CY42-3*h_col/7))/0.002)))^2))))/1000</f>
        <v/>
      </c>
      <c r="DA42">
        <f>IF($CZ42&lt;N_Ed-1E-9*MAX(1,N_Ed),(CW42+CX42)/2,CW42)</f>
        <v/>
      </c>
      <c r="DB42">
        <f>IF($CZ42&lt;N_Ed-1E-9*MAX(1,N_Ed),CX42,(CW42+CX42)/2)</f>
        <v/>
      </c>
      <c r="DC42">
        <f>h_col*((DA42+DB42)/2)/(1-(DA42+DB42)/2)</f>
        <v/>
      </c>
      <c r="DD42">
        <f>(f_cd*b_col*((3*MIN(DC42,h_col)/7)+(4*MIN(DC42,h_col)/7)*(1-((4*MIN(DC42,h_col)/7)/(DC42-(3*MIN(DC42,h_col)/7)))^2/3))+$D42/2*((MAX(-f_yd,MIN(f_yd,200000*IF(DC42&lt;=h_col,0.0035*(DC42-d_2)/DC42,0.002*(DC42-d_2)/(DC42-3*h_col/7))))-f_cd*(1-(1-MAX(0,MIN(1,IF(DC42&lt;=h_col,0.0035*(DC42-d_2)/DC42,0.002*(DC42-d_2)/(DC42-3*h_col/7))/0.002)))^2))+(MAX(-f_yd,MIN(f_yd,200000*IF(DC42&lt;=h_col,0.0035*(DC42-(h_col-d_2))/DC42,0.002*(DC42-(h_col-d_2))/(DC42-3*h_col/7))))-f_cd*(1-(1-MAX(0,MIN(1,IF(DC42&lt;=h_col,0.0035*(DC42-(h_col-d_2))/DC42,0.002*(DC42-(h_col-d_2))/(DC42-3*h_col/7))/0.002)))^2))))/1000</f>
        <v/>
      </c>
      <c r="DE42">
        <f>IF($DD42&lt;N_Ed-1E-9*MAX(1,N_Ed),(DA42+DB42)/2,DA42)</f>
        <v/>
      </c>
      <c r="DF42">
        <f>IF($DD42&lt;N_Ed-1E-9*MAX(1,N_Ed),DB42,(DA42+DB42)/2)</f>
        <v/>
      </c>
      <c r="DG42">
        <f>h_col*((DE42+DF42)/2)/(1-(DE42+DF42)/2)</f>
        <v/>
      </c>
      <c r="DH42">
        <f>(f_cd*b_col*((3*MIN(DG42,h_col)/7)+(4*MIN(DG42,h_col)/7)*(1-((4*MIN(DG42,h_col)/7)/(DG42-(3*MIN(DG42,h_col)/7)))^2/3))+$D42/2*((MAX(-f_yd,MIN(f_yd,200000*IF(DG42&lt;=h_col,0.0035*(DG42-d_2)/DG42,0.002*(DG42-d_2)/(DG42-3*h_col/7))))-f_cd*(1-(1-MAX(0,MIN(1,IF(DG42&lt;=h_col,0.0035*(DG42-d_2)/DG42,0.002*(DG42-d_2)/(DG42-3*h_col/7))/0.002)))^2))+(MAX(-f_yd,MIN(f_yd,200000*IF(DG42&lt;=h_col,0.0035*(DG42-(h_col-d_2))/DG42,0.002*(DG42-(h_col-d_2))/(DG42-3*h_col/7))))-f_cd*(1-(1-MAX(0,MIN(1,IF(DG42&lt;=h_col,0.0035*(DG42-(h_col-d_2))/DG42,0.002*(DG42-(h_col-d_2))/(DG42-3*h_col/7))/0.002)))^2))))/1000</f>
        <v/>
      </c>
      <c r="DI42">
        <f>IF($DH42&lt;N_Ed-1E-9*MAX(1,N_Ed),(DE42+DF42)/2,DE42)</f>
        <v/>
      </c>
      <c r="DJ42">
        <f>IF($DH42&lt;N_Ed-1E-9*MAX(1,N_Ed),DF42,(DE42+DF42)/2)</f>
        <v/>
      </c>
      <c r="DK42">
        <f>h_col*((DI42+DJ42)/2)/(1-(DI42+DJ42)/2)</f>
        <v/>
      </c>
      <c r="DL42">
        <f>(f_cd*b_col*((3*MIN(DK42,h_col)/7)+(4*MIN(DK42,h_col)/7)*(1-((4*MIN(DK42,h_col)/7)/(DK42-(3*MIN(DK42,h_col)/7)))^2/3))+$D42/2*((MAX(-f_yd,MIN(f_yd,200000*IF(DK42&lt;=h_col,0.0035*(DK42-d_2)/DK42,0.002*(DK42-d_2)/(DK42-3*h_col/7))))-f_cd*(1-(1-MAX(0,MIN(1,IF(DK42&lt;=h_col,0.0035*(DK42-d_2)/DK42,0.002*(DK42-d_2)/(DK42-3*h_col/7))/0.002)))^2))+(MAX(-f_yd,MIN(f_yd,200000*IF(DK42&lt;=h_col,0.0035*(DK42-(h_col-d_2))/DK42,0.002*(DK42-(h_col-d_2))/(DK42-3*h_col/7))))-f_cd*(1-(1-MAX(0,MIN(1,IF(DK42&lt;=h_col,0.0035*(DK42-(h_col-d_2))/DK42,0.002*(DK42-(h_col-d_2))/(DK42-3*h_col/7))/0.002)))^2))))/1000</f>
        <v/>
      </c>
      <c r="DM42">
        <f>IF($DL42&lt;N_Ed-1E-9*MAX(1,N_Ed),(DI42+DJ42)/2,DI42)</f>
        <v/>
      </c>
      <c r="DN42">
        <f>IF($DL42&lt;N_Ed-1E-9*MAX(1,N_Ed),DJ42,(DI42+DJ42)/2)</f>
        <v/>
      </c>
      <c r="DO42">
        <f>h_col*((DM42+DN42)/2)/(1-(DM42+DN42)/2)</f>
        <v/>
      </c>
      <c r="DP42">
        <f>(f_cd*b_col*((3*MIN(DO42,h_col)/7)+(4*MIN(DO42,h_col)/7)*(1-((4*MIN(DO42,h_col)/7)/(DO42-(3*MIN(DO42,h_col)/7)))^2/3))+$D42/2*((MAX(-f_yd,MIN(f_yd,200000*IF(DO42&lt;=h_col,0.0035*(DO42-d_2)/DO42,0.002*(DO42-d_2)/(DO42-3*h_col/7))))-f_cd*(1-(1-MAX(0,MIN(1,IF(DO42&lt;=h_col,0.0035*(DO42-d_2)/DO42,0.002*(DO42-d_2)/(DO42-3*h_col/7))/0.002)))^2))+(MAX(-f_yd,MIN(f_yd,200000*IF(DO42&lt;=h_col,0.0035*(DO42-(h_col-d_2))/DO42,0.002*(DO42-(h_col-d_2))/(DO42-3*h_col/7))))-f_cd*(1-(1-MAX(0,MIN(1,IF(DO42&lt;=h_col,0.0035*(DO42-(h_col-d_2))/DO42,0.002*(DO42-(h_col-d_2))/(DO42-3*h_col/7))/0.002)))^2))))/1000</f>
        <v/>
      </c>
      <c r="DQ42">
        <f>IF($DP42&lt;N_Ed-1E-9*MAX(1,N_Ed),(DM42+DN42)/2,DM42)</f>
        <v/>
      </c>
      <c r="DR42">
        <f>IF($DP42&lt;N_Ed-1E-9*MAX(1,N_Ed),DN42,(DM42+DN42)/2)</f>
        <v/>
      </c>
      <c r="DS42">
        <f>h_col*((DQ42+DR42)/2)/(1-(DQ42+DR42)/2)</f>
        <v/>
      </c>
      <c r="DT42">
        <f>(f_cd*b_col*((3*MIN(DS42,h_col)/7)+(4*MIN(DS42,h_col)/7)*(1-((4*MIN(DS42,h_col)/7)/(DS42-(3*MIN(DS42,h_col)/7)))^2/3))+$D42/2*((MAX(-f_yd,MIN(f_yd,200000*IF(DS42&lt;=h_col,0.0035*(DS42-d_2)/DS42,0.002*(DS42-d_2)/(DS42-3*h_col/7))))-f_cd*(1-(1-MAX(0,MIN(1,IF(DS42&lt;=h_col,0.0035*(DS42-d_2)/DS42,0.002*(DS42-d_2)/(DS42-3*h_col/7))/0.002)))^2))+(MAX(-f_yd,MIN(f_yd,200000*IF(DS42&lt;=h_col,0.0035*(DS42-(h_col-d_2))/DS42,0.002*(DS42-(h_col-d_2))/(DS42-3*h_col/7))))-f_cd*(1-(1-MAX(0,MIN(1,IF(DS42&lt;=h_col,0.0035*(DS42-(h_col-d_2))/DS42,0.002*(DS42-(h_col-d_2))/(DS42-3*h_col/7))/0.002)))^2))))/1000</f>
        <v/>
      </c>
      <c r="DU42">
        <f>IF($DT42&lt;N_Ed-1E-9*MAX(1,N_Ed),(DQ42+DR42)/2,DQ42)</f>
        <v/>
      </c>
      <c r="DV42">
        <f>IF($DT42&lt;N_Ed-1E-9*MAX(1,N_Ed),DR42,(DQ42+DR42)/2)</f>
        <v/>
      </c>
      <c r="DW42">
        <f>h_col*((DU42+DV42)/2)/(1-(DU42+DV42)/2)</f>
        <v/>
      </c>
      <c r="DX42">
        <f>(f_cd*b_col*((3*MIN(DW42,h_col)/7)+(4*MIN(DW42,h_col)/7)*(1-((4*MIN(DW42,h_col)/7)/(DW42-(3*MIN(DW42,h_col)/7)))^2/3))+$D42/2*((MAX(-f_yd,MIN(f_yd,200000*IF(DW42&lt;=h_col,0.0035*(DW42-d_2)/DW42,0.002*(DW42-d_2)/(DW42-3*h_col/7))))-f_cd*(1-(1-MAX(0,MIN(1,IF(DW42&lt;=h_col,0.0035*(DW42-d_2)/DW42,0.002*(DW42-d_2)/(DW42-3*h_col/7))/0.002)))^2))+(MAX(-f_yd,MIN(f_yd,200000*IF(DW42&lt;=h_col,0.0035*(DW42-(h_col-d_2))/DW42,0.002*(DW42-(h_col-d_2))/(DW42-3*h_col/7))))-f_cd*(1-(1-MAX(0,MIN(1,IF(DW42&lt;=h_col,0.0035*(DW42-(h_col-d_2))/DW42,0.002*(DW42-(h_col-d_2))/(DW42-3*h_col/7))/0.002)))^2))))/1000</f>
        <v/>
      </c>
      <c r="DY42">
        <f>IF($DX42&lt;N_Ed-1E-9*MAX(1,N_Ed),(DU42+DV42)/2,DU42)</f>
        <v/>
      </c>
      <c r="DZ42">
        <f>IF($DX42&lt;N_Ed-1E-9*MAX(1,N_Ed),DV42,(DU42+DV42)/2)</f>
        <v/>
      </c>
      <c r="EA42">
        <f>h_col*((DY42+DZ42)/2)/(1-(DY42+DZ42)/2)</f>
        <v/>
      </c>
      <c r="EB42">
        <f>(f_cd*b_col*((3*MIN(EA42,h_col)/7)+(4*MIN(EA42,h_col)/7)*(1-((4*MIN(EA42,h_col)/7)/(EA42-(3*MIN(EA42,h_col)/7)))^2/3))+$D42/2*((MAX(-f_yd,MIN(f_yd,200000*IF(EA42&lt;=h_col,0.0035*(EA42-d_2)/EA42,0.002*(EA42-d_2)/(EA42-3*h_col/7))))-f_cd*(1-(1-MAX(0,MIN(1,IF(EA42&lt;=h_col,0.0035*(EA42-d_2)/EA42,0.002*(EA42-d_2)/(EA42-3*h_col/7))/0.002)))^2))+(MAX(-f_yd,MIN(f_yd,200000*IF(EA42&lt;=h_col,0.0035*(EA42-(h_col-d_2))/EA42,0.002*(EA42-(h_col-d_2))/(EA42-3*h_col/7))))-f_cd*(1-(1-MAX(0,MIN(1,IF(EA42&lt;=h_col,0.0035*(EA42-(h_col-d_2))/EA42,0.002*(EA42-(h_col-d_2))/(EA42-3*h_col/7))/0.002)))^2))))/1000</f>
        <v/>
      </c>
      <c r="EC42">
        <f>IF($EB42&lt;N_Ed-1E-9*MAX(1,N_Ed),(DY42+DZ42)/2,DY42)</f>
        <v/>
      </c>
      <c r="ED42">
        <f>IF($EB42&lt;N_Ed-1E-9*MAX(1,N_Ed),DZ42,(DY42+DZ42)/2)</f>
        <v/>
      </c>
      <c r="EE42">
        <f>h_col*((EC42+ED42)/2)/(1-(EC42+ED42)/2)</f>
        <v/>
      </c>
      <c r="EF42">
        <f>(f_cd*b_col*((3*MIN(EE42,h_col)/7)+(4*MIN(EE42,h_col)/7)*(1-((4*MIN(EE42,h_col)/7)/(EE42-(3*MIN(EE42,h_col)/7)))^2/3))+$D42/2*((MAX(-f_yd,MIN(f_yd,200000*IF(EE42&lt;=h_col,0.0035*(EE42-d_2)/EE42,0.002*(EE42-d_2)/(EE42-3*h_col/7))))-f_cd*(1-(1-MAX(0,MIN(1,IF(EE42&lt;=h_col,0.0035*(EE42-d_2)/EE42,0.002*(EE42-d_2)/(EE42-3*h_col/7))/0.002)))^2))+(MAX(-f_yd,MIN(f_yd,200000*IF(EE42&lt;=h_col,0.0035*(EE42-(h_col-d_2))/EE42,0.002*(EE42-(h_col-d_2))/(EE42-3*h_col/7))))-f_cd*(1-(1-MAX(0,MIN(1,IF(EE42&lt;=h_col,0.0035*(EE42-(h_col-d_2))/EE42,0.002*(EE42-(h_col-d_2))/(EE42-3*h_col/7))/0.002)))^2))))/1000</f>
        <v/>
      </c>
      <c r="EG42">
        <f>IF($EF42&lt;N_Ed-1E-9*MAX(1,N_Ed),(EC42+ED42)/2,EC42)</f>
        <v/>
      </c>
      <c r="EH42">
        <f>IF($EF42&lt;N_Ed-1E-9*MAX(1,N_Ed),ED42,(EC42+ED42)/2)</f>
        <v/>
      </c>
      <c r="EI42">
        <f>h_col*((EG42+EH42)/2)/(1-(EG42+EH42)/2)</f>
        <v/>
      </c>
      <c r="EJ42">
        <f>(f_cd*b_col*((3*MIN(EI42,h_col)/7)+(4*MIN(EI42,h_col)/7)*(1-((4*MIN(EI42,h_col)/7)/(EI42-(3*MIN(EI42,h_col)/7)))^2/3))+$D42/2*((MAX(-f_yd,MIN(f_yd,200000*IF(EI42&lt;=h_col,0.0035*(EI42-d_2)/EI42,0.002*(EI42-d_2)/(EI42-3*h_col/7))))-f_cd*(1-(1-MAX(0,MIN(1,IF(EI42&lt;=h_col,0.0035*(EI42-d_2)/EI42,0.002*(EI42-d_2)/(EI42-3*h_col/7))/0.002)))^2))+(MAX(-f_yd,MIN(f_yd,200000*IF(EI42&lt;=h_col,0.0035*(EI42-(h_col-d_2))/EI42,0.002*(EI42-(h_col-d_2))/(EI42-3*h_col/7))))-f_cd*(1-(1-MAX(0,MIN(1,IF(EI42&lt;=h_col,0.0035*(EI42-(h_col-d_2))/EI42,0.002*(EI42-(h_col-d_2))/(EI42-3*h_col/7))/0.002)))^2))))/1000</f>
        <v/>
      </c>
      <c r="EK42">
        <f>IF($EJ42&lt;N_Ed-1E-9*MAX(1,N_Ed),(EG42+EH42)/2,EG42)</f>
        <v/>
      </c>
      <c r="EL42">
        <f>IF($EJ42&lt;N_Ed-1E-9*MAX(1,N_Ed),EH42,(EG42+EH42)/2)</f>
        <v/>
      </c>
      <c r="EM42">
        <f>h_col*((EK42+EL42)/2)/(1-(EK42+EL42)/2)</f>
        <v/>
      </c>
      <c r="EN42">
        <f>(f_cd*b_col*((3*MIN(EM42,h_col)/7)+(4*MIN(EM42,h_col)/7)*(1-((4*MIN(EM42,h_col)/7)/(EM42-(3*MIN(EM42,h_col)/7)))^2/3))+$D42/2*((MAX(-f_yd,MIN(f_yd,200000*IF(EM42&lt;=h_col,0.0035*(EM42-d_2)/EM42,0.002*(EM42-d_2)/(EM42-3*h_col/7))))-f_cd*(1-(1-MAX(0,MIN(1,IF(EM42&lt;=h_col,0.0035*(EM42-d_2)/EM42,0.002*(EM42-d_2)/(EM42-3*h_col/7))/0.002)))^2))+(MAX(-f_yd,MIN(f_yd,200000*IF(EM42&lt;=h_col,0.0035*(EM42-(h_col-d_2))/EM42,0.002*(EM42-(h_col-d_2))/(EM42-3*h_col/7))))-f_cd*(1-(1-MAX(0,MIN(1,IF(EM42&lt;=h_col,0.0035*(EM42-(h_col-d_2))/EM42,0.002*(EM42-(h_col-d_2))/(EM42-3*h_col/7))/0.002)))^2))))/1000</f>
        <v/>
      </c>
      <c r="EO42">
        <f>IF($EN42&lt;N_Ed-1E-9*MAX(1,N_Ed),(EK42+EL42)/2,EK42)</f>
        <v/>
      </c>
      <c r="EP42">
        <f>IF($EN42&lt;N_Ed-1E-9*MAX(1,N_Ed),EL42,(EK42+EL42)/2)</f>
        <v/>
      </c>
      <c r="EQ42">
        <f>h_col*((EO42+EP42)/2)/(1-(EO42+EP42)/2)</f>
        <v/>
      </c>
      <c r="ER42">
        <f>(f_cd*b_col*((3*MIN(EQ42,h_col)/7)+(4*MIN(EQ42,h_col)/7)*(1-((4*MIN(EQ42,h_col)/7)/(EQ42-(3*MIN(EQ42,h_col)/7)))^2/3))+$D42/2*((MAX(-f_yd,MIN(f_yd,200000*IF(EQ42&lt;=h_col,0.0035*(EQ42-d_2)/EQ42,0.002*(EQ42-d_2)/(EQ42-3*h_col/7))))-f_cd*(1-(1-MAX(0,MIN(1,IF(EQ42&lt;=h_col,0.0035*(EQ42-d_2)/EQ42,0.002*(EQ42-d_2)/(EQ42-3*h_col/7))/0.002)))^2))+(MAX(-f_yd,MIN(f_yd,200000*IF(EQ42&lt;=h_col,0.0035*(EQ42-(h_col-d_2))/EQ42,0.002*(EQ42-(h_col-d_2))/(EQ42-3*h_col/7))))-f_cd*(1-(1-MAX(0,MIN(1,IF(EQ42&lt;=h_col,0.0035*(EQ42-(h_col-d_2))/EQ42,0.002*(EQ42-(h_col-d_2))/(EQ42-3*h_col/7))/0.002)))^2))))/1000</f>
        <v/>
      </c>
      <c r="ES42">
        <f>IF($ER42&lt;N_Ed-1E-9*MAX(1,N_Ed),(EO42+EP42)/2,EO42)</f>
        <v/>
      </c>
      <c r="ET42">
        <f>IF($ER42&lt;N_Ed-1E-9*MAX(1,N_Ed),EP42,(EO42+EP42)/2)</f>
        <v/>
      </c>
      <c r="EU42">
        <f>h_col*((ES42+ET42)/2)/(1-(ES42+ET42)/2)</f>
        <v/>
      </c>
      <c r="EV42">
        <f>(f_cd*b_col*((3*MIN(EU42,h_col)/7)+(4*MIN(EU42,h_col)/7)*(1-((4*MIN(EU42,h_col)/7)/(EU42-(3*MIN(EU42,h_col)/7)))^2/3))+$D42/2*((MAX(-f_yd,MIN(f_yd,200000*IF(EU42&lt;=h_col,0.0035*(EU42-d_2)/EU42,0.002*(EU42-d_2)/(EU42-3*h_col/7))))-f_cd*(1-(1-MAX(0,MIN(1,IF(EU42&lt;=h_col,0.0035*(EU42-d_2)/EU42,0.002*(EU42-d_2)/(EU42-3*h_col/7))/0.002)))^2))+(MAX(-f_yd,MIN(f_yd,200000*IF(EU42&lt;=h_col,0.0035*(EU42-(h_col-d_2))/EU42,0.002*(EU42-(h_col-d_2))/(EU42-3*h_col/7))))-f_cd*(1-(1-MAX(0,MIN(1,IF(EU42&lt;=h_col,0.0035*(EU42-(h_col-d_2))/EU42,0.002*(EU42-(h_col-d_2))/(EU42-3*h_col/7))/0.002)))^2))))/1000</f>
        <v/>
      </c>
      <c r="EW42">
        <f>IF($EV42&lt;N_Ed-1E-9*MAX(1,N_Ed),(ES42+ET42)/2,ES42)</f>
        <v/>
      </c>
      <c r="EX42">
        <f>IF($EV42&lt;N_Ed-1E-9*MAX(1,N_Ed),ET42,(ES42+ET42)/2)</f>
        <v/>
      </c>
      <c r="EY42">
        <f>h_col*((EW42+EX42)/2)/(1-(EW42+EX42)/2)</f>
        <v/>
      </c>
      <c r="EZ42">
        <f>(f_cd*b_col*((3*MIN(EY42,h_col)/7)+(4*MIN(EY42,h_col)/7)*(1-((4*MIN(EY42,h_col)/7)/(EY42-(3*MIN(EY42,h_col)/7)))^2/3))+$D42/2*((MAX(-f_yd,MIN(f_yd,200000*IF(EY42&lt;=h_col,0.0035*(EY42-d_2)/EY42,0.002*(EY42-d_2)/(EY42-3*h_col/7))))-f_cd*(1-(1-MAX(0,MIN(1,IF(EY42&lt;=h_col,0.0035*(EY42-d_2)/EY42,0.002*(EY42-d_2)/(EY42-3*h_col/7))/0.002)))^2))+(MAX(-f_yd,MIN(f_yd,200000*IF(EY42&lt;=h_col,0.0035*(EY42-(h_col-d_2))/EY42,0.002*(EY42-(h_col-d_2))/(EY42-3*h_col/7))))-f_cd*(1-(1-MAX(0,MIN(1,IF(EY42&lt;=h_col,0.0035*(EY42-(h_col-d_2))/EY42,0.002*(EY42-(h_col-d_2))/(EY42-3*h_col/7))/0.002)))^2))))/1000</f>
        <v/>
      </c>
      <c r="FA42">
        <f>IF($EZ42&lt;N_Ed-1E-9*MAX(1,N_Ed),(EW42+EX42)/2,EW42)</f>
        <v/>
      </c>
      <c r="FB42">
        <f>IF($EZ42&lt;N_Ed-1E-9*MAX(1,N_Ed),EX42,(EW42+EX42)/2)</f>
        <v/>
      </c>
      <c r="FC42">
        <f>h_col*((FA42+FB42)/2)/(1-(FA42+FB42)/2)</f>
        <v/>
      </c>
      <c r="FD42">
        <f>(f_cd*b_col*((3*MIN(FC42,h_col)/7)+(4*MIN(FC42,h_col)/7)*(1-((4*MIN(FC42,h_col)/7)/(FC42-(3*MIN(FC42,h_col)/7)))^2/3))+$D42/2*((MAX(-f_yd,MIN(f_yd,200000*IF(FC42&lt;=h_col,0.0035*(FC42-d_2)/FC42,0.002*(FC42-d_2)/(FC42-3*h_col/7))))-f_cd*(1-(1-MAX(0,MIN(1,IF(FC42&lt;=h_col,0.0035*(FC42-d_2)/FC42,0.002*(FC42-d_2)/(FC42-3*h_col/7))/0.002)))^2))+(MAX(-f_yd,MIN(f_yd,200000*IF(FC42&lt;=h_col,0.0035*(FC42-(h_col-d_2))/FC42,0.002*(FC42-(h_col-d_2))/(FC42-3*h_col/7))))-f_cd*(1-(1-MAX(0,MIN(1,IF(FC42&lt;=h_col,0.0035*(FC42-(h_col-d_2))/FC42,0.002*(FC42-(h_col-d_2))/(FC42-3*h_col/7))/0.002)))^2))))/1000</f>
        <v/>
      </c>
      <c r="FE42">
        <f>IF($FD42&lt;N_Ed-1E-9*MAX(1,N_Ed),(FA42+FB42)/2,FA42)</f>
        <v/>
      </c>
      <c r="FF42">
        <f>IF($FD42&lt;N_Ed-1E-9*MAX(1,N_Ed),FB42,(FA42+FB42)/2)</f>
        <v/>
      </c>
      <c r="FG42">
        <f>h_col*((FE42+FF42)/2)/(1-(FE42+FF42)/2)</f>
        <v/>
      </c>
      <c r="FH42">
        <f>(f_cd*b_col*((3*MIN(FG42,h_col)/7)+(4*MIN(FG42,h_col)/7)*(1-((4*MIN(FG42,h_col)/7)/(FG42-(3*MIN(FG42,h_col)/7)))^2/3))+$D42/2*((MAX(-f_yd,MIN(f_yd,200000*IF(FG42&lt;=h_col,0.0035*(FG42-d_2)/FG42,0.002*(FG42-d_2)/(FG42-3*h_col/7))))-f_cd*(1-(1-MAX(0,MIN(1,IF(FG42&lt;=h_col,0.0035*(FG42-d_2)/FG42,0.002*(FG42-d_2)/(FG42-3*h_col/7))/0.002)))^2))+(MAX(-f_yd,MIN(f_yd,200000*IF(FG42&lt;=h_col,0.0035*(FG42-(h_col-d_2))/FG42,0.002*(FG42-(h_col-d_2))/(FG42-3*h_col/7))))-f_cd*(1-(1-MAX(0,MIN(1,IF(FG42&lt;=h_col,0.0035*(FG42-(h_col-d_2))/FG42,0.002*(FG42-(h_col-d_2))/(FG42-3*h_col/7))/0.002)))^2))))/1000</f>
        <v/>
      </c>
      <c r="FI42">
        <f>IF($FH42&lt;N_Ed-1E-9*MAX(1,N_Ed),(FE42+FF42)/2,FE42)</f>
        <v/>
      </c>
      <c r="FJ42">
        <f>IF($FH42&lt;N_Ed-1E-9*MAX(1,N_Ed),FF42,(FE42+FF42)/2)</f>
        <v/>
      </c>
      <c r="FK42">
        <f>h_col*((FI42+FJ42)/2)/(1-(FI42+FJ42)/2)</f>
        <v/>
      </c>
      <c r="FL42">
        <f>(f_cd*b_col*((3*MIN(FK42,h_col)/7)+(4*MIN(FK42,h_col)/7)*(1-((4*MIN(FK42,h_col)/7)/(FK42-(3*MIN(FK42,h_col)/7)))^2/3))+$D42/2*((MAX(-f_yd,MIN(f_yd,200000*IF(FK42&lt;=h_col,0.0035*(FK42-d_2)/FK42,0.002*(FK42-d_2)/(FK42-3*h_col/7))))-f_cd*(1-(1-MAX(0,MIN(1,IF(FK42&lt;=h_col,0.0035*(FK42-d_2)/FK42,0.002*(FK42-d_2)/(FK42-3*h_col/7))/0.002)))^2))+(MAX(-f_yd,MIN(f_yd,200000*IF(FK42&lt;=h_col,0.0035*(FK42-(h_col-d_2))/FK42,0.002*(FK42-(h_col-d_2))/(FK42-3*h_col/7))))-f_cd*(1-(1-MAX(0,MIN(1,IF(FK42&lt;=h_col,0.0035*(FK42-(h_col-d_2))/FK42,0.002*(FK42-(h_col-d_2))/(FK42-3*h_col/7))/0.002)))^2))))/1000</f>
        <v/>
      </c>
      <c r="FM42">
        <f>IF($FL42&lt;N_Ed-1E-9*MAX(1,N_Ed),(FI42+FJ42)/2,FI42)</f>
        <v/>
      </c>
      <c r="FN42">
        <f>IF($FL42&lt;N_Ed-1E-9*MAX(1,N_Ed),FJ42,(FI42+FJ42)/2)</f>
        <v/>
      </c>
      <c r="FO42">
        <f>h_col*((FM42+FN42)/2)/(1-(FM42+FN42)/2)</f>
        <v/>
      </c>
      <c r="FP42">
        <f>(f_cd*b_col*((3*MIN(FO42,h_col)/7)+(4*MIN(FO42,h_col)/7)*(1-((4*MIN(FO42,h_col)/7)/(FO42-(3*MIN(FO42,h_col)/7)))^2/3))+$D42/2*((MAX(-f_yd,MIN(f_yd,200000*IF(FO42&lt;=h_col,0.0035*(FO42-d_2)/FO42,0.002*(FO42-d_2)/(FO42-3*h_col/7))))-f_cd*(1-(1-MAX(0,MIN(1,IF(FO42&lt;=h_col,0.0035*(FO42-d_2)/FO42,0.002*(FO42-d_2)/(FO42-3*h_col/7))/0.002)))^2))+(MAX(-f_yd,MIN(f_yd,200000*IF(FO42&lt;=h_col,0.0035*(FO42-(h_col-d_2))/FO42,0.002*(FO42-(h_col-d_2))/(FO42-3*h_col/7))))-f_cd*(1-(1-MAX(0,MIN(1,IF(FO42&lt;=h_col,0.0035*(FO42-(h_col-d_2))/FO42,0.002*(FO42-(h_col-d_2))/(FO42-3*h_col/7))/0.002)))^2))))/1000</f>
        <v/>
      </c>
      <c r="FQ42">
        <f>IF($FP42&lt;N_Ed-1E-9*MAX(1,N_Ed),(FM42+FN42)/2,FM42)</f>
        <v/>
      </c>
      <c r="FR42">
        <f>IF($FP42&lt;N_Ed-1E-9*MAX(1,N_Ed),FN42,(FM42+FN42)/2)</f>
        <v/>
      </c>
      <c r="FS42">
        <f>h_col*((FQ42+FR42)/2)/(1-(FQ42+FR42)/2)</f>
        <v/>
      </c>
      <c r="FT42">
        <f>(f_cd*b_col*((3*MIN(FS42,h_col)/7)+(4*MIN(FS42,h_col)/7)*(1-((4*MIN(FS42,h_col)/7)/(FS42-(3*MIN(FS42,h_col)/7)))^2/3))+$D42/2*((MAX(-f_yd,MIN(f_yd,200000*IF(FS42&lt;=h_col,0.0035*(FS42-d_2)/FS42,0.002*(FS42-d_2)/(FS42-3*h_col/7))))-f_cd*(1-(1-MAX(0,MIN(1,IF(FS42&lt;=h_col,0.0035*(FS42-d_2)/FS42,0.002*(FS42-d_2)/(FS42-3*h_col/7))/0.002)))^2))+(MAX(-f_yd,MIN(f_yd,200000*IF(FS42&lt;=h_col,0.0035*(FS42-(h_col-d_2))/FS42,0.002*(FS42-(h_col-d_2))/(FS42-3*h_col/7))))-f_cd*(1-(1-MAX(0,MIN(1,IF(FS42&lt;=h_col,0.0035*(FS42-(h_col-d_2))/FS42,0.002*(FS42-(h_col-d_2))/(FS42-3*h_col/7))/0.002)))^2))))/1000</f>
        <v/>
      </c>
      <c r="FU42">
        <f>IF($FT42&lt;N_Ed-1E-9*MAX(1,N_Ed),(FQ42+FR42)/2,FQ42)</f>
        <v/>
      </c>
      <c r="FV42">
        <f>IF($FT42&lt;N_Ed-1E-9*MAX(1,N_Ed),FR42,(FQ42+FR42)/2)</f>
        <v/>
      </c>
      <c r="FW42">
        <f>h_col*((FU42+FV42)/2)/(1-(FU42+FV42)/2)</f>
        <v/>
      </c>
      <c r="FX42">
        <f>(f_cd*b_col*((3*MIN(FW42,h_col)/7)+(4*MIN(FW42,h_col)/7)*(1-((4*MIN(FW42,h_col)/7)/(FW42-(3*MIN(FW42,h_col)/7)))^2/3))+$D42/2*((MAX(-f_yd,MIN(f_yd,200000*IF(FW42&lt;=h_col,0.0035*(FW42-d_2)/FW42,0.002*(FW42-d_2)/(FW42-3*h_col/7))))-f_cd*(1-(1-MAX(0,MIN(1,IF(FW42&lt;=h_col,0.0035*(FW42-d_2)/FW42,0.002*(FW42-d_2)/(FW42-3*h_col/7))/0.002)))^2))+(MAX(-f_yd,MIN(f_yd,200000*IF(FW42&lt;=h_col,0.0035*(FW42-(h_col-d_2))/FW42,0.002*(FW42-(h_col-d_2))/(FW42-3*h_col/7))))-f_cd*(1-(1-MAX(0,MIN(1,IF(FW42&lt;=h_col,0.0035*(FW42-(h_col-d_2))/FW42,0.002*(FW42-(h_col-d_2))/(FW42-3*h_col/7))/0.002)))^2))))/1000</f>
        <v/>
      </c>
      <c r="FY42">
        <f>IF($FX42&lt;N_Ed-1E-9*MAX(1,N_Ed),(FU42+FV42)/2,FU42)</f>
        <v/>
      </c>
      <c r="FZ42">
        <f>IF($FX42&lt;N_Ed-1E-9*MAX(1,N_Ed),FV42,(FU42+FV42)/2)</f>
        <v/>
      </c>
      <c r="GA42">
        <f>h_col*((FY42+FZ42)/2)/(1-(FY42+FZ42)/2)</f>
        <v/>
      </c>
      <c r="GB42">
        <f>(f_cd*b_col*((3*MIN(GA42,h_col)/7)+(4*MIN(GA42,h_col)/7)*(1-((4*MIN(GA42,h_col)/7)/(GA42-(3*MIN(GA42,h_col)/7)))^2/3))+$D42/2*((MAX(-f_yd,MIN(f_yd,200000*IF(GA42&lt;=h_col,0.0035*(GA42-d_2)/GA42,0.002*(GA42-d_2)/(GA42-3*h_col/7))))-f_cd*(1-(1-MAX(0,MIN(1,IF(GA42&lt;=h_col,0.0035*(GA42-d_2)/GA42,0.002*(GA42-d_2)/(GA42-3*h_col/7))/0.002)))^2))+(MAX(-f_yd,MIN(f_yd,200000*IF(GA42&lt;=h_col,0.0035*(GA42-(h_col-d_2))/GA42,0.002*(GA42-(h_col-d_2))/(GA42-3*h_col/7))))-f_cd*(1-(1-MAX(0,MIN(1,IF(GA42&lt;=h_col,0.0035*(GA42-(h_col-d_2))/GA42,0.002*(GA42-(h_col-d_2))/(GA42-3*h_col/7))/0.002)))^2))))/1000</f>
        <v/>
      </c>
      <c r="GC42">
        <f>IF($GB42&lt;N_Ed-1E-9*MAX(1,N_Ed),(FY42+FZ42)/2,FY42)</f>
        <v/>
      </c>
      <c r="GD42">
        <f>IF($GB42&lt;N_Ed-1E-9*MAX(1,N_Ed),FZ42,(FY42+FZ42)/2)</f>
        <v/>
      </c>
      <c r="GE42">
        <f>h_col*((GC42+GD42)/2)/(1-(GC42+GD42)/2)</f>
        <v/>
      </c>
      <c r="GF42">
        <f>(f_cd*b_col*((3*MIN(GE42,h_col)/7)+(4*MIN(GE42,h_col)/7)*(1-((4*MIN(GE42,h_col)/7)/(GE42-(3*MIN(GE42,h_col)/7)))^2/3))+$D42/2*((MAX(-f_yd,MIN(f_yd,200000*IF(GE42&lt;=h_col,0.0035*(GE42-d_2)/GE42,0.002*(GE42-d_2)/(GE42-3*h_col/7))))-f_cd*(1-(1-MAX(0,MIN(1,IF(GE42&lt;=h_col,0.0035*(GE42-d_2)/GE42,0.002*(GE42-d_2)/(GE42-3*h_col/7))/0.002)))^2))+(MAX(-f_yd,MIN(f_yd,200000*IF(GE42&lt;=h_col,0.0035*(GE42-(h_col-d_2))/GE42,0.002*(GE42-(h_col-d_2))/(GE42-3*h_col/7))))-f_cd*(1-(1-MAX(0,MIN(1,IF(GE42&lt;=h_col,0.0035*(GE42-(h_col-d_2))/GE42,0.002*(GE42-(h_col-d_2))/(GE42-3*h_col/7))/0.002)))^2))))/1000</f>
        <v/>
      </c>
      <c r="GG42">
        <f>IF($GF42&lt;N_Ed-1E-9*MAX(1,N_Ed),(GC42+GD42)/2,GC42)</f>
        <v/>
      </c>
      <c r="GH42">
        <f>IF($GF42&lt;N_Ed-1E-9*MAX(1,N_Ed),GD42,(GC42+GD42)/2)</f>
        <v/>
      </c>
      <c r="GI42">
        <f>h_col*((GG42+GH42)/2)/(1-(GG42+GH42)/2)</f>
        <v/>
      </c>
      <c r="GJ42">
        <f>(f_cd*b_col*((3*MIN(GI42,h_col)/7)+(4*MIN(GI42,h_col)/7)*(1-((4*MIN(GI42,h_col)/7)/(GI42-(3*MIN(GI42,h_col)/7)))^2/3))+$D42/2*((MAX(-f_yd,MIN(f_yd,200000*IF(GI42&lt;=h_col,0.0035*(GI42-d_2)/GI42,0.002*(GI42-d_2)/(GI42-3*h_col/7))))-f_cd*(1-(1-MAX(0,MIN(1,IF(GI42&lt;=h_col,0.0035*(GI42-d_2)/GI42,0.002*(GI42-d_2)/(GI42-3*h_col/7))/0.002)))^2))+(MAX(-f_yd,MIN(f_yd,200000*IF(GI42&lt;=h_col,0.0035*(GI42-(h_col-d_2))/GI42,0.002*(GI42-(h_col-d_2))/(GI42-3*h_col/7))))-f_cd*(1-(1-MAX(0,MIN(1,IF(GI42&lt;=h_col,0.0035*(GI42-(h_col-d_2))/GI42,0.002*(GI42-(h_col-d_2))/(GI42-3*h_col/7))/0.002)))^2))))/1000</f>
        <v/>
      </c>
      <c r="GK42">
        <f>IF($GJ42&lt;N_Ed-1E-9*MAX(1,N_Ed),(GG42+GH42)/2,GG42)</f>
        <v/>
      </c>
      <c r="GL42">
        <f>IF($GJ42&lt;N_Ed-1E-9*MAX(1,N_Ed),GH42,(GG42+GH42)/2)</f>
        <v/>
      </c>
      <c r="GM42">
        <f>h_col*((GK42+GL42)/2)/(1-(GK42+GL42)/2)</f>
        <v/>
      </c>
      <c r="GN42">
        <f>(f_cd*b_col*((3*MIN(GM42,h_col)/7)+(4*MIN(GM42,h_col)/7)*(1-((4*MIN(GM42,h_col)/7)/(GM42-(3*MIN(GM42,h_col)/7)))^2/3))+$D42/2*((MAX(-f_yd,MIN(f_yd,200000*IF(GM42&lt;=h_col,0.0035*(GM42-d_2)/GM42,0.002*(GM42-d_2)/(GM42-3*h_col/7))))-f_cd*(1-(1-MAX(0,MIN(1,IF(GM42&lt;=h_col,0.0035*(GM42-d_2)/GM42,0.002*(GM42-d_2)/(GM42-3*h_col/7))/0.002)))^2))+(MAX(-f_yd,MIN(f_yd,200000*IF(GM42&lt;=h_col,0.0035*(GM42-(h_col-d_2))/GM42,0.002*(GM42-(h_col-d_2))/(GM42-3*h_col/7))))-f_cd*(1-(1-MAX(0,MIN(1,IF(GM42&lt;=h_col,0.0035*(GM42-(h_col-d_2))/GM42,0.002*(GM42-(h_col-d_2))/(GM42-3*h_col/7))/0.002)))^2))))/1000</f>
        <v/>
      </c>
      <c r="GO42">
        <f>IF($GN42&lt;N_Ed-1E-9*MAX(1,N_Ed),(GK42+GL42)/2,GK42)</f>
        <v/>
      </c>
      <c r="GP42">
        <f>IF($GN42&lt;N_Ed-1E-9*MAX(1,N_Ed),GL42,(GK42+GL42)/2)</f>
        <v/>
      </c>
      <c r="GQ42">
        <f>h_col*((GO42+GP42)/2)/(1-(GO42+GP42)/2)</f>
        <v/>
      </c>
      <c r="GR42">
        <f>(f_cd*b_col*((3*MIN(GQ42,h_col)/7)+(4*MIN(GQ42,h_col)/7)*(1-((4*MIN(GQ42,h_col)/7)/(GQ42-(3*MIN(GQ42,h_col)/7)))^2/3))+$D42/2*((MAX(-f_yd,MIN(f_yd,200000*IF(GQ42&lt;=h_col,0.0035*(GQ42-d_2)/GQ42,0.002*(GQ42-d_2)/(GQ42-3*h_col/7))))-f_cd*(1-(1-MAX(0,MIN(1,IF(GQ42&lt;=h_col,0.0035*(GQ42-d_2)/GQ42,0.002*(GQ42-d_2)/(GQ42-3*h_col/7))/0.002)))^2))+(MAX(-f_yd,MIN(f_yd,200000*IF(GQ42&lt;=h_col,0.0035*(GQ42-(h_col-d_2))/GQ42,0.002*(GQ42-(h_col-d_2))/(GQ42-3*h_col/7))))-f_cd*(1-(1-MAX(0,MIN(1,IF(GQ42&lt;=h_col,0.0035*(GQ42-(h_col-d_2))/GQ42,0.002*(GQ42-(h_col-d_2))/(GQ42-3*h_col/7))/0.002)))^2))))/1000</f>
        <v/>
      </c>
      <c r="GS42">
        <f>IF($GR42&lt;N_Ed-1E-9*MAX(1,N_Ed),(GO42+GP42)/2,GO42)</f>
        <v/>
      </c>
      <c r="GT42">
        <f>IF($GR42&lt;N_Ed-1E-9*MAX(1,N_Ed),GP42,(GO42+GP42)/2)</f>
        <v/>
      </c>
      <c r="GU42">
        <f>h_col*((GS42+GT42)/2)/(1-(GS42+GT42)/2)</f>
        <v/>
      </c>
      <c r="GV42">
        <f>(f_cd*b_col*((3*MIN(GU42,h_col)/7)+(4*MIN(GU42,h_col)/7)*(1-((4*MIN(GU42,h_col)/7)/(GU42-(3*MIN(GU42,h_col)/7)))^2/3))+$D42/2*((MAX(-f_yd,MIN(f_yd,200000*IF(GU42&lt;=h_col,0.0035*(GU42-d_2)/GU42,0.002*(GU42-d_2)/(GU42-3*h_col/7))))-f_cd*(1-(1-MAX(0,MIN(1,IF(GU42&lt;=h_col,0.0035*(GU42-d_2)/GU42,0.002*(GU42-d_2)/(GU42-3*h_col/7))/0.002)))^2))+(MAX(-f_yd,MIN(f_yd,200000*IF(GU42&lt;=h_col,0.0035*(GU42-(h_col-d_2))/GU42,0.002*(GU42-(h_col-d_2))/(GU42-3*h_col/7))))-f_cd*(1-(1-MAX(0,MIN(1,IF(GU42&lt;=h_col,0.0035*(GU42-(h_col-d_2))/GU42,0.002*(GU42-(h_col-d_2))/(GU42-3*h_col/7))/0.002)))^2))))/1000</f>
        <v/>
      </c>
      <c r="GW42">
        <f>GU42</f>
        <v/>
      </c>
      <c r="GX42">
        <f>(f_cd*b_col*((3*MIN(GW42,h_col)/7)+(4*MIN(GW42,h_col)/7)*(1-((4*MIN(GW42,h_col)/7)/(GW42-(3*MIN(GW42,h_col)/7)))^2/3))+$D42/2*((MAX(-f_yd,MIN(f_yd,200000*IF(GW42&lt;=h_col,0.0035*(GW42-d_2)/GW42,0.002*(GW42-d_2)/(GW42-3*h_col/7))))-f_cd*(1-(1-MAX(0,MIN(1,IF(GW42&lt;=h_col,0.0035*(GW42-d_2)/GW42,0.002*(GW42-d_2)/(GW42-3*h_col/7))/0.002)))^2))+(MAX(-f_yd,MIN(f_yd,200000*IF(GW42&lt;=h_col,0.0035*(GW42-(h_col-d_2))/GW42,0.002*(GW42-(h_col-d_2))/(GW42-3*h_col/7))))-f_cd*(1-(1-MAX(0,MIN(1,IF(GW42&lt;=h_col,0.0035*(GW42-(h_col-d_2))/GW42,0.002*(GW42-(h_col-d_2))/(GW42-3*h_col/7))/0.002)))^2))))/1000</f>
        <v/>
      </c>
      <c r="GY42">
        <f>(f_cd*b_col*((3*MIN(GW42,h_col)/7)*(h_col/2-(3*MIN(GW42,h_col)/7)/2)+(4*MIN(GW42,h_col)/7)*((h_col/2-(3*MIN(GW42,h_col)/7))*(1-((4*MIN(GW42,h_col)/7)/(GW42-(3*MIN(GW42,h_col)/7)))^2/3)-(4*MIN(GW42,h_col)/7)*(0.5-((4*MIN(GW42,h_col)/7)/(GW42-(3*MIN(GW42,h_col)/7)))^2/4)))+$D42/2*((MAX(-f_yd,MIN(f_yd,200000*IF(GW42&lt;=h_col,0.0035*(GW42-d_2)/GW42,0.002*(GW42-d_2)/(GW42-3*h_col/7))))-f_cd*(1-(1-MAX(0,MIN(1,IF(GW42&lt;=h_col,0.0035*(GW42-d_2)/GW42,0.002*(GW42-d_2)/(GW42-3*h_col/7))/0.002)))^2))-(MAX(-f_yd,MIN(f_yd,200000*IF(GW42&lt;=h_col,0.0035*(GW42-(h_col-d_2))/GW42,0.002*(GW42-(h_col-d_2))/(GW42-3*h_col/7))))-f_cd*(1-(1-MAX(0,MIN(1,IF(GW42&lt;=h_col,0.0035*(GW42-(h_col-d_2))/GW42,0.002*(GW42-(h_col-d_2))/(GW42-3*h_col/7))/0.002)))^2)))*(h_col/2-d_2))/1E6</f>
        <v/>
      </c>
      <c r="GZ42">
        <f>GX42&gt;=N_Ed-1E-6*MAX(1,N_Ed)</f>
        <v/>
      </c>
      <c r="HA42">
        <f>IF(GZ42,GY42,-1E9)</f>
        <v/>
      </c>
    </row>
    <row r="43">
      <c r="A43" t="n">
        <v>38</v>
      </c>
      <c r="B43">
        <f>IF($HA42&gt;=M_d,$B42,$D42)</f>
        <v/>
      </c>
      <c r="C43">
        <f>IF($HA42&gt;=M_d,$D42,$C42)</f>
        <v/>
      </c>
      <c r="D43">
        <f>($B43+$C43)/2</f>
        <v/>
      </c>
      <c r="E43" t="n">
        <v>0</v>
      </c>
      <c r="F43">
        <f>1-1E-12</f>
        <v/>
      </c>
      <c r="G43">
        <f>h_col*((E43+F43)/2)/(1-(E43+F43)/2)</f>
        <v/>
      </c>
      <c r="H43">
        <f>(f_cd*b_col*((3*MIN(G43,h_col)/7)+(4*MIN(G43,h_col)/7)*(1-((4*MIN(G43,h_col)/7)/(G43-(3*MIN(G43,h_col)/7)))^2/3))+$D43/2*((MAX(-f_yd,MIN(f_yd,200000*IF(G43&lt;=h_col,0.0035*(G43-d_2)/G43,0.002*(G43-d_2)/(G43-3*h_col/7))))-f_cd*(1-(1-MAX(0,MIN(1,IF(G43&lt;=h_col,0.0035*(G43-d_2)/G43,0.002*(G43-d_2)/(G43-3*h_col/7))/0.002)))^2))+(MAX(-f_yd,MIN(f_yd,200000*IF(G43&lt;=h_col,0.0035*(G43-(h_col-d_2))/G43,0.002*(G43-(h_col-d_2))/(G43-3*h_col/7))))-f_cd*(1-(1-MAX(0,MIN(1,IF(G43&lt;=h_col,0.0035*(G43-(h_col-d_2))/G43,0.002*(G43-(h_col-d_2))/(G43-3*h_col/7))/0.002)))^2))))/1000</f>
        <v/>
      </c>
      <c r="I43">
        <f>IF($H43&lt;N_Ed-1E-9*MAX(1,N_Ed),(E43+F43)/2,E43)</f>
        <v/>
      </c>
      <c r="J43">
        <f>IF($H43&lt;N_Ed-1E-9*MAX(1,N_Ed),F43,(E43+F43)/2)</f>
        <v/>
      </c>
      <c r="K43">
        <f>h_col*((I43+J43)/2)/(1-(I43+J43)/2)</f>
        <v/>
      </c>
      <c r="L43">
        <f>(f_cd*b_col*((3*MIN(K43,h_col)/7)+(4*MIN(K43,h_col)/7)*(1-((4*MIN(K43,h_col)/7)/(K43-(3*MIN(K43,h_col)/7)))^2/3))+$D43/2*((MAX(-f_yd,MIN(f_yd,200000*IF(K43&lt;=h_col,0.0035*(K43-d_2)/K43,0.002*(K43-d_2)/(K43-3*h_col/7))))-f_cd*(1-(1-MAX(0,MIN(1,IF(K43&lt;=h_col,0.0035*(K43-d_2)/K43,0.002*(K43-d_2)/(K43-3*h_col/7))/0.002)))^2))+(MAX(-f_yd,MIN(f_yd,200000*IF(K43&lt;=h_col,0.0035*(K43-(h_col-d_2))/K43,0.002*(K43-(h_col-d_2))/(K43-3*h_col/7))))-f_cd*(1-(1-MAX(0,MIN(1,IF(K43&lt;=h_col,0.0035*(K43-(h_col-d_2))/K43,0.002*(K43-(h_col-d_2))/(K43-3*h_col/7))/0.002)))^2))))/1000</f>
        <v/>
      </c>
      <c r="M43">
        <f>IF($L43&lt;N_Ed-1E-9*MAX(1,N_Ed),(I43+J43)/2,I43)</f>
        <v/>
      </c>
      <c r="N43">
        <f>IF($L43&lt;N_Ed-1E-9*MAX(1,N_Ed),J43,(I43+J43)/2)</f>
        <v/>
      </c>
      <c r="O43">
        <f>h_col*((M43+N43)/2)/(1-(M43+N43)/2)</f>
        <v/>
      </c>
      <c r="P43">
        <f>(f_cd*b_col*((3*MIN(O43,h_col)/7)+(4*MIN(O43,h_col)/7)*(1-((4*MIN(O43,h_col)/7)/(O43-(3*MIN(O43,h_col)/7)))^2/3))+$D43/2*((MAX(-f_yd,MIN(f_yd,200000*IF(O43&lt;=h_col,0.0035*(O43-d_2)/O43,0.002*(O43-d_2)/(O43-3*h_col/7))))-f_cd*(1-(1-MAX(0,MIN(1,IF(O43&lt;=h_col,0.0035*(O43-d_2)/O43,0.002*(O43-d_2)/(O43-3*h_col/7))/0.002)))^2))+(MAX(-f_yd,MIN(f_yd,200000*IF(O43&lt;=h_col,0.0035*(O43-(h_col-d_2))/O43,0.002*(O43-(h_col-d_2))/(O43-3*h_col/7))))-f_cd*(1-(1-MAX(0,MIN(1,IF(O43&lt;=h_col,0.0035*(O43-(h_col-d_2))/O43,0.002*(O43-(h_col-d_2))/(O43-3*h_col/7))/0.002)))^2))))/1000</f>
        <v/>
      </c>
      <c r="Q43">
        <f>IF($P43&lt;N_Ed-1E-9*MAX(1,N_Ed),(M43+N43)/2,M43)</f>
        <v/>
      </c>
      <c r="R43">
        <f>IF($P43&lt;N_Ed-1E-9*MAX(1,N_Ed),N43,(M43+N43)/2)</f>
        <v/>
      </c>
      <c r="S43">
        <f>h_col*((Q43+R43)/2)/(1-(Q43+R43)/2)</f>
        <v/>
      </c>
      <c r="T43">
        <f>(f_cd*b_col*((3*MIN(S43,h_col)/7)+(4*MIN(S43,h_col)/7)*(1-((4*MIN(S43,h_col)/7)/(S43-(3*MIN(S43,h_col)/7)))^2/3))+$D43/2*((MAX(-f_yd,MIN(f_yd,200000*IF(S43&lt;=h_col,0.0035*(S43-d_2)/S43,0.002*(S43-d_2)/(S43-3*h_col/7))))-f_cd*(1-(1-MAX(0,MIN(1,IF(S43&lt;=h_col,0.0035*(S43-d_2)/S43,0.002*(S43-d_2)/(S43-3*h_col/7))/0.002)))^2))+(MAX(-f_yd,MIN(f_yd,200000*IF(S43&lt;=h_col,0.0035*(S43-(h_col-d_2))/S43,0.002*(S43-(h_col-d_2))/(S43-3*h_col/7))))-f_cd*(1-(1-MAX(0,MIN(1,IF(S43&lt;=h_col,0.0035*(S43-(h_col-d_2))/S43,0.002*(S43-(h_col-d_2))/(S43-3*h_col/7))/0.002)))^2))))/1000</f>
        <v/>
      </c>
      <c r="U43">
        <f>IF($T43&lt;N_Ed-1E-9*MAX(1,N_Ed),(Q43+R43)/2,Q43)</f>
        <v/>
      </c>
      <c r="V43">
        <f>IF($T43&lt;N_Ed-1E-9*MAX(1,N_Ed),R43,(Q43+R43)/2)</f>
        <v/>
      </c>
      <c r="W43">
        <f>h_col*((U43+V43)/2)/(1-(U43+V43)/2)</f>
        <v/>
      </c>
      <c r="X43">
        <f>(f_cd*b_col*((3*MIN(W43,h_col)/7)+(4*MIN(W43,h_col)/7)*(1-((4*MIN(W43,h_col)/7)/(W43-(3*MIN(W43,h_col)/7)))^2/3))+$D43/2*((MAX(-f_yd,MIN(f_yd,200000*IF(W43&lt;=h_col,0.0035*(W43-d_2)/W43,0.002*(W43-d_2)/(W43-3*h_col/7))))-f_cd*(1-(1-MAX(0,MIN(1,IF(W43&lt;=h_col,0.0035*(W43-d_2)/W43,0.002*(W43-d_2)/(W43-3*h_col/7))/0.002)))^2))+(MAX(-f_yd,MIN(f_yd,200000*IF(W43&lt;=h_col,0.0035*(W43-(h_col-d_2))/W43,0.002*(W43-(h_col-d_2))/(W43-3*h_col/7))))-f_cd*(1-(1-MAX(0,MIN(1,IF(W43&lt;=h_col,0.0035*(W43-(h_col-d_2))/W43,0.002*(W43-(h_col-d_2))/(W43-3*h_col/7))/0.002)))^2))))/1000</f>
        <v/>
      </c>
      <c r="Y43">
        <f>IF($X43&lt;N_Ed-1E-9*MAX(1,N_Ed),(U43+V43)/2,U43)</f>
        <v/>
      </c>
      <c r="Z43">
        <f>IF($X43&lt;N_Ed-1E-9*MAX(1,N_Ed),V43,(U43+V43)/2)</f>
        <v/>
      </c>
      <c r="AA43">
        <f>h_col*((Y43+Z43)/2)/(1-(Y43+Z43)/2)</f>
        <v/>
      </c>
      <c r="AB43">
        <f>(f_cd*b_col*((3*MIN(AA43,h_col)/7)+(4*MIN(AA43,h_col)/7)*(1-((4*MIN(AA43,h_col)/7)/(AA43-(3*MIN(AA43,h_col)/7)))^2/3))+$D43/2*((MAX(-f_yd,MIN(f_yd,200000*IF(AA43&lt;=h_col,0.0035*(AA43-d_2)/AA43,0.002*(AA43-d_2)/(AA43-3*h_col/7))))-f_cd*(1-(1-MAX(0,MIN(1,IF(AA43&lt;=h_col,0.0035*(AA43-d_2)/AA43,0.002*(AA43-d_2)/(AA43-3*h_col/7))/0.002)))^2))+(MAX(-f_yd,MIN(f_yd,200000*IF(AA43&lt;=h_col,0.0035*(AA43-(h_col-d_2))/AA43,0.002*(AA43-(h_col-d_2))/(AA43-3*h_col/7))))-f_cd*(1-(1-MAX(0,MIN(1,IF(AA43&lt;=h_col,0.0035*(AA43-(h_col-d_2))/AA43,0.002*(AA43-(h_col-d_2))/(AA43-3*h_col/7))/0.002)))^2))))/1000</f>
        <v/>
      </c>
      <c r="AC43">
        <f>IF($AB43&lt;N_Ed-1E-9*MAX(1,N_Ed),(Y43+Z43)/2,Y43)</f>
        <v/>
      </c>
      <c r="AD43">
        <f>IF($AB43&lt;N_Ed-1E-9*MAX(1,N_Ed),Z43,(Y43+Z43)/2)</f>
        <v/>
      </c>
      <c r="AE43">
        <f>h_col*((AC43+AD43)/2)/(1-(AC43+AD43)/2)</f>
        <v/>
      </c>
      <c r="AF43">
        <f>(f_cd*b_col*((3*MIN(AE43,h_col)/7)+(4*MIN(AE43,h_col)/7)*(1-((4*MIN(AE43,h_col)/7)/(AE43-(3*MIN(AE43,h_col)/7)))^2/3))+$D43/2*((MAX(-f_yd,MIN(f_yd,200000*IF(AE43&lt;=h_col,0.0035*(AE43-d_2)/AE43,0.002*(AE43-d_2)/(AE43-3*h_col/7))))-f_cd*(1-(1-MAX(0,MIN(1,IF(AE43&lt;=h_col,0.0035*(AE43-d_2)/AE43,0.002*(AE43-d_2)/(AE43-3*h_col/7))/0.002)))^2))+(MAX(-f_yd,MIN(f_yd,200000*IF(AE43&lt;=h_col,0.0035*(AE43-(h_col-d_2))/AE43,0.002*(AE43-(h_col-d_2))/(AE43-3*h_col/7))))-f_cd*(1-(1-MAX(0,MIN(1,IF(AE43&lt;=h_col,0.0035*(AE43-(h_col-d_2))/AE43,0.002*(AE43-(h_col-d_2))/(AE43-3*h_col/7))/0.002)))^2))))/1000</f>
        <v/>
      </c>
      <c r="AG43">
        <f>IF($AF43&lt;N_Ed-1E-9*MAX(1,N_Ed),(AC43+AD43)/2,AC43)</f>
        <v/>
      </c>
      <c r="AH43">
        <f>IF($AF43&lt;N_Ed-1E-9*MAX(1,N_Ed),AD43,(AC43+AD43)/2)</f>
        <v/>
      </c>
      <c r="AI43">
        <f>h_col*((AG43+AH43)/2)/(1-(AG43+AH43)/2)</f>
        <v/>
      </c>
      <c r="AJ43">
        <f>(f_cd*b_col*((3*MIN(AI43,h_col)/7)+(4*MIN(AI43,h_col)/7)*(1-((4*MIN(AI43,h_col)/7)/(AI43-(3*MIN(AI43,h_col)/7)))^2/3))+$D43/2*((MAX(-f_yd,MIN(f_yd,200000*IF(AI43&lt;=h_col,0.0035*(AI43-d_2)/AI43,0.002*(AI43-d_2)/(AI43-3*h_col/7))))-f_cd*(1-(1-MAX(0,MIN(1,IF(AI43&lt;=h_col,0.0035*(AI43-d_2)/AI43,0.002*(AI43-d_2)/(AI43-3*h_col/7))/0.002)))^2))+(MAX(-f_yd,MIN(f_yd,200000*IF(AI43&lt;=h_col,0.0035*(AI43-(h_col-d_2))/AI43,0.002*(AI43-(h_col-d_2))/(AI43-3*h_col/7))))-f_cd*(1-(1-MAX(0,MIN(1,IF(AI43&lt;=h_col,0.0035*(AI43-(h_col-d_2))/AI43,0.002*(AI43-(h_col-d_2))/(AI43-3*h_col/7))/0.002)))^2))))/1000</f>
        <v/>
      </c>
      <c r="AK43">
        <f>IF($AJ43&lt;N_Ed-1E-9*MAX(1,N_Ed),(AG43+AH43)/2,AG43)</f>
        <v/>
      </c>
      <c r="AL43">
        <f>IF($AJ43&lt;N_Ed-1E-9*MAX(1,N_Ed),AH43,(AG43+AH43)/2)</f>
        <v/>
      </c>
      <c r="AM43">
        <f>h_col*((AK43+AL43)/2)/(1-(AK43+AL43)/2)</f>
        <v/>
      </c>
      <c r="AN43">
        <f>(f_cd*b_col*((3*MIN(AM43,h_col)/7)+(4*MIN(AM43,h_col)/7)*(1-((4*MIN(AM43,h_col)/7)/(AM43-(3*MIN(AM43,h_col)/7)))^2/3))+$D43/2*((MAX(-f_yd,MIN(f_yd,200000*IF(AM43&lt;=h_col,0.0035*(AM43-d_2)/AM43,0.002*(AM43-d_2)/(AM43-3*h_col/7))))-f_cd*(1-(1-MAX(0,MIN(1,IF(AM43&lt;=h_col,0.0035*(AM43-d_2)/AM43,0.002*(AM43-d_2)/(AM43-3*h_col/7))/0.002)))^2))+(MAX(-f_yd,MIN(f_yd,200000*IF(AM43&lt;=h_col,0.0035*(AM43-(h_col-d_2))/AM43,0.002*(AM43-(h_col-d_2))/(AM43-3*h_col/7))))-f_cd*(1-(1-MAX(0,MIN(1,IF(AM43&lt;=h_col,0.0035*(AM43-(h_col-d_2))/AM43,0.002*(AM43-(h_col-d_2))/(AM43-3*h_col/7))/0.002)))^2))))/1000</f>
        <v/>
      </c>
      <c r="AO43">
        <f>IF($AN43&lt;N_Ed-1E-9*MAX(1,N_Ed),(AK43+AL43)/2,AK43)</f>
        <v/>
      </c>
      <c r="AP43">
        <f>IF($AN43&lt;N_Ed-1E-9*MAX(1,N_Ed),AL43,(AK43+AL43)/2)</f>
        <v/>
      </c>
      <c r="AQ43">
        <f>h_col*((AO43+AP43)/2)/(1-(AO43+AP43)/2)</f>
        <v/>
      </c>
      <c r="AR43">
        <f>(f_cd*b_col*((3*MIN(AQ43,h_col)/7)+(4*MIN(AQ43,h_col)/7)*(1-((4*MIN(AQ43,h_col)/7)/(AQ43-(3*MIN(AQ43,h_col)/7)))^2/3))+$D43/2*((MAX(-f_yd,MIN(f_yd,200000*IF(AQ43&lt;=h_col,0.0035*(AQ43-d_2)/AQ43,0.002*(AQ43-d_2)/(AQ43-3*h_col/7))))-f_cd*(1-(1-MAX(0,MIN(1,IF(AQ43&lt;=h_col,0.0035*(AQ43-d_2)/AQ43,0.002*(AQ43-d_2)/(AQ43-3*h_col/7))/0.002)))^2))+(MAX(-f_yd,MIN(f_yd,200000*IF(AQ43&lt;=h_col,0.0035*(AQ43-(h_col-d_2))/AQ43,0.002*(AQ43-(h_col-d_2))/(AQ43-3*h_col/7))))-f_cd*(1-(1-MAX(0,MIN(1,IF(AQ43&lt;=h_col,0.0035*(AQ43-(h_col-d_2))/AQ43,0.002*(AQ43-(h_col-d_2))/(AQ43-3*h_col/7))/0.002)))^2))))/1000</f>
        <v/>
      </c>
      <c r="AS43">
        <f>IF($AR43&lt;N_Ed-1E-9*MAX(1,N_Ed),(AO43+AP43)/2,AO43)</f>
        <v/>
      </c>
      <c r="AT43">
        <f>IF($AR43&lt;N_Ed-1E-9*MAX(1,N_Ed),AP43,(AO43+AP43)/2)</f>
        <v/>
      </c>
      <c r="AU43">
        <f>h_col*((AS43+AT43)/2)/(1-(AS43+AT43)/2)</f>
        <v/>
      </c>
      <c r="AV43">
        <f>(f_cd*b_col*((3*MIN(AU43,h_col)/7)+(4*MIN(AU43,h_col)/7)*(1-((4*MIN(AU43,h_col)/7)/(AU43-(3*MIN(AU43,h_col)/7)))^2/3))+$D43/2*((MAX(-f_yd,MIN(f_yd,200000*IF(AU43&lt;=h_col,0.0035*(AU43-d_2)/AU43,0.002*(AU43-d_2)/(AU43-3*h_col/7))))-f_cd*(1-(1-MAX(0,MIN(1,IF(AU43&lt;=h_col,0.0035*(AU43-d_2)/AU43,0.002*(AU43-d_2)/(AU43-3*h_col/7))/0.002)))^2))+(MAX(-f_yd,MIN(f_yd,200000*IF(AU43&lt;=h_col,0.0035*(AU43-(h_col-d_2))/AU43,0.002*(AU43-(h_col-d_2))/(AU43-3*h_col/7))))-f_cd*(1-(1-MAX(0,MIN(1,IF(AU43&lt;=h_col,0.0035*(AU43-(h_col-d_2))/AU43,0.002*(AU43-(h_col-d_2))/(AU43-3*h_col/7))/0.002)))^2))))/1000</f>
        <v/>
      </c>
      <c r="AW43">
        <f>IF($AV43&lt;N_Ed-1E-9*MAX(1,N_Ed),(AS43+AT43)/2,AS43)</f>
        <v/>
      </c>
      <c r="AX43">
        <f>IF($AV43&lt;N_Ed-1E-9*MAX(1,N_Ed),AT43,(AS43+AT43)/2)</f>
        <v/>
      </c>
      <c r="AY43">
        <f>h_col*((AW43+AX43)/2)/(1-(AW43+AX43)/2)</f>
        <v/>
      </c>
      <c r="AZ43">
        <f>(f_cd*b_col*((3*MIN(AY43,h_col)/7)+(4*MIN(AY43,h_col)/7)*(1-((4*MIN(AY43,h_col)/7)/(AY43-(3*MIN(AY43,h_col)/7)))^2/3))+$D43/2*((MAX(-f_yd,MIN(f_yd,200000*IF(AY43&lt;=h_col,0.0035*(AY43-d_2)/AY43,0.002*(AY43-d_2)/(AY43-3*h_col/7))))-f_cd*(1-(1-MAX(0,MIN(1,IF(AY43&lt;=h_col,0.0035*(AY43-d_2)/AY43,0.002*(AY43-d_2)/(AY43-3*h_col/7))/0.002)))^2))+(MAX(-f_yd,MIN(f_yd,200000*IF(AY43&lt;=h_col,0.0035*(AY43-(h_col-d_2))/AY43,0.002*(AY43-(h_col-d_2))/(AY43-3*h_col/7))))-f_cd*(1-(1-MAX(0,MIN(1,IF(AY43&lt;=h_col,0.0035*(AY43-(h_col-d_2))/AY43,0.002*(AY43-(h_col-d_2))/(AY43-3*h_col/7))/0.002)))^2))))/1000</f>
        <v/>
      </c>
      <c r="BA43">
        <f>IF($AZ43&lt;N_Ed-1E-9*MAX(1,N_Ed),(AW43+AX43)/2,AW43)</f>
        <v/>
      </c>
      <c r="BB43">
        <f>IF($AZ43&lt;N_Ed-1E-9*MAX(1,N_Ed),AX43,(AW43+AX43)/2)</f>
        <v/>
      </c>
      <c r="BC43">
        <f>h_col*((BA43+BB43)/2)/(1-(BA43+BB43)/2)</f>
        <v/>
      </c>
      <c r="BD43">
        <f>(f_cd*b_col*((3*MIN(BC43,h_col)/7)+(4*MIN(BC43,h_col)/7)*(1-((4*MIN(BC43,h_col)/7)/(BC43-(3*MIN(BC43,h_col)/7)))^2/3))+$D43/2*((MAX(-f_yd,MIN(f_yd,200000*IF(BC43&lt;=h_col,0.0035*(BC43-d_2)/BC43,0.002*(BC43-d_2)/(BC43-3*h_col/7))))-f_cd*(1-(1-MAX(0,MIN(1,IF(BC43&lt;=h_col,0.0035*(BC43-d_2)/BC43,0.002*(BC43-d_2)/(BC43-3*h_col/7))/0.002)))^2))+(MAX(-f_yd,MIN(f_yd,200000*IF(BC43&lt;=h_col,0.0035*(BC43-(h_col-d_2))/BC43,0.002*(BC43-(h_col-d_2))/(BC43-3*h_col/7))))-f_cd*(1-(1-MAX(0,MIN(1,IF(BC43&lt;=h_col,0.0035*(BC43-(h_col-d_2))/BC43,0.002*(BC43-(h_col-d_2))/(BC43-3*h_col/7))/0.002)))^2))))/1000</f>
        <v/>
      </c>
      <c r="BE43">
        <f>IF($BD43&lt;N_Ed-1E-9*MAX(1,N_Ed),(BA43+BB43)/2,BA43)</f>
        <v/>
      </c>
      <c r="BF43">
        <f>IF($BD43&lt;N_Ed-1E-9*MAX(1,N_Ed),BB43,(BA43+BB43)/2)</f>
        <v/>
      </c>
      <c r="BG43">
        <f>h_col*((BE43+BF43)/2)/(1-(BE43+BF43)/2)</f>
        <v/>
      </c>
      <c r="BH43">
        <f>(f_cd*b_col*((3*MIN(BG43,h_col)/7)+(4*MIN(BG43,h_col)/7)*(1-((4*MIN(BG43,h_col)/7)/(BG43-(3*MIN(BG43,h_col)/7)))^2/3))+$D43/2*((MAX(-f_yd,MIN(f_yd,200000*IF(BG43&lt;=h_col,0.0035*(BG43-d_2)/BG43,0.002*(BG43-d_2)/(BG43-3*h_col/7))))-f_cd*(1-(1-MAX(0,MIN(1,IF(BG43&lt;=h_col,0.0035*(BG43-d_2)/BG43,0.002*(BG43-d_2)/(BG43-3*h_col/7))/0.002)))^2))+(MAX(-f_yd,MIN(f_yd,200000*IF(BG43&lt;=h_col,0.0035*(BG43-(h_col-d_2))/BG43,0.002*(BG43-(h_col-d_2))/(BG43-3*h_col/7))))-f_cd*(1-(1-MAX(0,MIN(1,IF(BG43&lt;=h_col,0.0035*(BG43-(h_col-d_2))/BG43,0.002*(BG43-(h_col-d_2))/(BG43-3*h_col/7))/0.002)))^2))))/1000</f>
        <v/>
      </c>
      <c r="BI43">
        <f>IF($BH43&lt;N_Ed-1E-9*MAX(1,N_Ed),(BE43+BF43)/2,BE43)</f>
        <v/>
      </c>
      <c r="BJ43">
        <f>IF($BH43&lt;N_Ed-1E-9*MAX(1,N_Ed),BF43,(BE43+BF43)/2)</f>
        <v/>
      </c>
      <c r="BK43">
        <f>h_col*((BI43+BJ43)/2)/(1-(BI43+BJ43)/2)</f>
        <v/>
      </c>
      <c r="BL43">
        <f>(f_cd*b_col*((3*MIN(BK43,h_col)/7)+(4*MIN(BK43,h_col)/7)*(1-((4*MIN(BK43,h_col)/7)/(BK43-(3*MIN(BK43,h_col)/7)))^2/3))+$D43/2*((MAX(-f_yd,MIN(f_yd,200000*IF(BK43&lt;=h_col,0.0035*(BK43-d_2)/BK43,0.002*(BK43-d_2)/(BK43-3*h_col/7))))-f_cd*(1-(1-MAX(0,MIN(1,IF(BK43&lt;=h_col,0.0035*(BK43-d_2)/BK43,0.002*(BK43-d_2)/(BK43-3*h_col/7))/0.002)))^2))+(MAX(-f_yd,MIN(f_yd,200000*IF(BK43&lt;=h_col,0.0035*(BK43-(h_col-d_2))/BK43,0.002*(BK43-(h_col-d_2))/(BK43-3*h_col/7))))-f_cd*(1-(1-MAX(0,MIN(1,IF(BK43&lt;=h_col,0.0035*(BK43-(h_col-d_2))/BK43,0.002*(BK43-(h_col-d_2))/(BK43-3*h_col/7))/0.002)))^2))))/1000</f>
        <v/>
      </c>
      <c r="BM43">
        <f>IF($BL43&lt;N_Ed-1E-9*MAX(1,N_Ed),(BI43+BJ43)/2,BI43)</f>
        <v/>
      </c>
      <c r="BN43">
        <f>IF($BL43&lt;N_Ed-1E-9*MAX(1,N_Ed),BJ43,(BI43+BJ43)/2)</f>
        <v/>
      </c>
      <c r="BO43">
        <f>h_col*((BM43+BN43)/2)/(1-(BM43+BN43)/2)</f>
        <v/>
      </c>
      <c r="BP43">
        <f>(f_cd*b_col*((3*MIN(BO43,h_col)/7)+(4*MIN(BO43,h_col)/7)*(1-((4*MIN(BO43,h_col)/7)/(BO43-(3*MIN(BO43,h_col)/7)))^2/3))+$D43/2*((MAX(-f_yd,MIN(f_yd,200000*IF(BO43&lt;=h_col,0.0035*(BO43-d_2)/BO43,0.002*(BO43-d_2)/(BO43-3*h_col/7))))-f_cd*(1-(1-MAX(0,MIN(1,IF(BO43&lt;=h_col,0.0035*(BO43-d_2)/BO43,0.002*(BO43-d_2)/(BO43-3*h_col/7))/0.002)))^2))+(MAX(-f_yd,MIN(f_yd,200000*IF(BO43&lt;=h_col,0.0035*(BO43-(h_col-d_2))/BO43,0.002*(BO43-(h_col-d_2))/(BO43-3*h_col/7))))-f_cd*(1-(1-MAX(0,MIN(1,IF(BO43&lt;=h_col,0.0035*(BO43-(h_col-d_2))/BO43,0.002*(BO43-(h_col-d_2))/(BO43-3*h_col/7))/0.002)))^2))))/1000</f>
        <v/>
      </c>
      <c r="BQ43">
        <f>IF($BP43&lt;N_Ed-1E-9*MAX(1,N_Ed),(BM43+BN43)/2,BM43)</f>
        <v/>
      </c>
      <c r="BR43">
        <f>IF($BP43&lt;N_Ed-1E-9*MAX(1,N_Ed),BN43,(BM43+BN43)/2)</f>
        <v/>
      </c>
      <c r="BS43">
        <f>h_col*((BQ43+BR43)/2)/(1-(BQ43+BR43)/2)</f>
        <v/>
      </c>
      <c r="BT43">
        <f>(f_cd*b_col*((3*MIN(BS43,h_col)/7)+(4*MIN(BS43,h_col)/7)*(1-((4*MIN(BS43,h_col)/7)/(BS43-(3*MIN(BS43,h_col)/7)))^2/3))+$D43/2*((MAX(-f_yd,MIN(f_yd,200000*IF(BS43&lt;=h_col,0.0035*(BS43-d_2)/BS43,0.002*(BS43-d_2)/(BS43-3*h_col/7))))-f_cd*(1-(1-MAX(0,MIN(1,IF(BS43&lt;=h_col,0.0035*(BS43-d_2)/BS43,0.002*(BS43-d_2)/(BS43-3*h_col/7))/0.002)))^2))+(MAX(-f_yd,MIN(f_yd,200000*IF(BS43&lt;=h_col,0.0035*(BS43-(h_col-d_2))/BS43,0.002*(BS43-(h_col-d_2))/(BS43-3*h_col/7))))-f_cd*(1-(1-MAX(0,MIN(1,IF(BS43&lt;=h_col,0.0035*(BS43-(h_col-d_2))/BS43,0.002*(BS43-(h_col-d_2))/(BS43-3*h_col/7))/0.002)))^2))))/1000</f>
        <v/>
      </c>
      <c r="BU43">
        <f>IF($BT43&lt;N_Ed-1E-9*MAX(1,N_Ed),(BQ43+BR43)/2,BQ43)</f>
        <v/>
      </c>
      <c r="BV43">
        <f>IF($BT43&lt;N_Ed-1E-9*MAX(1,N_Ed),BR43,(BQ43+BR43)/2)</f>
        <v/>
      </c>
      <c r="BW43">
        <f>h_col*((BU43+BV43)/2)/(1-(BU43+BV43)/2)</f>
        <v/>
      </c>
      <c r="BX43">
        <f>(f_cd*b_col*((3*MIN(BW43,h_col)/7)+(4*MIN(BW43,h_col)/7)*(1-((4*MIN(BW43,h_col)/7)/(BW43-(3*MIN(BW43,h_col)/7)))^2/3))+$D43/2*((MAX(-f_yd,MIN(f_yd,200000*IF(BW43&lt;=h_col,0.0035*(BW43-d_2)/BW43,0.002*(BW43-d_2)/(BW43-3*h_col/7))))-f_cd*(1-(1-MAX(0,MIN(1,IF(BW43&lt;=h_col,0.0035*(BW43-d_2)/BW43,0.002*(BW43-d_2)/(BW43-3*h_col/7))/0.002)))^2))+(MAX(-f_yd,MIN(f_yd,200000*IF(BW43&lt;=h_col,0.0035*(BW43-(h_col-d_2))/BW43,0.002*(BW43-(h_col-d_2))/(BW43-3*h_col/7))))-f_cd*(1-(1-MAX(0,MIN(1,IF(BW43&lt;=h_col,0.0035*(BW43-(h_col-d_2))/BW43,0.002*(BW43-(h_col-d_2))/(BW43-3*h_col/7))/0.002)))^2))))/1000</f>
        <v/>
      </c>
      <c r="BY43">
        <f>IF($BX43&lt;N_Ed-1E-9*MAX(1,N_Ed),(BU43+BV43)/2,BU43)</f>
        <v/>
      </c>
      <c r="BZ43">
        <f>IF($BX43&lt;N_Ed-1E-9*MAX(1,N_Ed),BV43,(BU43+BV43)/2)</f>
        <v/>
      </c>
      <c r="CA43">
        <f>h_col*((BY43+BZ43)/2)/(1-(BY43+BZ43)/2)</f>
        <v/>
      </c>
      <c r="CB43">
        <f>(f_cd*b_col*((3*MIN(CA43,h_col)/7)+(4*MIN(CA43,h_col)/7)*(1-((4*MIN(CA43,h_col)/7)/(CA43-(3*MIN(CA43,h_col)/7)))^2/3))+$D43/2*((MAX(-f_yd,MIN(f_yd,200000*IF(CA43&lt;=h_col,0.0035*(CA43-d_2)/CA43,0.002*(CA43-d_2)/(CA43-3*h_col/7))))-f_cd*(1-(1-MAX(0,MIN(1,IF(CA43&lt;=h_col,0.0035*(CA43-d_2)/CA43,0.002*(CA43-d_2)/(CA43-3*h_col/7))/0.002)))^2))+(MAX(-f_yd,MIN(f_yd,200000*IF(CA43&lt;=h_col,0.0035*(CA43-(h_col-d_2))/CA43,0.002*(CA43-(h_col-d_2))/(CA43-3*h_col/7))))-f_cd*(1-(1-MAX(0,MIN(1,IF(CA43&lt;=h_col,0.0035*(CA43-(h_col-d_2))/CA43,0.002*(CA43-(h_col-d_2))/(CA43-3*h_col/7))/0.002)))^2))))/1000</f>
        <v/>
      </c>
      <c r="CC43">
        <f>IF($CB43&lt;N_Ed-1E-9*MAX(1,N_Ed),(BY43+BZ43)/2,BY43)</f>
        <v/>
      </c>
      <c r="CD43">
        <f>IF($CB43&lt;N_Ed-1E-9*MAX(1,N_Ed),BZ43,(BY43+BZ43)/2)</f>
        <v/>
      </c>
      <c r="CE43">
        <f>h_col*((CC43+CD43)/2)/(1-(CC43+CD43)/2)</f>
        <v/>
      </c>
      <c r="CF43">
        <f>(f_cd*b_col*((3*MIN(CE43,h_col)/7)+(4*MIN(CE43,h_col)/7)*(1-((4*MIN(CE43,h_col)/7)/(CE43-(3*MIN(CE43,h_col)/7)))^2/3))+$D43/2*((MAX(-f_yd,MIN(f_yd,200000*IF(CE43&lt;=h_col,0.0035*(CE43-d_2)/CE43,0.002*(CE43-d_2)/(CE43-3*h_col/7))))-f_cd*(1-(1-MAX(0,MIN(1,IF(CE43&lt;=h_col,0.0035*(CE43-d_2)/CE43,0.002*(CE43-d_2)/(CE43-3*h_col/7))/0.002)))^2))+(MAX(-f_yd,MIN(f_yd,200000*IF(CE43&lt;=h_col,0.0035*(CE43-(h_col-d_2))/CE43,0.002*(CE43-(h_col-d_2))/(CE43-3*h_col/7))))-f_cd*(1-(1-MAX(0,MIN(1,IF(CE43&lt;=h_col,0.0035*(CE43-(h_col-d_2))/CE43,0.002*(CE43-(h_col-d_2))/(CE43-3*h_col/7))/0.002)))^2))))/1000</f>
        <v/>
      </c>
      <c r="CG43">
        <f>IF($CF43&lt;N_Ed-1E-9*MAX(1,N_Ed),(CC43+CD43)/2,CC43)</f>
        <v/>
      </c>
      <c r="CH43">
        <f>IF($CF43&lt;N_Ed-1E-9*MAX(1,N_Ed),CD43,(CC43+CD43)/2)</f>
        <v/>
      </c>
      <c r="CI43">
        <f>h_col*((CG43+CH43)/2)/(1-(CG43+CH43)/2)</f>
        <v/>
      </c>
      <c r="CJ43">
        <f>(f_cd*b_col*((3*MIN(CI43,h_col)/7)+(4*MIN(CI43,h_col)/7)*(1-((4*MIN(CI43,h_col)/7)/(CI43-(3*MIN(CI43,h_col)/7)))^2/3))+$D43/2*((MAX(-f_yd,MIN(f_yd,200000*IF(CI43&lt;=h_col,0.0035*(CI43-d_2)/CI43,0.002*(CI43-d_2)/(CI43-3*h_col/7))))-f_cd*(1-(1-MAX(0,MIN(1,IF(CI43&lt;=h_col,0.0035*(CI43-d_2)/CI43,0.002*(CI43-d_2)/(CI43-3*h_col/7))/0.002)))^2))+(MAX(-f_yd,MIN(f_yd,200000*IF(CI43&lt;=h_col,0.0035*(CI43-(h_col-d_2))/CI43,0.002*(CI43-(h_col-d_2))/(CI43-3*h_col/7))))-f_cd*(1-(1-MAX(0,MIN(1,IF(CI43&lt;=h_col,0.0035*(CI43-(h_col-d_2))/CI43,0.002*(CI43-(h_col-d_2))/(CI43-3*h_col/7))/0.002)))^2))))/1000</f>
        <v/>
      </c>
      <c r="CK43">
        <f>IF($CJ43&lt;N_Ed-1E-9*MAX(1,N_Ed),(CG43+CH43)/2,CG43)</f>
        <v/>
      </c>
      <c r="CL43">
        <f>IF($CJ43&lt;N_Ed-1E-9*MAX(1,N_Ed),CH43,(CG43+CH43)/2)</f>
        <v/>
      </c>
      <c r="CM43">
        <f>h_col*((CK43+CL43)/2)/(1-(CK43+CL43)/2)</f>
        <v/>
      </c>
      <c r="CN43">
        <f>(f_cd*b_col*((3*MIN(CM43,h_col)/7)+(4*MIN(CM43,h_col)/7)*(1-((4*MIN(CM43,h_col)/7)/(CM43-(3*MIN(CM43,h_col)/7)))^2/3))+$D43/2*((MAX(-f_yd,MIN(f_yd,200000*IF(CM43&lt;=h_col,0.0035*(CM43-d_2)/CM43,0.002*(CM43-d_2)/(CM43-3*h_col/7))))-f_cd*(1-(1-MAX(0,MIN(1,IF(CM43&lt;=h_col,0.0035*(CM43-d_2)/CM43,0.002*(CM43-d_2)/(CM43-3*h_col/7))/0.002)))^2))+(MAX(-f_yd,MIN(f_yd,200000*IF(CM43&lt;=h_col,0.0035*(CM43-(h_col-d_2))/CM43,0.002*(CM43-(h_col-d_2))/(CM43-3*h_col/7))))-f_cd*(1-(1-MAX(0,MIN(1,IF(CM43&lt;=h_col,0.0035*(CM43-(h_col-d_2))/CM43,0.002*(CM43-(h_col-d_2))/(CM43-3*h_col/7))/0.002)))^2))))/1000</f>
        <v/>
      </c>
      <c r="CO43">
        <f>IF($CN43&lt;N_Ed-1E-9*MAX(1,N_Ed),(CK43+CL43)/2,CK43)</f>
        <v/>
      </c>
      <c r="CP43">
        <f>IF($CN43&lt;N_Ed-1E-9*MAX(1,N_Ed),CL43,(CK43+CL43)/2)</f>
        <v/>
      </c>
      <c r="CQ43">
        <f>h_col*((CO43+CP43)/2)/(1-(CO43+CP43)/2)</f>
        <v/>
      </c>
      <c r="CR43">
        <f>(f_cd*b_col*((3*MIN(CQ43,h_col)/7)+(4*MIN(CQ43,h_col)/7)*(1-((4*MIN(CQ43,h_col)/7)/(CQ43-(3*MIN(CQ43,h_col)/7)))^2/3))+$D43/2*((MAX(-f_yd,MIN(f_yd,200000*IF(CQ43&lt;=h_col,0.0035*(CQ43-d_2)/CQ43,0.002*(CQ43-d_2)/(CQ43-3*h_col/7))))-f_cd*(1-(1-MAX(0,MIN(1,IF(CQ43&lt;=h_col,0.0035*(CQ43-d_2)/CQ43,0.002*(CQ43-d_2)/(CQ43-3*h_col/7))/0.002)))^2))+(MAX(-f_yd,MIN(f_yd,200000*IF(CQ43&lt;=h_col,0.0035*(CQ43-(h_col-d_2))/CQ43,0.002*(CQ43-(h_col-d_2))/(CQ43-3*h_col/7))))-f_cd*(1-(1-MAX(0,MIN(1,IF(CQ43&lt;=h_col,0.0035*(CQ43-(h_col-d_2))/CQ43,0.002*(CQ43-(h_col-d_2))/(CQ43-3*h_col/7))/0.002)))^2))))/1000</f>
        <v/>
      </c>
      <c r="CS43">
        <f>IF($CR43&lt;N_Ed-1E-9*MAX(1,N_Ed),(CO43+CP43)/2,CO43)</f>
        <v/>
      </c>
      <c r="CT43">
        <f>IF($CR43&lt;N_Ed-1E-9*MAX(1,N_Ed),CP43,(CO43+CP43)/2)</f>
        <v/>
      </c>
      <c r="CU43">
        <f>h_col*((CS43+CT43)/2)/(1-(CS43+CT43)/2)</f>
        <v/>
      </c>
      <c r="CV43">
        <f>(f_cd*b_col*((3*MIN(CU43,h_col)/7)+(4*MIN(CU43,h_col)/7)*(1-((4*MIN(CU43,h_col)/7)/(CU43-(3*MIN(CU43,h_col)/7)))^2/3))+$D43/2*((MAX(-f_yd,MIN(f_yd,200000*IF(CU43&lt;=h_col,0.0035*(CU43-d_2)/CU43,0.002*(CU43-d_2)/(CU43-3*h_col/7))))-f_cd*(1-(1-MAX(0,MIN(1,IF(CU43&lt;=h_col,0.0035*(CU43-d_2)/CU43,0.002*(CU43-d_2)/(CU43-3*h_col/7))/0.002)))^2))+(MAX(-f_yd,MIN(f_yd,200000*IF(CU43&lt;=h_col,0.0035*(CU43-(h_col-d_2))/CU43,0.002*(CU43-(h_col-d_2))/(CU43-3*h_col/7))))-f_cd*(1-(1-MAX(0,MIN(1,IF(CU43&lt;=h_col,0.0035*(CU43-(h_col-d_2))/CU43,0.002*(CU43-(h_col-d_2))/(CU43-3*h_col/7))/0.002)))^2))))/1000</f>
        <v/>
      </c>
      <c r="CW43">
        <f>IF($CV43&lt;N_Ed-1E-9*MAX(1,N_Ed),(CS43+CT43)/2,CS43)</f>
        <v/>
      </c>
      <c r="CX43">
        <f>IF($CV43&lt;N_Ed-1E-9*MAX(1,N_Ed),CT43,(CS43+CT43)/2)</f>
        <v/>
      </c>
      <c r="CY43">
        <f>h_col*((CW43+CX43)/2)/(1-(CW43+CX43)/2)</f>
        <v/>
      </c>
      <c r="CZ43">
        <f>(f_cd*b_col*((3*MIN(CY43,h_col)/7)+(4*MIN(CY43,h_col)/7)*(1-((4*MIN(CY43,h_col)/7)/(CY43-(3*MIN(CY43,h_col)/7)))^2/3))+$D43/2*((MAX(-f_yd,MIN(f_yd,200000*IF(CY43&lt;=h_col,0.0035*(CY43-d_2)/CY43,0.002*(CY43-d_2)/(CY43-3*h_col/7))))-f_cd*(1-(1-MAX(0,MIN(1,IF(CY43&lt;=h_col,0.0035*(CY43-d_2)/CY43,0.002*(CY43-d_2)/(CY43-3*h_col/7))/0.002)))^2))+(MAX(-f_yd,MIN(f_yd,200000*IF(CY43&lt;=h_col,0.0035*(CY43-(h_col-d_2))/CY43,0.002*(CY43-(h_col-d_2))/(CY43-3*h_col/7))))-f_cd*(1-(1-MAX(0,MIN(1,IF(CY43&lt;=h_col,0.0035*(CY43-(h_col-d_2))/CY43,0.002*(CY43-(h_col-d_2))/(CY43-3*h_col/7))/0.002)))^2))))/1000</f>
        <v/>
      </c>
      <c r="DA43">
        <f>IF($CZ43&lt;N_Ed-1E-9*MAX(1,N_Ed),(CW43+CX43)/2,CW43)</f>
        <v/>
      </c>
      <c r="DB43">
        <f>IF($CZ43&lt;N_Ed-1E-9*MAX(1,N_Ed),CX43,(CW43+CX43)/2)</f>
        <v/>
      </c>
      <c r="DC43">
        <f>h_col*((DA43+DB43)/2)/(1-(DA43+DB43)/2)</f>
        <v/>
      </c>
      <c r="DD43">
        <f>(f_cd*b_col*((3*MIN(DC43,h_col)/7)+(4*MIN(DC43,h_col)/7)*(1-((4*MIN(DC43,h_col)/7)/(DC43-(3*MIN(DC43,h_col)/7)))^2/3))+$D43/2*((MAX(-f_yd,MIN(f_yd,200000*IF(DC43&lt;=h_col,0.0035*(DC43-d_2)/DC43,0.002*(DC43-d_2)/(DC43-3*h_col/7))))-f_cd*(1-(1-MAX(0,MIN(1,IF(DC43&lt;=h_col,0.0035*(DC43-d_2)/DC43,0.002*(DC43-d_2)/(DC43-3*h_col/7))/0.002)))^2))+(MAX(-f_yd,MIN(f_yd,200000*IF(DC43&lt;=h_col,0.0035*(DC43-(h_col-d_2))/DC43,0.002*(DC43-(h_col-d_2))/(DC43-3*h_col/7))))-f_cd*(1-(1-MAX(0,MIN(1,IF(DC43&lt;=h_col,0.0035*(DC43-(h_col-d_2))/DC43,0.002*(DC43-(h_col-d_2))/(DC43-3*h_col/7))/0.002)))^2))))/1000</f>
        <v/>
      </c>
      <c r="DE43">
        <f>IF($DD43&lt;N_Ed-1E-9*MAX(1,N_Ed),(DA43+DB43)/2,DA43)</f>
        <v/>
      </c>
      <c r="DF43">
        <f>IF($DD43&lt;N_Ed-1E-9*MAX(1,N_Ed),DB43,(DA43+DB43)/2)</f>
        <v/>
      </c>
      <c r="DG43">
        <f>h_col*((DE43+DF43)/2)/(1-(DE43+DF43)/2)</f>
        <v/>
      </c>
      <c r="DH43">
        <f>(f_cd*b_col*((3*MIN(DG43,h_col)/7)+(4*MIN(DG43,h_col)/7)*(1-((4*MIN(DG43,h_col)/7)/(DG43-(3*MIN(DG43,h_col)/7)))^2/3))+$D43/2*((MAX(-f_yd,MIN(f_yd,200000*IF(DG43&lt;=h_col,0.0035*(DG43-d_2)/DG43,0.002*(DG43-d_2)/(DG43-3*h_col/7))))-f_cd*(1-(1-MAX(0,MIN(1,IF(DG43&lt;=h_col,0.0035*(DG43-d_2)/DG43,0.002*(DG43-d_2)/(DG43-3*h_col/7))/0.002)))^2))+(MAX(-f_yd,MIN(f_yd,200000*IF(DG43&lt;=h_col,0.0035*(DG43-(h_col-d_2))/DG43,0.002*(DG43-(h_col-d_2))/(DG43-3*h_col/7))))-f_cd*(1-(1-MAX(0,MIN(1,IF(DG43&lt;=h_col,0.0035*(DG43-(h_col-d_2))/DG43,0.002*(DG43-(h_col-d_2))/(DG43-3*h_col/7))/0.002)))^2))))/1000</f>
        <v/>
      </c>
      <c r="DI43">
        <f>IF($DH43&lt;N_Ed-1E-9*MAX(1,N_Ed),(DE43+DF43)/2,DE43)</f>
        <v/>
      </c>
      <c r="DJ43">
        <f>IF($DH43&lt;N_Ed-1E-9*MAX(1,N_Ed),DF43,(DE43+DF43)/2)</f>
        <v/>
      </c>
      <c r="DK43">
        <f>h_col*((DI43+DJ43)/2)/(1-(DI43+DJ43)/2)</f>
        <v/>
      </c>
      <c r="DL43">
        <f>(f_cd*b_col*((3*MIN(DK43,h_col)/7)+(4*MIN(DK43,h_col)/7)*(1-((4*MIN(DK43,h_col)/7)/(DK43-(3*MIN(DK43,h_col)/7)))^2/3))+$D43/2*((MAX(-f_yd,MIN(f_yd,200000*IF(DK43&lt;=h_col,0.0035*(DK43-d_2)/DK43,0.002*(DK43-d_2)/(DK43-3*h_col/7))))-f_cd*(1-(1-MAX(0,MIN(1,IF(DK43&lt;=h_col,0.0035*(DK43-d_2)/DK43,0.002*(DK43-d_2)/(DK43-3*h_col/7))/0.002)))^2))+(MAX(-f_yd,MIN(f_yd,200000*IF(DK43&lt;=h_col,0.0035*(DK43-(h_col-d_2))/DK43,0.002*(DK43-(h_col-d_2))/(DK43-3*h_col/7))))-f_cd*(1-(1-MAX(0,MIN(1,IF(DK43&lt;=h_col,0.0035*(DK43-(h_col-d_2))/DK43,0.002*(DK43-(h_col-d_2))/(DK43-3*h_col/7))/0.002)))^2))))/1000</f>
        <v/>
      </c>
      <c r="DM43">
        <f>IF($DL43&lt;N_Ed-1E-9*MAX(1,N_Ed),(DI43+DJ43)/2,DI43)</f>
        <v/>
      </c>
      <c r="DN43">
        <f>IF($DL43&lt;N_Ed-1E-9*MAX(1,N_Ed),DJ43,(DI43+DJ43)/2)</f>
        <v/>
      </c>
      <c r="DO43">
        <f>h_col*((DM43+DN43)/2)/(1-(DM43+DN43)/2)</f>
        <v/>
      </c>
      <c r="DP43">
        <f>(f_cd*b_col*((3*MIN(DO43,h_col)/7)+(4*MIN(DO43,h_col)/7)*(1-((4*MIN(DO43,h_col)/7)/(DO43-(3*MIN(DO43,h_col)/7)))^2/3))+$D43/2*((MAX(-f_yd,MIN(f_yd,200000*IF(DO43&lt;=h_col,0.0035*(DO43-d_2)/DO43,0.002*(DO43-d_2)/(DO43-3*h_col/7))))-f_cd*(1-(1-MAX(0,MIN(1,IF(DO43&lt;=h_col,0.0035*(DO43-d_2)/DO43,0.002*(DO43-d_2)/(DO43-3*h_col/7))/0.002)))^2))+(MAX(-f_yd,MIN(f_yd,200000*IF(DO43&lt;=h_col,0.0035*(DO43-(h_col-d_2))/DO43,0.002*(DO43-(h_col-d_2))/(DO43-3*h_col/7))))-f_cd*(1-(1-MAX(0,MIN(1,IF(DO43&lt;=h_col,0.0035*(DO43-(h_col-d_2))/DO43,0.002*(DO43-(h_col-d_2))/(DO43-3*h_col/7))/0.002)))^2))))/1000</f>
        <v/>
      </c>
      <c r="DQ43">
        <f>IF($DP43&lt;N_Ed-1E-9*MAX(1,N_Ed),(DM43+DN43)/2,DM43)</f>
        <v/>
      </c>
      <c r="DR43">
        <f>IF($DP43&lt;N_Ed-1E-9*MAX(1,N_Ed),DN43,(DM43+DN43)/2)</f>
        <v/>
      </c>
      <c r="DS43">
        <f>h_col*((DQ43+DR43)/2)/(1-(DQ43+DR43)/2)</f>
        <v/>
      </c>
      <c r="DT43">
        <f>(f_cd*b_col*((3*MIN(DS43,h_col)/7)+(4*MIN(DS43,h_col)/7)*(1-((4*MIN(DS43,h_col)/7)/(DS43-(3*MIN(DS43,h_col)/7)))^2/3))+$D43/2*((MAX(-f_yd,MIN(f_yd,200000*IF(DS43&lt;=h_col,0.0035*(DS43-d_2)/DS43,0.002*(DS43-d_2)/(DS43-3*h_col/7))))-f_cd*(1-(1-MAX(0,MIN(1,IF(DS43&lt;=h_col,0.0035*(DS43-d_2)/DS43,0.002*(DS43-d_2)/(DS43-3*h_col/7))/0.002)))^2))+(MAX(-f_yd,MIN(f_yd,200000*IF(DS43&lt;=h_col,0.0035*(DS43-(h_col-d_2))/DS43,0.002*(DS43-(h_col-d_2))/(DS43-3*h_col/7))))-f_cd*(1-(1-MAX(0,MIN(1,IF(DS43&lt;=h_col,0.0035*(DS43-(h_col-d_2))/DS43,0.002*(DS43-(h_col-d_2))/(DS43-3*h_col/7))/0.002)))^2))))/1000</f>
        <v/>
      </c>
      <c r="DU43">
        <f>IF($DT43&lt;N_Ed-1E-9*MAX(1,N_Ed),(DQ43+DR43)/2,DQ43)</f>
        <v/>
      </c>
      <c r="DV43">
        <f>IF($DT43&lt;N_Ed-1E-9*MAX(1,N_Ed),DR43,(DQ43+DR43)/2)</f>
        <v/>
      </c>
      <c r="DW43">
        <f>h_col*((DU43+DV43)/2)/(1-(DU43+DV43)/2)</f>
        <v/>
      </c>
      <c r="DX43">
        <f>(f_cd*b_col*((3*MIN(DW43,h_col)/7)+(4*MIN(DW43,h_col)/7)*(1-((4*MIN(DW43,h_col)/7)/(DW43-(3*MIN(DW43,h_col)/7)))^2/3))+$D43/2*((MAX(-f_yd,MIN(f_yd,200000*IF(DW43&lt;=h_col,0.0035*(DW43-d_2)/DW43,0.002*(DW43-d_2)/(DW43-3*h_col/7))))-f_cd*(1-(1-MAX(0,MIN(1,IF(DW43&lt;=h_col,0.0035*(DW43-d_2)/DW43,0.002*(DW43-d_2)/(DW43-3*h_col/7))/0.002)))^2))+(MAX(-f_yd,MIN(f_yd,200000*IF(DW43&lt;=h_col,0.0035*(DW43-(h_col-d_2))/DW43,0.002*(DW43-(h_col-d_2))/(DW43-3*h_col/7))))-f_cd*(1-(1-MAX(0,MIN(1,IF(DW43&lt;=h_col,0.0035*(DW43-(h_col-d_2))/DW43,0.002*(DW43-(h_col-d_2))/(DW43-3*h_col/7))/0.002)))^2))))/1000</f>
        <v/>
      </c>
      <c r="DY43">
        <f>IF($DX43&lt;N_Ed-1E-9*MAX(1,N_Ed),(DU43+DV43)/2,DU43)</f>
        <v/>
      </c>
      <c r="DZ43">
        <f>IF($DX43&lt;N_Ed-1E-9*MAX(1,N_Ed),DV43,(DU43+DV43)/2)</f>
        <v/>
      </c>
      <c r="EA43">
        <f>h_col*((DY43+DZ43)/2)/(1-(DY43+DZ43)/2)</f>
        <v/>
      </c>
      <c r="EB43">
        <f>(f_cd*b_col*((3*MIN(EA43,h_col)/7)+(4*MIN(EA43,h_col)/7)*(1-((4*MIN(EA43,h_col)/7)/(EA43-(3*MIN(EA43,h_col)/7)))^2/3))+$D43/2*((MAX(-f_yd,MIN(f_yd,200000*IF(EA43&lt;=h_col,0.0035*(EA43-d_2)/EA43,0.002*(EA43-d_2)/(EA43-3*h_col/7))))-f_cd*(1-(1-MAX(0,MIN(1,IF(EA43&lt;=h_col,0.0035*(EA43-d_2)/EA43,0.002*(EA43-d_2)/(EA43-3*h_col/7))/0.002)))^2))+(MAX(-f_yd,MIN(f_yd,200000*IF(EA43&lt;=h_col,0.0035*(EA43-(h_col-d_2))/EA43,0.002*(EA43-(h_col-d_2))/(EA43-3*h_col/7))))-f_cd*(1-(1-MAX(0,MIN(1,IF(EA43&lt;=h_col,0.0035*(EA43-(h_col-d_2))/EA43,0.002*(EA43-(h_col-d_2))/(EA43-3*h_col/7))/0.002)))^2))))/1000</f>
        <v/>
      </c>
      <c r="EC43">
        <f>IF($EB43&lt;N_Ed-1E-9*MAX(1,N_Ed),(DY43+DZ43)/2,DY43)</f>
        <v/>
      </c>
      <c r="ED43">
        <f>IF($EB43&lt;N_Ed-1E-9*MAX(1,N_Ed),DZ43,(DY43+DZ43)/2)</f>
        <v/>
      </c>
      <c r="EE43">
        <f>h_col*((EC43+ED43)/2)/(1-(EC43+ED43)/2)</f>
        <v/>
      </c>
      <c r="EF43">
        <f>(f_cd*b_col*((3*MIN(EE43,h_col)/7)+(4*MIN(EE43,h_col)/7)*(1-((4*MIN(EE43,h_col)/7)/(EE43-(3*MIN(EE43,h_col)/7)))^2/3))+$D43/2*((MAX(-f_yd,MIN(f_yd,200000*IF(EE43&lt;=h_col,0.0035*(EE43-d_2)/EE43,0.002*(EE43-d_2)/(EE43-3*h_col/7))))-f_cd*(1-(1-MAX(0,MIN(1,IF(EE43&lt;=h_col,0.0035*(EE43-d_2)/EE43,0.002*(EE43-d_2)/(EE43-3*h_col/7))/0.002)))^2))+(MAX(-f_yd,MIN(f_yd,200000*IF(EE43&lt;=h_col,0.0035*(EE43-(h_col-d_2))/EE43,0.002*(EE43-(h_col-d_2))/(EE43-3*h_col/7))))-f_cd*(1-(1-MAX(0,MIN(1,IF(EE43&lt;=h_col,0.0035*(EE43-(h_col-d_2))/EE43,0.002*(EE43-(h_col-d_2))/(EE43-3*h_col/7))/0.002)))^2))))/1000</f>
        <v/>
      </c>
      <c r="EG43">
        <f>IF($EF43&lt;N_Ed-1E-9*MAX(1,N_Ed),(EC43+ED43)/2,EC43)</f>
        <v/>
      </c>
      <c r="EH43">
        <f>IF($EF43&lt;N_Ed-1E-9*MAX(1,N_Ed),ED43,(EC43+ED43)/2)</f>
        <v/>
      </c>
      <c r="EI43">
        <f>h_col*((EG43+EH43)/2)/(1-(EG43+EH43)/2)</f>
        <v/>
      </c>
      <c r="EJ43">
        <f>(f_cd*b_col*((3*MIN(EI43,h_col)/7)+(4*MIN(EI43,h_col)/7)*(1-((4*MIN(EI43,h_col)/7)/(EI43-(3*MIN(EI43,h_col)/7)))^2/3))+$D43/2*((MAX(-f_yd,MIN(f_yd,200000*IF(EI43&lt;=h_col,0.0035*(EI43-d_2)/EI43,0.002*(EI43-d_2)/(EI43-3*h_col/7))))-f_cd*(1-(1-MAX(0,MIN(1,IF(EI43&lt;=h_col,0.0035*(EI43-d_2)/EI43,0.002*(EI43-d_2)/(EI43-3*h_col/7))/0.002)))^2))+(MAX(-f_yd,MIN(f_yd,200000*IF(EI43&lt;=h_col,0.0035*(EI43-(h_col-d_2))/EI43,0.002*(EI43-(h_col-d_2))/(EI43-3*h_col/7))))-f_cd*(1-(1-MAX(0,MIN(1,IF(EI43&lt;=h_col,0.0035*(EI43-(h_col-d_2))/EI43,0.002*(EI43-(h_col-d_2))/(EI43-3*h_col/7))/0.002)))^2))))/1000</f>
        <v/>
      </c>
      <c r="EK43">
        <f>IF($EJ43&lt;N_Ed-1E-9*MAX(1,N_Ed),(EG43+EH43)/2,EG43)</f>
        <v/>
      </c>
      <c r="EL43">
        <f>IF($EJ43&lt;N_Ed-1E-9*MAX(1,N_Ed),EH43,(EG43+EH43)/2)</f>
        <v/>
      </c>
      <c r="EM43">
        <f>h_col*((EK43+EL43)/2)/(1-(EK43+EL43)/2)</f>
        <v/>
      </c>
      <c r="EN43">
        <f>(f_cd*b_col*((3*MIN(EM43,h_col)/7)+(4*MIN(EM43,h_col)/7)*(1-((4*MIN(EM43,h_col)/7)/(EM43-(3*MIN(EM43,h_col)/7)))^2/3))+$D43/2*((MAX(-f_yd,MIN(f_yd,200000*IF(EM43&lt;=h_col,0.0035*(EM43-d_2)/EM43,0.002*(EM43-d_2)/(EM43-3*h_col/7))))-f_cd*(1-(1-MAX(0,MIN(1,IF(EM43&lt;=h_col,0.0035*(EM43-d_2)/EM43,0.002*(EM43-d_2)/(EM43-3*h_col/7))/0.002)))^2))+(MAX(-f_yd,MIN(f_yd,200000*IF(EM43&lt;=h_col,0.0035*(EM43-(h_col-d_2))/EM43,0.002*(EM43-(h_col-d_2))/(EM43-3*h_col/7))))-f_cd*(1-(1-MAX(0,MIN(1,IF(EM43&lt;=h_col,0.0035*(EM43-(h_col-d_2))/EM43,0.002*(EM43-(h_col-d_2))/(EM43-3*h_col/7))/0.002)))^2))))/1000</f>
        <v/>
      </c>
      <c r="EO43">
        <f>IF($EN43&lt;N_Ed-1E-9*MAX(1,N_Ed),(EK43+EL43)/2,EK43)</f>
        <v/>
      </c>
      <c r="EP43">
        <f>IF($EN43&lt;N_Ed-1E-9*MAX(1,N_Ed),EL43,(EK43+EL43)/2)</f>
        <v/>
      </c>
      <c r="EQ43">
        <f>h_col*((EO43+EP43)/2)/(1-(EO43+EP43)/2)</f>
        <v/>
      </c>
      <c r="ER43">
        <f>(f_cd*b_col*((3*MIN(EQ43,h_col)/7)+(4*MIN(EQ43,h_col)/7)*(1-((4*MIN(EQ43,h_col)/7)/(EQ43-(3*MIN(EQ43,h_col)/7)))^2/3))+$D43/2*((MAX(-f_yd,MIN(f_yd,200000*IF(EQ43&lt;=h_col,0.0035*(EQ43-d_2)/EQ43,0.002*(EQ43-d_2)/(EQ43-3*h_col/7))))-f_cd*(1-(1-MAX(0,MIN(1,IF(EQ43&lt;=h_col,0.0035*(EQ43-d_2)/EQ43,0.002*(EQ43-d_2)/(EQ43-3*h_col/7))/0.002)))^2))+(MAX(-f_yd,MIN(f_yd,200000*IF(EQ43&lt;=h_col,0.0035*(EQ43-(h_col-d_2))/EQ43,0.002*(EQ43-(h_col-d_2))/(EQ43-3*h_col/7))))-f_cd*(1-(1-MAX(0,MIN(1,IF(EQ43&lt;=h_col,0.0035*(EQ43-(h_col-d_2))/EQ43,0.002*(EQ43-(h_col-d_2))/(EQ43-3*h_col/7))/0.002)))^2))))/1000</f>
        <v/>
      </c>
      <c r="ES43">
        <f>IF($ER43&lt;N_Ed-1E-9*MAX(1,N_Ed),(EO43+EP43)/2,EO43)</f>
        <v/>
      </c>
      <c r="ET43">
        <f>IF($ER43&lt;N_Ed-1E-9*MAX(1,N_Ed),EP43,(EO43+EP43)/2)</f>
        <v/>
      </c>
      <c r="EU43">
        <f>h_col*((ES43+ET43)/2)/(1-(ES43+ET43)/2)</f>
        <v/>
      </c>
      <c r="EV43">
        <f>(f_cd*b_col*((3*MIN(EU43,h_col)/7)+(4*MIN(EU43,h_col)/7)*(1-((4*MIN(EU43,h_col)/7)/(EU43-(3*MIN(EU43,h_col)/7)))^2/3))+$D43/2*((MAX(-f_yd,MIN(f_yd,200000*IF(EU43&lt;=h_col,0.0035*(EU43-d_2)/EU43,0.002*(EU43-d_2)/(EU43-3*h_col/7))))-f_cd*(1-(1-MAX(0,MIN(1,IF(EU43&lt;=h_col,0.0035*(EU43-d_2)/EU43,0.002*(EU43-d_2)/(EU43-3*h_col/7))/0.002)))^2))+(MAX(-f_yd,MIN(f_yd,200000*IF(EU43&lt;=h_col,0.0035*(EU43-(h_col-d_2))/EU43,0.002*(EU43-(h_col-d_2))/(EU43-3*h_col/7))))-f_cd*(1-(1-MAX(0,MIN(1,IF(EU43&lt;=h_col,0.0035*(EU43-(h_col-d_2))/EU43,0.002*(EU43-(h_col-d_2))/(EU43-3*h_col/7))/0.002)))^2))))/1000</f>
        <v/>
      </c>
      <c r="EW43">
        <f>IF($EV43&lt;N_Ed-1E-9*MAX(1,N_Ed),(ES43+ET43)/2,ES43)</f>
        <v/>
      </c>
      <c r="EX43">
        <f>IF($EV43&lt;N_Ed-1E-9*MAX(1,N_Ed),ET43,(ES43+ET43)/2)</f>
        <v/>
      </c>
      <c r="EY43">
        <f>h_col*((EW43+EX43)/2)/(1-(EW43+EX43)/2)</f>
        <v/>
      </c>
      <c r="EZ43">
        <f>(f_cd*b_col*((3*MIN(EY43,h_col)/7)+(4*MIN(EY43,h_col)/7)*(1-((4*MIN(EY43,h_col)/7)/(EY43-(3*MIN(EY43,h_col)/7)))^2/3))+$D43/2*((MAX(-f_yd,MIN(f_yd,200000*IF(EY43&lt;=h_col,0.0035*(EY43-d_2)/EY43,0.002*(EY43-d_2)/(EY43-3*h_col/7))))-f_cd*(1-(1-MAX(0,MIN(1,IF(EY43&lt;=h_col,0.0035*(EY43-d_2)/EY43,0.002*(EY43-d_2)/(EY43-3*h_col/7))/0.002)))^2))+(MAX(-f_yd,MIN(f_yd,200000*IF(EY43&lt;=h_col,0.0035*(EY43-(h_col-d_2))/EY43,0.002*(EY43-(h_col-d_2))/(EY43-3*h_col/7))))-f_cd*(1-(1-MAX(0,MIN(1,IF(EY43&lt;=h_col,0.0035*(EY43-(h_col-d_2))/EY43,0.002*(EY43-(h_col-d_2))/(EY43-3*h_col/7))/0.002)))^2))))/1000</f>
        <v/>
      </c>
      <c r="FA43">
        <f>IF($EZ43&lt;N_Ed-1E-9*MAX(1,N_Ed),(EW43+EX43)/2,EW43)</f>
        <v/>
      </c>
      <c r="FB43">
        <f>IF($EZ43&lt;N_Ed-1E-9*MAX(1,N_Ed),EX43,(EW43+EX43)/2)</f>
        <v/>
      </c>
      <c r="FC43">
        <f>h_col*((FA43+FB43)/2)/(1-(FA43+FB43)/2)</f>
        <v/>
      </c>
      <c r="FD43">
        <f>(f_cd*b_col*((3*MIN(FC43,h_col)/7)+(4*MIN(FC43,h_col)/7)*(1-((4*MIN(FC43,h_col)/7)/(FC43-(3*MIN(FC43,h_col)/7)))^2/3))+$D43/2*((MAX(-f_yd,MIN(f_yd,200000*IF(FC43&lt;=h_col,0.0035*(FC43-d_2)/FC43,0.002*(FC43-d_2)/(FC43-3*h_col/7))))-f_cd*(1-(1-MAX(0,MIN(1,IF(FC43&lt;=h_col,0.0035*(FC43-d_2)/FC43,0.002*(FC43-d_2)/(FC43-3*h_col/7))/0.002)))^2))+(MAX(-f_yd,MIN(f_yd,200000*IF(FC43&lt;=h_col,0.0035*(FC43-(h_col-d_2))/FC43,0.002*(FC43-(h_col-d_2))/(FC43-3*h_col/7))))-f_cd*(1-(1-MAX(0,MIN(1,IF(FC43&lt;=h_col,0.0035*(FC43-(h_col-d_2))/FC43,0.002*(FC43-(h_col-d_2))/(FC43-3*h_col/7))/0.002)))^2))))/1000</f>
        <v/>
      </c>
      <c r="FE43">
        <f>IF($FD43&lt;N_Ed-1E-9*MAX(1,N_Ed),(FA43+FB43)/2,FA43)</f>
        <v/>
      </c>
      <c r="FF43">
        <f>IF($FD43&lt;N_Ed-1E-9*MAX(1,N_Ed),FB43,(FA43+FB43)/2)</f>
        <v/>
      </c>
      <c r="FG43">
        <f>h_col*((FE43+FF43)/2)/(1-(FE43+FF43)/2)</f>
        <v/>
      </c>
      <c r="FH43">
        <f>(f_cd*b_col*((3*MIN(FG43,h_col)/7)+(4*MIN(FG43,h_col)/7)*(1-((4*MIN(FG43,h_col)/7)/(FG43-(3*MIN(FG43,h_col)/7)))^2/3))+$D43/2*((MAX(-f_yd,MIN(f_yd,200000*IF(FG43&lt;=h_col,0.0035*(FG43-d_2)/FG43,0.002*(FG43-d_2)/(FG43-3*h_col/7))))-f_cd*(1-(1-MAX(0,MIN(1,IF(FG43&lt;=h_col,0.0035*(FG43-d_2)/FG43,0.002*(FG43-d_2)/(FG43-3*h_col/7))/0.002)))^2))+(MAX(-f_yd,MIN(f_yd,200000*IF(FG43&lt;=h_col,0.0035*(FG43-(h_col-d_2))/FG43,0.002*(FG43-(h_col-d_2))/(FG43-3*h_col/7))))-f_cd*(1-(1-MAX(0,MIN(1,IF(FG43&lt;=h_col,0.0035*(FG43-(h_col-d_2))/FG43,0.002*(FG43-(h_col-d_2))/(FG43-3*h_col/7))/0.002)))^2))))/1000</f>
        <v/>
      </c>
      <c r="FI43">
        <f>IF($FH43&lt;N_Ed-1E-9*MAX(1,N_Ed),(FE43+FF43)/2,FE43)</f>
        <v/>
      </c>
      <c r="FJ43">
        <f>IF($FH43&lt;N_Ed-1E-9*MAX(1,N_Ed),FF43,(FE43+FF43)/2)</f>
        <v/>
      </c>
      <c r="FK43">
        <f>h_col*((FI43+FJ43)/2)/(1-(FI43+FJ43)/2)</f>
        <v/>
      </c>
      <c r="FL43">
        <f>(f_cd*b_col*((3*MIN(FK43,h_col)/7)+(4*MIN(FK43,h_col)/7)*(1-((4*MIN(FK43,h_col)/7)/(FK43-(3*MIN(FK43,h_col)/7)))^2/3))+$D43/2*((MAX(-f_yd,MIN(f_yd,200000*IF(FK43&lt;=h_col,0.0035*(FK43-d_2)/FK43,0.002*(FK43-d_2)/(FK43-3*h_col/7))))-f_cd*(1-(1-MAX(0,MIN(1,IF(FK43&lt;=h_col,0.0035*(FK43-d_2)/FK43,0.002*(FK43-d_2)/(FK43-3*h_col/7))/0.002)))^2))+(MAX(-f_yd,MIN(f_yd,200000*IF(FK43&lt;=h_col,0.0035*(FK43-(h_col-d_2))/FK43,0.002*(FK43-(h_col-d_2))/(FK43-3*h_col/7))))-f_cd*(1-(1-MAX(0,MIN(1,IF(FK43&lt;=h_col,0.0035*(FK43-(h_col-d_2))/FK43,0.002*(FK43-(h_col-d_2))/(FK43-3*h_col/7))/0.002)))^2))))/1000</f>
        <v/>
      </c>
      <c r="FM43">
        <f>IF($FL43&lt;N_Ed-1E-9*MAX(1,N_Ed),(FI43+FJ43)/2,FI43)</f>
        <v/>
      </c>
      <c r="FN43">
        <f>IF($FL43&lt;N_Ed-1E-9*MAX(1,N_Ed),FJ43,(FI43+FJ43)/2)</f>
        <v/>
      </c>
      <c r="FO43">
        <f>h_col*((FM43+FN43)/2)/(1-(FM43+FN43)/2)</f>
        <v/>
      </c>
      <c r="FP43">
        <f>(f_cd*b_col*((3*MIN(FO43,h_col)/7)+(4*MIN(FO43,h_col)/7)*(1-((4*MIN(FO43,h_col)/7)/(FO43-(3*MIN(FO43,h_col)/7)))^2/3))+$D43/2*((MAX(-f_yd,MIN(f_yd,200000*IF(FO43&lt;=h_col,0.0035*(FO43-d_2)/FO43,0.002*(FO43-d_2)/(FO43-3*h_col/7))))-f_cd*(1-(1-MAX(0,MIN(1,IF(FO43&lt;=h_col,0.0035*(FO43-d_2)/FO43,0.002*(FO43-d_2)/(FO43-3*h_col/7))/0.002)))^2))+(MAX(-f_yd,MIN(f_yd,200000*IF(FO43&lt;=h_col,0.0035*(FO43-(h_col-d_2))/FO43,0.002*(FO43-(h_col-d_2))/(FO43-3*h_col/7))))-f_cd*(1-(1-MAX(0,MIN(1,IF(FO43&lt;=h_col,0.0035*(FO43-(h_col-d_2))/FO43,0.002*(FO43-(h_col-d_2))/(FO43-3*h_col/7))/0.002)))^2))))/1000</f>
        <v/>
      </c>
      <c r="FQ43">
        <f>IF($FP43&lt;N_Ed-1E-9*MAX(1,N_Ed),(FM43+FN43)/2,FM43)</f>
        <v/>
      </c>
      <c r="FR43">
        <f>IF($FP43&lt;N_Ed-1E-9*MAX(1,N_Ed),FN43,(FM43+FN43)/2)</f>
        <v/>
      </c>
      <c r="FS43">
        <f>h_col*((FQ43+FR43)/2)/(1-(FQ43+FR43)/2)</f>
        <v/>
      </c>
      <c r="FT43">
        <f>(f_cd*b_col*((3*MIN(FS43,h_col)/7)+(4*MIN(FS43,h_col)/7)*(1-((4*MIN(FS43,h_col)/7)/(FS43-(3*MIN(FS43,h_col)/7)))^2/3))+$D43/2*((MAX(-f_yd,MIN(f_yd,200000*IF(FS43&lt;=h_col,0.0035*(FS43-d_2)/FS43,0.002*(FS43-d_2)/(FS43-3*h_col/7))))-f_cd*(1-(1-MAX(0,MIN(1,IF(FS43&lt;=h_col,0.0035*(FS43-d_2)/FS43,0.002*(FS43-d_2)/(FS43-3*h_col/7))/0.002)))^2))+(MAX(-f_yd,MIN(f_yd,200000*IF(FS43&lt;=h_col,0.0035*(FS43-(h_col-d_2))/FS43,0.002*(FS43-(h_col-d_2))/(FS43-3*h_col/7))))-f_cd*(1-(1-MAX(0,MIN(1,IF(FS43&lt;=h_col,0.0035*(FS43-(h_col-d_2))/FS43,0.002*(FS43-(h_col-d_2))/(FS43-3*h_col/7))/0.002)))^2))))/1000</f>
        <v/>
      </c>
      <c r="FU43">
        <f>IF($FT43&lt;N_Ed-1E-9*MAX(1,N_Ed),(FQ43+FR43)/2,FQ43)</f>
        <v/>
      </c>
      <c r="FV43">
        <f>IF($FT43&lt;N_Ed-1E-9*MAX(1,N_Ed),FR43,(FQ43+FR43)/2)</f>
        <v/>
      </c>
      <c r="FW43">
        <f>h_col*((FU43+FV43)/2)/(1-(FU43+FV43)/2)</f>
        <v/>
      </c>
      <c r="FX43">
        <f>(f_cd*b_col*((3*MIN(FW43,h_col)/7)+(4*MIN(FW43,h_col)/7)*(1-((4*MIN(FW43,h_col)/7)/(FW43-(3*MIN(FW43,h_col)/7)))^2/3))+$D43/2*((MAX(-f_yd,MIN(f_yd,200000*IF(FW43&lt;=h_col,0.0035*(FW43-d_2)/FW43,0.002*(FW43-d_2)/(FW43-3*h_col/7))))-f_cd*(1-(1-MAX(0,MIN(1,IF(FW43&lt;=h_col,0.0035*(FW43-d_2)/FW43,0.002*(FW43-d_2)/(FW43-3*h_col/7))/0.002)))^2))+(MAX(-f_yd,MIN(f_yd,200000*IF(FW43&lt;=h_col,0.0035*(FW43-(h_col-d_2))/FW43,0.002*(FW43-(h_col-d_2))/(FW43-3*h_col/7))))-f_cd*(1-(1-MAX(0,MIN(1,IF(FW43&lt;=h_col,0.0035*(FW43-(h_col-d_2))/FW43,0.002*(FW43-(h_col-d_2))/(FW43-3*h_col/7))/0.002)))^2))))/1000</f>
        <v/>
      </c>
      <c r="FY43">
        <f>IF($FX43&lt;N_Ed-1E-9*MAX(1,N_Ed),(FU43+FV43)/2,FU43)</f>
        <v/>
      </c>
      <c r="FZ43">
        <f>IF($FX43&lt;N_Ed-1E-9*MAX(1,N_Ed),FV43,(FU43+FV43)/2)</f>
        <v/>
      </c>
      <c r="GA43">
        <f>h_col*((FY43+FZ43)/2)/(1-(FY43+FZ43)/2)</f>
        <v/>
      </c>
      <c r="GB43">
        <f>(f_cd*b_col*((3*MIN(GA43,h_col)/7)+(4*MIN(GA43,h_col)/7)*(1-((4*MIN(GA43,h_col)/7)/(GA43-(3*MIN(GA43,h_col)/7)))^2/3))+$D43/2*((MAX(-f_yd,MIN(f_yd,200000*IF(GA43&lt;=h_col,0.0035*(GA43-d_2)/GA43,0.002*(GA43-d_2)/(GA43-3*h_col/7))))-f_cd*(1-(1-MAX(0,MIN(1,IF(GA43&lt;=h_col,0.0035*(GA43-d_2)/GA43,0.002*(GA43-d_2)/(GA43-3*h_col/7))/0.002)))^2))+(MAX(-f_yd,MIN(f_yd,200000*IF(GA43&lt;=h_col,0.0035*(GA43-(h_col-d_2))/GA43,0.002*(GA43-(h_col-d_2))/(GA43-3*h_col/7))))-f_cd*(1-(1-MAX(0,MIN(1,IF(GA43&lt;=h_col,0.0035*(GA43-(h_col-d_2))/GA43,0.002*(GA43-(h_col-d_2))/(GA43-3*h_col/7))/0.002)))^2))))/1000</f>
        <v/>
      </c>
      <c r="GC43">
        <f>IF($GB43&lt;N_Ed-1E-9*MAX(1,N_Ed),(FY43+FZ43)/2,FY43)</f>
        <v/>
      </c>
      <c r="GD43">
        <f>IF($GB43&lt;N_Ed-1E-9*MAX(1,N_Ed),FZ43,(FY43+FZ43)/2)</f>
        <v/>
      </c>
      <c r="GE43">
        <f>h_col*((GC43+GD43)/2)/(1-(GC43+GD43)/2)</f>
        <v/>
      </c>
      <c r="GF43">
        <f>(f_cd*b_col*((3*MIN(GE43,h_col)/7)+(4*MIN(GE43,h_col)/7)*(1-((4*MIN(GE43,h_col)/7)/(GE43-(3*MIN(GE43,h_col)/7)))^2/3))+$D43/2*((MAX(-f_yd,MIN(f_yd,200000*IF(GE43&lt;=h_col,0.0035*(GE43-d_2)/GE43,0.002*(GE43-d_2)/(GE43-3*h_col/7))))-f_cd*(1-(1-MAX(0,MIN(1,IF(GE43&lt;=h_col,0.0035*(GE43-d_2)/GE43,0.002*(GE43-d_2)/(GE43-3*h_col/7))/0.002)))^2))+(MAX(-f_yd,MIN(f_yd,200000*IF(GE43&lt;=h_col,0.0035*(GE43-(h_col-d_2))/GE43,0.002*(GE43-(h_col-d_2))/(GE43-3*h_col/7))))-f_cd*(1-(1-MAX(0,MIN(1,IF(GE43&lt;=h_col,0.0035*(GE43-(h_col-d_2))/GE43,0.002*(GE43-(h_col-d_2))/(GE43-3*h_col/7))/0.002)))^2))))/1000</f>
        <v/>
      </c>
      <c r="GG43">
        <f>IF($GF43&lt;N_Ed-1E-9*MAX(1,N_Ed),(GC43+GD43)/2,GC43)</f>
        <v/>
      </c>
      <c r="GH43">
        <f>IF($GF43&lt;N_Ed-1E-9*MAX(1,N_Ed),GD43,(GC43+GD43)/2)</f>
        <v/>
      </c>
      <c r="GI43">
        <f>h_col*((GG43+GH43)/2)/(1-(GG43+GH43)/2)</f>
        <v/>
      </c>
      <c r="GJ43">
        <f>(f_cd*b_col*((3*MIN(GI43,h_col)/7)+(4*MIN(GI43,h_col)/7)*(1-((4*MIN(GI43,h_col)/7)/(GI43-(3*MIN(GI43,h_col)/7)))^2/3))+$D43/2*((MAX(-f_yd,MIN(f_yd,200000*IF(GI43&lt;=h_col,0.0035*(GI43-d_2)/GI43,0.002*(GI43-d_2)/(GI43-3*h_col/7))))-f_cd*(1-(1-MAX(0,MIN(1,IF(GI43&lt;=h_col,0.0035*(GI43-d_2)/GI43,0.002*(GI43-d_2)/(GI43-3*h_col/7))/0.002)))^2))+(MAX(-f_yd,MIN(f_yd,200000*IF(GI43&lt;=h_col,0.0035*(GI43-(h_col-d_2))/GI43,0.002*(GI43-(h_col-d_2))/(GI43-3*h_col/7))))-f_cd*(1-(1-MAX(0,MIN(1,IF(GI43&lt;=h_col,0.0035*(GI43-(h_col-d_2))/GI43,0.002*(GI43-(h_col-d_2))/(GI43-3*h_col/7))/0.002)))^2))))/1000</f>
        <v/>
      </c>
      <c r="GK43">
        <f>IF($GJ43&lt;N_Ed-1E-9*MAX(1,N_Ed),(GG43+GH43)/2,GG43)</f>
        <v/>
      </c>
      <c r="GL43">
        <f>IF($GJ43&lt;N_Ed-1E-9*MAX(1,N_Ed),GH43,(GG43+GH43)/2)</f>
        <v/>
      </c>
      <c r="GM43">
        <f>h_col*((GK43+GL43)/2)/(1-(GK43+GL43)/2)</f>
        <v/>
      </c>
      <c r="GN43">
        <f>(f_cd*b_col*((3*MIN(GM43,h_col)/7)+(4*MIN(GM43,h_col)/7)*(1-((4*MIN(GM43,h_col)/7)/(GM43-(3*MIN(GM43,h_col)/7)))^2/3))+$D43/2*((MAX(-f_yd,MIN(f_yd,200000*IF(GM43&lt;=h_col,0.0035*(GM43-d_2)/GM43,0.002*(GM43-d_2)/(GM43-3*h_col/7))))-f_cd*(1-(1-MAX(0,MIN(1,IF(GM43&lt;=h_col,0.0035*(GM43-d_2)/GM43,0.002*(GM43-d_2)/(GM43-3*h_col/7))/0.002)))^2))+(MAX(-f_yd,MIN(f_yd,200000*IF(GM43&lt;=h_col,0.0035*(GM43-(h_col-d_2))/GM43,0.002*(GM43-(h_col-d_2))/(GM43-3*h_col/7))))-f_cd*(1-(1-MAX(0,MIN(1,IF(GM43&lt;=h_col,0.0035*(GM43-(h_col-d_2))/GM43,0.002*(GM43-(h_col-d_2))/(GM43-3*h_col/7))/0.002)))^2))))/1000</f>
        <v/>
      </c>
      <c r="GO43">
        <f>IF($GN43&lt;N_Ed-1E-9*MAX(1,N_Ed),(GK43+GL43)/2,GK43)</f>
        <v/>
      </c>
      <c r="GP43">
        <f>IF($GN43&lt;N_Ed-1E-9*MAX(1,N_Ed),GL43,(GK43+GL43)/2)</f>
        <v/>
      </c>
      <c r="GQ43">
        <f>h_col*((GO43+GP43)/2)/(1-(GO43+GP43)/2)</f>
        <v/>
      </c>
      <c r="GR43">
        <f>(f_cd*b_col*((3*MIN(GQ43,h_col)/7)+(4*MIN(GQ43,h_col)/7)*(1-((4*MIN(GQ43,h_col)/7)/(GQ43-(3*MIN(GQ43,h_col)/7)))^2/3))+$D43/2*((MAX(-f_yd,MIN(f_yd,200000*IF(GQ43&lt;=h_col,0.0035*(GQ43-d_2)/GQ43,0.002*(GQ43-d_2)/(GQ43-3*h_col/7))))-f_cd*(1-(1-MAX(0,MIN(1,IF(GQ43&lt;=h_col,0.0035*(GQ43-d_2)/GQ43,0.002*(GQ43-d_2)/(GQ43-3*h_col/7))/0.002)))^2))+(MAX(-f_yd,MIN(f_yd,200000*IF(GQ43&lt;=h_col,0.0035*(GQ43-(h_col-d_2))/GQ43,0.002*(GQ43-(h_col-d_2))/(GQ43-3*h_col/7))))-f_cd*(1-(1-MAX(0,MIN(1,IF(GQ43&lt;=h_col,0.0035*(GQ43-(h_col-d_2))/GQ43,0.002*(GQ43-(h_col-d_2))/(GQ43-3*h_col/7))/0.002)))^2))))/1000</f>
        <v/>
      </c>
      <c r="GS43">
        <f>IF($GR43&lt;N_Ed-1E-9*MAX(1,N_Ed),(GO43+GP43)/2,GO43)</f>
        <v/>
      </c>
      <c r="GT43">
        <f>IF($GR43&lt;N_Ed-1E-9*MAX(1,N_Ed),GP43,(GO43+GP43)/2)</f>
        <v/>
      </c>
      <c r="GU43">
        <f>h_col*((GS43+GT43)/2)/(1-(GS43+GT43)/2)</f>
        <v/>
      </c>
      <c r="GV43">
        <f>(f_cd*b_col*((3*MIN(GU43,h_col)/7)+(4*MIN(GU43,h_col)/7)*(1-((4*MIN(GU43,h_col)/7)/(GU43-(3*MIN(GU43,h_col)/7)))^2/3))+$D43/2*((MAX(-f_yd,MIN(f_yd,200000*IF(GU43&lt;=h_col,0.0035*(GU43-d_2)/GU43,0.002*(GU43-d_2)/(GU43-3*h_col/7))))-f_cd*(1-(1-MAX(0,MIN(1,IF(GU43&lt;=h_col,0.0035*(GU43-d_2)/GU43,0.002*(GU43-d_2)/(GU43-3*h_col/7))/0.002)))^2))+(MAX(-f_yd,MIN(f_yd,200000*IF(GU43&lt;=h_col,0.0035*(GU43-(h_col-d_2))/GU43,0.002*(GU43-(h_col-d_2))/(GU43-3*h_col/7))))-f_cd*(1-(1-MAX(0,MIN(1,IF(GU43&lt;=h_col,0.0035*(GU43-(h_col-d_2))/GU43,0.002*(GU43-(h_col-d_2))/(GU43-3*h_col/7))/0.002)))^2))))/1000</f>
        <v/>
      </c>
      <c r="GW43">
        <f>GU43</f>
        <v/>
      </c>
      <c r="GX43">
        <f>(f_cd*b_col*((3*MIN(GW43,h_col)/7)+(4*MIN(GW43,h_col)/7)*(1-((4*MIN(GW43,h_col)/7)/(GW43-(3*MIN(GW43,h_col)/7)))^2/3))+$D43/2*((MAX(-f_yd,MIN(f_yd,200000*IF(GW43&lt;=h_col,0.0035*(GW43-d_2)/GW43,0.002*(GW43-d_2)/(GW43-3*h_col/7))))-f_cd*(1-(1-MAX(0,MIN(1,IF(GW43&lt;=h_col,0.0035*(GW43-d_2)/GW43,0.002*(GW43-d_2)/(GW43-3*h_col/7))/0.002)))^2))+(MAX(-f_yd,MIN(f_yd,200000*IF(GW43&lt;=h_col,0.0035*(GW43-(h_col-d_2))/GW43,0.002*(GW43-(h_col-d_2))/(GW43-3*h_col/7))))-f_cd*(1-(1-MAX(0,MIN(1,IF(GW43&lt;=h_col,0.0035*(GW43-(h_col-d_2))/GW43,0.002*(GW43-(h_col-d_2))/(GW43-3*h_col/7))/0.002)))^2))))/1000</f>
        <v/>
      </c>
      <c r="GY43">
        <f>(f_cd*b_col*((3*MIN(GW43,h_col)/7)*(h_col/2-(3*MIN(GW43,h_col)/7)/2)+(4*MIN(GW43,h_col)/7)*((h_col/2-(3*MIN(GW43,h_col)/7))*(1-((4*MIN(GW43,h_col)/7)/(GW43-(3*MIN(GW43,h_col)/7)))^2/3)-(4*MIN(GW43,h_col)/7)*(0.5-((4*MIN(GW43,h_col)/7)/(GW43-(3*MIN(GW43,h_col)/7)))^2/4)))+$D43/2*((MAX(-f_yd,MIN(f_yd,200000*IF(GW43&lt;=h_col,0.0035*(GW43-d_2)/GW43,0.002*(GW43-d_2)/(GW43-3*h_col/7))))-f_cd*(1-(1-MAX(0,MIN(1,IF(GW43&lt;=h_col,0.0035*(GW43-d_2)/GW43,0.002*(GW43-d_2)/(GW43-3*h_col/7))/0.002)))^2))-(MAX(-f_yd,MIN(f_yd,200000*IF(GW43&lt;=h_col,0.0035*(GW43-(h_col-d_2))/GW43,0.002*(GW43-(h_col-d_2))/(GW43-3*h_col/7))))-f_cd*(1-(1-MAX(0,MIN(1,IF(GW43&lt;=h_col,0.0035*(GW43-(h_col-d_2))/GW43,0.002*(GW43-(h_col-d_2))/(GW43-3*h_col/7))/0.002)))^2)))*(h_col/2-d_2))/1E6</f>
        <v/>
      </c>
      <c r="GZ43">
        <f>GX43&gt;=N_Ed-1E-6*MAX(1,N_Ed)</f>
        <v/>
      </c>
      <c r="HA43">
        <f>IF(GZ43,GY43,-1E9)</f>
        <v/>
      </c>
    </row>
    <row r="44">
      <c r="A44" t="n">
        <v>39</v>
      </c>
      <c r="B44">
        <f>IF($HA43&gt;=M_d,$B43,$D43)</f>
        <v/>
      </c>
      <c r="C44">
        <f>IF($HA43&gt;=M_d,$D43,$C43)</f>
        <v/>
      </c>
      <c r="D44">
        <f>($B44+$C44)/2</f>
        <v/>
      </c>
      <c r="E44" t="n">
        <v>0</v>
      </c>
      <c r="F44">
        <f>1-1E-12</f>
        <v/>
      </c>
      <c r="G44">
        <f>h_col*((E44+F44)/2)/(1-(E44+F44)/2)</f>
        <v/>
      </c>
      <c r="H44">
        <f>(f_cd*b_col*((3*MIN(G44,h_col)/7)+(4*MIN(G44,h_col)/7)*(1-((4*MIN(G44,h_col)/7)/(G44-(3*MIN(G44,h_col)/7)))^2/3))+$D44/2*((MAX(-f_yd,MIN(f_yd,200000*IF(G44&lt;=h_col,0.0035*(G44-d_2)/G44,0.002*(G44-d_2)/(G44-3*h_col/7))))-f_cd*(1-(1-MAX(0,MIN(1,IF(G44&lt;=h_col,0.0035*(G44-d_2)/G44,0.002*(G44-d_2)/(G44-3*h_col/7))/0.002)))^2))+(MAX(-f_yd,MIN(f_yd,200000*IF(G44&lt;=h_col,0.0035*(G44-(h_col-d_2))/G44,0.002*(G44-(h_col-d_2))/(G44-3*h_col/7))))-f_cd*(1-(1-MAX(0,MIN(1,IF(G44&lt;=h_col,0.0035*(G44-(h_col-d_2))/G44,0.002*(G44-(h_col-d_2))/(G44-3*h_col/7))/0.002)))^2))))/1000</f>
        <v/>
      </c>
      <c r="I44">
        <f>IF($H44&lt;N_Ed-1E-9*MAX(1,N_Ed),(E44+F44)/2,E44)</f>
        <v/>
      </c>
      <c r="J44">
        <f>IF($H44&lt;N_Ed-1E-9*MAX(1,N_Ed),F44,(E44+F44)/2)</f>
        <v/>
      </c>
      <c r="K44">
        <f>h_col*((I44+J44)/2)/(1-(I44+J44)/2)</f>
        <v/>
      </c>
      <c r="L44">
        <f>(f_cd*b_col*((3*MIN(K44,h_col)/7)+(4*MIN(K44,h_col)/7)*(1-((4*MIN(K44,h_col)/7)/(K44-(3*MIN(K44,h_col)/7)))^2/3))+$D44/2*((MAX(-f_yd,MIN(f_yd,200000*IF(K44&lt;=h_col,0.0035*(K44-d_2)/K44,0.002*(K44-d_2)/(K44-3*h_col/7))))-f_cd*(1-(1-MAX(0,MIN(1,IF(K44&lt;=h_col,0.0035*(K44-d_2)/K44,0.002*(K44-d_2)/(K44-3*h_col/7))/0.002)))^2))+(MAX(-f_yd,MIN(f_yd,200000*IF(K44&lt;=h_col,0.0035*(K44-(h_col-d_2))/K44,0.002*(K44-(h_col-d_2))/(K44-3*h_col/7))))-f_cd*(1-(1-MAX(0,MIN(1,IF(K44&lt;=h_col,0.0035*(K44-(h_col-d_2))/K44,0.002*(K44-(h_col-d_2))/(K44-3*h_col/7))/0.002)))^2))))/1000</f>
        <v/>
      </c>
      <c r="M44">
        <f>IF($L44&lt;N_Ed-1E-9*MAX(1,N_Ed),(I44+J44)/2,I44)</f>
        <v/>
      </c>
      <c r="N44">
        <f>IF($L44&lt;N_Ed-1E-9*MAX(1,N_Ed),J44,(I44+J44)/2)</f>
        <v/>
      </c>
      <c r="O44">
        <f>h_col*((M44+N44)/2)/(1-(M44+N44)/2)</f>
        <v/>
      </c>
      <c r="P44">
        <f>(f_cd*b_col*((3*MIN(O44,h_col)/7)+(4*MIN(O44,h_col)/7)*(1-((4*MIN(O44,h_col)/7)/(O44-(3*MIN(O44,h_col)/7)))^2/3))+$D44/2*((MAX(-f_yd,MIN(f_yd,200000*IF(O44&lt;=h_col,0.0035*(O44-d_2)/O44,0.002*(O44-d_2)/(O44-3*h_col/7))))-f_cd*(1-(1-MAX(0,MIN(1,IF(O44&lt;=h_col,0.0035*(O44-d_2)/O44,0.002*(O44-d_2)/(O44-3*h_col/7))/0.002)))^2))+(MAX(-f_yd,MIN(f_yd,200000*IF(O44&lt;=h_col,0.0035*(O44-(h_col-d_2))/O44,0.002*(O44-(h_col-d_2))/(O44-3*h_col/7))))-f_cd*(1-(1-MAX(0,MIN(1,IF(O44&lt;=h_col,0.0035*(O44-(h_col-d_2))/O44,0.002*(O44-(h_col-d_2))/(O44-3*h_col/7))/0.002)))^2))))/1000</f>
        <v/>
      </c>
      <c r="Q44">
        <f>IF($P44&lt;N_Ed-1E-9*MAX(1,N_Ed),(M44+N44)/2,M44)</f>
        <v/>
      </c>
      <c r="R44">
        <f>IF($P44&lt;N_Ed-1E-9*MAX(1,N_Ed),N44,(M44+N44)/2)</f>
        <v/>
      </c>
      <c r="S44">
        <f>h_col*((Q44+R44)/2)/(1-(Q44+R44)/2)</f>
        <v/>
      </c>
      <c r="T44">
        <f>(f_cd*b_col*((3*MIN(S44,h_col)/7)+(4*MIN(S44,h_col)/7)*(1-((4*MIN(S44,h_col)/7)/(S44-(3*MIN(S44,h_col)/7)))^2/3))+$D44/2*((MAX(-f_yd,MIN(f_yd,200000*IF(S44&lt;=h_col,0.0035*(S44-d_2)/S44,0.002*(S44-d_2)/(S44-3*h_col/7))))-f_cd*(1-(1-MAX(0,MIN(1,IF(S44&lt;=h_col,0.0035*(S44-d_2)/S44,0.002*(S44-d_2)/(S44-3*h_col/7))/0.002)))^2))+(MAX(-f_yd,MIN(f_yd,200000*IF(S44&lt;=h_col,0.0035*(S44-(h_col-d_2))/S44,0.002*(S44-(h_col-d_2))/(S44-3*h_col/7))))-f_cd*(1-(1-MAX(0,MIN(1,IF(S44&lt;=h_col,0.0035*(S44-(h_col-d_2))/S44,0.002*(S44-(h_col-d_2))/(S44-3*h_col/7))/0.002)))^2))))/1000</f>
        <v/>
      </c>
      <c r="U44">
        <f>IF($T44&lt;N_Ed-1E-9*MAX(1,N_Ed),(Q44+R44)/2,Q44)</f>
        <v/>
      </c>
      <c r="V44">
        <f>IF($T44&lt;N_Ed-1E-9*MAX(1,N_Ed),R44,(Q44+R44)/2)</f>
        <v/>
      </c>
      <c r="W44">
        <f>h_col*((U44+V44)/2)/(1-(U44+V44)/2)</f>
        <v/>
      </c>
      <c r="X44">
        <f>(f_cd*b_col*((3*MIN(W44,h_col)/7)+(4*MIN(W44,h_col)/7)*(1-((4*MIN(W44,h_col)/7)/(W44-(3*MIN(W44,h_col)/7)))^2/3))+$D44/2*((MAX(-f_yd,MIN(f_yd,200000*IF(W44&lt;=h_col,0.0035*(W44-d_2)/W44,0.002*(W44-d_2)/(W44-3*h_col/7))))-f_cd*(1-(1-MAX(0,MIN(1,IF(W44&lt;=h_col,0.0035*(W44-d_2)/W44,0.002*(W44-d_2)/(W44-3*h_col/7))/0.002)))^2))+(MAX(-f_yd,MIN(f_yd,200000*IF(W44&lt;=h_col,0.0035*(W44-(h_col-d_2))/W44,0.002*(W44-(h_col-d_2))/(W44-3*h_col/7))))-f_cd*(1-(1-MAX(0,MIN(1,IF(W44&lt;=h_col,0.0035*(W44-(h_col-d_2))/W44,0.002*(W44-(h_col-d_2))/(W44-3*h_col/7))/0.002)))^2))))/1000</f>
        <v/>
      </c>
      <c r="Y44">
        <f>IF($X44&lt;N_Ed-1E-9*MAX(1,N_Ed),(U44+V44)/2,U44)</f>
        <v/>
      </c>
      <c r="Z44">
        <f>IF($X44&lt;N_Ed-1E-9*MAX(1,N_Ed),V44,(U44+V44)/2)</f>
        <v/>
      </c>
      <c r="AA44">
        <f>h_col*((Y44+Z44)/2)/(1-(Y44+Z44)/2)</f>
        <v/>
      </c>
      <c r="AB44">
        <f>(f_cd*b_col*((3*MIN(AA44,h_col)/7)+(4*MIN(AA44,h_col)/7)*(1-((4*MIN(AA44,h_col)/7)/(AA44-(3*MIN(AA44,h_col)/7)))^2/3))+$D44/2*((MAX(-f_yd,MIN(f_yd,200000*IF(AA44&lt;=h_col,0.0035*(AA44-d_2)/AA44,0.002*(AA44-d_2)/(AA44-3*h_col/7))))-f_cd*(1-(1-MAX(0,MIN(1,IF(AA44&lt;=h_col,0.0035*(AA44-d_2)/AA44,0.002*(AA44-d_2)/(AA44-3*h_col/7))/0.002)))^2))+(MAX(-f_yd,MIN(f_yd,200000*IF(AA44&lt;=h_col,0.0035*(AA44-(h_col-d_2))/AA44,0.002*(AA44-(h_col-d_2))/(AA44-3*h_col/7))))-f_cd*(1-(1-MAX(0,MIN(1,IF(AA44&lt;=h_col,0.0035*(AA44-(h_col-d_2))/AA44,0.002*(AA44-(h_col-d_2))/(AA44-3*h_col/7))/0.002)))^2))))/1000</f>
        <v/>
      </c>
      <c r="AC44">
        <f>IF($AB44&lt;N_Ed-1E-9*MAX(1,N_Ed),(Y44+Z44)/2,Y44)</f>
        <v/>
      </c>
      <c r="AD44">
        <f>IF($AB44&lt;N_Ed-1E-9*MAX(1,N_Ed),Z44,(Y44+Z44)/2)</f>
        <v/>
      </c>
      <c r="AE44">
        <f>h_col*((AC44+AD44)/2)/(1-(AC44+AD44)/2)</f>
        <v/>
      </c>
      <c r="AF44">
        <f>(f_cd*b_col*((3*MIN(AE44,h_col)/7)+(4*MIN(AE44,h_col)/7)*(1-((4*MIN(AE44,h_col)/7)/(AE44-(3*MIN(AE44,h_col)/7)))^2/3))+$D44/2*((MAX(-f_yd,MIN(f_yd,200000*IF(AE44&lt;=h_col,0.0035*(AE44-d_2)/AE44,0.002*(AE44-d_2)/(AE44-3*h_col/7))))-f_cd*(1-(1-MAX(0,MIN(1,IF(AE44&lt;=h_col,0.0035*(AE44-d_2)/AE44,0.002*(AE44-d_2)/(AE44-3*h_col/7))/0.002)))^2))+(MAX(-f_yd,MIN(f_yd,200000*IF(AE44&lt;=h_col,0.0035*(AE44-(h_col-d_2))/AE44,0.002*(AE44-(h_col-d_2))/(AE44-3*h_col/7))))-f_cd*(1-(1-MAX(0,MIN(1,IF(AE44&lt;=h_col,0.0035*(AE44-(h_col-d_2))/AE44,0.002*(AE44-(h_col-d_2))/(AE44-3*h_col/7))/0.002)))^2))))/1000</f>
        <v/>
      </c>
      <c r="AG44">
        <f>IF($AF44&lt;N_Ed-1E-9*MAX(1,N_Ed),(AC44+AD44)/2,AC44)</f>
        <v/>
      </c>
      <c r="AH44">
        <f>IF($AF44&lt;N_Ed-1E-9*MAX(1,N_Ed),AD44,(AC44+AD44)/2)</f>
        <v/>
      </c>
      <c r="AI44">
        <f>h_col*((AG44+AH44)/2)/(1-(AG44+AH44)/2)</f>
        <v/>
      </c>
      <c r="AJ44">
        <f>(f_cd*b_col*((3*MIN(AI44,h_col)/7)+(4*MIN(AI44,h_col)/7)*(1-((4*MIN(AI44,h_col)/7)/(AI44-(3*MIN(AI44,h_col)/7)))^2/3))+$D44/2*((MAX(-f_yd,MIN(f_yd,200000*IF(AI44&lt;=h_col,0.0035*(AI44-d_2)/AI44,0.002*(AI44-d_2)/(AI44-3*h_col/7))))-f_cd*(1-(1-MAX(0,MIN(1,IF(AI44&lt;=h_col,0.0035*(AI44-d_2)/AI44,0.002*(AI44-d_2)/(AI44-3*h_col/7))/0.002)))^2))+(MAX(-f_yd,MIN(f_yd,200000*IF(AI44&lt;=h_col,0.0035*(AI44-(h_col-d_2))/AI44,0.002*(AI44-(h_col-d_2))/(AI44-3*h_col/7))))-f_cd*(1-(1-MAX(0,MIN(1,IF(AI44&lt;=h_col,0.0035*(AI44-(h_col-d_2))/AI44,0.002*(AI44-(h_col-d_2))/(AI44-3*h_col/7))/0.002)))^2))))/1000</f>
        <v/>
      </c>
      <c r="AK44">
        <f>IF($AJ44&lt;N_Ed-1E-9*MAX(1,N_Ed),(AG44+AH44)/2,AG44)</f>
        <v/>
      </c>
      <c r="AL44">
        <f>IF($AJ44&lt;N_Ed-1E-9*MAX(1,N_Ed),AH44,(AG44+AH44)/2)</f>
        <v/>
      </c>
      <c r="AM44">
        <f>h_col*((AK44+AL44)/2)/(1-(AK44+AL44)/2)</f>
        <v/>
      </c>
      <c r="AN44">
        <f>(f_cd*b_col*((3*MIN(AM44,h_col)/7)+(4*MIN(AM44,h_col)/7)*(1-((4*MIN(AM44,h_col)/7)/(AM44-(3*MIN(AM44,h_col)/7)))^2/3))+$D44/2*((MAX(-f_yd,MIN(f_yd,200000*IF(AM44&lt;=h_col,0.0035*(AM44-d_2)/AM44,0.002*(AM44-d_2)/(AM44-3*h_col/7))))-f_cd*(1-(1-MAX(0,MIN(1,IF(AM44&lt;=h_col,0.0035*(AM44-d_2)/AM44,0.002*(AM44-d_2)/(AM44-3*h_col/7))/0.002)))^2))+(MAX(-f_yd,MIN(f_yd,200000*IF(AM44&lt;=h_col,0.0035*(AM44-(h_col-d_2))/AM44,0.002*(AM44-(h_col-d_2))/(AM44-3*h_col/7))))-f_cd*(1-(1-MAX(0,MIN(1,IF(AM44&lt;=h_col,0.0035*(AM44-(h_col-d_2))/AM44,0.002*(AM44-(h_col-d_2))/(AM44-3*h_col/7))/0.002)))^2))))/1000</f>
        <v/>
      </c>
      <c r="AO44">
        <f>IF($AN44&lt;N_Ed-1E-9*MAX(1,N_Ed),(AK44+AL44)/2,AK44)</f>
        <v/>
      </c>
      <c r="AP44">
        <f>IF($AN44&lt;N_Ed-1E-9*MAX(1,N_Ed),AL44,(AK44+AL44)/2)</f>
        <v/>
      </c>
      <c r="AQ44">
        <f>h_col*((AO44+AP44)/2)/(1-(AO44+AP44)/2)</f>
        <v/>
      </c>
      <c r="AR44">
        <f>(f_cd*b_col*((3*MIN(AQ44,h_col)/7)+(4*MIN(AQ44,h_col)/7)*(1-((4*MIN(AQ44,h_col)/7)/(AQ44-(3*MIN(AQ44,h_col)/7)))^2/3))+$D44/2*((MAX(-f_yd,MIN(f_yd,200000*IF(AQ44&lt;=h_col,0.0035*(AQ44-d_2)/AQ44,0.002*(AQ44-d_2)/(AQ44-3*h_col/7))))-f_cd*(1-(1-MAX(0,MIN(1,IF(AQ44&lt;=h_col,0.0035*(AQ44-d_2)/AQ44,0.002*(AQ44-d_2)/(AQ44-3*h_col/7))/0.002)))^2))+(MAX(-f_yd,MIN(f_yd,200000*IF(AQ44&lt;=h_col,0.0035*(AQ44-(h_col-d_2))/AQ44,0.002*(AQ44-(h_col-d_2))/(AQ44-3*h_col/7))))-f_cd*(1-(1-MAX(0,MIN(1,IF(AQ44&lt;=h_col,0.0035*(AQ44-(h_col-d_2))/AQ44,0.002*(AQ44-(h_col-d_2))/(AQ44-3*h_col/7))/0.002)))^2))))/1000</f>
        <v/>
      </c>
      <c r="AS44">
        <f>IF($AR44&lt;N_Ed-1E-9*MAX(1,N_Ed),(AO44+AP44)/2,AO44)</f>
        <v/>
      </c>
      <c r="AT44">
        <f>IF($AR44&lt;N_Ed-1E-9*MAX(1,N_Ed),AP44,(AO44+AP44)/2)</f>
        <v/>
      </c>
      <c r="AU44">
        <f>h_col*((AS44+AT44)/2)/(1-(AS44+AT44)/2)</f>
        <v/>
      </c>
      <c r="AV44">
        <f>(f_cd*b_col*((3*MIN(AU44,h_col)/7)+(4*MIN(AU44,h_col)/7)*(1-((4*MIN(AU44,h_col)/7)/(AU44-(3*MIN(AU44,h_col)/7)))^2/3))+$D44/2*((MAX(-f_yd,MIN(f_yd,200000*IF(AU44&lt;=h_col,0.0035*(AU44-d_2)/AU44,0.002*(AU44-d_2)/(AU44-3*h_col/7))))-f_cd*(1-(1-MAX(0,MIN(1,IF(AU44&lt;=h_col,0.0035*(AU44-d_2)/AU44,0.002*(AU44-d_2)/(AU44-3*h_col/7))/0.002)))^2))+(MAX(-f_yd,MIN(f_yd,200000*IF(AU44&lt;=h_col,0.0035*(AU44-(h_col-d_2))/AU44,0.002*(AU44-(h_col-d_2))/(AU44-3*h_col/7))))-f_cd*(1-(1-MAX(0,MIN(1,IF(AU44&lt;=h_col,0.0035*(AU44-(h_col-d_2))/AU44,0.002*(AU44-(h_col-d_2))/(AU44-3*h_col/7))/0.002)))^2))))/1000</f>
        <v/>
      </c>
      <c r="AW44">
        <f>IF($AV44&lt;N_Ed-1E-9*MAX(1,N_Ed),(AS44+AT44)/2,AS44)</f>
        <v/>
      </c>
      <c r="AX44">
        <f>IF($AV44&lt;N_Ed-1E-9*MAX(1,N_Ed),AT44,(AS44+AT44)/2)</f>
        <v/>
      </c>
      <c r="AY44">
        <f>h_col*((AW44+AX44)/2)/(1-(AW44+AX44)/2)</f>
        <v/>
      </c>
      <c r="AZ44">
        <f>(f_cd*b_col*((3*MIN(AY44,h_col)/7)+(4*MIN(AY44,h_col)/7)*(1-((4*MIN(AY44,h_col)/7)/(AY44-(3*MIN(AY44,h_col)/7)))^2/3))+$D44/2*((MAX(-f_yd,MIN(f_yd,200000*IF(AY44&lt;=h_col,0.0035*(AY44-d_2)/AY44,0.002*(AY44-d_2)/(AY44-3*h_col/7))))-f_cd*(1-(1-MAX(0,MIN(1,IF(AY44&lt;=h_col,0.0035*(AY44-d_2)/AY44,0.002*(AY44-d_2)/(AY44-3*h_col/7))/0.002)))^2))+(MAX(-f_yd,MIN(f_yd,200000*IF(AY44&lt;=h_col,0.0035*(AY44-(h_col-d_2))/AY44,0.002*(AY44-(h_col-d_2))/(AY44-3*h_col/7))))-f_cd*(1-(1-MAX(0,MIN(1,IF(AY44&lt;=h_col,0.0035*(AY44-(h_col-d_2))/AY44,0.002*(AY44-(h_col-d_2))/(AY44-3*h_col/7))/0.002)))^2))))/1000</f>
        <v/>
      </c>
      <c r="BA44">
        <f>IF($AZ44&lt;N_Ed-1E-9*MAX(1,N_Ed),(AW44+AX44)/2,AW44)</f>
        <v/>
      </c>
      <c r="BB44">
        <f>IF($AZ44&lt;N_Ed-1E-9*MAX(1,N_Ed),AX44,(AW44+AX44)/2)</f>
        <v/>
      </c>
      <c r="BC44">
        <f>h_col*((BA44+BB44)/2)/(1-(BA44+BB44)/2)</f>
        <v/>
      </c>
      <c r="BD44">
        <f>(f_cd*b_col*((3*MIN(BC44,h_col)/7)+(4*MIN(BC44,h_col)/7)*(1-((4*MIN(BC44,h_col)/7)/(BC44-(3*MIN(BC44,h_col)/7)))^2/3))+$D44/2*((MAX(-f_yd,MIN(f_yd,200000*IF(BC44&lt;=h_col,0.0035*(BC44-d_2)/BC44,0.002*(BC44-d_2)/(BC44-3*h_col/7))))-f_cd*(1-(1-MAX(0,MIN(1,IF(BC44&lt;=h_col,0.0035*(BC44-d_2)/BC44,0.002*(BC44-d_2)/(BC44-3*h_col/7))/0.002)))^2))+(MAX(-f_yd,MIN(f_yd,200000*IF(BC44&lt;=h_col,0.0035*(BC44-(h_col-d_2))/BC44,0.002*(BC44-(h_col-d_2))/(BC44-3*h_col/7))))-f_cd*(1-(1-MAX(0,MIN(1,IF(BC44&lt;=h_col,0.0035*(BC44-(h_col-d_2))/BC44,0.002*(BC44-(h_col-d_2))/(BC44-3*h_col/7))/0.002)))^2))))/1000</f>
        <v/>
      </c>
      <c r="BE44">
        <f>IF($BD44&lt;N_Ed-1E-9*MAX(1,N_Ed),(BA44+BB44)/2,BA44)</f>
        <v/>
      </c>
      <c r="BF44">
        <f>IF($BD44&lt;N_Ed-1E-9*MAX(1,N_Ed),BB44,(BA44+BB44)/2)</f>
        <v/>
      </c>
      <c r="BG44">
        <f>h_col*((BE44+BF44)/2)/(1-(BE44+BF44)/2)</f>
        <v/>
      </c>
      <c r="BH44">
        <f>(f_cd*b_col*((3*MIN(BG44,h_col)/7)+(4*MIN(BG44,h_col)/7)*(1-((4*MIN(BG44,h_col)/7)/(BG44-(3*MIN(BG44,h_col)/7)))^2/3))+$D44/2*((MAX(-f_yd,MIN(f_yd,200000*IF(BG44&lt;=h_col,0.0035*(BG44-d_2)/BG44,0.002*(BG44-d_2)/(BG44-3*h_col/7))))-f_cd*(1-(1-MAX(0,MIN(1,IF(BG44&lt;=h_col,0.0035*(BG44-d_2)/BG44,0.002*(BG44-d_2)/(BG44-3*h_col/7))/0.002)))^2))+(MAX(-f_yd,MIN(f_yd,200000*IF(BG44&lt;=h_col,0.0035*(BG44-(h_col-d_2))/BG44,0.002*(BG44-(h_col-d_2))/(BG44-3*h_col/7))))-f_cd*(1-(1-MAX(0,MIN(1,IF(BG44&lt;=h_col,0.0035*(BG44-(h_col-d_2))/BG44,0.002*(BG44-(h_col-d_2))/(BG44-3*h_col/7))/0.002)))^2))))/1000</f>
        <v/>
      </c>
      <c r="BI44">
        <f>IF($BH44&lt;N_Ed-1E-9*MAX(1,N_Ed),(BE44+BF44)/2,BE44)</f>
        <v/>
      </c>
      <c r="BJ44">
        <f>IF($BH44&lt;N_Ed-1E-9*MAX(1,N_Ed),BF44,(BE44+BF44)/2)</f>
        <v/>
      </c>
      <c r="BK44">
        <f>h_col*((BI44+BJ44)/2)/(1-(BI44+BJ44)/2)</f>
        <v/>
      </c>
      <c r="BL44">
        <f>(f_cd*b_col*((3*MIN(BK44,h_col)/7)+(4*MIN(BK44,h_col)/7)*(1-((4*MIN(BK44,h_col)/7)/(BK44-(3*MIN(BK44,h_col)/7)))^2/3))+$D44/2*((MAX(-f_yd,MIN(f_yd,200000*IF(BK44&lt;=h_col,0.0035*(BK44-d_2)/BK44,0.002*(BK44-d_2)/(BK44-3*h_col/7))))-f_cd*(1-(1-MAX(0,MIN(1,IF(BK44&lt;=h_col,0.0035*(BK44-d_2)/BK44,0.002*(BK44-d_2)/(BK44-3*h_col/7))/0.002)))^2))+(MAX(-f_yd,MIN(f_yd,200000*IF(BK44&lt;=h_col,0.0035*(BK44-(h_col-d_2))/BK44,0.002*(BK44-(h_col-d_2))/(BK44-3*h_col/7))))-f_cd*(1-(1-MAX(0,MIN(1,IF(BK44&lt;=h_col,0.0035*(BK44-(h_col-d_2))/BK44,0.002*(BK44-(h_col-d_2))/(BK44-3*h_col/7))/0.002)))^2))))/1000</f>
        <v/>
      </c>
      <c r="BM44">
        <f>IF($BL44&lt;N_Ed-1E-9*MAX(1,N_Ed),(BI44+BJ44)/2,BI44)</f>
        <v/>
      </c>
      <c r="BN44">
        <f>IF($BL44&lt;N_Ed-1E-9*MAX(1,N_Ed),BJ44,(BI44+BJ44)/2)</f>
        <v/>
      </c>
      <c r="BO44">
        <f>h_col*((BM44+BN44)/2)/(1-(BM44+BN44)/2)</f>
        <v/>
      </c>
      <c r="BP44">
        <f>(f_cd*b_col*((3*MIN(BO44,h_col)/7)+(4*MIN(BO44,h_col)/7)*(1-((4*MIN(BO44,h_col)/7)/(BO44-(3*MIN(BO44,h_col)/7)))^2/3))+$D44/2*((MAX(-f_yd,MIN(f_yd,200000*IF(BO44&lt;=h_col,0.0035*(BO44-d_2)/BO44,0.002*(BO44-d_2)/(BO44-3*h_col/7))))-f_cd*(1-(1-MAX(0,MIN(1,IF(BO44&lt;=h_col,0.0035*(BO44-d_2)/BO44,0.002*(BO44-d_2)/(BO44-3*h_col/7))/0.002)))^2))+(MAX(-f_yd,MIN(f_yd,200000*IF(BO44&lt;=h_col,0.0035*(BO44-(h_col-d_2))/BO44,0.002*(BO44-(h_col-d_2))/(BO44-3*h_col/7))))-f_cd*(1-(1-MAX(0,MIN(1,IF(BO44&lt;=h_col,0.0035*(BO44-(h_col-d_2))/BO44,0.002*(BO44-(h_col-d_2))/(BO44-3*h_col/7))/0.002)))^2))))/1000</f>
        <v/>
      </c>
      <c r="BQ44">
        <f>IF($BP44&lt;N_Ed-1E-9*MAX(1,N_Ed),(BM44+BN44)/2,BM44)</f>
        <v/>
      </c>
      <c r="BR44">
        <f>IF($BP44&lt;N_Ed-1E-9*MAX(1,N_Ed),BN44,(BM44+BN44)/2)</f>
        <v/>
      </c>
      <c r="BS44">
        <f>h_col*((BQ44+BR44)/2)/(1-(BQ44+BR44)/2)</f>
        <v/>
      </c>
      <c r="BT44">
        <f>(f_cd*b_col*((3*MIN(BS44,h_col)/7)+(4*MIN(BS44,h_col)/7)*(1-((4*MIN(BS44,h_col)/7)/(BS44-(3*MIN(BS44,h_col)/7)))^2/3))+$D44/2*((MAX(-f_yd,MIN(f_yd,200000*IF(BS44&lt;=h_col,0.0035*(BS44-d_2)/BS44,0.002*(BS44-d_2)/(BS44-3*h_col/7))))-f_cd*(1-(1-MAX(0,MIN(1,IF(BS44&lt;=h_col,0.0035*(BS44-d_2)/BS44,0.002*(BS44-d_2)/(BS44-3*h_col/7))/0.002)))^2))+(MAX(-f_yd,MIN(f_yd,200000*IF(BS44&lt;=h_col,0.0035*(BS44-(h_col-d_2))/BS44,0.002*(BS44-(h_col-d_2))/(BS44-3*h_col/7))))-f_cd*(1-(1-MAX(0,MIN(1,IF(BS44&lt;=h_col,0.0035*(BS44-(h_col-d_2))/BS44,0.002*(BS44-(h_col-d_2))/(BS44-3*h_col/7))/0.002)))^2))))/1000</f>
        <v/>
      </c>
      <c r="BU44">
        <f>IF($BT44&lt;N_Ed-1E-9*MAX(1,N_Ed),(BQ44+BR44)/2,BQ44)</f>
        <v/>
      </c>
      <c r="BV44">
        <f>IF($BT44&lt;N_Ed-1E-9*MAX(1,N_Ed),BR44,(BQ44+BR44)/2)</f>
        <v/>
      </c>
      <c r="BW44">
        <f>h_col*((BU44+BV44)/2)/(1-(BU44+BV44)/2)</f>
        <v/>
      </c>
      <c r="BX44">
        <f>(f_cd*b_col*((3*MIN(BW44,h_col)/7)+(4*MIN(BW44,h_col)/7)*(1-((4*MIN(BW44,h_col)/7)/(BW44-(3*MIN(BW44,h_col)/7)))^2/3))+$D44/2*((MAX(-f_yd,MIN(f_yd,200000*IF(BW44&lt;=h_col,0.0035*(BW44-d_2)/BW44,0.002*(BW44-d_2)/(BW44-3*h_col/7))))-f_cd*(1-(1-MAX(0,MIN(1,IF(BW44&lt;=h_col,0.0035*(BW44-d_2)/BW44,0.002*(BW44-d_2)/(BW44-3*h_col/7))/0.002)))^2))+(MAX(-f_yd,MIN(f_yd,200000*IF(BW44&lt;=h_col,0.0035*(BW44-(h_col-d_2))/BW44,0.002*(BW44-(h_col-d_2))/(BW44-3*h_col/7))))-f_cd*(1-(1-MAX(0,MIN(1,IF(BW44&lt;=h_col,0.0035*(BW44-(h_col-d_2))/BW44,0.002*(BW44-(h_col-d_2))/(BW44-3*h_col/7))/0.002)))^2))))/1000</f>
        <v/>
      </c>
      <c r="BY44">
        <f>IF($BX44&lt;N_Ed-1E-9*MAX(1,N_Ed),(BU44+BV44)/2,BU44)</f>
        <v/>
      </c>
      <c r="BZ44">
        <f>IF($BX44&lt;N_Ed-1E-9*MAX(1,N_Ed),BV44,(BU44+BV44)/2)</f>
        <v/>
      </c>
      <c r="CA44">
        <f>h_col*((BY44+BZ44)/2)/(1-(BY44+BZ44)/2)</f>
        <v/>
      </c>
      <c r="CB44">
        <f>(f_cd*b_col*((3*MIN(CA44,h_col)/7)+(4*MIN(CA44,h_col)/7)*(1-((4*MIN(CA44,h_col)/7)/(CA44-(3*MIN(CA44,h_col)/7)))^2/3))+$D44/2*((MAX(-f_yd,MIN(f_yd,200000*IF(CA44&lt;=h_col,0.0035*(CA44-d_2)/CA44,0.002*(CA44-d_2)/(CA44-3*h_col/7))))-f_cd*(1-(1-MAX(0,MIN(1,IF(CA44&lt;=h_col,0.0035*(CA44-d_2)/CA44,0.002*(CA44-d_2)/(CA44-3*h_col/7))/0.002)))^2))+(MAX(-f_yd,MIN(f_yd,200000*IF(CA44&lt;=h_col,0.0035*(CA44-(h_col-d_2))/CA44,0.002*(CA44-(h_col-d_2))/(CA44-3*h_col/7))))-f_cd*(1-(1-MAX(0,MIN(1,IF(CA44&lt;=h_col,0.0035*(CA44-(h_col-d_2))/CA44,0.002*(CA44-(h_col-d_2))/(CA44-3*h_col/7))/0.002)))^2))))/1000</f>
        <v/>
      </c>
      <c r="CC44">
        <f>IF($CB44&lt;N_Ed-1E-9*MAX(1,N_Ed),(BY44+BZ44)/2,BY44)</f>
        <v/>
      </c>
      <c r="CD44">
        <f>IF($CB44&lt;N_Ed-1E-9*MAX(1,N_Ed),BZ44,(BY44+BZ44)/2)</f>
        <v/>
      </c>
      <c r="CE44">
        <f>h_col*((CC44+CD44)/2)/(1-(CC44+CD44)/2)</f>
        <v/>
      </c>
      <c r="CF44">
        <f>(f_cd*b_col*((3*MIN(CE44,h_col)/7)+(4*MIN(CE44,h_col)/7)*(1-((4*MIN(CE44,h_col)/7)/(CE44-(3*MIN(CE44,h_col)/7)))^2/3))+$D44/2*((MAX(-f_yd,MIN(f_yd,200000*IF(CE44&lt;=h_col,0.0035*(CE44-d_2)/CE44,0.002*(CE44-d_2)/(CE44-3*h_col/7))))-f_cd*(1-(1-MAX(0,MIN(1,IF(CE44&lt;=h_col,0.0035*(CE44-d_2)/CE44,0.002*(CE44-d_2)/(CE44-3*h_col/7))/0.002)))^2))+(MAX(-f_yd,MIN(f_yd,200000*IF(CE44&lt;=h_col,0.0035*(CE44-(h_col-d_2))/CE44,0.002*(CE44-(h_col-d_2))/(CE44-3*h_col/7))))-f_cd*(1-(1-MAX(0,MIN(1,IF(CE44&lt;=h_col,0.0035*(CE44-(h_col-d_2))/CE44,0.002*(CE44-(h_col-d_2))/(CE44-3*h_col/7))/0.002)))^2))))/1000</f>
        <v/>
      </c>
      <c r="CG44">
        <f>IF($CF44&lt;N_Ed-1E-9*MAX(1,N_Ed),(CC44+CD44)/2,CC44)</f>
        <v/>
      </c>
      <c r="CH44">
        <f>IF($CF44&lt;N_Ed-1E-9*MAX(1,N_Ed),CD44,(CC44+CD44)/2)</f>
        <v/>
      </c>
      <c r="CI44">
        <f>h_col*((CG44+CH44)/2)/(1-(CG44+CH44)/2)</f>
        <v/>
      </c>
      <c r="CJ44">
        <f>(f_cd*b_col*((3*MIN(CI44,h_col)/7)+(4*MIN(CI44,h_col)/7)*(1-((4*MIN(CI44,h_col)/7)/(CI44-(3*MIN(CI44,h_col)/7)))^2/3))+$D44/2*((MAX(-f_yd,MIN(f_yd,200000*IF(CI44&lt;=h_col,0.0035*(CI44-d_2)/CI44,0.002*(CI44-d_2)/(CI44-3*h_col/7))))-f_cd*(1-(1-MAX(0,MIN(1,IF(CI44&lt;=h_col,0.0035*(CI44-d_2)/CI44,0.002*(CI44-d_2)/(CI44-3*h_col/7))/0.002)))^2))+(MAX(-f_yd,MIN(f_yd,200000*IF(CI44&lt;=h_col,0.0035*(CI44-(h_col-d_2))/CI44,0.002*(CI44-(h_col-d_2))/(CI44-3*h_col/7))))-f_cd*(1-(1-MAX(0,MIN(1,IF(CI44&lt;=h_col,0.0035*(CI44-(h_col-d_2))/CI44,0.002*(CI44-(h_col-d_2))/(CI44-3*h_col/7))/0.002)))^2))))/1000</f>
        <v/>
      </c>
      <c r="CK44">
        <f>IF($CJ44&lt;N_Ed-1E-9*MAX(1,N_Ed),(CG44+CH44)/2,CG44)</f>
        <v/>
      </c>
      <c r="CL44">
        <f>IF($CJ44&lt;N_Ed-1E-9*MAX(1,N_Ed),CH44,(CG44+CH44)/2)</f>
        <v/>
      </c>
      <c r="CM44">
        <f>h_col*((CK44+CL44)/2)/(1-(CK44+CL44)/2)</f>
        <v/>
      </c>
      <c r="CN44">
        <f>(f_cd*b_col*((3*MIN(CM44,h_col)/7)+(4*MIN(CM44,h_col)/7)*(1-((4*MIN(CM44,h_col)/7)/(CM44-(3*MIN(CM44,h_col)/7)))^2/3))+$D44/2*((MAX(-f_yd,MIN(f_yd,200000*IF(CM44&lt;=h_col,0.0035*(CM44-d_2)/CM44,0.002*(CM44-d_2)/(CM44-3*h_col/7))))-f_cd*(1-(1-MAX(0,MIN(1,IF(CM44&lt;=h_col,0.0035*(CM44-d_2)/CM44,0.002*(CM44-d_2)/(CM44-3*h_col/7))/0.002)))^2))+(MAX(-f_yd,MIN(f_yd,200000*IF(CM44&lt;=h_col,0.0035*(CM44-(h_col-d_2))/CM44,0.002*(CM44-(h_col-d_2))/(CM44-3*h_col/7))))-f_cd*(1-(1-MAX(0,MIN(1,IF(CM44&lt;=h_col,0.0035*(CM44-(h_col-d_2))/CM44,0.002*(CM44-(h_col-d_2))/(CM44-3*h_col/7))/0.002)))^2))))/1000</f>
        <v/>
      </c>
      <c r="CO44">
        <f>IF($CN44&lt;N_Ed-1E-9*MAX(1,N_Ed),(CK44+CL44)/2,CK44)</f>
        <v/>
      </c>
      <c r="CP44">
        <f>IF($CN44&lt;N_Ed-1E-9*MAX(1,N_Ed),CL44,(CK44+CL44)/2)</f>
        <v/>
      </c>
      <c r="CQ44">
        <f>h_col*((CO44+CP44)/2)/(1-(CO44+CP44)/2)</f>
        <v/>
      </c>
      <c r="CR44">
        <f>(f_cd*b_col*((3*MIN(CQ44,h_col)/7)+(4*MIN(CQ44,h_col)/7)*(1-((4*MIN(CQ44,h_col)/7)/(CQ44-(3*MIN(CQ44,h_col)/7)))^2/3))+$D44/2*((MAX(-f_yd,MIN(f_yd,200000*IF(CQ44&lt;=h_col,0.0035*(CQ44-d_2)/CQ44,0.002*(CQ44-d_2)/(CQ44-3*h_col/7))))-f_cd*(1-(1-MAX(0,MIN(1,IF(CQ44&lt;=h_col,0.0035*(CQ44-d_2)/CQ44,0.002*(CQ44-d_2)/(CQ44-3*h_col/7))/0.002)))^2))+(MAX(-f_yd,MIN(f_yd,200000*IF(CQ44&lt;=h_col,0.0035*(CQ44-(h_col-d_2))/CQ44,0.002*(CQ44-(h_col-d_2))/(CQ44-3*h_col/7))))-f_cd*(1-(1-MAX(0,MIN(1,IF(CQ44&lt;=h_col,0.0035*(CQ44-(h_col-d_2))/CQ44,0.002*(CQ44-(h_col-d_2))/(CQ44-3*h_col/7))/0.002)))^2))))/1000</f>
        <v/>
      </c>
      <c r="CS44">
        <f>IF($CR44&lt;N_Ed-1E-9*MAX(1,N_Ed),(CO44+CP44)/2,CO44)</f>
        <v/>
      </c>
      <c r="CT44">
        <f>IF($CR44&lt;N_Ed-1E-9*MAX(1,N_Ed),CP44,(CO44+CP44)/2)</f>
        <v/>
      </c>
      <c r="CU44">
        <f>h_col*((CS44+CT44)/2)/(1-(CS44+CT44)/2)</f>
        <v/>
      </c>
      <c r="CV44">
        <f>(f_cd*b_col*((3*MIN(CU44,h_col)/7)+(4*MIN(CU44,h_col)/7)*(1-((4*MIN(CU44,h_col)/7)/(CU44-(3*MIN(CU44,h_col)/7)))^2/3))+$D44/2*((MAX(-f_yd,MIN(f_yd,200000*IF(CU44&lt;=h_col,0.0035*(CU44-d_2)/CU44,0.002*(CU44-d_2)/(CU44-3*h_col/7))))-f_cd*(1-(1-MAX(0,MIN(1,IF(CU44&lt;=h_col,0.0035*(CU44-d_2)/CU44,0.002*(CU44-d_2)/(CU44-3*h_col/7))/0.002)))^2))+(MAX(-f_yd,MIN(f_yd,200000*IF(CU44&lt;=h_col,0.0035*(CU44-(h_col-d_2))/CU44,0.002*(CU44-(h_col-d_2))/(CU44-3*h_col/7))))-f_cd*(1-(1-MAX(0,MIN(1,IF(CU44&lt;=h_col,0.0035*(CU44-(h_col-d_2))/CU44,0.002*(CU44-(h_col-d_2))/(CU44-3*h_col/7))/0.002)))^2))))/1000</f>
        <v/>
      </c>
      <c r="CW44">
        <f>IF($CV44&lt;N_Ed-1E-9*MAX(1,N_Ed),(CS44+CT44)/2,CS44)</f>
        <v/>
      </c>
      <c r="CX44">
        <f>IF($CV44&lt;N_Ed-1E-9*MAX(1,N_Ed),CT44,(CS44+CT44)/2)</f>
        <v/>
      </c>
      <c r="CY44">
        <f>h_col*((CW44+CX44)/2)/(1-(CW44+CX44)/2)</f>
        <v/>
      </c>
      <c r="CZ44">
        <f>(f_cd*b_col*((3*MIN(CY44,h_col)/7)+(4*MIN(CY44,h_col)/7)*(1-((4*MIN(CY44,h_col)/7)/(CY44-(3*MIN(CY44,h_col)/7)))^2/3))+$D44/2*((MAX(-f_yd,MIN(f_yd,200000*IF(CY44&lt;=h_col,0.0035*(CY44-d_2)/CY44,0.002*(CY44-d_2)/(CY44-3*h_col/7))))-f_cd*(1-(1-MAX(0,MIN(1,IF(CY44&lt;=h_col,0.0035*(CY44-d_2)/CY44,0.002*(CY44-d_2)/(CY44-3*h_col/7))/0.002)))^2))+(MAX(-f_yd,MIN(f_yd,200000*IF(CY44&lt;=h_col,0.0035*(CY44-(h_col-d_2))/CY44,0.002*(CY44-(h_col-d_2))/(CY44-3*h_col/7))))-f_cd*(1-(1-MAX(0,MIN(1,IF(CY44&lt;=h_col,0.0035*(CY44-(h_col-d_2))/CY44,0.002*(CY44-(h_col-d_2))/(CY44-3*h_col/7))/0.002)))^2))))/1000</f>
        <v/>
      </c>
      <c r="DA44">
        <f>IF($CZ44&lt;N_Ed-1E-9*MAX(1,N_Ed),(CW44+CX44)/2,CW44)</f>
        <v/>
      </c>
      <c r="DB44">
        <f>IF($CZ44&lt;N_Ed-1E-9*MAX(1,N_Ed),CX44,(CW44+CX44)/2)</f>
        <v/>
      </c>
      <c r="DC44">
        <f>h_col*((DA44+DB44)/2)/(1-(DA44+DB44)/2)</f>
        <v/>
      </c>
      <c r="DD44">
        <f>(f_cd*b_col*((3*MIN(DC44,h_col)/7)+(4*MIN(DC44,h_col)/7)*(1-((4*MIN(DC44,h_col)/7)/(DC44-(3*MIN(DC44,h_col)/7)))^2/3))+$D44/2*((MAX(-f_yd,MIN(f_yd,200000*IF(DC44&lt;=h_col,0.0035*(DC44-d_2)/DC44,0.002*(DC44-d_2)/(DC44-3*h_col/7))))-f_cd*(1-(1-MAX(0,MIN(1,IF(DC44&lt;=h_col,0.0035*(DC44-d_2)/DC44,0.002*(DC44-d_2)/(DC44-3*h_col/7))/0.002)))^2))+(MAX(-f_yd,MIN(f_yd,200000*IF(DC44&lt;=h_col,0.0035*(DC44-(h_col-d_2))/DC44,0.002*(DC44-(h_col-d_2))/(DC44-3*h_col/7))))-f_cd*(1-(1-MAX(0,MIN(1,IF(DC44&lt;=h_col,0.0035*(DC44-(h_col-d_2))/DC44,0.002*(DC44-(h_col-d_2))/(DC44-3*h_col/7))/0.002)))^2))))/1000</f>
        <v/>
      </c>
      <c r="DE44">
        <f>IF($DD44&lt;N_Ed-1E-9*MAX(1,N_Ed),(DA44+DB44)/2,DA44)</f>
        <v/>
      </c>
      <c r="DF44">
        <f>IF($DD44&lt;N_Ed-1E-9*MAX(1,N_Ed),DB44,(DA44+DB44)/2)</f>
        <v/>
      </c>
      <c r="DG44">
        <f>h_col*((DE44+DF44)/2)/(1-(DE44+DF44)/2)</f>
        <v/>
      </c>
      <c r="DH44">
        <f>(f_cd*b_col*((3*MIN(DG44,h_col)/7)+(4*MIN(DG44,h_col)/7)*(1-((4*MIN(DG44,h_col)/7)/(DG44-(3*MIN(DG44,h_col)/7)))^2/3))+$D44/2*((MAX(-f_yd,MIN(f_yd,200000*IF(DG44&lt;=h_col,0.0035*(DG44-d_2)/DG44,0.002*(DG44-d_2)/(DG44-3*h_col/7))))-f_cd*(1-(1-MAX(0,MIN(1,IF(DG44&lt;=h_col,0.0035*(DG44-d_2)/DG44,0.002*(DG44-d_2)/(DG44-3*h_col/7))/0.002)))^2))+(MAX(-f_yd,MIN(f_yd,200000*IF(DG44&lt;=h_col,0.0035*(DG44-(h_col-d_2))/DG44,0.002*(DG44-(h_col-d_2))/(DG44-3*h_col/7))))-f_cd*(1-(1-MAX(0,MIN(1,IF(DG44&lt;=h_col,0.0035*(DG44-(h_col-d_2))/DG44,0.002*(DG44-(h_col-d_2))/(DG44-3*h_col/7))/0.002)))^2))))/1000</f>
        <v/>
      </c>
      <c r="DI44">
        <f>IF($DH44&lt;N_Ed-1E-9*MAX(1,N_Ed),(DE44+DF44)/2,DE44)</f>
        <v/>
      </c>
      <c r="DJ44">
        <f>IF($DH44&lt;N_Ed-1E-9*MAX(1,N_Ed),DF44,(DE44+DF44)/2)</f>
        <v/>
      </c>
      <c r="DK44">
        <f>h_col*((DI44+DJ44)/2)/(1-(DI44+DJ44)/2)</f>
        <v/>
      </c>
      <c r="DL44">
        <f>(f_cd*b_col*((3*MIN(DK44,h_col)/7)+(4*MIN(DK44,h_col)/7)*(1-((4*MIN(DK44,h_col)/7)/(DK44-(3*MIN(DK44,h_col)/7)))^2/3))+$D44/2*((MAX(-f_yd,MIN(f_yd,200000*IF(DK44&lt;=h_col,0.0035*(DK44-d_2)/DK44,0.002*(DK44-d_2)/(DK44-3*h_col/7))))-f_cd*(1-(1-MAX(0,MIN(1,IF(DK44&lt;=h_col,0.0035*(DK44-d_2)/DK44,0.002*(DK44-d_2)/(DK44-3*h_col/7))/0.002)))^2))+(MAX(-f_yd,MIN(f_yd,200000*IF(DK44&lt;=h_col,0.0035*(DK44-(h_col-d_2))/DK44,0.002*(DK44-(h_col-d_2))/(DK44-3*h_col/7))))-f_cd*(1-(1-MAX(0,MIN(1,IF(DK44&lt;=h_col,0.0035*(DK44-(h_col-d_2))/DK44,0.002*(DK44-(h_col-d_2))/(DK44-3*h_col/7))/0.002)))^2))))/1000</f>
        <v/>
      </c>
      <c r="DM44">
        <f>IF($DL44&lt;N_Ed-1E-9*MAX(1,N_Ed),(DI44+DJ44)/2,DI44)</f>
        <v/>
      </c>
      <c r="DN44">
        <f>IF($DL44&lt;N_Ed-1E-9*MAX(1,N_Ed),DJ44,(DI44+DJ44)/2)</f>
        <v/>
      </c>
      <c r="DO44">
        <f>h_col*((DM44+DN44)/2)/(1-(DM44+DN44)/2)</f>
        <v/>
      </c>
      <c r="DP44">
        <f>(f_cd*b_col*((3*MIN(DO44,h_col)/7)+(4*MIN(DO44,h_col)/7)*(1-((4*MIN(DO44,h_col)/7)/(DO44-(3*MIN(DO44,h_col)/7)))^2/3))+$D44/2*((MAX(-f_yd,MIN(f_yd,200000*IF(DO44&lt;=h_col,0.0035*(DO44-d_2)/DO44,0.002*(DO44-d_2)/(DO44-3*h_col/7))))-f_cd*(1-(1-MAX(0,MIN(1,IF(DO44&lt;=h_col,0.0035*(DO44-d_2)/DO44,0.002*(DO44-d_2)/(DO44-3*h_col/7))/0.002)))^2))+(MAX(-f_yd,MIN(f_yd,200000*IF(DO44&lt;=h_col,0.0035*(DO44-(h_col-d_2))/DO44,0.002*(DO44-(h_col-d_2))/(DO44-3*h_col/7))))-f_cd*(1-(1-MAX(0,MIN(1,IF(DO44&lt;=h_col,0.0035*(DO44-(h_col-d_2))/DO44,0.002*(DO44-(h_col-d_2))/(DO44-3*h_col/7))/0.002)))^2))))/1000</f>
        <v/>
      </c>
      <c r="DQ44">
        <f>IF($DP44&lt;N_Ed-1E-9*MAX(1,N_Ed),(DM44+DN44)/2,DM44)</f>
        <v/>
      </c>
      <c r="DR44">
        <f>IF($DP44&lt;N_Ed-1E-9*MAX(1,N_Ed),DN44,(DM44+DN44)/2)</f>
        <v/>
      </c>
      <c r="DS44">
        <f>h_col*((DQ44+DR44)/2)/(1-(DQ44+DR44)/2)</f>
        <v/>
      </c>
      <c r="DT44">
        <f>(f_cd*b_col*((3*MIN(DS44,h_col)/7)+(4*MIN(DS44,h_col)/7)*(1-((4*MIN(DS44,h_col)/7)/(DS44-(3*MIN(DS44,h_col)/7)))^2/3))+$D44/2*((MAX(-f_yd,MIN(f_yd,200000*IF(DS44&lt;=h_col,0.0035*(DS44-d_2)/DS44,0.002*(DS44-d_2)/(DS44-3*h_col/7))))-f_cd*(1-(1-MAX(0,MIN(1,IF(DS44&lt;=h_col,0.0035*(DS44-d_2)/DS44,0.002*(DS44-d_2)/(DS44-3*h_col/7))/0.002)))^2))+(MAX(-f_yd,MIN(f_yd,200000*IF(DS44&lt;=h_col,0.0035*(DS44-(h_col-d_2))/DS44,0.002*(DS44-(h_col-d_2))/(DS44-3*h_col/7))))-f_cd*(1-(1-MAX(0,MIN(1,IF(DS44&lt;=h_col,0.0035*(DS44-(h_col-d_2))/DS44,0.002*(DS44-(h_col-d_2))/(DS44-3*h_col/7))/0.002)))^2))))/1000</f>
        <v/>
      </c>
      <c r="DU44">
        <f>IF($DT44&lt;N_Ed-1E-9*MAX(1,N_Ed),(DQ44+DR44)/2,DQ44)</f>
        <v/>
      </c>
      <c r="DV44">
        <f>IF($DT44&lt;N_Ed-1E-9*MAX(1,N_Ed),DR44,(DQ44+DR44)/2)</f>
        <v/>
      </c>
      <c r="DW44">
        <f>h_col*((DU44+DV44)/2)/(1-(DU44+DV44)/2)</f>
        <v/>
      </c>
      <c r="DX44">
        <f>(f_cd*b_col*((3*MIN(DW44,h_col)/7)+(4*MIN(DW44,h_col)/7)*(1-((4*MIN(DW44,h_col)/7)/(DW44-(3*MIN(DW44,h_col)/7)))^2/3))+$D44/2*((MAX(-f_yd,MIN(f_yd,200000*IF(DW44&lt;=h_col,0.0035*(DW44-d_2)/DW44,0.002*(DW44-d_2)/(DW44-3*h_col/7))))-f_cd*(1-(1-MAX(0,MIN(1,IF(DW44&lt;=h_col,0.0035*(DW44-d_2)/DW44,0.002*(DW44-d_2)/(DW44-3*h_col/7))/0.002)))^2))+(MAX(-f_yd,MIN(f_yd,200000*IF(DW44&lt;=h_col,0.0035*(DW44-(h_col-d_2))/DW44,0.002*(DW44-(h_col-d_2))/(DW44-3*h_col/7))))-f_cd*(1-(1-MAX(0,MIN(1,IF(DW44&lt;=h_col,0.0035*(DW44-(h_col-d_2))/DW44,0.002*(DW44-(h_col-d_2))/(DW44-3*h_col/7))/0.002)))^2))))/1000</f>
        <v/>
      </c>
      <c r="DY44">
        <f>IF($DX44&lt;N_Ed-1E-9*MAX(1,N_Ed),(DU44+DV44)/2,DU44)</f>
        <v/>
      </c>
      <c r="DZ44">
        <f>IF($DX44&lt;N_Ed-1E-9*MAX(1,N_Ed),DV44,(DU44+DV44)/2)</f>
        <v/>
      </c>
      <c r="EA44">
        <f>h_col*((DY44+DZ44)/2)/(1-(DY44+DZ44)/2)</f>
        <v/>
      </c>
      <c r="EB44">
        <f>(f_cd*b_col*((3*MIN(EA44,h_col)/7)+(4*MIN(EA44,h_col)/7)*(1-((4*MIN(EA44,h_col)/7)/(EA44-(3*MIN(EA44,h_col)/7)))^2/3))+$D44/2*((MAX(-f_yd,MIN(f_yd,200000*IF(EA44&lt;=h_col,0.0035*(EA44-d_2)/EA44,0.002*(EA44-d_2)/(EA44-3*h_col/7))))-f_cd*(1-(1-MAX(0,MIN(1,IF(EA44&lt;=h_col,0.0035*(EA44-d_2)/EA44,0.002*(EA44-d_2)/(EA44-3*h_col/7))/0.002)))^2))+(MAX(-f_yd,MIN(f_yd,200000*IF(EA44&lt;=h_col,0.0035*(EA44-(h_col-d_2))/EA44,0.002*(EA44-(h_col-d_2))/(EA44-3*h_col/7))))-f_cd*(1-(1-MAX(0,MIN(1,IF(EA44&lt;=h_col,0.0035*(EA44-(h_col-d_2))/EA44,0.002*(EA44-(h_col-d_2))/(EA44-3*h_col/7))/0.002)))^2))))/1000</f>
        <v/>
      </c>
      <c r="EC44">
        <f>IF($EB44&lt;N_Ed-1E-9*MAX(1,N_Ed),(DY44+DZ44)/2,DY44)</f>
        <v/>
      </c>
      <c r="ED44">
        <f>IF($EB44&lt;N_Ed-1E-9*MAX(1,N_Ed),DZ44,(DY44+DZ44)/2)</f>
        <v/>
      </c>
      <c r="EE44">
        <f>h_col*((EC44+ED44)/2)/(1-(EC44+ED44)/2)</f>
        <v/>
      </c>
      <c r="EF44">
        <f>(f_cd*b_col*((3*MIN(EE44,h_col)/7)+(4*MIN(EE44,h_col)/7)*(1-((4*MIN(EE44,h_col)/7)/(EE44-(3*MIN(EE44,h_col)/7)))^2/3))+$D44/2*((MAX(-f_yd,MIN(f_yd,200000*IF(EE44&lt;=h_col,0.0035*(EE44-d_2)/EE44,0.002*(EE44-d_2)/(EE44-3*h_col/7))))-f_cd*(1-(1-MAX(0,MIN(1,IF(EE44&lt;=h_col,0.0035*(EE44-d_2)/EE44,0.002*(EE44-d_2)/(EE44-3*h_col/7))/0.002)))^2))+(MAX(-f_yd,MIN(f_yd,200000*IF(EE44&lt;=h_col,0.0035*(EE44-(h_col-d_2))/EE44,0.002*(EE44-(h_col-d_2))/(EE44-3*h_col/7))))-f_cd*(1-(1-MAX(0,MIN(1,IF(EE44&lt;=h_col,0.0035*(EE44-(h_col-d_2))/EE44,0.002*(EE44-(h_col-d_2))/(EE44-3*h_col/7))/0.002)))^2))))/1000</f>
        <v/>
      </c>
      <c r="EG44">
        <f>IF($EF44&lt;N_Ed-1E-9*MAX(1,N_Ed),(EC44+ED44)/2,EC44)</f>
        <v/>
      </c>
      <c r="EH44">
        <f>IF($EF44&lt;N_Ed-1E-9*MAX(1,N_Ed),ED44,(EC44+ED44)/2)</f>
        <v/>
      </c>
      <c r="EI44">
        <f>h_col*((EG44+EH44)/2)/(1-(EG44+EH44)/2)</f>
        <v/>
      </c>
      <c r="EJ44">
        <f>(f_cd*b_col*((3*MIN(EI44,h_col)/7)+(4*MIN(EI44,h_col)/7)*(1-((4*MIN(EI44,h_col)/7)/(EI44-(3*MIN(EI44,h_col)/7)))^2/3))+$D44/2*((MAX(-f_yd,MIN(f_yd,200000*IF(EI44&lt;=h_col,0.0035*(EI44-d_2)/EI44,0.002*(EI44-d_2)/(EI44-3*h_col/7))))-f_cd*(1-(1-MAX(0,MIN(1,IF(EI44&lt;=h_col,0.0035*(EI44-d_2)/EI44,0.002*(EI44-d_2)/(EI44-3*h_col/7))/0.002)))^2))+(MAX(-f_yd,MIN(f_yd,200000*IF(EI44&lt;=h_col,0.0035*(EI44-(h_col-d_2))/EI44,0.002*(EI44-(h_col-d_2))/(EI44-3*h_col/7))))-f_cd*(1-(1-MAX(0,MIN(1,IF(EI44&lt;=h_col,0.0035*(EI44-(h_col-d_2))/EI44,0.002*(EI44-(h_col-d_2))/(EI44-3*h_col/7))/0.002)))^2))))/1000</f>
        <v/>
      </c>
      <c r="EK44">
        <f>IF($EJ44&lt;N_Ed-1E-9*MAX(1,N_Ed),(EG44+EH44)/2,EG44)</f>
        <v/>
      </c>
      <c r="EL44">
        <f>IF($EJ44&lt;N_Ed-1E-9*MAX(1,N_Ed),EH44,(EG44+EH44)/2)</f>
        <v/>
      </c>
      <c r="EM44">
        <f>h_col*((EK44+EL44)/2)/(1-(EK44+EL44)/2)</f>
        <v/>
      </c>
      <c r="EN44">
        <f>(f_cd*b_col*((3*MIN(EM44,h_col)/7)+(4*MIN(EM44,h_col)/7)*(1-((4*MIN(EM44,h_col)/7)/(EM44-(3*MIN(EM44,h_col)/7)))^2/3))+$D44/2*((MAX(-f_yd,MIN(f_yd,200000*IF(EM44&lt;=h_col,0.0035*(EM44-d_2)/EM44,0.002*(EM44-d_2)/(EM44-3*h_col/7))))-f_cd*(1-(1-MAX(0,MIN(1,IF(EM44&lt;=h_col,0.0035*(EM44-d_2)/EM44,0.002*(EM44-d_2)/(EM44-3*h_col/7))/0.002)))^2))+(MAX(-f_yd,MIN(f_yd,200000*IF(EM44&lt;=h_col,0.0035*(EM44-(h_col-d_2))/EM44,0.002*(EM44-(h_col-d_2))/(EM44-3*h_col/7))))-f_cd*(1-(1-MAX(0,MIN(1,IF(EM44&lt;=h_col,0.0035*(EM44-(h_col-d_2))/EM44,0.002*(EM44-(h_col-d_2))/(EM44-3*h_col/7))/0.002)))^2))))/1000</f>
        <v/>
      </c>
      <c r="EO44">
        <f>IF($EN44&lt;N_Ed-1E-9*MAX(1,N_Ed),(EK44+EL44)/2,EK44)</f>
        <v/>
      </c>
      <c r="EP44">
        <f>IF($EN44&lt;N_Ed-1E-9*MAX(1,N_Ed),EL44,(EK44+EL44)/2)</f>
        <v/>
      </c>
      <c r="EQ44">
        <f>h_col*((EO44+EP44)/2)/(1-(EO44+EP44)/2)</f>
        <v/>
      </c>
      <c r="ER44">
        <f>(f_cd*b_col*((3*MIN(EQ44,h_col)/7)+(4*MIN(EQ44,h_col)/7)*(1-((4*MIN(EQ44,h_col)/7)/(EQ44-(3*MIN(EQ44,h_col)/7)))^2/3))+$D44/2*((MAX(-f_yd,MIN(f_yd,200000*IF(EQ44&lt;=h_col,0.0035*(EQ44-d_2)/EQ44,0.002*(EQ44-d_2)/(EQ44-3*h_col/7))))-f_cd*(1-(1-MAX(0,MIN(1,IF(EQ44&lt;=h_col,0.0035*(EQ44-d_2)/EQ44,0.002*(EQ44-d_2)/(EQ44-3*h_col/7))/0.002)))^2))+(MAX(-f_yd,MIN(f_yd,200000*IF(EQ44&lt;=h_col,0.0035*(EQ44-(h_col-d_2))/EQ44,0.002*(EQ44-(h_col-d_2))/(EQ44-3*h_col/7))))-f_cd*(1-(1-MAX(0,MIN(1,IF(EQ44&lt;=h_col,0.0035*(EQ44-(h_col-d_2))/EQ44,0.002*(EQ44-(h_col-d_2))/(EQ44-3*h_col/7))/0.002)))^2))))/1000</f>
        <v/>
      </c>
      <c r="ES44">
        <f>IF($ER44&lt;N_Ed-1E-9*MAX(1,N_Ed),(EO44+EP44)/2,EO44)</f>
        <v/>
      </c>
      <c r="ET44">
        <f>IF($ER44&lt;N_Ed-1E-9*MAX(1,N_Ed),EP44,(EO44+EP44)/2)</f>
        <v/>
      </c>
      <c r="EU44">
        <f>h_col*((ES44+ET44)/2)/(1-(ES44+ET44)/2)</f>
        <v/>
      </c>
      <c r="EV44">
        <f>(f_cd*b_col*((3*MIN(EU44,h_col)/7)+(4*MIN(EU44,h_col)/7)*(1-((4*MIN(EU44,h_col)/7)/(EU44-(3*MIN(EU44,h_col)/7)))^2/3))+$D44/2*((MAX(-f_yd,MIN(f_yd,200000*IF(EU44&lt;=h_col,0.0035*(EU44-d_2)/EU44,0.002*(EU44-d_2)/(EU44-3*h_col/7))))-f_cd*(1-(1-MAX(0,MIN(1,IF(EU44&lt;=h_col,0.0035*(EU44-d_2)/EU44,0.002*(EU44-d_2)/(EU44-3*h_col/7))/0.002)))^2))+(MAX(-f_yd,MIN(f_yd,200000*IF(EU44&lt;=h_col,0.0035*(EU44-(h_col-d_2))/EU44,0.002*(EU44-(h_col-d_2))/(EU44-3*h_col/7))))-f_cd*(1-(1-MAX(0,MIN(1,IF(EU44&lt;=h_col,0.0035*(EU44-(h_col-d_2))/EU44,0.002*(EU44-(h_col-d_2))/(EU44-3*h_col/7))/0.002)))^2))))/1000</f>
        <v/>
      </c>
      <c r="EW44">
        <f>IF($EV44&lt;N_Ed-1E-9*MAX(1,N_Ed),(ES44+ET44)/2,ES44)</f>
        <v/>
      </c>
      <c r="EX44">
        <f>IF($EV44&lt;N_Ed-1E-9*MAX(1,N_Ed),ET44,(ES44+ET44)/2)</f>
        <v/>
      </c>
      <c r="EY44">
        <f>h_col*((EW44+EX44)/2)/(1-(EW44+EX44)/2)</f>
        <v/>
      </c>
      <c r="EZ44">
        <f>(f_cd*b_col*((3*MIN(EY44,h_col)/7)+(4*MIN(EY44,h_col)/7)*(1-((4*MIN(EY44,h_col)/7)/(EY44-(3*MIN(EY44,h_col)/7)))^2/3))+$D44/2*((MAX(-f_yd,MIN(f_yd,200000*IF(EY44&lt;=h_col,0.0035*(EY44-d_2)/EY44,0.002*(EY44-d_2)/(EY44-3*h_col/7))))-f_cd*(1-(1-MAX(0,MIN(1,IF(EY44&lt;=h_col,0.0035*(EY44-d_2)/EY44,0.002*(EY44-d_2)/(EY44-3*h_col/7))/0.002)))^2))+(MAX(-f_yd,MIN(f_yd,200000*IF(EY44&lt;=h_col,0.0035*(EY44-(h_col-d_2))/EY44,0.002*(EY44-(h_col-d_2))/(EY44-3*h_col/7))))-f_cd*(1-(1-MAX(0,MIN(1,IF(EY44&lt;=h_col,0.0035*(EY44-(h_col-d_2))/EY44,0.002*(EY44-(h_col-d_2))/(EY44-3*h_col/7))/0.002)))^2))))/1000</f>
        <v/>
      </c>
      <c r="FA44">
        <f>IF($EZ44&lt;N_Ed-1E-9*MAX(1,N_Ed),(EW44+EX44)/2,EW44)</f>
        <v/>
      </c>
      <c r="FB44">
        <f>IF($EZ44&lt;N_Ed-1E-9*MAX(1,N_Ed),EX44,(EW44+EX44)/2)</f>
        <v/>
      </c>
      <c r="FC44">
        <f>h_col*((FA44+FB44)/2)/(1-(FA44+FB44)/2)</f>
        <v/>
      </c>
      <c r="FD44">
        <f>(f_cd*b_col*((3*MIN(FC44,h_col)/7)+(4*MIN(FC44,h_col)/7)*(1-((4*MIN(FC44,h_col)/7)/(FC44-(3*MIN(FC44,h_col)/7)))^2/3))+$D44/2*((MAX(-f_yd,MIN(f_yd,200000*IF(FC44&lt;=h_col,0.0035*(FC44-d_2)/FC44,0.002*(FC44-d_2)/(FC44-3*h_col/7))))-f_cd*(1-(1-MAX(0,MIN(1,IF(FC44&lt;=h_col,0.0035*(FC44-d_2)/FC44,0.002*(FC44-d_2)/(FC44-3*h_col/7))/0.002)))^2))+(MAX(-f_yd,MIN(f_yd,200000*IF(FC44&lt;=h_col,0.0035*(FC44-(h_col-d_2))/FC44,0.002*(FC44-(h_col-d_2))/(FC44-3*h_col/7))))-f_cd*(1-(1-MAX(0,MIN(1,IF(FC44&lt;=h_col,0.0035*(FC44-(h_col-d_2))/FC44,0.002*(FC44-(h_col-d_2))/(FC44-3*h_col/7))/0.002)))^2))))/1000</f>
        <v/>
      </c>
      <c r="FE44">
        <f>IF($FD44&lt;N_Ed-1E-9*MAX(1,N_Ed),(FA44+FB44)/2,FA44)</f>
        <v/>
      </c>
      <c r="FF44">
        <f>IF($FD44&lt;N_Ed-1E-9*MAX(1,N_Ed),FB44,(FA44+FB44)/2)</f>
        <v/>
      </c>
      <c r="FG44">
        <f>h_col*((FE44+FF44)/2)/(1-(FE44+FF44)/2)</f>
        <v/>
      </c>
      <c r="FH44">
        <f>(f_cd*b_col*((3*MIN(FG44,h_col)/7)+(4*MIN(FG44,h_col)/7)*(1-((4*MIN(FG44,h_col)/7)/(FG44-(3*MIN(FG44,h_col)/7)))^2/3))+$D44/2*((MAX(-f_yd,MIN(f_yd,200000*IF(FG44&lt;=h_col,0.0035*(FG44-d_2)/FG44,0.002*(FG44-d_2)/(FG44-3*h_col/7))))-f_cd*(1-(1-MAX(0,MIN(1,IF(FG44&lt;=h_col,0.0035*(FG44-d_2)/FG44,0.002*(FG44-d_2)/(FG44-3*h_col/7))/0.002)))^2))+(MAX(-f_yd,MIN(f_yd,200000*IF(FG44&lt;=h_col,0.0035*(FG44-(h_col-d_2))/FG44,0.002*(FG44-(h_col-d_2))/(FG44-3*h_col/7))))-f_cd*(1-(1-MAX(0,MIN(1,IF(FG44&lt;=h_col,0.0035*(FG44-(h_col-d_2))/FG44,0.002*(FG44-(h_col-d_2))/(FG44-3*h_col/7))/0.002)))^2))))/1000</f>
        <v/>
      </c>
      <c r="FI44">
        <f>IF($FH44&lt;N_Ed-1E-9*MAX(1,N_Ed),(FE44+FF44)/2,FE44)</f>
        <v/>
      </c>
      <c r="FJ44">
        <f>IF($FH44&lt;N_Ed-1E-9*MAX(1,N_Ed),FF44,(FE44+FF44)/2)</f>
        <v/>
      </c>
      <c r="FK44">
        <f>h_col*((FI44+FJ44)/2)/(1-(FI44+FJ44)/2)</f>
        <v/>
      </c>
      <c r="FL44">
        <f>(f_cd*b_col*((3*MIN(FK44,h_col)/7)+(4*MIN(FK44,h_col)/7)*(1-((4*MIN(FK44,h_col)/7)/(FK44-(3*MIN(FK44,h_col)/7)))^2/3))+$D44/2*((MAX(-f_yd,MIN(f_yd,200000*IF(FK44&lt;=h_col,0.0035*(FK44-d_2)/FK44,0.002*(FK44-d_2)/(FK44-3*h_col/7))))-f_cd*(1-(1-MAX(0,MIN(1,IF(FK44&lt;=h_col,0.0035*(FK44-d_2)/FK44,0.002*(FK44-d_2)/(FK44-3*h_col/7))/0.002)))^2))+(MAX(-f_yd,MIN(f_yd,200000*IF(FK44&lt;=h_col,0.0035*(FK44-(h_col-d_2))/FK44,0.002*(FK44-(h_col-d_2))/(FK44-3*h_col/7))))-f_cd*(1-(1-MAX(0,MIN(1,IF(FK44&lt;=h_col,0.0035*(FK44-(h_col-d_2))/FK44,0.002*(FK44-(h_col-d_2))/(FK44-3*h_col/7))/0.002)))^2))))/1000</f>
        <v/>
      </c>
      <c r="FM44">
        <f>IF($FL44&lt;N_Ed-1E-9*MAX(1,N_Ed),(FI44+FJ44)/2,FI44)</f>
        <v/>
      </c>
      <c r="FN44">
        <f>IF($FL44&lt;N_Ed-1E-9*MAX(1,N_Ed),FJ44,(FI44+FJ44)/2)</f>
        <v/>
      </c>
      <c r="FO44">
        <f>h_col*((FM44+FN44)/2)/(1-(FM44+FN44)/2)</f>
        <v/>
      </c>
      <c r="FP44">
        <f>(f_cd*b_col*((3*MIN(FO44,h_col)/7)+(4*MIN(FO44,h_col)/7)*(1-((4*MIN(FO44,h_col)/7)/(FO44-(3*MIN(FO44,h_col)/7)))^2/3))+$D44/2*((MAX(-f_yd,MIN(f_yd,200000*IF(FO44&lt;=h_col,0.0035*(FO44-d_2)/FO44,0.002*(FO44-d_2)/(FO44-3*h_col/7))))-f_cd*(1-(1-MAX(0,MIN(1,IF(FO44&lt;=h_col,0.0035*(FO44-d_2)/FO44,0.002*(FO44-d_2)/(FO44-3*h_col/7))/0.002)))^2))+(MAX(-f_yd,MIN(f_yd,200000*IF(FO44&lt;=h_col,0.0035*(FO44-(h_col-d_2))/FO44,0.002*(FO44-(h_col-d_2))/(FO44-3*h_col/7))))-f_cd*(1-(1-MAX(0,MIN(1,IF(FO44&lt;=h_col,0.0035*(FO44-(h_col-d_2))/FO44,0.002*(FO44-(h_col-d_2))/(FO44-3*h_col/7))/0.002)))^2))))/1000</f>
        <v/>
      </c>
      <c r="FQ44">
        <f>IF($FP44&lt;N_Ed-1E-9*MAX(1,N_Ed),(FM44+FN44)/2,FM44)</f>
        <v/>
      </c>
      <c r="FR44">
        <f>IF($FP44&lt;N_Ed-1E-9*MAX(1,N_Ed),FN44,(FM44+FN44)/2)</f>
        <v/>
      </c>
      <c r="FS44">
        <f>h_col*((FQ44+FR44)/2)/(1-(FQ44+FR44)/2)</f>
        <v/>
      </c>
      <c r="FT44">
        <f>(f_cd*b_col*((3*MIN(FS44,h_col)/7)+(4*MIN(FS44,h_col)/7)*(1-((4*MIN(FS44,h_col)/7)/(FS44-(3*MIN(FS44,h_col)/7)))^2/3))+$D44/2*((MAX(-f_yd,MIN(f_yd,200000*IF(FS44&lt;=h_col,0.0035*(FS44-d_2)/FS44,0.002*(FS44-d_2)/(FS44-3*h_col/7))))-f_cd*(1-(1-MAX(0,MIN(1,IF(FS44&lt;=h_col,0.0035*(FS44-d_2)/FS44,0.002*(FS44-d_2)/(FS44-3*h_col/7))/0.002)))^2))+(MAX(-f_yd,MIN(f_yd,200000*IF(FS44&lt;=h_col,0.0035*(FS44-(h_col-d_2))/FS44,0.002*(FS44-(h_col-d_2))/(FS44-3*h_col/7))))-f_cd*(1-(1-MAX(0,MIN(1,IF(FS44&lt;=h_col,0.0035*(FS44-(h_col-d_2))/FS44,0.002*(FS44-(h_col-d_2))/(FS44-3*h_col/7))/0.002)))^2))))/1000</f>
        <v/>
      </c>
      <c r="FU44">
        <f>IF($FT44&lt;N_Ed-1E-9*MAX(1,N_Ed),(FQ44+FR44)/2,FQ44)</f>
        <v/>
      </c>
      <c r="FV44">
        <f>IF($FT44&lt;N_Ed-1E-9*MAX(1,N_Ed),FR44,(FQ44+FR44)/2)</f>
        <v/>
      </c>
      <c r="FW44">
        <f>h_col*((FU44+FV44)/2)/(1-(FU44+FV44)/2)</f>
        <v/>
      </c>
      <c r="FX44">
        <f>(f_cd*b_col*((3*MIN(FW44,h_col)/7)+(4*MIN(FW44,h_col)/7)*(1-((4*MIN(FW44,h_col)/7)/(FW44-(3*MIN(FW44,h_col)/7)))^2/3))+$D44/2*((MAX(-f_yd,MIN(f_yd,200000*IF(FW44&lt;=h_col,0.0035*(FW44-d_2)/FW44,0.002*(FW44-d_2)/(FW44-3*h_col/7))))-f_cd*(1-(1-MAX(0,MIN(1,IF(FW44&lt;=h_col,0.0035*(FW44-d_2)/FW44,0.002*(FW44-d_2)/(FW44-3*h_col/7))/0.002)))^2))+(MAX(-f_yd,MIN(f_yd,200000*IF(FW44&lt;=h_col,0.0035*(FW44-(h_col-d_2))/FW44,0.002*(FW44-(h_col-d_2))/(FW44-3*h_col/7))))-f_cd*(1-(1-MAX(0,MIN(1,IF(FW44&lt;=h_col,0.0035*(FW44-(h_col-d_2))/FW44,0.002*(FW44-(h_col-d_2))/(FW44-3*h_col/7))/0.002)))^2))))/1000</f>
        <v/>
      </c>
      <c r="FY44">
        <f>IF($FX44&lt;N_Ed-1E-9*MAX(1,N_Ed),(FU44+FV44)/2,FU44)</f>
        <v/>
      </c>
      <c r="FZ44">
        <f>IF($FX44&lt;N_Ed-1E-9*MAX(1,N_Ed),FV44,(FU44+FV44)/2)</f>
        <v/>
      </c>
      <c r="GA44">
        <f>h_col*((FY44+FZ44)/2)/(1-(FY44+FZ44)/2)</f>
        <v/>
      </c>
      <c r="GB44">
        <f>(f_cd*b_col*((3*MIN(GA44,h_col)/7)+(4*MIN(GA44,h_col)/7)*(1-((4*MIN(GA44,h_col)/7)/(GA44-(3*MIN(GA44,h_col)/7)))^2/3))+$D44/2*((MAX(-f_yd,MIN(f_yd,200000*IF(GA44&lt;=h_col,0.0035*(GA44-d_2)/GA44,0.002*(GA44-d_2)/(GA44-3*h_col/7))))-f_cd*(1-(1-MAX(0,MIN(1,IF(GA44&lt;=h_col,0.0035*(GA44-d_2)/GA44,0.002*(GA44-d_2)/(GA44-3*h_col/7))/0.002)))^2))+(MAX(-f_yd,MIN(f_yd,200000*IF(GA44&lt;=h_col,0.0035*(GA44-(h_col-d_2))/GA44,0.002*(GA44-(h_col-d_2))/(GA44-3*h_col/7))))-f_cd*(1-(1-MAX(0,MIN(1,IF(GA44&lt;=h_col,0.0035*(GA44-(h_col-d_2))/GA44,0.002*(GA44-(h_col-d_2))/(GA44-3*h_col/7))/0.002)))^2))))/1000</f>
        <v/>
      </c>
      <c r="GC44">
        <f>IF($GB44&lt;N_Ed-1E-9*MAX(1,N_Ed),(FY44+FZ44)/2,FY44)</f>
        <v/>
      </c>
      <c r="GD44">
        <f>IF($GB44&lt;N_Ed-1E-9*MAX(1,N_Ed),FZ44,(FY44+FZ44)/2)</f>
        <v/>
      </c>
      <c r="GE44">
        <f>h_col*((GC44+GD44)/2)/(1-(GC44+GD44)/2)</f>
        <v/>
      </c>
      <c r="GF44">
        <f>(f_cd*b_col*((3*MIN(GE44,h_col)/7)+(4*MIN(GE44,h_col)/7)*(1-((4*MIN(GE44,h_col)/7)/(GE44-(3*MIN(GE44,h_col)/7)))^2/3))+$D44/2*((MAX(-f_yd,MIN(f_yd,200000*IF(GE44&lt;=h_col,0.0035*(GE44-d_2)/GE44,0.002*(GE44-d_2)/(GE44-3*h_col/7))))-f_cd*(1-(1-MAX(0,MIN(1,IF(GE44&lt;=h_col,0.0035*(GE44-d_2)/GE44,0.002*(GE44-d_2)/(GE44-3*h_col/7))/0.002)))^2))+(MAX(-f_yd,MIN(f_yd,200000*IF(GE44&lt;=h_col,0.0035*(GE44-(h_col-d_2))/GE44,0.002*(GE44-(h_col-d_2))/(GE44-3*h_col/7))))-f_cd*(1-(1-MAX(0,MIN(1,IF(GE44&lt;=h_col,0.0035*(GE44-(h_col-d_2))/GE44,0.002*(GE44-(h_col-d_2))/(GE44-3*h_col/7))/0.002)))^2))))/1000</f>
        <v/>
      </c>
      <c r="GG44">
        <f>IF($GF44&lt;N_Ed-1E-9*MAX(1,N_Ed),(GC44+GD44)/2,GC44)</f>
        <v/>
      </c>
      <c r="GH44">
        <f>IF($GF44&lt;N_Ed-1E-9*MAX(1,N_Ed),GD44,(GC44+GD44)/2)</f>
        <v/>
      </c>
      <c r="GI44">
        <f>h_col*((GG44+GH44)/2)/(1-(GG44+GH44)/2)</f>
        <v/>
      </c>
      <c r="GJ44">
        <f>(f_cd*b_col*((3*MIN(GI44,h_col)/7)+(4*MIN(GI44,h_col)/7)*(1-((4*MIN(GI44,h_col)/7)/(GI44-(3*MIN(GI44,h_col)/7)))^2/3))+$D44/2*((MAX(-f_yd,MIN(f_yd,200000*IF(GI44&lt;=h_col,0.0035*(GI44-d_2)/GI44,0.002*(GI44-d_2)/(GI44-3*h_col/7))))-f_cd*(1-(1-MAX(0,MIN(1,IF(GI44&lt;=h_col,0.0035*(GI44-d_2)/GI44,0.002*(GI44-d_2)/(GI44-3*h_col/7))/0.002)))^2))+(MAX(-f_yd,MIN(f_yd,200000*IF(GI44&lt;=h_col,0.0035*(GI44-(h_col-d_2))/GI44,0.002*(GI44-(h_col-d_2))/(GI44-3*h_col/7))))-f_cd*(1-(1-MAX(0,MIN(1,IF(GI44&lt;=h_col,0.0035*(GI44-(h_col-d_2))/GI44,0.002*(GI44-(h_col-d_2))/(GI44-3*h_col/7))/0.002)))^2))))/1000</f>
        <v/>
      </c>
      <c r="GK44">
        <f>IF($GJ44&lt;N_Ed-1E-9*MAX(1,N_Ed),(GG44+GH44)/2,GG44)</f>
        <v/>
      </c>
      <c r="GL44">
        <f>IF($GJ44&lt;N_Ed-1E-9*MAX(1,N_Ed),GH44,(GG44+GH44)/2)</f>
        <v/>
      </c>
      <c r="GM44">
        <f>h_col*((GK44+GL44)/2)/(1-(GK44+GL44)/2)</f>
        <v/>
      </c>
      <c r="GN44">
        <f>(f_cd*b_col*((3*MIN(GM44,h_col)/7)+(4*MIN(GM44,h_col)/7)*(1-((4*MIN(GM44,h_col)/7)/(GM44-(3*MIN(GM44,h_col)/7)))^2/3))+$D44/2*((MAX(-f_yd,MIN(f_yd,200000*IF(GM44&lt;=h_col,0.0035*(GM44-d_2)/GM44,0.002*(GM44-d_2)/(GM44-3*h_col/7))))-f_cd*(1-(1-MAX(0,MIN(1,IF(GM44&lt;=h_col,0.0035*(GM44-d_2)/GM44,0.002*(GM44-d_2)/(GM44-3*h_col/7))/0.002)))^2))+(MAX(-f_yd,MIN(f_yd,200000*IF(GM44&lt;=h_col,0.0035*(GM44-(h_col-d_2))/GM44,0.002*(GM44-(h_col-d_2))/(GM44-3*h_col/7))))-f_cd*(1-(1-MAX(0,MIN(1,IF(GM44&lt;=h_col,0.0035*(GM44-(h_col-d_2))/GM44,0.002*(GM44-(h_col-d_2))/(GM44-3*h_col/7))/0.002)))^2))))/1000</f>
        <v/>
      </c>
      <c r="GO44">
        <f>IF($GN44&lt;N_Ed-1E-9*MAX(1,N_Ed),(GK44+GL44)/2,GK44)</f>
        <v/>
      </c>
      <c r="GP44">
        <f>IF($GN44&lt;N_Ed-1E-9*MAX(1,N_Ed),GL44,(GK44+GL44)/2)</f>
        <v/>
      </c>
      <c r="GQ44">
        <f>h_col*((GO44+GP44)/2)/(1-(GO44+GP44)/2)</f>
        <v/>
      </c>
      <c r="GR44">
        <f>(f_cd*b_col*((3*MIN(GQ44,h_col)/7)+(4*MIN(GQ44,h_col)/7)*(1-((4*MIN(GQ44,h_col)/7)/(GQ44-(3*MIN(GQ44,h_col)/7)))^2/3))+$D44/2*((MAX(-f_yd,MIN(f_yd,200000*IF(GQ44&lt;=h_col,0.0035*(GQ44-d_2)/GQ44,0.002*(GQ44-d_2)/(GQ44-3*h_col/7))))-f_cd*(1-(1-MAX(0,MIN(1,IF(GQ44&lt;=h_col,0.0035*(GQ44-d_2)/GQ44,0.002*(GQ44-d_2)/(GQ44-3*h_col/7))/0.002)))^2))+(MAX(-f_yd,MIN(f_yd,200000*IF(GQ44&lt;=h_col,0.0035*(GQ44-(h_col-d_2))/GQ44,0.002*(GQ44-(h_col-d_2))/(GQ44-3*h_col/7))))-f_cd*(1-(1-MAX(0,MIN(1,IF(GQ44&lt;=h_col,0.0035*(GQ44-(h_col-d_2))/GQ44,0.002*(GQ44-(h_col-d_2))/(GQ44-3*h_col/7))/0.002)))^2))))/1000</f>
        <v/>
      </c>
      <c r="GS44">
        <f>IF($GR44&lt;N_Ed-1E-9*MAX(1,N_Ed),(GO44+GP44)/2,GO44)</f>
        <v/>
      </c>
      <c r="GT44">
        <f>IF($GR44&lt;N_Ed-1E-9*MAX(1,N_Ed),GP44,(GO44+GP44)/2)</f>
        <v/>
      </c>
      <c r="GU44">
        <f>h_col*((GS44+GT44)/2)/(1-(GS44+GT44)/2)</f>
        <v/>
      </c>
      <c r="GV44">
        <f>(f_cd*b_col*((3*MIN(GU44,h_col)/7)+(4*MIN(GU44,h_col)/7)*(1-((4*MIN(GU44,h_col)/7)/(GU44-(3*MIN(GU44,h_col)/7)))^2/3))+$D44/2*((MAX(-f_yd,MIN(f_yd,200000*IF(GU44&lt;=h_col,0.0035*(GU44-d_2)/GU44,0.002*(GU44-d_2)/(GU44-3*h_col/7))))-f_cd*(1-(1-MAX(0,MIN(1,IF(GU44&lt;=h_col,0.0035*(GU44-d_2)/GU44,0.002*(GU44-d_2)/(GU44-3*h_col/7))/0.002)))^2))+(MAX(-f_yd,MIN(f_yd,200000*IF(GU44&lt;=h_col,0.0035*(GU44-(h_col-d_2))/GU44,0.002*(GU44-(h_col-d_2))/(GU44-3*h_col/7))))-f_cd*(1-(1-MAX(0,MIN(1,IF(GU44&lt;=h_col,0.0035*(GU44-(h_col-d_2))/GU44,0.002*(GU44-(h_col-d_2))/(GU44-3*h_col/7))/0.002)))^2))))/1000</f>
        <v/>
      </c>
      <c r="GW44">
        <f>GU44</f>
        <v/>
      </c>
      <c r="GX44">
        <f>(f_cd*b_col*((3*MIN(GW44,h_col)/7)+(4*MIN(GW44,h_col)/7)*(1-((4*MIN(GW44,h_col)/7)/(GW44-(3*MIN(GW44,h_col)/7)))^2/3))+$D44/2*((MAX(-f_yd,MIN(f_yd,200000*IF(GW44&lt;=h_col,0.0035*(GW44-d_2)/GW44,0.002*(GW44-d_2)/(GW44-3*h_col/7))))-f_cd*(1-(1-MAX(0,MIN(1,IF(GW44&lt;=h_col,0.0035*(GW44-d_2)/GW44,0.002*(GW44-d_2)/(GW44-3*h_col/7))/0.002)))^2))+(MAX(-f_yd,MIN(f_yd,200000*IF(GW44&lt;=h_col,0.0035*(GW44-(h_col-d_2))/GW44,0.002*(GW44-(h_col-d_2))/(GW44-3*h_col/7))))-f_cd*(1-(1-MAX(0,MIN(1,IF(GW44&lt;=h_col,0.0035*(GW44-(h_col-d_2))/GW44,0.002*(GW44-(h_col-d_2))/(GW44-3*h_col/7))/0.002)))^2))))/1000</f>
        <v/>
      </c>
      <c r="GY44">
        <f>(f_cd*b_col*((3*MIN(GW44,h_col)/7)*(h_col/2-(3*MIN(GW44,h_col)/7)/2)+(4*MIN(GW44,h_col)/7)*((h_col/2-(3*MIN(GW44,h_col)/7))*(1-((4*MIN(GW44,h_col)/7)/(GW44-(3*MIN(GW44,h_col)/7)))^2/3)-(4*MIN(GW44,h_col)/7)*(0.5-((4*MIN(GW44,h_col)/7)/(GW44-(3*MIN(GW44,h_col)/7)))^2/4)))+$D44/2*((MAX(-f_yd,MIN(f_yd,200000*IF(GW44&lt;=h_col,0.0035*(GW44-d_2)/GW44,0.002*(GW44-d_2)/(GW44-3*h_col/7))))-f_cd*(1-(1-MAX(0,MIN(1,IF(GW44&lt;=h_col,0.0035*(GW44-d_2)/GW44,0.002*(GW44-d_2)/(GW44-3*h_col/7))/0.002)))^2))-(MAX(-f_yd,MIN(f_yd,200000*IF(GW44&lt;=h_col,0.0035*(GW44-(h_col-d_2))/GW44,0.002*(GW44-(h_col-d_2))/(GW44-3*h_col/7))))-f_cd*(1-(1-MAX(0,MIN(1,IF(GW44&lt;=h_col,0.0035*(GW44-(h_col-d_2))/GW44,0.002*(GW44-(h_col-d_2))/(GW44-3*h_col/7))/0.002)))^2)))*(h_col/2-d_2))/1E6</f>
        <v/>
      </c>
      <c r="GZ44">
        <f>GX44&gt;=N_Ed-1E-6*MAX(1,N_Ed)</f>
        <v/>
      </c>
      <c r="HA44">
        <f>IF(GZ44,GY44,-1E9)</f>
        <v/>
      </c>
    </row>
    <row r="45">
      <c r="A45" t="n">
        <v>40</v>
      </c>
      <c r="B45">
        <f>IF($HA44&gt;=M_d,$B44,$D44)</f>
        <v/>
      </c>
      <c r="C45">
        <f>IF($HA44&gt;=M_d,$D44,$C44)</f>
        <v/>
      </c>
      <c r="D45">
        <f>($B45+$C45)/2</f>
        <v/>
      </c>
      <c r="E45" t="n">
        <v>0</v>
      </c>
      <c r="F45">
        <f>1-1E-12</f>
        <v/>
      </c>
      <c r="G45">
        <f>h_col*((E45+F45)/2)/(1-(E45+F45)/2)</f>
        <v/>
      </c>
      <c r="H45">
        <f>(f_cd*b_col*((3*MIN(G45,h_col)/7)+(4*MIN(G45,h_col)/7)*(1-((4*MIN(G45,h_col)/7)/(G45-(3*MIN(G45,h_col)/7)))^2/3))+$D45/2*((MAX(-f_yd,MIN(f_yd,200000*IF(G45&lt;=h_col,0.0035*(G45-d_2)/G45,0.002*(G45-d_2)/(G45-3*h_col/7))))-f_cd*(1-(1-MAX(0,MIN(1,IF(G45&lt;=h_col,0.0035*(G45-d_2)/G45,0.002*(G45-d_2)/(G45-3*h_col/7))/0.002)))^2))+(MAX(-f_yd,MIN(f_yd,200000*IF(G45&lt;=h_col,0.0035*(G45-(h_col-d_2))/G45,0.002*(G45-(h_col-d_2))/(G45-3*h_col/7))))-f_cd*(1-(1-MAX(0,MIN(1,IF(G45&lt;=h_col,0.0035*(G45-(h_col-d_2))/G45,0.002*(G45-(h_col-d_2))/(G45-3*h_col/7))/0.002)))^2))))/1000</f>
        <v/>
      </c>
      <c r="I45">
        <f>IF($H45&lt;N_Ed-1E-9*MAX(1,N_Ed),(E45+F45)/2,E45)</f>
        <v/>
      </c>
      <c r="J45">
        <f>IF($H45&lt;N_Ed-1E-9*MAX(1,N_Ed),F45,(E45+F45)/2)</f>
        <v/>
      </c>
      <c r="K45">
        <f>h_col*((I45+J45)/2)/(1-(I45+J45)/2)</f>
        <v/>
      </c>
      <c r="L45">
        <f>(f_cd*b_col*((3*MIN(K45,h_col)/7)+(4*MIN(K45,h_col)/7)*(1-((4*MIN(K45,h_col)/7)/(K45-(3*MIN(K45,h_col)/7)))^2/3))+$D45/2*((MAX(-f_yd,MIN(f_yd,200000*IF(K45&lt;=h_col,0.0035*(K45-d_2)/K45,0.002*(K45-d_2)/(K45-3*h_col/7))))-f_cd*(1-(1-MAX(0,MIN(1,IF(K45&lt;=h_col,0.0035*(K45-d_2)/K45,0.002*(K45-d_2)/(K45-3*h_col/7))/0.002)))^2))+(MAX(-f_yd,MIN(f_yd,200000*IF(K45&lt;=h_col,0.0035*(K45-(h_col-d_2))/K45,0.002*(K45-(h_col-d_2))/(K45-3*h_col/7))))-f_cd*(1-(1-MAX(0,MIN(1,IF(K45&lt;=h_col,0.0035*(K45-(h_col-d_2))/K45,0.002*(K45-(h_col-d_2))/(K45-3*h_col/7))/0.002)))^2))))/1000</f>
        <v/>
      </c>
      <c r="M45">
        <f>IF($L45&lt;N_Ed-1E-9*MAX(1,N_Ed),(I45+J45)/2,I45)</f>
        <v/>
      </c>
      <c r="N45">
        <f>IF($L45&lt;N_Ed-1E-9*MAX(1,N_Ed),J45,(I45+J45)/2)</f>
        <v/>
      </c>
      <c r="O45">
        <f>h_col*((M45+N45)/2)/(1-(M45+N45)/2)</f>
        <v/>
      </c>
      <c r="P45">
        <f>(f_cd*b_col*((3*MIN(O45,h_col)/7)+(4*MIN(O45,h_col)/7)*(1-((4*MIN(O45,h_col)/7)/(O45-(3*MIN(O45,h_col)/7)))^2/3))+$D45/2*((MAX(-f_yd,MIN(f_yd,200000*IF(O45&lt;=h_col,0.0035*(O45-d_2)/O45,0.002*(O45-d_2)/(O45-3*h_col/7))))-f_cd*(1-(1-MAX(0,MIN(1,IF(O45&lt;=h_col,0.0035*(O45-d_2)/O45,0.002*(O45-d_2)/(O45-3*h_col/7))/0.002)))^2))+(MAX(-f_yd,MIN(f_yd,200000*IF(O45&lt;=h_col,0.0035*(O45-(h_col-d_2))/O45,0.002*(O45-(h_col-d_2))/(O45-3*h_col/7))))-f_cd*(1-(1-MAX(0,MIN(1,IF(O45&lt;=h_col,0.0035*(O45-(h_col-d_2))/O45,0.002*(O45-(h_col-d_2))/(O45-3*h_col/7))/0.002)))^2))))/1000</f>
        <v/>
      </c>
      <c r="Q45">
        <f>IF($P45&lt;N_Ed-1E-9*MAX(1,N_Ed),(M45+N45)/2,M45)</f>
        <v/>
      </c>
      <c r="R45">
        <f>IF($P45&lt;N_Ed-1E-9*MAX(1,N_Ed),N45,(M45+N45)/2)</f>
        <v/>
      </c>
      <c r="S45">
        <f>h_col*((Q45+R45)/2)/(1-(Q45+R45)/2)</f>
        <v/>
      </c>
      <c r="T45">
        <f>(f_cd*b_col*((3*MIN(S45,h_col)/7)+(4*MIN(S45,h_col)/7)*(1-((4*MIN(S45,h_col)/7)/(S45-(3*MIN(S45,h_col)/7)))^2/3))+$D45/2*((MAX(-f_yd,MIN(f_yd,200000*IF(S45&lt;=h_col,0.0035*(S45-d_2)/S45,0.002*(S45-d_2)/(S45-3*h_col/7))))-f_cd*(1-(1-MAX(0,MIN(1,IF(S45&lt;=h_col,0.0035*(S45-d_2)/S45,0.002*(S45-d_2)/(S45-3*h_col/7))/0.002)))^2))+(MAX(-f_yd,MIN(f_yd,200000*IF(S45&lt;=h_col,0.0035*(S45-(h_col-d_2))/S45,0.002*(S45-(h_col-d_2))/(S45-3*h_col/7))))-f_cd*(1-(1-MAX(0,MIN(1,IF(S45&lt;=h_col,0.0035*(S45-(h_col-d_2))/S45,0.002*(S45-(h_col-d_2))/(S45-3*h_col/7))/0.002)))^2))))/1000</f>
        <v/>
      </c>
      <c r="U45">
        <f>IF($T45&lt;N_Ed-1E-9*MAX(1,N_Ed),(Q45+R45)/2,Q45)</f>
        <v/>
      </c>
      <c r="V45">
        <f>IF($T45&lt;N_Ed-1E-9*MAX(1,N_Ed),R45,(Q45+R45)/2)</f>
        <v/>
      </c>
      <c r="W45">
        <f>h_col*((U45+V45)/2)/(1-(U45+V45)/2)</f>
        <v/>
      </c>
      <c r="X45">
        <f>(f_cd*b_col*((3*MIN(W45,h_col)/7)+(4*MIN(W45,h_col)/7)*(1-((4*MIN(W45,h_col)/7)/(W45-(3*MIN(W45,h_col)/7)))^2/3))+$D45/2*((MAX(-f_yd,MIN(f_yd,200000*IF(W45&lt;=h_col,0.0035*(W45-d_2)/W45,0.002*(W45-d_2)/(W45-3*h_col/7))))-f_cd*(1-(1-MAX(0,MIN(1,IF(W45&lt;=h_col,0.0035*(W45-d_2)/W45,0.002*(W45-d_2)/(W45-3*h_col/7))/0.002)))^2))+(MAX(-f_yd,MIN(f_yd,200000*IF(W45&lt;=h_col,0.0035*(W45-(h_col-d_2))/W45,0.002*(W45-(h_col-d_2))/(W45-3*h_col/7))))-f_cd*(1-(1-MAX(0,MIN(1,IF(W45&lt;=h_col,0.0035*(W45-(h_col-d_2))/W45,0.002*(W45-(h_col-d_2))/(W45-3*h_col/7))/0.002)))^2))))/1000</f>
        <v/>
      </c>
      <c r="Y45">
        <f>IF($X45&lt;N_Ed-1E-9*MAX(1,N_Ed),(U45+V45)/2,U45)</f>
        <v/>
      </c>
      <c r="Z45">
        <f>IF($X45&lt;N_Ed-1E-9*MAX(1,N_Ed),V45,(U45+V45)/2)</f>
        <v/>
      </c>
      <c r="AA45">
        <f>h_col*((Y45+Z45)/2)/(1-(Y45+Z45)/2)</f>
        <v/>
      </c>
      <c r="AB45">
        <f>(f_cd*b_col*((3*MIN(AA45,h_col)/7)+(4*MIN(AA45,h_col)/7)*(1-((4*MIN(AA45,h_col)/7)/(AA45-(3*MIN(AA45,h_col)/7)))^2/3))+$D45/2*((MAX(-f_yd,MIN(f_yd,200000*IF(AA45&lt;=h_col,0.0035*(AA45-d_2)/AA45,0.002*(AA45-d_2)/(AA45-3*h_col/7))))-f_cd*(1-(1-MAX(0,MIN(1,IF(AA45&lt;=h_col,0.0035*(AA45-d_2)/AA45,0.002*(AA45-d_2)/(AA45-3*h_col/7))/0.002)))^2))+(MAX(-f_yd,MIN(f_yd,200000*IF(AA45&lt;=h_col,0.0035*(AA45-(h_col-d_2))/AA45,0.002*(AA45-(h_col-d_2))/(AA45-3*h_col/7))))-f_cd*(1-(1-MAX(0,MIN(1,IF(AA45&lt;=h_col,0.0035*(AA45-(h_col-d_2))/AA45,0.002*(AA45-(h_col-d_2))/(AA45-3*h_col/7))/0.002)))^2))))/1000</f>
        <v/>
      </c>
      <c r="AC45">
        <f>IF($AB45&lt;N_Ed-1E-9*MAX(1,N_Ed),(Y45+Z45)/2,Y45)</f>
        <v/>
      </c>
      <c r="AD45">
        <f>IF($AB45&lt;N_Ed-1E-9*MAX(1,N_Ed),Z45,(Y45+Z45)/2)</f>
        <v/>
      </c>
      <c r="AE45">
        <f>h_col*((AC45+AD45)/2)/(1-(AC45+AD45)/2)</f>
        <v/>
      </c>
      <c r="AF45">
        <f>(f_cd*b_col*((3*MIN(AE45,h_col)/7)+(4*MIN(AE45,h_col)/7)*(1-((4*MIN(AE45,h_col)/7)/(AE45-(3*MIN(AE45,h_col)/7)))^2/3))+$D45/2*((MAX(-f_yd,MIN(f_yd,200000*IF(AE45&lt;=h_col,0.0035*(AE45-d_2)/AE45,0.002*(AE45-d_2)/(AE45-3*h_col/7))))-f_cd*(1-(1-MAX(0,MIN(1,IF(AE45&lt;=h_col,0.0035*(AE45-d_2)/AE45,0.002*(AE45-d_2)/(AE45-3*h_col/7))/0.002)))^2))+(MAX(-f_yd,MIN(f_yd,200000*IF(AE45&lt;=h_col,0.0035*(AE45-(h_col-d_2))/AE45,0.002*(AE45-(h_col-d_2))/(AE45-3*h_col/7))))-f_cd*(1-(1-MAX(0,MIN(1,IF(AE45&lt;=h_col,0.0035*(AE45-(h_col-d_2))/AE45,0.002*(AE45-(h_col-d_2))/(AE45-3*h_col/7))/0.002)))^2))))/1000</f>
        <v/>
      </c>
      <c r="AG45">
        <f>IF($AF45&lt;N_Ed-1E-9*MAX(1,N_Ed),(AC45+AD45)/2,AC45)</f>
        <v/>
      </c>
      <c r="AH45">
        <f>IF($AF45&lt;N_Ed-1E-9*MAX(1,N_Ed),AD45,(AC45+AD45)/2)</f>
        <v/>
      </c>
      <c r="AI45">
        <f>h_col*((AG45+AH45)/2)/(1-(AG45+AH45)/2)</f>
        <v/>
      </c>
      <c r="AJ45">
        <f>(f_cd*b_col*((3*MIN(AI45,h_col)/7)+(4*MIN(AI45,h_col)/7)*(1-((4*MIN(AI45,h_col)/7)/(AI45-(3*MIN(AI45,h_col)/7)))^2/3))+$D45/2*((MAX(-f_yd,MIN(f_yd,200000*IF(AI45&lt;=h_col,0.0035*(AI45-d_2)/AI45,0.002*(AI45-d_2)/(AI45-3*h_col/7))))-f_cd*(1-(1-MAX(0,MIN(1,IF(AI45&lt;=h_col,0.0035*(AI45-d_2)/AI45,0.002*(AI45-d_2)/(AI45-3*h_col/7))/0.002)))^2))+(MAX(-f_yd,MIN(f_yd,200000*IF(AI45&lt;=h_col,0.0035*(AI45-(h_col-d_2))/AI45,0.002*(AI45-(h_col-d_2))/(AI45-3*h_col/7))))-f_cd*(1-(1-MAX(0,MIN(1,IF(AI45&lt;=h_col,0.0035*(AI45-(h_col-d_2))/AI45,0.002*(AI45-(h_col-d_2))/(AI45-3*h_col/7))/0.002)))^2))))/1000</f>
        <v/>
      </c>
      <c r="AK45">
        <f>IF($AJ45&lt;N_Ed-1E-9*MAX(1,N_Ed),(AG45+AH45)/2,AG45)</f>
        <v/>
      </c>
      <c r="AL45">
        <f>IF($AJ45&lt;N_Ed-1E-9*MAX(1,N_Ed),AH45,(AG45+AH45)/2)</f>
        <v/>
      </c>
      <c r="AM45">
        <f>h_col*((AK45+AL45)/2)/(1-(AK45+AL45)/2)</f>
        <v/>
      </c>
      <c r="AN45">
        <f>(f_cd*b_col*((3*MIN(AM45,h_col)/7)+(4*MIN(AM45,h_col)/7)*(1-((4*MIN(AM45,h_col)/7)/(AM45-(3*MIN(AM45,h_col)/7)))^2/3))+$D45/2*((MAX(-f_yd,MIN(f_yd,200000*IF(AM45&lt;=h_col,0.0035*(AM45-d_2)/AM45,0.002*(AM45-d_2)/(AM45-3*h_col/7))))-f_cd*(1-(1-MAX(0,MIN(1,IF(AM45&lt;=h_col,0.0035*(AM45-d_2)/AM45,0.002*(AM45-d_2)/(AM45-3*h_col/7))/0.002)))^2))+(MAX(-f_yd,MIN(f_yd,200000*IF(AM45&lt;=h_col,0.0035*(AM45-(h_col-d_2))/AM45,0.002*(AM45-(h_col-d_2))/(AM45-3*h_col/7))))-f_cd*(1-(1-MAX(0,MIN(1,IF(AM45&lt;=h_col,0.0035*(AM45-(h_col-d_2))/AM45,0.002*(AM45-(h_col-d_2))/(AM45-3*h_col/7))/0.002)))^2))))/1000</f>
        <v/>
      </c>
      <c r="AO45">
        <f>IF($AN45&lt;N_Ed-1E-9*MAX(1,N_Ed),(AK45+AL45)/2,AK45)</f>
        <v/>
      </c>
      <c r="AP45">
        <f>IF($AN45&lt;N_Ed-1E-9*MAX(1,N_Ed),AL45,(AK45+AL45)/2)</f>
        <v/>
      </c>
      <c r="AQ45">
        <f>h_col*((AO45+AP45)/2)/(1-(AO45+AP45)/2)</f>
        <v/>
      </c>
      <c r="AR45">
        <f>(f_cd*b_col*((3*MIN(AQ45,h_col)/7)+(4*MIN(AQ45,h_col)/7)*(1-((4*MIN(AQ45,h_col)/7)/(AQ45-(3*MIN(AQ45,h_col)/7)))^2/3))+$D45/2*((MAX(-f_yd,MIN(f_yd,200000*IF(AQ45&lt;=h_col,0.0035*(AQ45-d_2)/AQ45,0.002*(AQ45-d_2)/(AQ45-3*h_col/7))))-f_cd*(1-(1-MAX(0,MIN(1,IF(AQ45&lt;=h_col,0.0035*(AQ45-d_2)/AQ45,0.002*(AQ45-d_2)/(AQ45-3*h_col/7))/0.002)))^2))+(MAX(-f_yd,MIN(f_yd,200000*IF(AQ45&lt;=h_col,0.0035*(AQ45-(h_col-d_2))/AQ45,0.002*(AQ45-(h_col-d_2))/(AQ45-3*h_col/7))))-f_cd*(1-(1-MAX(0,MIN(1,IF(AQ45&lt;=h_col,0.0035*(AQ45-(h_col-d_2))/AQ45,0.002*(AQ45-(h_col-d_2))/(AQ45-3*h_col/7))/0.002)))^2))))/1000</f>
        <v/>
      </c>
      <c r="AS45">
        <f>IF($AR45&lt;N_Ed-1E-9*MAX(1,N_Ed),(AO45+AP45)/2,AO45)</f>
        <v/>
      </c>
      <c r="AT45">
        <f>IF($AR45&lt;N_Ed-1E-9*MAX(1,N_Ed),AP45,(AO45+AP45)/2)</f>
        <v/>
      </c>
      <c r="AU45">
        <f>h_col*((AS45+AT45)/2)/(1-(AS45+AT45)/2)</f>
        <v/>
      </c>
      <c r="AV45">
        <f>(f_cd*b_col*((3*MIN(AU45,h_col)/7)+(4*MIN(AU45,h_col)/7)*(1-((4*MIN(AU45,h_col)/7)/(AU45-(3*MIN(AU45,h_col)/7)))^2/3))+$D45/2*((MAX(-f_yd,MIN(f_yd,200000*IF(AU45&lt;=h_col,0.0035*(AU45-d_2)/AU45,0.002*(AU45-d_2)/(AU45-3*h_col/7))))-f_cd*(1-(1-MAX(0,MIN(1,IF(AU45&lt;=h_col,0.0035*(AU45-d_2)/AU45,0.002*(AU45-d_2)/(AU45-3*h_col/7))/0.002)))^2))+(MAX(-f_yd,MIN(f_yd,200000*IF(AU45&lt;=h_col,0.0035*(AU45-(h_col-d_2))/AU45,0.002*(AU45-(h_col-d_2))/(AU45-3*h_col/7))))-f_cd*(1-(1-MAX(0,MIN(1,IF(AU45&lt;=h_col,0.0035*(AU45-(h_col-d_2))/AU45,0.002*(AU45-(h_col-d_2))/(AU45-3*h_col/7))/0.002)))^2))))/1000</f>
        <v/>
      </c>
      <c r="AW45">
        <f>IF($AV45&lt;N_Ed-1E-9*MAX(1,N_Ed),(AS45+AT45)/2,AS45)</f>
        <v/>
      </c>
      <c r="AX45">
        <f>IF($AV45&lt;N_Ed-1E-9*MAX(1,N_Ed),AT45,(AS45+AT45)/2)</f>
        <v/>
      </c>
      <c r="AY45">
        <f>h_col*((AW45+AX45)/2)/(1-(AW45+AX45)/2)</f>
        <v/>
      </c>
      <c r="AZ45">
        <f>(f_cd*b_col*((3*MIN(AY45,h_col)/7)+(4*MIN(AY45,h_col)/7)*(1-((4*MIN(AY45,h_col)/7)/(AY45-(3*MIN(AY45,h_col)/7)))^2/3))+$D45/2*((MAX(-f_yd,MIN(f_yd,200000*IF(AY45&lt;=h_col,0.0035*(AY45-d_2)/AY45,0.002*(AY45-d_2)/(AY45-3*h_col/7))))-f_cd*(1-(1-MAX(0,MIN(1,IF(AY45&lt;=h_col,0.0035*(AY45-d_2)/AY45,0.002*(AY45-d_2)/(AY45-3*h_col/7))/0.002)))^2))+(MAX(-f_yd,MIN(f_yd,200000*IF(AY45&lt;=h_col,0.0035*(AY45-(h_col-d_2))/AY45,0.002*(AY45-(h_col-d_2))/(AY45-3*h_col/7))))-f_cd*(1-(1-MAX(0,MIN(1,IF(AY45&lt;=h_col,0.0035*(AY45-(h_col-d_2))/AY45,0.002*(AY45-(h_col-d_2))/(AY45-3*h_col/7))/0.002)))^2))))/1000</f>
        <v/>
      </c>
      <c r="BA45">
        <f>IF($AZ45&lt;N_Ed-1E-9*MAX(1,N_Ed),(AW45+AX45)/2,AW45)</f>
        <v/>
      </c>
      <c r="BB45">
        <f>IF($AZ45&lt;N_Ed-1E-9*MAX(1,N_Ed),AX45,(AW45+AX45)/2)</f>
        <v/>
      </c>
      <c r="BC45">
        <f>h_col*((BA45+BB45)/2)/(1-(BA45+BB45)/2)</f>
        <v/>
      </c>
      <c r="BD45">
        <f>(f_cd*b_col*((3*MIN(BC45,h_col)/7)+(4*MIN(BC45,h_col)/7)*(1-((4*MIN(BC45,h_col)/7)/(BC45-(3*MIN(BC45,h_col)/7)))^2/3))+$D45/2*((MAX(-f_yd,MIN(f_yd,200000*IF(BC45&lt;=h_col,0.0035*(BC45-d_2)/BC45,0.002*(BC45-d_2)/(BC45-3*h_col/7))))-f_cd*(1-(1-MAX(0,MIN(1,IF(BC45&lt;=h_col,0.0035*(BC45-d_2)/BC45,0.002*(BC45-d_2)/(BC45-3*h_col/7))/0.002)))^2))+(MAX(-f_yd,MIN(f_yd,200000*IF(BC45&lt;=h_col,0.0035*(BC45-(h_col-d_2))/BC45,0.002*(BC45-(h_col-d_2))/(BC45-3*h_col/7))))-f_cd*(1-(1-MAX(0,MIN(1,IF(BC45&lt;=h_col,0.0035*(BC45-(h_col-d_2))/BC45,0.002*(BC45-(h_col-d_2))/(BC45-3*h_col/7))/0.002)))^2))))/1000</f>
        <v/>
      </c>
      <c r="BE45">
        <f>IF($BD45&lt;N_Ed-1E-9*MAX(1,N_Ed),(BA45+BB45)/2,BA45)</f>
        <v/>
      </c>
      <c r="BF45">
        <f>IF($BD45&lt;N_Ed-1E-9*MAX(1,N_Ed),BB45,(BA45+BB45)/2)</f>
        <v/>
      </c>
      <c r="BG45">
        <f>h_col*((BE45+BF45)/2)/(1-(BE45+BF45)/2)</f>
        <v/>
      </c>
      <c r="BH45">
        <f>(f_cd*b_col*((3*MIN(BG45,h_col)/7)+(4*MIN(BG45,h_col)/7)*(1-((4*MIN(BG45,h_col)/7)/(BG45-(3*MIN(BG45,h_col)/7)))^2/3))+$D45/2*((MAX(-f_yd,MIN(f_yd,200000*IF(BG45&lt;=h_col,0.0035*(BG45-d_2)/BG45,0.002*(BG45-d_2)/(BG45-3*h_col/7))))-f_cd*(1-(1-MAX(0,MIN(1,IF(BG45&lt;=h_col,0.0035*(BG45-d_2)/BG45,0.002*(BG45-d_2)/(BG45-3*h_col/7))/0.002)))^2))+(MAX(-f_yd,MIN(f_yd,200000*IF(BG45&lt;=h_col,0.0035*(BG45-(h_col-d_2))/BG45,0.002*(BG45-(h_col-d_2))/(BG45-3*h_col/7))))-f_cd*(1-(1-MAX(0,MIN(1,IF(BG45&lt;=h_col,0.0035*(BG45-(h_col-d_2))/BG45,0.002*(BG45-(h_col-d_2))/(BG45-3*h_col/7))/0.002)))^2))))/1000</f>
        <v/>
      </c>
      <c r="BI45">
        <f>IF($BH45&lt;N_Ed-1E-9*MAX(1,N_Ed),(BE45+BF45)/2,BE45)</f>
        <v/>
      </c>
      <c r="BJ45">
        <f>IF($BH45&lt;N_Ed-1E-9*MAX(1,N_Ed),BF45,(BE45+BF45)/2)</f>
        <v/>
      </c>
      <c r="BK45">
        <f>h_col*((BI45+BJ45)/2)/(1-(BI45+BJ45)/2)</f>
        <v/>
      </c>
      <c r="BL45">
        <f>(f_cd*b_col*((3*MIN(BK45,h_col)/7)+(4*MIN(BK45,h_col)/7)*(1-((4*MIN(BK45,h_col)/7)/(BK45-(3*MIN(BK45,h_col)/7)))^2/3))+$D45/2*((MAX(-f_yd,MIN(f_yd,200000*IF(BK45&lt;=h_col,0.0035*(BK45-d_2)/BK45,0.002*(BK45-d_2)/(BK45-3*h_col/7))))-f_cd*(1-(1-MAX(0,MIN(1,IF(BK45&lt;=h_col,0.0035*(BK45-d_2)/BK45,0.002*(BK45-d_2)/(BK45-3*h_col/7))/0.002)))^2))+(MAX(-f_yd,MIN(f_yd,200000*IF(BK45&lt;=h_col,0.0035*(BK45-(h_col-d_2))/BK45,0.002*(BK45-(h_col-d_2))/(BK45-3*h_col/7))))-f_cd*(1-(1-MAX(0,MIN(1,IF(BK45&lt;=h_col,0.0035*(BK45-(h_col-d_2))/BK45,0.002*(BK45-(h_col-d_2))/(BK45-3*h_col/7))/0.002)))^2))))/1000</f>
        <v/>
      </c>
      <c r="BM45">
        <f>IF($BL45&lt;N_Ed-1E-9*MAX(1,N_Ed),(BI45+BJ45)/2,BI45)</f>
        <v/>
      </c>
      <c r="BN45">
        <f>IF($BL45&lt;N_Ed-1E-9*MAX(1,N_Ed),BJ45,(BI45+BJ45)/2)</f>
        <v/>
      </c>
      <c r="BO45">
        <f>h_col*((BM45+BN45)/2)/(1-(BM45+BN45)/2)</f>
        <v/>
      </c>
      <c r="BP45">
        <f>(f_cd*b_col*((3*MIN(BO45,h_col)/7)+(4*MIN(BO45,h_col)/7)*(1-((4*MIN(BO45,h_col)/7)/(BO45-(3*MIN(BO45,h_col)/7)))^2/3))+$D45/2*((MAX(-f_yd,MIN(f_yd,200000*IF(BO45&lt;=h_col,0.0035*(BO45-d_2)/BO45,0.002*(BO45-d_2)/(BO45-3*h_col/7))))-f_cd*(1-(1-MAX(0,MIN(1,IF(BO45&lt;=h_col,0.0035*(BO45-d_2)/BO45,0.002*(BO45-d_2)/(BO45-3*h_col/7))/0.002)))^2))+(MAX(-f_yd,MIN(f_yd,200000*IF(BO45&lt;=h_col,0.0035*(BO45-(h_col-d_2))/BO45,0.002*(BO45-(h_col-d_2))/(BO45-3*h_col/7))))-f_cd*(1-(1-MAX(0,MIN(1,IF(BO45&lt;=h_col,0.0035*(BO45-(h_col-d_2))/BO45,0.002*(BO45-(h_col-d_2))/(BO45-3*h_col/7))/0.002)))^2))))/1000</f>
        <v/>
      </c>
      <c r="BQ45">
        <f>IF($BP45&lt;N_Ed-1E-9*MAX(1,N_Ed),(BM45+BN45)/2,BM45)</f>
        <v/>
      </c>
      <c r="BR45">
        <f>IF($BP45&lt;N_Ed-1E-9*MAX(1,N_Ed),BN45,(BM45+BN45)/2)</f>
        <v/>
      </c>
      <c r="BS45">
        <f>h_col*((BQ45+BR45)/2)/(1-(BQ45+BR45)/2)</f>
        <v/>
      </c>
      <c r="BT45">
        <f>(f_cd*b_col*((3*MIN(BS45,h_col)/7)+(4*MIN(BS45,h_col)/7)*(1-((4*MIN(BS45,h_col)/7)/(BS45-(3*MIN(BS45,h_col)/7)))^2/3))+$D45/2*((MAX(-f_yd,MIN(f_yd,200000*IF(BS45&lt;=h_col,0.0035*(BS45-d_2)/BS45,0.002*(BS45-d_2)/(BS45-3*h_col/7))))-f_cd*(1-(1-MAX(0,MIN(1,IF(BS45&lt;=h_col,0.0035*(BS45-d_2)/BS45,0.002*(BS45-d_2)/(BS45-3*h_col/7))/0.002)))^2))+(MAX(-f_yd,MIN(f_yd,200000*IF(BS45&lt;=h_col,0.0035*(BS45-(h_col-d_2))/BS45,0.002*(BS45-(h_col-d_2))/(BS45-3*h_col/7))))-f_cd*(1-(1-MAX(0,MIN(1,IF(BS45&lt;=h_col,0.0035*(BS45-(h_col-d_2))/BS45,0.002*(BS45-(h_col-d_2))/(BS45-3*h_col/7))/0.002)))^2))))/1000</f>
        <v/>
      </c>
      <c r="BU45">
        <f>IF($BT45&lt;N_Ed-1E-9*MAX(1,N_Ed),(BQ45+BR45)/2,BQ45)</f>
        <v/>
      </c>
      <c r="BV45">
        <f>IF($BT45&lt;N_Ed-1E-9*MAX(1,N_Ed),BR45,(BQ45+BR45)/2)</f>
        <v/>
      </c>
      <c r="BW45">
        <f>h_col*((BU45+BV45)/2)/(1-(BU45+BV45)/2)</f>
        <v/>
      </c>
      <c r="BX45">
        <f>(f_cd*b_col*((3*MIN(BW45,h_col)/7)+(4*MIN(BW45,h_col)/7)*(1-((4*MIN(BW45,h_col)/7)/(BW45-(3*MIN(BW45,h_col)/7)))^2/3))+$D45/2*((MAX(-f_yd,MIN(f_yd,200000*IF(BW45&lt;=h_col,0.0035*(BW45-d_2)/BW45,0.002*(BW45-d_2)/(BW45-3*h_col/7))))-f_cd*(1-(1-MAX(0,MIN(1,IF(BW45&lt;=h_col,0.0035*(BW45-d_2)/BW45,0.002*(BW45-d_2)/(BW45-3*h_col/7))/0.002)))^2))+(MAX(-f_yd,MIN(f_yd,200000*IF(BW45&lt;=h_col,0.0035*(BW45-(h_col-d_2))/BW45,0.002*(BW45-(h_col-d_2))/(BW45-3*h_col/7))))-f_cd*(1-(1-MAX(0,MIN(1,IF(BW45&lt;=h_col,0.0035*(BW45-(h_col-d_2))/BW45,0.002*(BW45-(h_col-d_2))/(BW45-3*h_col/7))/0.002)))^2))))/1000</f>
        <v/>
      </c>
      <c r="BY45">
        <f>IF($BX45&lt;N_Ed-1E-9*MAX(1,N_Ed),(BU45+BV45)/2,BU45)</f>
        <v/>
      </c>
      <c r="BZ45">
        <f>IF($BX45&lt;N_Ed-1E-9*MAX(1,N_Ed),BV45,(BU45+BV45)/2)</f>
        <v/>
      </c>
      <c r="CA45">
        <f>h_col*((BY45+BZ45)/2)/(1-(BY45+BZ45)/2)</f>
        <v/>
      </c>
      <c r="CB45">
        <f>(f_cd*b_col*((3*MIN(CA45,h_col)/7)+(4*MIN(CA45,h_col)/7)*(1-((4*MIN(CA45,h_col)/7)/(CA45-(3*MIN(CA45,h_col)/7)))^2/3))+$D45/2*((MAX(-f_yd,MIN(f_yd,200000*IF(CA45&lt;=h_col,0.0035*(CA45-d_2)/CA45,0.002*(CA45-d_2)/(CA45-3*h_col/7))))-f_cd*(1-(1-MAX(0,MIN(1,IF(CA45&lt;=h_col,0.0035*(CA45-d_2)/CA45,0.002*(CA45-d_2)/(CA45-3*h_col/7))/0.002)))^2))+(MAX(-f_yd,MIN(f_yd,200000*IF(CA45&lt;=h_col,0.0035*(CA45-(h_col-d_2))/CA45,0.002*(CA45-(h_col-d_2))/(CA45-3*h_col/7))))-f_cd*(1-(1-MAX(0,MIN(1,IF(CA45&lt;=h_col,0.0035*(CA45-(h_col-d_2))/CA45,0.002*(CA45-(h_col-d_2))/(CA45-3*h_col/7))/0.002)))^2))))/1000</f>
        <v/>
      </c>
      <c r="CC45">
        <f>IF($CB45&lt;N_Ed-1E-9*MAX(1,N_Ed),(BY45+BZ45)/2,BY45)</f>
        <v/>
      </c>
      <c r="CD45">
        <f>IF($CB45&lt;N_Ed-1E-9*MAX(1,N_Ed),BZ45,(BY45+BZ45)/2)</f>
        <v/>
      </c>
      <c r="CE45">
        <f>h_col*((CC45+CD45)/2)/(1-(CC45+CD45)/2)</f>
        <v/>
      </c>
      <c r="CF45">
        <f>(f_cd*b_col*((3*MIN(CE45,h_col)/7)+(4*MIN(CE45,h_col)/7)*(1-((4*MIN(CE45,h_col)/7)/(CE45-(3*MIN(CE45,h_col)/7)))^2/3))+$D45/2*((MAX(-f_yd,MIN(f_yd,200000*IF(CE45&lt;=h_col,0.0035*(CE45-d_2)/CE45,0.002*(CE45-d_2)/(CE45-3*h_col/7))))-f_cd*(1-(1-MAX(0,MIN(1,IF(CE45&lt;=h_col,0.0035*(CE45-d_2)/CE45,0.002*(CE45-d_2)/(CE45-3*h_col/7))/0.002)))^2))+(MAX(-f_yd,MIN(f_yd,200000*IF(CE45&lt;=h_col,0.0035*(CE45-(h_col-d_2))/CE45,0.002*(CE45-(h_col-d_2))/(CE45-3*h_col/7))))-f_cd*(1-(1-MAX(0,MIN(1,IF(CE45&lt;=h_col,0.0035*(CE45-(h_col-d_2))/CE45,0.002*(CE45-(h_col-d_2))/(CE45-3*h_col/7))/0.002)))^2))))/1000</f>
        <v/>
      </c>
      <c r="CG45">
        <f>IF($CF45&lt;N_Ed-1E-9*MAX(1,N_Ed),(CC45+CD45)/2,CC45)</f>
        <v/>
      </c>
      <c r="CH45">
        <f>IF($CF45&lt;N_Ed-1E-9*MAX(1,N_Ed),CD45,(CC45+CD45)/2)</f>
        <v/>
      </c>
      <c r="CI45">
        <f>h_col*((CG45+CH45)/2)/(1-(CG45+CH45)/2)</f>
        <v/>
      </c>
      <c r="CJ45">
        <f>(f_cd*b_col*((3*MIN(CI45,h_col)/7)+(4*MIN(CI45,h_col)/7)*(1-((4*MIN(CI45,h_col)/7)/(CI45-(3*MIN(CI45,h_col)/7)))^2/3))+$D45/2*((MAX(-f_yd,MIN(f_yd,200000*IF(CI45&lt;=h_col,0.0035*(CI45-d_2)/CI45,0.002*(CI45-d_2)/(CI45-3*h_col/7))))-f_cd*(1-(1-MAX(0,MIN(1,IF(CI45&lt;=h_col,0.0035*(CI45-d_2)/CI45,0.002*(CI45-d_2)/(CI45-3*h_col/7))/0.002)))^2))+(MAX(-f_yd,MIN(f_yd,200000*IF(CI45&lt;=h_col,0.0035*(CI45-(h_col-d_2))/CI45,0.002*(CI45-(h_col-d_2))/(CI45-3*h_col/7))))-f_cd*(1-(1-MAX(0,MIN(1,IF(CI45&lt;=h_col,0.0035*(CI45-(h_col-d_2))/CI45,0.002*(CI45-(h_col-d_2))/(CI45-3*h_col/7))/0.002)))^2))))/1000</f>
        <v/>
      </c>
      <c r="CK45">
        <f>IF($CJ45&lt;N_Ed-1E-9*MAX(1,N_Ed),(CG45+CH45)/2,CG45)</f>
        <v/>
      </c>
      <c r="CL45">
        <f>IF($CJ45&lt;N_Ed-1E-9*MAX(1,N_Ed),CH45,(CG45+CH45)/2)</f>
        <v/>
      </c>
      <c r="CM45">
        <f>h_col*((CK45+CL45)/2)/(1-(CK45+CL45)/2)</f>
        <v/>
      </c>
      <c r="CN45">
        <f>(f_cd*b_col*((3*MIN(CM45,h_col)/7)+(4*MIN(CM45,h_col)/7)*(1-((4*MIN(CM45,h_col)/7)/(CM45-(3*MIN(CM45,h_col)/7)))^2/3))+$D45/2*((MAX(-f_yd,MIN(f_yd,200000*IF(CM45&lt;=h_col,0.0035*(CM45-d_2)/CM45,0.002*(CM45-d_2)/(CM45-3*h_col/7))))-f_cd*(1-(1-MAX(0,MIN(1,IF(CM45&lt;=h_col,0.0035*(CM45-d_2)/CM45,0.002*(CM45-d_2)/(CM45-3*h_col/7))/0.002)))^2))+(MAX(-f_yd,MIN(f_yd,200000*IF(CM45&lt;=h_col,0.0035*(CM45-(h_col-d_2))/CM45,0.002*(CM45-(h_col-d_2))/(CM45-3*h_col/7))))-f_cd*(1-(1-MAX(0,MIN(1,IF(CM45&lt;=h_col,0.0035*(CM45-(h_col-d_2))/CM45,0.002*(CM45-(h_col-d_2))/(CM45-3*h_col/7))/0.002)))^2))))/1000</f>
        <v/>
      </c>
      <c r="CO45">
        <f>IF($CN45&lt;N_Ed-1E-9*MAX(1,N_Ed),(CK45+CL45)/2,CK45)</f>
        <v/>
      </c>
      <c r="CP45">
        <f>IF($CN45&lt;N_Ed-1E-9*MAX(1,N_Ed),CL45,(CK45+CL45)/2)</f>
        <v/>
      </c>
      <c r="CQ45">
        <f>h_col*((CO45+CP45)/2)/(1-(CO45+CP45)/2)</f>
        <v/>
      </c>
      <c r="CR45">
        <f>(f_cd*b_col*((3*MIN(CQ45,h_col)/7)+(4*MIN(CQ45,h_col)/7)*(1-((4*MIN(CQ45,h_col)/7)/(CQ45-(3*MIN(CQ45,h_col)/7)))^2/3))+$D45/2*((MAX(-f_yd,MIN(f_yd,200000*IF(CQ45&lt;=h_col,0.0035*(CQ45-d_2)/CQ45,0.002*(CQ45-d_2)/(CQ45-3*h_col/7))))-f_cd*(1-(1-MAX(0,MIN(1,IF(CQ45&lt;=h_col,0.0035*(CQ45-d_2)/CQ45,0.002*(CQ45-d_2)/(CQ45-3*h_col/7))/0.002)))^2))+(MAX(-f_yd,MIN(f_yd,200000*IF(CQ45&lt;=h_col,0.0035*(CQ45-(h_col-d_2))/CQ45,0.002*(CQ45-(h_col-d_2))/(CQ45-3*h_col/7))))-f_cd*(1-(1-MAX(0,MIN(1,IF(CQ45&lt;=h_col,0.0035*(CQ45-(h_col-d_2))/CQ45,0.002*(CQ45-(h_col-d_2))/(CQ45-3*h_col/7))/0.002)))^2))))/1000</f>
        <v/>
      </c>
      <c r="CS45">
        <f>IF($CR45&lt;N_Ed-1E-9*MAX(1,N_Ed),(CO45+CP45)/2,CO45)</f>
        <v/>
      </c>
      <c r="CT45">
        <f>IF($CR45&lt;N_Ed-1E-9*MAX(1,N_Ed),CP45,(CO45+CP45)/2)</f>
        <v/>
      </c>
      <c r="CU45">
        <f>h_col*((CS45+CT45)/2)/(1-(CS45+CT45)/2)</f>
        <v/>
      </c>
      <c r="CV45">
        <f>(f_cd*b_col*((3*MIN(CU45,h_col)/7)+(4*MIN(CU45,h_col)/7)*(1-((4*MIN(CU45,h_col)/7)/(CU45-(3*MIN(CU45,h_col)/7)))^2/3))+$D45/2*((MAX(-f_yd,MIN(f_yd,200000*IF(CU45&lt;=h_col,0.0035*(CU45-d_2)/CU45,0.002*(CU45-d_2)/(CU45-3*h_col/7))))-f_cd*(1-(1-MAX(0,MIN(1,IF(CU45&lt;=h_col,0.0035*(CU45-d_2)/CU45,0.002*(CU45-d_2)/(CU45-3*h_col/7))/0.002)))^2))+(MAX(-f_yd,MIN(f_yd,200000*IF(CU45&lt;=h_col,0.0035*(CU45-(h_col-d_2))/CU45,0.002*(CU45-(h_col-d_2))/(CU45-3*h_col/7))))-f_cd*(1-(1-MAX(0,MIN(1,IF(CU45&lt;=h_col,0.0035*(CU45-(h_col-d_2))/CU45,0.002*(CU45-(h_col-d_2))/(CU45-3*h_col/7))/0.002)))^2))))/1000</f>
        <v/>
      </c>
      <c r="CW45">
        <f>IF($CV45&lt;N_Ed-1E-9*MAX(1,N_Ed),(CS45+CT45)/2,CS45)</f>
        <v/>
      </c>
      <c r="CX45">
        <f>IF($CV45&lt;N_Ed-1E-9*MAX(1,N_Ed),CT45,(CS45+CT45)/2)</f>
        <v/>
      </c>
      <c r="CY45">
        <f>h_col*((CW45+CX45)/2)/(1-(CW45+CX45)/2)</f>
        <v/>
      </c>
      <c r="CZ45">
        <f>(f_cd*b_col*((3*MIN(CY45,h_col)/7)+(4*MIN(CY45,h_col)/7)*(1-((4*MIN(CY45,h_col)/7)/(CY45-(3*MIN(CY45,h_col)/7)))^2/3))+$D45/2*((MAX(-f_yd,MIN(f_yd,200000*IF(CY45&lt;=h_col,0.0035*(CY45-d_2)/CY45,0.002*(CY45-d_2)/(CY45-3*h_col/7))))-f_cd*(1-(1-MAX(0,MIN(1,IF(CY45&lt;=h_col,0.0035*(CY45-d_2)/CY45,0.002*(CY45-d_2)/(CY45-3*h_col/7))/0.002)))^2))+(MAX(-f_yd,MIN(f_yd,200000*IF(CY45&lt;=h_col,0.0035*(CY45-(h_col-d_2))/CY45,0.002*(CY45-(h_col-d_2))/(CY45-3*h_col/7))))-f_cd*(1-(1-MAX(0,MIN(1,IF(CY45&lt;=h_col,0.0035*(CY45-(h_col-d_2))/CY45,0.002*(CY45-(h_col-d_2))/(CY45-3*h_col/7))/0.002)))^2))))/1000</f>
        <v/>
      </c>
      <c r="DA45">
        <f>IF($CZ45&lt;N_Ed-1E-9*MAX(1,N_Ed),(CW45+CX45)/2,CW45)</f>
        <v/>
      </c>
      <c r="DB45">
        <f>IF($CZ45&lt;N_Ed-1E-9*MAX(1,N_Ed),CX45,(CW45+CX45)/2)</f>
        <v/>
      </c>
      <c r="DC45">
        <f>h_col*((DA45+DB45)/2)/(1-(DA45+DB45)/2)</f>
        <v/>
      </c>
      <c r="DD45">
        <f>(f_cd*b_col*((3*MIN(DC45,h_col)/7)+(4*MIN(DC45,h_col)/7)*(1-((4*MIN(DC45,h_col)/7)/(DC45-(3*MIN(DC45,h_col)/7)))^2/3))+$D45/2*((MAX(-f_yd,MIN(f_yd,200000*IF(DC45&lt;=h_col,0.0035*(DC45-d_2)/DC45,0.002*(DC45-d_2)/(DC45-3*h_col/7))))-f_cd*(1-(1-MAX(0,MIN(1,IF(DC45&lt;=h_col,0.0035*(DC45-d_2)/DC45,0.002*(DC45-d_2)/(DC45-3*h_col/7))/0.002)))^2))+(MAX(-f_yd,MIN(f_yd,200000*IF(DC45&lt;=h_col,0.0035*(DC45-(h_col-d_2))/DC45,0.002*(DC45-(h_col-d_2))/(DC45-3*h_col/7))))-f_cd*(1-(1-MAX(0,MIN(1,IF(DC45&lt;=h_col,0.0035*(DC45-(h_col-d_2))/DC45,0.002*(DC45-(h_col-d_2))/(DC45-3*h_col/7))/0.002)))^2))))/1000</f>
        <v/>
      </c>
      <c r="DE45">
        <f>IF($DD45&lt;N_Ed-1E-9*MAX(1,N_Ed),(DA45+DB45)/2,DA45)</f>
        <v/>
      </c>
      <c r="DF45">
        <f>IF($DD45&lt;N_Ed-1E-9*MAX(1,N_Ed),DB45,(DA45+DB45)/2)</f>
        <v/>
      </c>
      <c r="DG45">
        <f>h_col*((DE45+DF45)/2)/(1-(DE45+DF45)/2)</f>
        <v/>
      </c>
      <c r="DH45">
        <f>(f_cd*b_col*((3*MIN(DG45,h_col)/7)+(4*MIN(DG45,h_col)/7)*(1-((4*MIN(DG45,h_col)/7)/(DG45-(3*MIN(DG45,h_col)/7)))^2/3))+$D45/2*((MAX(-f_yd,MIN(f_yd,200000*IF(DG45&lt;=h_col,0.0035*(DG45-d_2)/DG45,0.002*(DG45-d_2)/(DG45-3*h_col/7))))-f_cd*(1-(1-MAX(0,MIN(1,IF(DG45&lt;=h_col,0.0035*(DG45-d_2)/DG45,0.002*(DG45-d_2)/(DG45-3*h_col/7))/0.002)))^2))+(MAX(-f_yd,MIN(f_yd,200000*IF(DG45&lt;=h_col,0.0035*(DG45-(h_col-d_2))/DG45,0.002*(DG45-(h_col-d_2))/(DG45-3*h_col/7))))-f_cd*(1-(1-MAX(0,MIN(1,IF(DG45&lt;=h_col,0.0035*(DG45-(h_col-d_2))/DG45,0.002*(DG45-(h_col-d_2))/(DG45-3*h_col/7))/0.002)))^2))))/1000</f>
        <v/>
      </c>
      <c r="DI45">
        <f>IF($DH45&lt;N_Ed-1E-9*MAX(1,N_Ed),(DE45+DF45)/2,DE45)</f>
        <v/>
      </c>
      <c r="DJ45">
        <f>IF($DH45&lt;N_Ed-1E-9*MAX(1,N_Ed),DF45,(DE45+DF45)/2)</f>
        <v/>
      </c>
      <c r="DK45">
        <f>h_col*((DI45+DJ45)/2)/(1-(DI45+DJ45)/2)</f>
        <v/>
      </c>
      <c r="DL45">
        <f>(f_cd*b_col*((3*MIN(DK45,h_col)/7)+(4*MIN(DK45,h_col)/7)*(1-((4*MIN(DK45,h_col)/7)/(DK45-(3*MIN(DK45,h_col)/7)))^2/3))+$D45/2*((MAX(-f_yd,MIN(f_yd,200000*IF(DK45&lt;=h_col,0.0035*(DK45-d_2)/DK45,0.002*(DK45-d_2)/(DK45-3*h_col/7))))-f_cd*(1-(1-MAX(0,MIN(1,IF(DK45&lt;=h_col,0.0035*(DK45-d_2)/DK45,0.002*(DK45-d_2)/(DK45-3*h_col/7))/0.002)))^2))+(MAX(-f_yd,MIN(f_yd,200000*IF(DK45&lt;=h_col,0.0035*(DK45-(h_col-d_2))/DK45,0.002*(DK45-(h_col-d_2))/(DK45-3*h_col/7))))-f_cd*(1-(1-MAX(0,MIN(1,IF(DK45&lt;=h_col,0.0035*(DK45-(h_col-d_2))/DK45,0.002*(DK45-(h_col-d_2))/(DK45-3*h_col/7))/0.002)))^2))))/1000</f>
        <v/>
      </c>
      <c r="DM45">
        <f>IF($DL45&lt;N_Ed-1E-9*MAX(1,N_Ed),(DI45+DJ45)/2,DI45)</f>
        <v/>
      </c>
      <c r="DN45">
        <f>IF($DL45&lt;N_Ed-1E-9*MAX(1,N_Ed),DJ45,(DI45+DJ45)/2)</f>
        <v/>
      </c>
      <c r="DO45">
        <f>h_col*((DM45+DN45)/2)/(1-(DM45+DN45)/2)</f>
        <v/>
      </c>
      <c r="DP45">
        <f>(f_cd*b_col*((3*MIN(DO45,h_col)/7)+(4*MIN(DO45,h_col)/7)*(1-((4*MIN(DO45,h_col)/7)/(DO45-(3*MIN(DO45,h_col)/7)))^2/3))+$D45/2*((MAX(-f_yd,MIN(f_yd,200000*IF(DO45&lt;=h_col,0.0035*(DO45-d_2)/DO45,0.002*(DO45-d_2)/(DO45-3*h_col/7))))-f_cd*(1-(1-MAX(0,MIN(1,IF(DO45&lt;=h_col,0.0035*(DO45-d_2)/DO45,0.002*(DO45-d_2)/(DO45-3*h_col/7))/0.002)))^2))+(MAX(-f_yd,MIN(f_yd,200000*IF(DO45&lt;=h_col,0.0035*(DO45-(h_col-d_2))/DO45,0.002*(DO45-(h_col-d_2))/(DO45-3*h_col/7))))-f_cd*(1-(1-MAX(0,MIN(1,IF(DO45&lt;=h_col,0.0035*(DO45-(h_col-d_2))/DO45,0.002*(DO45-(h_col-d_2))/(DO45-3*h_col/7))/0.002)))^2))))/1000</f>
        <v/>
      </c>
      <c r="DQ45">
        <f>IF($DP45&lt;N_Ed-1E-9*MAX(1,N_Ed),(DM45+DN45)/2,DM45)</f>
        <v/>
      </c>
      <c r="DR45">
        <f>IF($DP45&lt;N_Ed-1E-9*MAX(1,N_Ed),DN45,(DM45+DN45)/2)</f>
        <v/>
      </c>
      <c r="DS45">
        <f>h_col*((DQ45+DR45)/2)/(1-(DQ45+DR45)/2)</f>
        <v/>
      </c>
      <c r="DT45">
        <f>(f_cd*b_col*((3*MIN(DS45,h_col)/7)+(4*MIN(DS45,h_col)/7)*(1-((4*MIN(DS45,h_col)/7)/(DS45-(3*MIN(DS45,h_col)/7)))^2/3))+$D45/2*((MAX(-f_yd,MIN(f_yd,200000*IF(DS45&lt;=h_col,0.0035*(DS45-d_2)/DS45,0.002*(DS45-d_2)/(DS45-3*h_col/7))))-f_cd*(1-(1-MAX(0,MIN(1,IF(DS45&lt;=h_col,0.0035*(DS45-d_2)/DS45,0.002*(DS45-d_2)/(DS45-3*h_col/7))/0.002)))^2))+(MAX(-f_yd,MIN(f_yd,200000*IF(DS45&lt;=h_col,0.0035*(DS45-(h_col-d_2))/DS45,0.002*(DS45-(h_col-d_2))/(DS45-3*h_col/7))))-f_cd*(1-(1-MAX(0,MIN(1,IF(DS45&lt;=h_col,0.0035*(DS45-(h_col-d_2))/DS45,0.002*(DS45-(h_col-d_2))/(DS45-3*h_col/7))/0.002)))^2))))/1000</f>
        <v/>
      </c>
      <c r="DU45">
        <f>IF($DT45&lt;N_Ed-1E-9*MAX(1,N_Ed),(DQ45+DR45)/2,DQ45)</f>
        <v/>
      </c>
      <c r="DV45">
        <f>IF($DT45&lt;N_Ed-1E-9*MAX(1,N_Ed),DR45,(DQ45+DR45)/2)</f>
        <v/>
      </c>
      <c r="DW45">
        <f>h_col*((DU45+DV45)/2)/(1-(DU45+DV45)/2)</f>
        <v/>
      </c>
      <c r="DX45">
        <f>(f_cd*b_col*((3*MIN(DW45,h_col)/7)+(4*MIN(DW45,h_col)/7)*(1-((4*MIN(DW45,h_col)/7)/(DW45-(3*MIN(DW45,h_col)/7)))^2/3))+$D45/2*((MAX(-f_yd,MIN(f_yd,200000*IF(DW45&lt;=h_col,0.0035*(DW45-d_2)/DW45,0.002*(DW45-d_2)/(DW45-3*h_col/7))))-f_cd*(1-(1-MAX(0,MIN(1,IF(DW45&lt;=h_col,0.0035*(DW45-d_2)/DW45,0.002*(DW45-d_2)/(DW45-3*h_col/7))/0.002)))^2))+(MAX(-f_yd,MIN(f_yd,200000*IF(DW45&lt;=h_col,0.0035*(DW45-(h_col-d_2))/DW45,0.002*(DW45-(h_col-d_2))/(DW45-3*h_col/7))))-f_cd*(1-(1-MAX(0,MIN(1,IF(DW45&lt;=h_col,0.0035*(DW45-(h_col-d_2))/DW45,0.002*(DW45-(h_col-d_2))/(DW45-3*h_col/7))/0.002)))^2))))/1000</f>
        <v/>
      </c>
      <c r="DY45">
        <f>IF($DX45&lt;N_Ed-1E-9*MAX(1,N_Ed),(DU45+DV45)/2,DU45)</f>
        <v/>
      </c>
      <c r="DZ45">
        <f>IF($DX45&lt;N_Ed-1E-9*MAX(1,N_Ed),DV45,(DU45+DV45)/2)</f>
        <v/>
      </c>
      <c r="EA45">
        <f>h_col*((DY45+DZ45)/2)/(1-(DY45+DZ45)/2)</f>
        <v/>
      </c>
      <c r="EB45">
        <f>(f_cd*b_col*((3*MIN(EA45,h_col)/7)+(4*MIN(EA45,h_col)/7)*(1-((4*MIN(EA45,h_col)/7)/(EA45-(3*MIN(EA45,h_col)/7)))^2/3))+$D45/2*((MAX(-f_yd,MIN(f_yd,200000*IF(EA45&lt;=h_col,0.0035*(EA45-d_2)/EA45,0.002*(EA45-d_2)/(EA45-3*h_col/7))))-f_cd*(1-(1-MAX(0,MIN(1,IF(EA45&lt;=h_col,0.0035*(EA45-d_2)/EA45,0.002*(EA45-d_2)/(EA45-3*h_col/7))/0.002)))^2))+(MAX(-f_yd,MIN(f_yd,200000*IF(EA45&lt;=h_col,0.0035*(EA45-(h_col-d_2))/EA45,0.002*(EA45-(h_col-d_2))/(EA45-3*h_col/7))))-f_cd*(1-(1-MAX(0,MIN(1,IF(EA45&lt;=h_col,0.0035*(EA45-(h_col-d_2))/EA45,0.002*(EA45-(h_col-d_2))/(EA45-3*h_col/7))/0.002)))^2))))/1000</f>
        <v/>
      </c>
      <c r="EC45">
        <f>IF($EB45&lt;N_Ed-1E-9*MAX(1,N_Ed),(DY45+DZ45)/2,DY45)</f>
        <v/>
      </c>
      <c r="ED45">
        <f>IF($EB45&lt;N_Ed-1E-9*MAX(1,N_Ed),DZ45,(DY45+DZ45)/2)</f>
        <v/>
      </c>
      <c r="EE45">
        <f>h_col*((EC45+ED45)/2)/(1-(EC45+ED45)/2)</f>
        <v/>
      </c>
      <c r="EF45">
        <f>(f_cd*b_col*((3*MIN(EE45,h_col)/7)+(4*MIN(EE45,h_col)/7)*(1-((4*MIN(EE45,h_col)/7)/(EE45-(3*MIN(EE45,h_col)/7)))^2/3))+$D45/2*((MAX(-f_yd,MIN(f_yd,200000*IF(EE45&lt;=h_col,0.0035*(EE45-d_2)/EE45,0.002*(EE45-d_2)/(EE45-3*h_col/7))))-f_cd*(1-(1-MAX(0,MIN(1,IF(EE45&lt;=h_col,0.0035*(EE45-d_2)/EE45,0.002*(EE45-d_2)/(EE45-3*h_col/7))/0.002)))^2))+(MAX(-f_yd,MIN(f_yd,200000*IF(EE45&lt;=h_col,0.0035*(EE45-(h_col-d_2))/EE45,0.002*(EE45-(h_col-d_2))/(EE45-3*h_col/7))))-f_cd*(1-(1-MAX(0,MIN(1,IF(EE45&lt;=h_col,0.0035*(EE45-(h_col-d_2))/EE45,0.002*(EE45-(h_col-d_2))/(EE45-3*h_col/7))/0.002)))^2))))/1000</f>
        <v/>
      </c>
      <c r="EG45">
        <f>IF($EF45&lt;N_Ed-1E-9*MAX(1,N_Ed),(EC45+ED45)/2,EC45)</f>
        <v/>
      </c>
      <c r="EH45">
        <f>IF($EF45&lt;N_Ed-1E-9*MAX(1,N_Ed),ED45,(EC45+ED45)/2)</f>
        <v/>
      </c>
      <c r="EI45">
        <f>h_col*((EG45+EH45)/2)/(1-(EG45+EH45)/2)</f>
        <v/>
      </c>
      <c r="EJ45">
        <f>(f_cd*b_col*((3*MIN(EI45,h_col)/7)+(4*MIN(EI45,h_col)/7)*(1-((4*MIN(EI45,h_col)/7)/(EI45-(3*MIN(EI45,h_col)/7)))^2/3))+$D45/2*((MAX(-f_yd,MIN(f_yd,200000*IF(EI45&lt;=h_col,0.0035*(EI45-d_2)/EI45,0.002*(EI45-d_2)/(EI45-3*h_col/7))))-f_cd*(1-(1-MAX(0,MIN(1,IF(EI45&lt;=h_col,0.0035*(EI45-d_2)/EI45,0.002*(EI45-d_2)/(EI45-3*h_col/7))/0.002)))^2))+(MAX(-f_yd,MIN(f_yd,200000*IF(EI45&lt;=h_col,0.0035*(EI45-(h_col-d_2))/EI45,0.002*(EI45-(h_col-d_2))/(EI45-3*h_col/7))))-f_cd*(1-(1-MAX(0,MIN(1,IF(EI45&lt;=h_col,0.0035*(EI45-(h_col-d_2))/EI45,0.002*(EI45-(h_col-d_2))/(EI45-3*h_col/7))/0.002)))^2))))/1000</f>
        <v/>
      </c>
      <c r="EK45">
        <f>IF($EJ45&lt;N_Ed-1E-9*MAX(1,N_Ed),(EG45+EH45)/2,EG45)</f>
        <v/>
      </c>
      <c r="EL45">
        <f>IF($EJ45&lt;N_Ed-1E-9*MAX(1,N_Ed),EH45,(EG45+EH45)/2)</f>
        <v/>
      </c>
      <c r="EM45">
        <f>h_col*((EK45+EL45)/2)/(1-(EK45+EL45)/2)</f>
        <v/>
      </c>
      <c r="EN45">
        <f>(f_cd*b_col*((3*MIN(EM45,h_col)/7)+(4*MIN(EM45,h_col)/7)*(1-((4*MIN(EM45,h_col)/7)/(EM45-(3*MIN(EM45,h_col)/7)))^2/3))+$D45/2*((MAX(-f_yd,MIN(f_yd,200000*IF(EM45&lt;=h_col,0.0035*(EM45-d_2)/EM45,0.002*(EM45-d_2)/(EM45-3*h_col/7))))-f_cd*(1-(1-MAX(0,MIN(1,IF(EM45&lt;=h_col,0.0035*(EM45-d_2)/EM45,0.002*(EM45-d_2)/(EM45-3*h_col/7))/0.002)))^2))+(MAX(-f_yd,MIN(f_yd,200000*IF(EM45&lt;=h_col,0.0035*(EM45-(h_col-d_2))/EM45,0.002*(EM45-(h_col-d_2))/(EM45-3*h_col/7))))-f_cd*(1-(1-MAX(0,MIN(1,IF(EM45&lt;=h_col,0.0035*(EM45-(h_col-d_2))/EM45,0.002*(EM45-(h_col-d_2))/(EM45-3*h_col/7))/0.002)))^2))))/1000</f>
        <v/>
      </c>
      <c r="EO45">
        <f>IF($EN45&lt;N_Ed-1E-9*MAX(1,N_Ed),(EK45+EL45)/2,EK45)</f>
        <v/>
      </c>
      <c r="EP45">
        <f>IF($EN45&lt;N_Ed-1E-9*MAX(1,N_Ed),EL45,(EK45+EL45)/2)</f>
        <v/>
      </c>
      <c r="EQ45">
        <f>h_col*((EO45+EP45)/2)/(1-(EO45+EP45)/2)</f>
        <v/>
      </c>
      <c r="ER45">
        <f>(f_cd*b_col*((3*MIN(EQ45,h_col)/7)+(4*MIN(EQ45,h_col)/7)*(1-((4*MIN(EQ45,h_col)/7)/(EQ45-(3*MIN(EQ45,h_col)/7)))^2/3))+$D45/2*((MAX(-f_yd,MIN(f_yd,200000*IF(EQ45&lt;=h_col,0.0035*(EQ45-d_2)/EQ45,0.002*(EQ45-d_2)/(EQ45-3*h_col/7))))-f_cd*(1-(1-MAX(0,MIN(1,IF(EQ45&lt;=h_col,0.0035*(EQ45-d_2)/EQ45,0.002*(EQ45-d_2)/(EQ45-3*h_col/7))/0.002)))^2))+(MAX(-f_yd,MIN(f_yd,200000*IF(EQ45&lt;=h_col,0.0035*(EQ45-(h_col-d_2))/EQ45,0.002*(EQ45-(h_col-d_2))/(EQ45-3*h_col/7))))-f_cd*(1-(1-MAX(0,MIN(1,IF(EQ45&lt;=h_col,0.0035*(EQ45-(h_col-d_2))/EQ45,0.002*(EQ45-(h_col-d_2))/(EQ45-3*h_col/7))/0.002)))^2))))/1000</f>
        <v/>
      </c>
      <c r="ES45">
        <f>IF($ER45&lt;N_Ed-1E-9*MAX(1,N_Ed),(EO45+EP45)/2,EO45)</f>
        <v/>
      </c>
      <c r="ET45">
        <f>IF($ER45&lt;N_Ed-1E-9*MAX(1,N_Ed),EP45,(EO45+EP45)/2)</f>
        <v/>
      </c>
      <c r="EU45">
        <f>h_col*((ES45+ET45)/2)/(1-(ES45+ET45)/2)</f>
        <v/>
      </c>
      <c r="EV45">
        <f>(f_cd*b_col*((3*MIN(EU45,h_col)/7)+(4*MIN(EU45,h_col)/7)*(1-((4*MIN(EU45,h_col)/7)/(EU45-(3*MIN(EU45,h_col)/7)))^2/3))+$D45/2*((MAX(-f_yd,MIN(f_yd,200000*IF(EU45&lt;=h_col,0.0035*(EU45-d_2)/EU45,0.002*(EU45-d_2)/(EU45-3*h_col/7))))-f_cd*(1-(1-MAX(0,MIN(1,IF(EU45&lt;=h_col,0.0035*(EU45-d_2)/EU45,0.002*(EU45-d_2)/(EU45-3*h_col/7))/0.002)))^2))+(MAX(-f_yd,MIN(f_yd,200000*IF(EU45&lt;=h_col,0.0035*(EU45-(h_col-d_2))/EU45,0.002*(EU45-(h_col-d_2))/(EU45-3*h_col/7))))-f_cd*(1-(1-MAX(0,MIN(1,IF(EU45&lt;=h_col,0.0035*(EU45-(h_col-d_2))/EU45,0.002*(EU45-(h_col-d_2))/(EU45-3*h_col/7))/0.002)))^2))))/1000</f>
        <v/>
      </c>
      <c r="EW45">
        <f>IF($EV45&lt;N_Ed-1E-9*MAX(1,N_Ed),(ES45+ET45)/2,ES45)</f>
        <v/>
      </c>
      <c r="EX45">
        <f>IF($EV45&lt;N_Ed-1E-9*MAX(1,N_Ed),ET45,(ES45+ET45)/2)</f>
        <v/>
      </c>
      <c r="EY45">
        <f>h_col*((EW45+EX45)/2)/(1-(EW45+EX45)/2)</f>
        <v/>
      </c>
      <c r="EZ45">
        <f>(f_cd*b_col*((3*MIN(EY45,h_col)/7)+(4*MIN(EY45,h_col)/7)*(1-((4*MIN(EY45,h_col)/7)/(EY45-(3*MIN(EY45,h_col)/7)))^2/3))+$D45/2*((MAX(-f_yd,MIN(f_yd,200000*IF(EY45&lt;=h_col,0.0035*(EY45-d_2)/EY45,0.002*(EY45-d_2)/(EY45-3*h_col/7))))-f_cd*(1-(1-MAX(0,MIN(1,IF(EY45&lt;=h_col,0.0035*(EY45-d_2)/EY45,0.002*(EY45-d_2)/(EY45-3*h_col/7))/0.002)))^2))+(MAX(-f_yd,MIN(f_yd,200000*IF(EY45&lt;=h_col,0.0035*(EY45-(h_col-d_2))/EY45,0.002*(EY45-(h_col-d_2))/(EY45-3*h_col/7))))-f_cd*(1-(1-MAX(0,MIN(1,IF(EY45&lt;=h_col,0.0035*(EY45-(h_col-d_2))/EY45,0.002*(EY45-(h_col-d_2))/(EY45-3*h_col/7))/0.002)))^2))))/1000</f>
        <v/>
      </c>
      <c r="FA45">
        <f>IF($EZ45&lt;N_Ed-1E-9*MAX(1,N_Ed),(EW45+EX45)/2,EW45)</f>
        <v/>
      </c>
      <c r="FB45">
        <f>IF($EZ45&lt;N_Ed-1E-9*MAX(1,N_Ed),EX45,(EW45+EX45)/2)</f>
        <v/>
      </c>
      <c r="FC45">
        <f>h_col*((FA45+FB45)/2)/(1-(FA45+FB45)/2)</f>
        <v/>
      </c>
      <c r="FD45">
        <f>(f_cd*b_col*((3*MIN(FC45,h_col)/7)+(4*MIN(FC45,h_col)/7)*(1-((4*MIN(FC45,h_col)/7)/(FC45-(3*MIN(FC45,h_col)/7)))^2/3))+$D45/2*((MAX(-f_yd,MIN(f_yd,200000*IF(FC45&lt;=h_col,0.0035*(FC45-d_2)/FC45,0.002*(FC45-d_2)/(FC45-3*h_col/7))))-f_cd*(1-(1-MAX(0,MIN(1,IF(FC45&lt;=h_col,0.0035*(FC45-d_2)/FC45,0.002*(FC45-d_2)/(FC45-3*h_col/7))/0.002)))^2))+(MAX(-f_yd,MIN(f_yd,200000*IF(FC45&lt;=h_col,0.0035*(FC45-(h_col-d_2))/FC45,0.002*(FC45-(h_col-d_2))/(FC45-3*h_col/7))))-f_cd*(1-(1-MAX(0,MIN(1,IF(FC45&lt;=h_col,0.0035*(FC45-(h_col-d_2))/FC45,0.002*(FC45-(h_col-d_2))/(FC45-3*h_col/7))/0.002)))^2))))/1000</f>
        <v/>
      </c>
      <c r="FE45">
        <f>IF($FD45&lt;N_Ed-1E-9*MAX(1,N_Ed),(FA45+FB45)/2,FA45)</f>
        <v/>
      </c>
      <c r="FF45">
        <f>IF($FD45&lt;N_Ed-1E-9*MAX(1,N_Ed),FB45,(FA45+FB45)/2)</f>
        <v/>
      </c>
      <c r="FG45">
        <f>h_col*((FE45+FF45)/2)/(1-(FE45+FF45)/2)</f>
        <v/>
      </c>
      <c r="FH45">
        <f>(f_cd*b_col*((3*MIN(FG45,h_col)/7)+(4*MIN(FG45,h_col)/7)*(1-((4*MIN(FG45,h_col)/7)/(FG45-(3*MIN(FG45,h_col)/7)))^2/3))+$D45/2*((MAX(-f_yd,MIN(f_yd,200000*IF(FG45&lt;=h_col,0.0035*(FG45-d_2)/FG45,0.002*(FG45-d_2)/(FG45-3*h_col/7))))-f_cd*(1-(1-MAX(0,MIN(1,IF(FG45&lt;=h_col,0.0035*(FG45-d_2)/FG45,0.002*(FG45-d_2)/(FG45-3*h_col/7))/0.002)))^2))+(MAX(-f_yd,MIN(f_yd,200000*IF(FG45&lt;=h_col,0.0035*(FG45-(h_col-d_2))/FG45,0.002*(FG45-(h_col-d_2))/(FG45-3*h_col/7))))-f_cd*(1-(1-MAX(0,MIN(1,IF(FG45&lt;=h_col,0.0035*(FG45-(h_col-d_2))/FG45,0.002*(FG45-(h_col-d_2))/(FG45-3*h_col/7))/0.002)))^2))))/1000</f>
        <v/>
      </c>
      <c r="FI45">
        <f>IF($FH45&lt;N_Ed-1E-9*MAX(1,N_Ed),(FE45+FF45)/2,FE45)</f>
        <v/>
      </c>
      <c r="FJ45">
        <f>IF($FH45&lt;N_Ed-1E-9*MAX(1,N_Ed),FF45,(FE45+FF45)/2)</f>
        <v/>
      </c>
      <c r="FK45">
        <f>h_col*((FI45+FJ45)/2)/(1-(FI45+FJ45)/2)</f>
        <v/>
      </c>
      <c r="FL45">
        <f>(f_cd*b_col*((3*MIN(FK45,h_col)/7)+(4*MIN(FK45,h_col)/7)*(1-((4*MIN(FK45,h_col)/7)/(FK45-(3*MIN(FK45,h_col)/7)))^2/3))+$D45/2*((MAX(-f_yd,MIN(f_yd,200000*IF(FK45&lt;=h_col,0.0035*(FK45-d_2)/FK45,0.002*(FK45-d_2)/(FK45-3*h_col/7))))-f_cd*(1-(1-MAX(0,MIN(1,IF(FK45&lt;=h_col,0.0035*(FK45-d_2)/FK45,0.002*(FK45-d_2)/(FK45-3*h_col/7))/0.002)))^2))+(MAX(-f_yd,MIN(f_yd,200000*IF(FK45&lt;=h_col,0.0035*(FK45-(h_col-d_2))/FK45,0.002*(FK45-(h_col-d_2))/(FK45-3*h_col/7))))-f_cd*(1-(1-MAX(0,MIN(1,IF(FK45&lt;=h_col,0.0035*(FK45-(h_col-d_2))/FK45,0.002*(FK45-(h_col-d_2))/(FK45-3*h_col/7))/0.002)))^2))))/1000</f>
        <v/>
      </c>
      <c r="FM45">
        <f>IF($FL45&lt;N_Ed-1E-9*MAX(1,N_Ed),(FI45+FJ45)/2,FI45)</f>
        <v/>
      </c>
      <c r="FN45">
        <f>IF($FL45&lt;N_Ed-1E-9*MAX(1,N_Ed),FJ45,(FI45+FJ45)/2)</f>
        <v/>
      </c>
      <c r="FO45">
        <f>h_col*((FM45+FN45)/2)/(1-(FM45+FN45)/2)</f>
        <v/>
      </c>
      <c r="FP45">
        <f>(f_cd*b_col*((3*MIN(FO45,h_col)/7)+(4*MIN(FO45,h_col)/7)*(1-((4*MIN(FO45,h_col)/7)/(FO45-(3*MIN(FO45,h_col)/7)))^2/3))+$D45/2*((MAX(-f_yd,MIN(f_yd,200000*IF(FO45&lt;=h_col,0.0035*(FO45-d_2)/FO45,0.002*(FO45-d_2)/(FO45-3*h_col/7))))-f_cd*(1-(1-MAX(0,MIN(1,IF(FO45&lt;=h_col,0.0035*(FO45-d_2)/FO45,0.002*(FO45-d_2)/(FO45-3*h_col/7))/0.002)))^2))+(MAX(-f_yd,MIN(f_yd,200000*IF(FO45&lt;=h_col,0.0035*(FO45-(h_col-d_2))/FO45,0.002*(FO45-(h_col-d_2))/(FO45-3*h_col/7))))-f_cd*(1-(1-MAX(0,MIN(1,IF(FO45&lt;=h_col,0.0035*(FO45-(h_col-d_2))/FO45,0.002*(FO45-(h_col-d_2))/(FO45-3*h_col/7))/0.002)))^2))))/1000</f>
        <v/>
      </c>
      <c r="FQ45">
        <f>IF($FP45&lt;N_Ed-1E-9*MAX(1,N_Ed),(FM45+FN45)/2,FM45)</f>
        <v/>
      </c>
      <c r="FR45">
        <f>IF($FP45&lt;N_Ed-1E-9*MAX(1,N_Ed),FN45,(FM45+FN45)/2)</f>
        <v/>
      </c>
      <c r="FS45">
        <f>h_col*((FQ45+FR45)/2)/(1-(FQ45+FR45)/2)</f>
        <v/>
      </c>
      <c r="FT45">
        <f>(f_cd*b_col*((3*MIN(FS45,h_col)/7)+(4*MIN(FS45,h_col)/7)*(1-((4*MIN(FS45,h_col)/7)/(FS45-(3*MIN(FS45,h_col)/7)))^2/3))+$D45/2*((MAX(-f_yd,MIN(f_yd,200000*IF(FS45&lt;=h_col,0.0035*(FS45-d_2)/FS45,0.002*(FS45-d_2)/(FS45-3*h_col/7))))-f_cd*(1-(1-MAX(0,MIN(1,IF(FS45&lt;=h_col,0.0035*(FS45-d_2)/FS45,0.002*(FS45-d_2)/(FS45-3*h_col/7))/0.002)))^2))+(MAX(-f_yd,MIN(f_yd,200000*IF(FS45&lt;=h_col,0.0035*(FS45-(h_col-d_2))/FS45,0.002*(FS45-(h_col-d_2))/(FS45-3*h_col/7))))-f_cd*(1-(1-MAX(0,MIN(1,IF(FS45&lt;=h_col,0.0035*(FS45-(h_col-d_2))/FS45,0.002*(FS45-(h_col-d_2))/(FS45-3*h_col/7))/0.002)))^2))))/1000</f>
        <v/>
      </c>
      <c r="FU45">
        <f>IF($FT45&lt;N_Ed-1E-9*MAX(1,N_Ed),(FQ45+FR45)/2,FQ45)</f>
        <v/>
      </c>
      <c r="FV45">
        <f>IF($FT45&lt;N_Ed-1E-9*MAX(1,N_Ed),FR45,(FQ45+FR45)/2)</f>
        <v/>
      </c>
      <c r="FW45">
        <f>h_col*((FU45+FV45)/2)/(1-(FU45+FV45)/2)</f>
        <v/>
      </c>
      <c r="FX45">
        <f>(f_cd*b_col*((3*MIN(FW45,h_col)/7)+(4*MIN(FW45,h_col)/7)*(1-((4*MIN(FW45,h_col)/7)/(FW45-(3*MIN(FW45,h_col)/7)))^2/3))+$D45/2*((MAX(-f_yd,MIN(f_yd,200000*IF(FW45&lt;=h_col,0.0035*(FW45-d_2)/FW45,0.002*(FW45-d_2)/(FW45-3*h_col/7))))-f_cd*(1-(1-MAX(0,MIN(1,IF(FW45&lt;=h_col,0.0035*(FW45-d_2)/FW45,0.002*(FW45-d_2)/(FW45-3*h_col/7))/0.002)))^2))+(MAX(-f_yd,MIN(f_yd,200000*IF(FW45&lt;=h_col,0.0035*(FW45-(h_col-d_2))/FW45,0.002*(FW45-(h_col-d_2))/(FW45-3*h_col/7))))-f_cd*(1-(1-MAX(0,MIN(1,IF(FW45&lt;=h_col,0.0035*(FW45-(h_col-d_2))/FW45,0.002*(FW45-(h_col-d_2))/(FW45-3*h_col/7))/0.002)))^2))))/1000</f>
        <v/>
      </c>
      <c r="FY45">
        <f>IF($FX45&lt;N_Ed-1E-9*MAX(1,N_Ed),(FU45+FV45)/2,FU45)</f>
        <v/>
      </c>
      <c r="FZ45">
        <f>IF($FX45&lt;N_Ed-1E-9*MAX(1,N_Ed),FV45,(FU45+FV45)/2)</f>
        <v/>
      </c>
      <c r="GA45">
        <f>h_col*((FY45+FZ45)/2)/(1-(FY45+FZ45)/2)</f>
        <v/>
      </c>
      <c r="GB45">
        <f>(f_cd*b_col*((3*MIN(GA45,h_col)/7)+(4*MIN(GA45,h_col)/7)*(1-((4*MIN(GA45,h_col)/7)/(GA45-(3*MIN(GA45,h_col)/7)))^2/3))+$D45/2*((MAX(-f_yd,MIN(f_yd,200000*IF(GA45&lt;=h_col,0.0035*(GA45-d_2)/GA45,0.002*(GA45-d_2)/(GA45-3*h_col/7))))-f_cd*(1-(1-MAX(0,MIN(1,IF(GA45&lt;=h_col,0.0035*(GA45-d_2)/GA45,0.002*(GA45-d_2)/(GA45-3*h_col/7))/0.002)))^2))+(MAX(-f_yd,MIN(f_yd,200000*IF(GA45&lt;=h_col,0.0035*(GA45-(h_col-d_2))/GA45,0.002*(GA45-(h_col-d_2))/(GA45-3*h_col/7))))-f_cd*(1-(1-MAX(0,MIN(1,IF(GA45&lt;=h_col,0.0035*(GA45-(h_col-d_2))/GA45,0.002*(GA45-(h_col-d_2))/(GA45-3*h_col/7))/0.002)))^2))))/1000</f>
        <v/>
      </c>
      <c r="GC45">
        <f>IF($GB45&lt;N_Ed-1E-9*MAX(1,N_Ed),(FY45+FZ45)/2,FY45)</f>
        <v/>
      </c>
      <c r="GD45">
        <f>IF($GB45&lt;N_Ed-1E-9*MAX(1,N_Ed),FZ45,(FY45+FZ45)/2)</f>
        <v/>
      </c>
      <c r="GE45">
        <f>h_col*((GC45+GD45)/2)/(1-(GC45+GD45)/2)</f>
        <v/>
      </c>
      <c r="GF45">
        <f>(f_cd*b_col*((3*MIN(GE45,h_col)/7)+(4*MIN(GE45,h_col)/7)*(1-((4*MIN(GE45,h_col)/7)/(GE45-(3*MIN(GE45,h_col)/7)))^2/3))+$D45/2*((MAX(-f_yd,MIN(f_yd,200000*IF(GE45&lt;=h_col,0.0035*(GE45-d_2)/GE45,0.002*(GE45-d_2)/(GE45-3*h_col/7))))-f_cd*(1-(1-MAX(0,MIN(1,IF(GE45&lt;=h_col,0.0035*(GE45-d_2)/GE45,0.002*(GE45-d_2)/(GE45-3*h_col/7))/0.002)))^2))+(MAX(-f_yd,MIN(f_yd,200000*IF(GE45&lt;=h_col,0.0035*(GE45-(h_col-d_2))/GE45,0.002*(GE45-(h_col-d_2))/(GE45-3*h_col/7))))-f_cd*(1-(1-MAX(0,MIN(1,IF(GE45&lt;=h_col,0.0035*(GE45-(h_col-d_2))/GE45,0.002*(GE45-(h_col-d_2))/(GE45-3*h_col/7))/0.002)))^2))))/1000</f>
        <v/>
      </c>
      <c r="GG45">
        <f>IF($GF45&lt;N_Ed-1E-9*MAX(1,N_Ed),(GC45+GD45)/2,GC45)</f>
        <v/>
      </c>
      <c r="GH45">
        <f>IF($GF45&lt;N_Ed-1E-9*MAX(1,N_Ed),GD45,(GC45+GD45)/2)</f>
        <v/>
      </c>
      <c r="GI45">
        <f>h_col*((GG45+GH45)/2)/(1-(GG45+GH45)/2)</f>
        <v/>
      </c>
      <c r="GJ45">
        <f>(f_cd*b_col*((3*MIN(GI45,h_col)/7)+(4*MIN(GI45,h_col)/7)*(1-((4*MIN(GI45,h_col)/7)/(GI45-(3*MIN(GI45,h_col)/7)))^2/3))+$D45/2*((MAX(-f_yd,MIN(f_yd,200000*IF(GI45&lt;=h_col,0.0035*(GI45-d_2)/GI45,0.002*(GI45-d_2)/(GI45-3*h_col/7))))-f_cd*(1-(1-MAX(0,MIN(1,IF(GI45&lt;=h_col,0.0035*(GI45-d_2)/GI45,0.002*(GI45-d_2)/(GI45-3*h_col/7))/0.002)))^2))+(MAX(-f_yd,MIN(f_yd,200000*IF(GI45&lt;=h_col,0.0035*(GI45-(h_col-d_2))/GI45,0.002*(GI45-(h_col-d_2))/(GI45-3*h_col/7))))-f_cd*(1-(1-MAX(0,MIN(1,IF(GI45&lt;=h_col,0.0035*(GI45-(h_col-d_2))/GI45,0.002*(GI45-(h_col-d_2))/(GI45-3*h_col/7))/0.002)))^2))))/1000</f>
        <v/>
      </c>
      <c r="GK45">
        <f>IF($GJ45&lt;N_Ed-1E-9*MAX(1,N_Ed),(GG45+GH45)/2,GG45)</f>
        <v/>
      </c>
      <c r="GL45">
        <f>IF($GJ45&lt;N_Ed-1E-9*MAX(1,N_Ed),GH45,(GG45+GH45)/2)</f>
        <v/>
      </c>
      <c r="GM45">
        <f>h_col*((GK45+GL45)/2)/(1-(GK45+GL45)/2)</f>
        <v/>
      </c>
      <c r="GN45">
        <f>(f_cd*b_col*((3*MIN(GM45,h_col)/7)+(4*MIN(GM45,h_col)/7)*(1-((4*MIN(GM45,h_col)/7)/(GM45-(3*MIN(GM45,h_col)/7)))^2/3))+$D45/2*((MAX(-f_yd,MIN(f_yd,200000*IF(GM45&lt;=h_col,0.0035*(GM45-d_2)/GM45,0.002*(GM45-d_2)/(GM45-3*h_col/7))))-f_cd*(1-(1-MAX(0,MIN(1,IF(GM45&lt;=h_col,0.0035*(GM45-d_2)/GM45,0.002*(GM45-d_2)/(GM45-3*h_col/7))/0.002)))^2))+(MAX(-f_yd,MIN(f_yd,200000*IF(GM45&lt;=h_col,0.0035*(GM45-(h_col-d_2))/GM45,0.002*(GM45-(h_col-d_2))/(GM45-3*h_col/7))))-f_cd*(1-(1-MAX(0,MIN(1,IF(GM45&lt;=h_col,0.0035*(GM45-(h_col-d_2))/GM45,0.002*(GM45-(h_col-d_2))/(GM45-3*h_col/7))/0.002)))^2))))/1000</f>
        <v/>
      </c>
      <c r="GO45">
        <f>IF($GN45&lt;N_Ed-1E-9*MAX(1,N_Ed),(GK45+GL45)/2,GK45)</f>
        <v/>
      </c>
      <c r="GP45">
        <f>IF($GN45&lt;N_Ed-1E-9*MAX(1,N_Ed),GL45,(GK45+GL45)/2)</f>
        <v/>
      </c>
      <c r="GQ45">
        <f>h_col*((GO45+GP45)/2)/(1-(GO45+GP45)/2)</f>
        <v/>
      </c>
      <c r="GR45">
        <f>(f_cd*b_col*((3*MIN(GQ45,h_col)/7)+(4*MIN(GQ45,h_col)/7)*(1-((4*MIN(GQ45,h_col)/7)/(GQ45-(3*MIN(GQ45,h_col)/7)))^2/3))+$D45/2*((MAX(-f_yd,MIN(f_yd,200000*IF(GQ45&lt;=h_col,0.0035*(GQ45-d_2)/GQ45,0.002*(GQ45-d_2)/(GQ45-3*h_col/7))))-f_cd*(1-(1-MAX(0,MIN(1,IF(GQ45&lt;=h_col,0.0035*(GQ45-d_2)/GQ45,0.002*(GQ45-d_2)/(GQ45-3*h_col/7))/0.002)))^2))+(MAX(-f_yd,MIN(f_yd,200000*IF(GQ45&lt;=h_col,0.0035*(GQ45-(h_col-d_2))/GQ45,0.002*(GQ45-(h_col-d_2))/(GQ45-3*h_col/7))))-f_cd*(1-(1-MAX(0,MIN(1,IF(GQ45&lt;=h_col,0.0035*(GQ45-(h_col-d_2))/GQ45,0.002*(GQ45-(h_col-d_2))/(GQ45-3*h_col/7))/0.002)))^2))))/1000</f>
        <v/>
      </c>
      <c r="GS45">
        <f>IF($GR45&lt;N_Ed-1E-9*MAX(1,N_Ed),(GO45+GP45)/2,GO45)</f>
        <v/>
      </c>
      <c r="GT45">
        <f>IF($GR45&lt;N_Ed-1E-9*MAX(1,N_Ed),GP45,(GO45+GP45)/2)</f>
        <v/>
      </c>
      <c r="GU45">
        <f>h_col*((GS45+GT45)/2)/(1-(GS45+GT45)/2)</f>
        <v/>
      </c>
      <c r="GV45">
        <f>(f_cd*b_col*((3*MIN(GU45,h_col)/7)+(4*MIN(GU45,h_col)/7)*(1-((4*MIN(GU45,h_col)/7)/(GU45-(3*MIN(GU45,h_col)/7)))^2/3))+$D45/2*((MAX(-f_yd,MIN(f_yd,200000*IF(GU45&lt;=h_col,0.0035*(GU45-d_2)/GU45,0.002*(GU45-d_2)/(GU45-3*h_col/7))))-f_cd*(1-(1-MAX(0,MIN(1,IF(GU45&lt;=h_col,0.0035*(GU45-d_2)/GU45,0.002*(GU45-d_2)/(GU45-3*h_col/7))/0.002)))^2))+(MAX(-f_yd,MIN(f_yd,200000*IF(GU45&lt;=h_col,0.0035*(GU45-(h_col-d_2))/GU45,0.002*(GU45-(h_col-d_2))/(GU45-3*h_col/7))))-f_cd*(1-(1-MAX(0,MIN(1,IF(GU45&lt;=h_col,0.0035*(GU45-(h_col-d_2))/GU45,0.002*(GU45-(h_col-d_2))/(GU45-3*h_col/7))/0.002)))^2))))/1000</f>
        <v/>
      </c>
      <c r="GW45">
        <f>GU45</f>
        <v/>
      </c>
      <c r="GX45">
        <f>(f_cd*b_col*((3*MIN(GW45,h_col)/7)+(4*MIN(GW45,h_col)/7)*(1-((4*MIN(GW45,h_col)/7)/(GW45-(3*MIN(GW45,h_col)/7)))^2/3))+$D45/2*((MAX(-f_yd,MIN(f_yd,200000*IF(GW45&lt;=h_col,0.0035*(GW45-d_2)/GW45,0.002*(GW45-d_2)/(GW45-3*h_col/7))))-f_cd*(1-(1-MAX(0,MIN(1,IF(GW45&lt;=h_col,0.0035*(GW45-d_2)/GW45,0.002*(GW45-d_2)/(GW45-3*h_col/7))/0.002)))^2))+(MAX(-f_yd,MIN(f_yd,200000*IF(GW45&lt;=h_col,0.0035*(GW45-(h_col-d_2))/GW45,0.002*(GW45-(h_col-d_2))/(GW45-3*h_col/7))))-f_cd*(1-(1-MAX(0,MIN(1,IF(GW45&lt;=h_col,0.0035*(GW45-(h_col-d_2))/GW45,0.002*(GW45-(h_col-d_2))/(GW45-3*h_col/7))/0.002)))^2))))/1000</f>
        <v/>
      </c>
      <c r="GY45">
        <f>(f_cd*b_col*((3*MIN(GW45,h_col)/7)*(h_col/2-(3*MIN(GW45,h_col)/7)/2)+(4*MIN(GW45,h_col)/7)*((h_col/2-(3*MIN(GW45,h_col)/7))*(1-((4*MIN(GW45,h_col)/7)/(GW45-(3*MIN(GW45,h_col)/7)))^2/3)-(4*MIN(GW45,h_col)/7)*(0.5-((4*MIN(GW45,h_col)/7)/(GW45-(3*MIN(GW45,h_col)/7)))^2/4)))+$D45/2*((MAX(-f_yd,MIN(f_yd,200000*IF(GW45&lt;=h_col,0.0035*(GW45-d_2)/GW45,0.002*(GW45-d_2)/(GW45-3*h_col/7))))-f_cd*(1-(1-MAX(0,MIN(1,IF(GW45&lt;=h_col,0.0035*(GW45-d_2)/GW45,0.002*(GW45-d_2)/(GW45-3*h_col/7))/0.002)))^2))-(MAX(-f_yd,MIN(f_yd,200000*IF(GW45&lt;=h_col,0.0035*(GW45-(h_col-d_2))/GW45,0.002*(GW45-(h_col-d_2))/(GW45-3*h_col/7))))-f_cd*(1-(1-MAX(0,MIN(1,IF(GW45&lt;=h_col,0.0035*(GW45-(h_col-d_2))/GW45,0.002*(GW45-(h_col-d_2))/(GW45-3*h_col/7))/0.002)))^2)))*(h_col/2-d_2))/1E6</f>
        <v/>
      </c>
      <c r="GZ45">
        <f>GX45&gt;=N_Ed-1E-6*MAX(1,N_Ed)</f>
        <v/>
      </c>
      <c r="HA45">
        <f>IF(GZ45,GY45,-1E9)</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13.xml><?xml version="1.0" encoding="utf-8"?>
<worksheet xmlns="http://schemas.openxmlformats.org/spreadsheetml/2006/main">
  <sheetPr>
    <outlinePr summaryBelow="1" summaryRight="1"/>
    <pageSetUpPr fitToPage="1"/>
  </sheetPr>
  <dimension ref="A1:H69"/>
  <sheetViews>
    <sheetView showGridLines="0" tabSelected="0"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Element design  ·  Indirect</t>
        </is>
      </c>
      <c r="H2" s="1" t="n"/>
    </row>
    <row r="3" ht="16" customHeight="1">
      <c r="A3" s="1" t="n"/>
      <c r="B3" s="1" t="n"/>
      <c r="C3" s="15" t="inlineStr">
        <is>
          <t>NAE-RC-040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beams</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3.2.2</t>
        </is>
      </c>
      <c r="C12" s="24" t="inlineStr">
        <is>
          <t>Reinforcement characteristic yield strength  (≤ 500 MPa)</t>
        </is>
      </c>
      <c r="D12" s="27" t="inlineStr">
        <is>
          <r>
            <rPr>
              <rFont val="Calibri"/>
              <i val="1"/>
              <color rgb="002B2B2B"/>
              <sz val="10"/>
            </rPr>
            <t>f</t>
          </r>
          <r>
            <rPr>
              <rFont val="Calibri"/>
              <i val="1"/>
              <color rgb="002B2B2B"/>
              <sz val="10"/>
              <vertAlign val="subscript"/>
            </rPr>
            <t>yk</t>
          </r>
        </is>
      </c>
      <c r="E12" s="25" t="n">
        <v>500</v>
      </c>
      <c r="F12" s="28" t="inlineStr">
        <is>
          <t>MPa</t>
        </is>
      </c>
      <c r="G12" s="23" t="n"/>
    </row>
    <row r="13" ht="17" customHeight="1">
      <c r="B13" s="26" t="inlineStr">
        <is>
          <t>9.2.5(1)</t>
        </is>
      </c>
      <c r="C13" s="24" t="inlineStr">
        <is>
          <t>Reaction of the supported beam</t>
        </is>
      </c>
      <c r="D13" s="27" t="inlineStr">
        <is>
          <r>
            <rPr>
              <rFont val="Calibri"/>
              <i val="1"/>
              <color rgb="002B2B2B"/>
              <sz val="10"/>
            </rPr>
            <t>V</t>
          </r>
          <r>
            <rPr>
              <rFont val="Calibri"/>
              <i val="1"/>
              <color rgb="002B2B2B"/>
              <sz val="10"/>
              <vertAlign val="subscript"/>
            </rPr>
            <t>Ed</t>
          </r>
        </is>
      </c>
      <c r="E13" s="29" t="n">
        <v>250</v>
      </c>
      <c r="F13" s="28" t="inlineStr">
        <is>
          <t>kN</t>
        </is>
      </c>
      <c r="G13" s="23" t="n"/>
    </row>
    <row r="14" ht="17" customHeight="1">
      <c r="B14" s="23" t="n"/>
      <c r="C14" s="24" t="inlineStr">
        <is>
          <t>Supporting beam A: web width</t>
        </is>
      </c>
      <c r="D14" s="27" t="inlineStr">
        <is>
          <r>
            <rPr>
              <rFont val="Calibri"/>
              <i val="1"/>
              <color rgb="002B2B2B"/>
              <sz val="10"/>
            </rPr>
            <t>b</t>
          </r>
          <r>
            <rPr>
              <rFont val="Calibri"/>
              <i val="1"/>
              <color rgb="002B2B2B"/>
              <sz val="10"/>
              <vertAlign val="subscript"/>
            </rPr>
            <t>1</t>
          </r>
        </is>
      </c>
      <c r="E14" s="25" t="n">
        <v>350</v>
      </c>
      <c r="F14" s="28" t="inlineStr">
        <is>
          <t>mm</t>
        </is>
      </c>
      <c r="G14" s="23" t="n"/>
    </row>
    <row r="15" ht="17" customHeight="1">
      <c r="B15" s="26" t="inlineStr">
        <is>
          <t>Figure 9.7</t>
        </is>
      </c>
      <c r="C15" s="24" t="inlineStr">
        <is>
          <t>Supporting beam A: overall depth</t>
        </is>
      </c>
      <c r="D15" s="27" t="inlineStr">
        <is>
          <r>
            <rPr>
              <rFont val="Calibri"/>
              <i val="1"/>
              <color rgb="002B2B2B"/>
              <sz val="10"/>
            </rPr>
            <t>h</t>
          </r>
          <r>
            <rPr>
              <rFont val="Calibri"/>
              <i val="1"/>
              <color rgb="002B2B2B"/>
              <sz val="10"/>
              <vertAlign val="subscript"/>
            </rPr>
            <t>1</t>
          </r>
        </is>
      </c>
      <c r="E15" s="25" t="n">
        <v>700</v>
      </c>
      <c r="F15" s="28" t="inlineStr">
        <is>
          <t>mm</t>
        </is>
      </c>
      <c r="G15" s="23" t="n"/>
    </row>
    <row r="16" ht="17" customHeight="1">
      <c r="B16" s="23" t="n"/>
      <c r="C16" s="24" t="inlineStr">
        <is>
          <t>Supported beam B: web width</t>
        </is>
      </c>
      <c r="D16" s="27" t="inlineStr">
        <is>
          <r>
            <rPr>
              <rFont val="Calibri"/>
              <i val="1"/>
              <color rgb="002B2B2B"/>
              <sz val="10"/>
            </rPr>
            <t>b</t>
          </r>
          <r>
            <rPr>
              <rFont val="Calibri"/>
              <i val="1"/>
              <color rgb="002B2B2B"/>
              <sz val="10"/>
              <vertAlign val="subscript"/>
            </rPr>
            <t>2</t>
          </r>
        </is>
      </c>
      <c r="E16" s="25" t="n">
        <v>300</v>
      </c>
      <c r="F16" s="28" t="inlineStr">
        <is>
          <t>mm</t>
        </is>
      </c>
      <c r="G16" s="23" t="n"/>
    </row>
    <row r="17" ht="17" customHeight="1">
      <c r="B17" s="26" t="inlineStr">
        <is>
          <t>Figure 9.7</t>
        </is>
      </c>
      <c r="C17" s="24" t="inlineStr">
        <is>
          <t>Supported beam B: overall depth  (≤ h1)</t>
        </is>
      </c>
      <c r="D17" s="27" t="inlineStr">
        <is>
          <r>
            <rPr>
              <rFont val="Calibri"/>
              <i val="1"/>
              <color rgb="002B2B2B"/>
              <sz val="10"/>
            </rPr>
            <t>h</t>
          </r>
          <r>
            <rPr>
              <rFont val="Calibri"/>
              <i val="1"/>
              <color rgb="002B2B2B"/>
              <sz val="10"/>
              <vertAlign val="subscript"/>
            </rPr>
            <t>2</t>
          </r>
        </is>
      </c>
      <c r="E17" s="25" t="n">
        <v>550</v>
      </c>
      <c r="F17" s="28" t="inlineStr">
        <is>
          <t>mm</t>
        </is>
      </c>
      <c r="G17" s="23" t="n"/>
    </row>
    <row r="18" ht="17" customHeight="1">
      <c r="B18" s="26" t="inlineStr">
        <is>
          <t>4.4.1</t>
        </is>
      </c>
      <c r="C18" s="24" t="inlineStr">
        <is>
          <t>Cover to the links</t>
        </is>
      </c>
      <c r="D18" s="27" t="inlineStr">
        <is>
          <r>
            <rPr>
              <rFont val="Calibri"/>
              <i val="1"/>
              <color rgb="002B2B2B"/>
              <sz val="10"/>
            </rPr>
            <t>c</t>
          </r>
        </is>
      </c>
      <c r="E18" s="25" t="n">
        <v>35</v>
      </c>
      <c r="F18" s="28" t="inlineStr">
        <is>
          <t>mm</t>
        </is>
      </c>
      <c r="G18" s="23" t="n"/>
    </row>
    <row r="20" ht="22" customHeight="1">
      <c r="B20" s="20" t="inlineStr">
        <is>
          <t>Inputs  ·  hanger links</t>
        </is>
      </c>
      <c r="C20" s="21" t="n"/>
      <c r="D20" s="21" t="n"/>
      <c r="E20" s="21" t="n"/>
      <c r="F20" s="21" t="n"/>
      <c r="G20" s="22" t="inlineStr">
        <is>
          <t>In addition to the links for shear</t>
        </is>
      </c>
    </row>
    <row r="21" ht="17" customHeight="1">
      <c r="B21" s="23" t="n"/>
      <c r="C21" s="24" t="inlineStr">
        <is>
          <t>In A (around its bottom bars): link diameter</t>
        </is>
      </c>
      <c r="D21" s="27" t="inlineStr">
        <is>
          <r>
            <rPr>
              <rFont val="Calibri"/>
              <i val="1"/>
              <color rgb="002B2B2B"/>
              <sz val="10"/>
            </rPr>
            <t>φ</t>
          </r>
          <r>
            <rPr>
              <rFont val="Calibri"/>
              <i val="1"/>
              <color rgb="002B2B2B"/>
              <sz val="10"/>
              <vertAlign val="subscript"/>
            </rPr>
            <t>A</t>
          </r>
        </is>
      </c>
      <c r="E21" s="25" t="n">
        <v>10</v>
      </c>
      <c r="F21" s="28" t="inlineStr">
        <is>
          <t>mm</t>
        </is>
      </c>
      <c r="G21" s="23" t="n"/>
    </row>
    <row r="22" ht="17" customHeight="1">
      <c r="B22" s="23" t="n"/>
      <c r="C22" s="24" t="inlineStr">
        <is>
          <t>legs per set</t>
        </is>
      </c>
      <c r="D22" s="27" t="inlineStr">
        <is>
          <r>
            <rPr>
              <rFont val="Calibri"/>
              <i val="1"/>
              <color rgb="002B2B2B"/>
              <sz val="10"/>
            </rPr>
            <t>n</t>
          </r>
          <r>
            <rPr>
              <rFont val="Calibri"/>
              <i val="1"/>
              <color rgb="002B2B2B"/>
              <sz val="10"/>
              <vertAlign val="subscript"/>
            </rPr>
            <t>A</t>
          </r>
        </is>
      </c>
      <c r="E22" s="49" t="n">
        <v>2</v>
      </c>
      <c r="F22" s="23" t="n"/>
      <c r="G22" s="23" t="n"/>
    </row>
    <row r="23" ht="17" customHeight="1">
      <c r="B23" s="23" t="n"/>
      <c r="C23" s="24" t="inlineStr">
        <is>
          <t>sets  (spread over the zone in A)</t>
        </is>
      </c>
      <c r="D23" s="27" t="inlineStr">
        <is>
          <r>
            <rPr>
              <rFont val="Calibri"/>
              <i val="1"/>
              <color rgb="002B2B2B"/>
              <sz val="10"/>
            </rPr>
            <t>m</t>
          </r>
          <r>
            <rPr>
              <rFont val="Calibri"/>
              <i val="1"/>
              <color rgb="002B2B2B"/>
              <sz val="10"/>
              <vertAlign val="subscript"/>
            </rPr>
            <t>A</t>
          </r>
        </is>
      </c>
      <c r="E23" s="49" t="n">
        <v>4</v>
      </c>
      <c r="F23" s="23" t="n"/>
      <c r="G23" s="23" t="n"/>
    </row>
    <row r="24" ht="17" customHeight="1">
      <c r="B24" s="23" t="n"/>
      <c r="C24" s="24" t="inlineStr">
        <is>
          <t>spacing</t>
        </is>
      </c>
      <c r="D24" s="27" t="inlineStr">
        <is>
          <r>
            <rPr>
              <rFont val="Calibri"/>
              <i val="1"/>
              <color rgb="002B2B2B"/>
              <sz val="10"/>
            </rPr>
            <t>s</t>
          </r>
          <r>
            <rPr>
              <rFont val="Calibri"/>
              <i val="1"/>
              <color rgb="002B2B2B"/>
              <sz val="10"/>
              <vertAlign val="subscript"/>
            </rPr>
            <t>A</t>
          </r>
        </is>
      </c>
      <c r="E24" s="25" t="n">
        <v>75</v>
      </c>
      <c r="F24" s="28" t="inlineStr">
        <is>
          <t>mm</t>
        </is>
      </c>
      <c r="G24" s="23" t="n"/>
    </row>
    <row r="25" ht="17" customHeight="1">
      <c r="B25" s="23" t="n"/>
      <c r="C25" s="24" t="inlineStr">
        <is>
          <t>In B (next to A): link diameter</t>
        </is>
      </c>
      <c r="D25" s="27" t="inlineStr">
        <is>
          <r>
            <rPr>
              <rFont val="Calibri"/>
              <i val="1"/>
              <color rgb="002B2B2B"/>
              <sz val="10"/>
            </rPr>
            <t>φ</t>
          </r>
          <r>
            <rPr>
              <rFont val="Calibri"/>
              <i val="1"/>
              <color rgb="002B2B2B"/>
              <sz val="10"/>
              <vertAlign val="subscript"/>
            </rPr>
            <t>B</t>
          </r>
        </is>
      </c>
      <c r="E25" s="25" t="n">
        <v>10</v>
      </c>
      <c r="F25" s="28" t="inlineStr">
        <is>
          <t>mm</t>
        </is>
      </c>
      <c r="G25" s="23" t="n"/>
    </row>
    <row r="26" ht="17" customHeight="1">
      <c r="B26" s="23" t="n"/>
      <c r="C26" s="24" t="inlineStr">
        <is>
          <t>legs per set</t>
        </is>
      </c>
      <c r="D26" s="27" t="inlineStr">
        <is>
          <r>
            <rPr>
              <rFont val="Calibri"/>
              <i val="1"/>
              <color rgb="002B2B2B"/>
              <sz val="10"/>
            </rPr>
            <t>n</t>
          </r>
          <r>
            <rPr>
              <rFont val="Calibri"/>
              <i val="1"/>
              <color rgb="002B2B2B"/>
              <sz val="10"/>
              <vertAlign val="subscript"/>
            </rPr>
            <t>B</t>
          </r>
        </is>
      </c>
      <c r="E26" s="49" t="n">
        <v>2</v>
      </c>
      <c r="F26" s="23" t="n"/>
      <c r="G26" s="23" t="n"/>
    </row>
    <row r="27" ht="17" customHeight="1">
      <c r="B27" s="23" t="n"/>
      <c r="C27" s="24" t="inlineStr">
        <is>
          <t>sets  (0 = none)</t>
        </is>
      </c>
      <c r="D27" s="27" t="inlineStr">
        <is>
          <r>
            <rPr>
              <rFont val="Calibri"/>
              <i val="1"/>
              <color rgb="002B2B2B"/>
              <sz val="10"/>
            </rPr>
            <t>m</t>
          </r>
          <r>
            <rPr>
              <rFont val="Calibri"/>
              <i val="1"/>
              <color rgb="002B2B2B"/>
              <sz val="10"/>
              <vertAlign val="subscript"/>
            </rPr>
            <t>B</t>
          </r>
        </is>
      </c>
      <c r="E27" s="49" t="n">
        <v>2</v>
      </c>
      <c r="F27" s="23" t="n"/>
      <c r="G27" s="23" t="n"/>
    </row>
    <row r="28" ht="17" customHeight="1">
      <c r="B28" s="23" t="n"/>
      <c r="C28" s="24" t="inlineStr">
        <is>
          <t>spacing</t>
        </is>
      </c>
      <c r="D28" s="27" t="inlineStr">
        <is>
          <r>
            <rPr>
              <rFont val="Calibri"/>
              <i val="1"/>
              <color rgb="002B2B2B"/>
              <sz val="10"/>
            </rPr>
            <t>s</t>
          </r>
          <r>
            <rPr>
              <rFont val="Calibri"/>
              <i val="1"/>
              <color rgb="002B2B2B"/>
              <sz val="10"/>
              <vertAlign val="subscript"/>
            </rPr>
            <t>B</t>
          </r>
        </is>
      </c>
      <c r="E28" s="25" t="n">
        <v>75</v>
      </c>
      <c r="F28" s="28" t="inlineStr">
        <is>
          <t>mm</t>
        </is>
      </c>
      <c r="G28" s="23" t="n"/>
    </row>
    <row r="29" ht="17" customHeight="1">
      <c r="B29" s="23" t="n"/>
      <c r="C29" s="24" t="inlineStr">
        <is>
          <t>Inputs valid and consistent</t>
        </is>
      </c>
      <c r="D29" s="23" t="n"/>
      <c r="E29" s="9" t="n"/>
      <c r="F29" s="23" t="n"/>
      <c r="G29" s="31">
        <f>IF(inputs_ok,"OK","FAIL")</f>
        <v/>
      </c>
    </row>
    <row r="31" ht="22" customHeight="1">
      <c r="B31" s="20" t="inlineStr">
        <is>
          <t>Results</t>
        </is>
      </c>
      <c r="C31" s="21" t="n"/>
      <c r="D31" s="21" t="n"/>
      <c r="E31" s="21" t="n"/>
      <c r="F31" s="21" t="n"/>
      <c r="G31" s="21" t="n"/>
    </row>
    <row r="32" ht="26" customHeight="1">
      <c r="B32" s="32" t="n"/>
      <c r="C32" s="33" t="inlineStr">
        <is>
          <t>Hanger reinforcement  required / provided</t>
        </is>
      </c>
      <c r="D32" s="32" t="n"/>
      <c r="E32" s="35">
        <f>IF(inputs_ok,As_hreq/As_hprov,"–")</f>
        <v/>
      </c>
      <c r="F32" s="36" t="inlineStr"/>
      <c r="G32" s="37">
        <f>IF(NOT(inputs_ok),"FAIL",IF(susp_ok,"OK","FAIL"))</f>
        <v/>
      </c>
    </row>
    <row r="33" ht="26" customHeight="1">
      <c r="B33" s="32" t="n"/>
      <c r="C33" s="33" t="inlineStr">
        <is>
          <t>Link sets within the zones of Figure 9.7, clear gaps ≥ max(φ; 20)</t>
        </is>
      </c>
      <c r="D33" s="32" t="n"/>
      <c r="E33" s="39">
        <f>IF(inputs_ok,TEXT(IF(m_A&gt;1,(m_A-1)*s_A,0),"0")&amp;" ≤ "&amp;TEXT(b_2+2*L_A,"0"),"–")</f>
        <v/>
      </c>
      <c r="F33" s="36" t="inlineStr">
        <is>
          <t>mm</t>
        </is>
      </c>
      <c r="G33" s="37">
        <f>IF(NOT(inputs_ok),"FAIL",IF(zone_ok,"OK","FAIL"))</f>
        <v/>
      </c>
    </row>
    <row r="34" ht="26" customHeight="1">
      <c r="B34" s="32" t="n"/>
      <c r="C34" s="33" t="inlineStr">
        <is>
          <t>Extra legs needed at the size used in A  (all in A)</t>
        </is>
      </c>
      <c r="D34" s="32" t="n"/>
      <c r="E34" s="38">
        <f>IF(inputs_ok,CEILING(As_hreq/(PI()*phi_A^2/4),1),"–")</f>
        <v/>
      </c>
      <c r="F34" s="36" t="inlineStr"/>
      <c r="G34" s="32" t="n"/>
    </row>
    <row r="35"/>
    <row r="36">
      <c r="B36" s="40" t="inlineStr">
        <is>
          <t>Plan of the intersection  ·  supporting beam (horizontal), supported beam (vertical)  ·  zones of Figure 9.7 (dashed) and the hanger links</t>
        </is>
      </c>
    </row>
    <row r="37"/>
    <row r="38"/>
    <row r="39"/>
    <row r="40"/>
    <row r="41"/>
    <row r="42"/>
    <row r="43"/>
    <row r="44"/>
    <row r="45"/>
    <row r="46"/>
    <row r="47"/>
    <row r="48"/>
    <row r="49"/>
    <row r="50"/>
    <row r="51"/>
    <row r="52"/>
    <row r="53"/>
    <row r="54"/>
    <row r="55"/>
    <row r="56" ht="22" customHeight="1">
      <c r="B56" s="20" t="inlineStr">
        <is>
          <t>Calculation  ·  9.2.5</t>
        </is>
      </c>
      <c r="C56" s="21" t="n"/>
      <c r="D56" s="21" t="n"/>
      <c r="E56" s="21" t="n"/>
      <c r="F56" s="21" t="n"/>
      <c r="G56" s="21" t="n"/>
    </row>
    <row r="57" ht="17" customHeight="1">
      <c r="B57" s="26" t="inlineStr">
        <is>
          <t>2.4.2.4(1)</t>
        </is>
      </c>
      <c r="C57" s="24" t="inlineStr">
        <is>
          <t>Partial factor, reinforcement</t>
        </is>
      </c>
      <c r="D57" s="27" t="inlineStr">
        <is>
          <r>
            <rPr>
              <rFont val="Calibri"/>
              <i val="1"/>
              <color rgb="002B2B2B"/>
              <sz val="10"/>
            </rPr>
            <t>γ</t>
          </r>
          <r>
            <rPr>
              <rFont val="Calibri"/>
              <i val="1"/>
              <color rgb="002B2B2B"/>
              <sz val="10"/>
              <vertAlign val="subscript"/>
            </rPr>
            <t>s</t>
          </r>
        </is>
      </c>
      <c r="E57" s="41">
        <f>IF(inputs_ok,ndp_gamma_s,NA())</f>
        <v/>
      </c>
      <c r="F57" s="23" t="n"/>
      <c r="G57" s="26" t="inlineStr">
        <is>
          <t>NDP sheet</t>
        </is>
      </c>
    </row>
    <row r="58" ht="17" customHeight="1">
      <c r="B58" s="26" t="inlineStr">
        <is>
          <t>3.2.7</t>
        </is>
      </c>
      <c r="C58" s="24" t="inlineStr">
        <is>
          <t>Design yield strength  fyk / γs</t>
        </is>
      </c>
      <c r="D58" s="27" t="inlineStr">
        <is>
          <r>
            <rPr>
              <rFont val="Calibri"/>
              <i val="1"/>
              <color rgb="002B2B2B"/>
              <sz val="10"/>
            </rPr>
            <t>f</t>
          </r>
          <r>
            <rPr>
              <rFont val="Calibri"/>
              <i val="1"/>
              <color rgb="002B2B2B"/>
              <sz val="10"/>
              <vertAlign val="subscript"/>
            </rPr>
            <t>yd</t>
          </r>
        </is>
      </c>
      <c r="E58" s="43">
        <f>IF(inputs_ok,f_yk/gamma_s,NA())</f>
        <v/>
      </c>
      <c r="F58" s="28" t="inlineStr">
        <is>
          <t>MPa</t>
        </is>
      </c>
      <c r="G58" s="23" t="n"/>
    </row>
    <row r="59" ht="17" customHeight="1">
      <c r="B59" s="26" t="inlineStr">
        <is>
          <t>9.2.5(1)</t>
        </is>
      </c>
      <c r="C59" s="24" t="inlineStr">
        <is>
          <t>Hanger reinforcement for the whole reaction  VEd / fyd</t>
        </is>
      </c>
      <c r="D59" s="27" t="inlineStr">
        <is>
          <r>
            <rPr>
              <rFont val="Calibri"/>
              <i val="1"/>
              <color rgb="002B2B2B"/>
              <sz val="10"/>
            </rPr>
            <t>A</t>
          </r>
          <r>
            <rPr>
              <rFont val="Calibri"/>
              <i val="1"/>
              <color rgb="002B2B2B"/>
              <sz val="10"/>
              <vertAlign val="subscript"/>
            </rPr>
            <t>s,req</t>
          </r>
        </is>
      </c>
      <c r="E59" s="45">
        <f>IF(inputs_ok,V_Ed*1000/f_yd,NA())</f>
        <v/>
      </c>
      <c r="F59" s="28" t="inlineStr">
        <is>
          <t>mm²</t>
        </is>
      </c>
      <c r="G59" s="23" t="n"/>
    </row>
    <row r="60" ht="17" customHeight="1">
      <c r="B60" s="26" t="inlineStr">
        <is>
          <t>Figure 9.7</t>
        </is>
      </c>
      <c r="C60" s="24" t="inlineStr">
        <is>
          <t>Zone in A beyond each face of B  min(h1/3; h1/2 − b2/2)</t>
        </is>
      </c>
      <c r="D60" s="27" t="inlineStr">
        <is>
          <r>
            <rPr>
              <rFont val="Calibri"/>
              <i val="1"/>
              <color rgb="002B2B2B"/>
              <sz val="10"/>
            </rPr>
            <t>L</t>
          </r>
          <r>
            <rPr>
              <rFont val="Calibri"/>
              <i val="1"/>
              <color rgb="002B2B2B"/>
              <sz val="10"/>
              <vertAlign val="subscript"/>
            </rPr>
            <t>A</t>
          </r>
        </is>
      </c>
      <c r="E60" s="42">
        <f>IF(inputs_ok,MAX(0,MIN(h_1/3,h_1/2-b_2/2)),NA())</f>
        <v/>
      </c>
      <c r="F60" s="28" t="inlineStr">
        <is>
          <t>mm</t>
        </is>
      </c>
      <c r="G60" s="23" t="n"/>
    </row>
    <row r="61" ht="17" customHeight="1">
      <c r="B61" s="26" t="inlineStr">
        <is>
          <t>Figure 9.7</t>
        </is>
      </c>
      <c r="C61" s="24" t="inlineStr">
        <is>
          <t>Zone in B from the face of A  min(h2/3; h2/2 − b1/2)</t>
        </is>
      </c>
      <c r="D61" s="27" t="inlineStr">
        <is>
          <r>
            <rPr>
              <rFont val="Calibri"/>
              <i val="1"/>
              <color rgb="002B2B2B"/>
              <sz val="10"/>
            </rPr>
            <t>L</t>
          </r>
          <r>
            <rPr>
              <rFont val="Calibri"/>
              <i val="1"/>
              <color rgb="002B2B2B"/>
              <sz val="10"/>
              <vertAlign val="subscript"/>
            </rPr>
            <t>B</t>
          </r>
        </is>
      </c>
      <c r="E61" s="42">
        <f>IF(inputs_ok,MAX(0,MIN(h_2/3,h_2/2-b_1/2)),NA())</f>
        <v/>
      </c>
      <c r="F61" s="28" t="inlineStr">
        <is>
          <t>mm</t>
        </is>
      </c>
      <c r="G61" s="23" t="n"/>
    </row>
    <row r="62" ht="17" customHeight="1">
      <c r="B62" s="23" t="n"/>
      <c r="C62" s="24" t="inlineStr">
        <is>
          <t>Provided in A  mA nA π φA² / 4</t>
        </is>
      </c>
      <c r="D62" s="27" t="inlineStr">
        <is>
          <r>
            <rPr>
              <rFont val="Calibri"/>
              <i val="1"/>
              <color rgb="002B2B2B"/>
              <sz val="10"/>
            </rPr>
            <t>A</t>
          </r>
          <r>
            <rPr>
              <rFont val="Calibri"/>
              <i val="1"/>
              <color rgb="002B2B2B"/>
              <sz val="10"/>
              <vertAlign val="subscript"/>
            </rPr>
            <t>s,A</t>
          </r>
        </is>
      </c>
      <c r="E62" s="42">
        <f>IF(inputs_ok,m_A*n_A*PI()*phi_A^2/4,NA())</f>
        <v/>
      </c>
      <c r="F62" s="28" t="inlineStr">
        <is>
          <t>mm²</t>
        </is>
      </c>
      <c r="G62" s="23" t="n"/>
    </row>
    <row r="63" ht="17" customHeight="1">
      <c r="B63" s="23" t="n"/>
      <c r="C63" s="24" t="inlineStr">
        <is>
          <t>Provided in B  mB nB π φB² / 4</t>
        </is>
      </c>
      <c r="D63" s="27" t="inlineStr">
        <is>
          <r>
            <rPr>
              <rFont val="Calibri"/>
              <i val="1"/>
              <color rgb="002B2B2B"/>
              <sz val="10"/>
            </rPr>
            <t>A</t>
          </r>
          <r>
            <rPr>
              <rFont val="Calibri"/>
              <i val="1"/>
              <color rgb="002B2B2B"/>
              <sz val="10"/>
              <vertAlign val="subscript"/>
            </rPr>
            <t>s,B</t>
          </r>
        </is>
      </c>
      <c r="E63" s="42">
        <f>IF(inputs_ok,IF(m_B&gt;0,m_B*n_B*PI()*phi_B^2/4,0),NA())</f>
        <v/>
      </c>
      <c r="F63" s="28" t="inlineStr">
        <is>
          <t>mm²</t>
        </is>
      </c>
      <c r="G63" s="23" t="n"/>
    </row>
    <row r="64" ht="17" customHeight="1">
      <c r="B64" s="23" t="n"/>
      <c r="C64" s="24" t="inlineStr">
        <is>
          <t>Total provided</t>
        </is>
      </c>
      <c r="D64" s="27" t="inlineStr">
        <is>
          <r>
            <rPr>
              <rFont val="Calibri"/>
              <i val="1"/>
              <color rgb="002B2B2B"/>
              <sz val="10"/>
            </rPr>
            <t>A</t>
          </r>
          <r>
            <rPr>
              <rFont val="Calibri"/>
              <i val="1"/>
              <color rgb="002B2B2B"/>
              <sz val="10"/>
              <vertAlign val="subscript"/>
            </rPr>
            <t>s,prov</t>
          </r>
        </is>
      </c>
      <c r="E64" s="45">
        <f>IF(inputs_ok,As_A+As_B,NA())</f>
        <v/>
      </c>
      <c r="F64" s="28" t="inlineStr">
        <is>
          <t>mm²</t>
        </is>
      </c>
      <c r="G64" s="23" t="n"/>
    </row>
    <row r="65" ht="17" customHeight="1">
      <c r="B65" s="26" t="inlineStr">
        <is>
          <t>9.2.5</t>
        </is>
      </c>
      <c r="C65" s="24" t="inlineStr">
        <is>
          <t>Provided ≥ required</t>
        </is>
      </c>
      <c r="D65" s="27" t="inlineStr">
        <is>
          <r>
            <rPr>
              <rFont val="Calibri"/>
              <i val="1"/>
              <color rgb="002B2B2B"/>
              <sz val="10"/>
            </rPr>
            <t>A</t>
          </r>
          <r>
            <rPr>
              <rFont val="Calibri"/>
              <i val="1"/>
              <color rgb="002B2B2B"/>
              <sz val="10"/>
              <vertAlign val="subscript"/>
            </rPr>
            <t>s</t>
          </r>
        </is>
      </c>
      <c r="E65" s="42">
        <f>IF(inputs_ok,As_hprov,NA())</f>
        <v/>
      </c>
      <c r="F65" s="28" t="inlineStr">
        <is>
          <t>mm²</t>
        </is>
      </c>
      <c r="G65" s="31">
        <f>IF(NOT(inputs_ok),"FAIL",IF(susp_ok,"OK","FAIL"))</f>
        <v/>
      </c>
    </row>
    <row r="66" ht="17" customHeight="1">
      <c r="B66" s="26" t="inlineStr">
        <is>
          <t>Figure 9.7, 8.2(2)</t>
        </is>
      </c>
      <c r="C66" s="24" t="inlineStr">
        <is>
          <t>Sets within the zones  (mA − 1) sA ≤ b2 + 2 L_A;  (mB − 1) sB ≤ L_B;  clear gaps s − φ ≥ max(φ; 20)</t>
        </is>
      </c>
      <c r="D66" s="23" t="n"/>
      <c r="E66" s="42">
        <f>IF(inputs_ok,IF(m_A&gt;1,(m_A-1)*s_A,0),NA())</f>
        <v/>
      </c>
      <c r="F66" s="28" t="inlineStr">
        <is>
          <t>mm</t>
        </is>
      </c>
      <c r="G66" s="31">
        <f>IF(NOT(inputs_ok),"FAIL",IF(zone_ok,"OK","FAIL"))</f>
        <v/>
      </c>
    </row>
    <row r="67" ht="54" customHeight="1">
      <c r="B67" s="48" t="inlineStr">
        <is>
          <t>The links hang the whole reaction (common practice; EN 1992-1-1 gives no reduction). They surround the bottom bars of the supporting beam and are in addition to the links needed for shear in either beam (9.2.5(1)). The sets in A are centred on the supported beam; the first set in B sits at the face of A. Figure 9.7 applies with h1 ≥ h2; a slab not supported at the top of a beam is treated in the same way.</t>
        </is>
      </c>
    </row>
    <row r="68"/>
    <row r="69" ht="29" customHeight="1">
      <c r="B69" s="48"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7">
    <mergeCell ref="E5:G5"/>
    <mergeCell ref="B67:G67"/>
    <mergeCell ref="B69:G69"/>
    <mergeCell ref="D2:G2"/>
    <mergeCell ref="E7:G7"/>
    <mergeCell ref="E6:G6"/>
    <mergeCell ref="C3:G3"/>
  </mergeCells>
  <conditionalFormatting sqref="G9:G70">
    <cfRule type="expression" priority="1" dxfId="0">
      <formula>G9="OK"</formula>
    </cfRule>
    <cfRule type="expression" priority="2" dxfId="1">
      <formula>G9="FAIL"</formula>
    </cfRule>
    <cfRule type="expression" priority="3" dxfId="2">
      <formula>LEFT(G9,1)="!"</formula>
    </cfRule>
  </conditionalFormatting>
  <dataValidations count="15">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Enter a number greater than 0." type="decimal" errorStyle="stop" operator="greaterThan">
      <formula1>0</formula1>
    </dataValidation>
    <dataValidation sqref="E13" showDropDown="0" showInputMessage="0" showErrorMessage="1" allowBlank="0" errorTitle="NA Engineering" error="Enter a number ≥ 0." type="decimal" errorStyle="stop" operator="greaterThanOrEqual">
      <formula1>0</formula1>
    </dataValidation>
    <dataValidation sqref="E14" showDropDown="0" showInputMessage="0" showErrorMessage="1" allowBlank="0" errorTitle="NA Engineering" error="Enter a number greater than 0." type="decimal" errorStyle="stop" operator="greaterThan">
      <formula1>0</formula1>
    </dataValidation>
    <dataValidation sqref="E15" showDropDown="0" showInputMessage="0" showErrorMessage="1" allowBlank="0" errorTitle="NA Engineering" error="Enter a number greater than 0." type="decimal" errorStyle="stop" operator="greaterThan">
      <formula1>0</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0" errorTitle="NA Engineering" error="Enter a number greater than 0." type="decimal" errorStyle="stop" operator="greaterThan">
      <formula1>0</formula1>
    </dataValidation>
    <dataValidation sqref="E18" showDropDown="0" showInputMessage="0" showErrorMessage="1" allowBlank="0" errorTitle="NA Engineering" error="Enter a number greater than 0." type="decimal" errorStyle="stop" operator="greaterThan">
      <formula1>0</formula1>
    </dataValidation>
    <dataValidation sqref="E21 E25" showDropDown="0" showInputMessage="0" showErrorMessage="1" allowBlank="0" errorTitle="NA Engineering" error="Pick a value from the list." type="list" errorStyle="stop">
      <formula1>"8,10,12,16"</formula1>
    </dataValidation>
    <dataValidation sqref="E22" showDropDown="0" showInputMessage="0" showErrorMessage="1" allowBlank="0" errorTitle="NA Engineering" error="Enter a number greater than 0." type="decimal" errorStyle="stop" operator="greaterThan">
      <formula1>0</formula1>
    </dataValidation>
    <dataValidation sqref="E23" showDropDown="0" showInputMessage="0" showErrorMessage="1" allowBlank="0" errorTitle="NA Engineering" error="Enter a number greater than 0." type="decimal" errorStyle="stop" operator="greaterThan">
      <formula1>0</formula1>
    </dataValidation>
    <dataValidation sqref="E24" showDropDown="0" showInputMessage="0" showErrorMessage="1" allowBlank="1" errorTitle="NA Engineering" error="Enter a number greater than 0." type="custom" errorStyle="stop">
      <formula1>IF(m_A&gt;1,AND(ISNUMBER(E24),E24&gt;0),TRUE)</formula1>
    </dataValidation>
    <dataValidation sqref="E26" showDropDown="0" showInputMessage="0" showErrorMessage="1" allowBlank="1" errorTitle="NA Engineering" error="Enter a number greater than 0." type="custom" errorStyle="stop">
      <formula1>IF(m_B&gt;0,AND(ISNUMBER(E26),E26&gt;0),TRUE)</formula1>
    </dataValidation>
    <dataValidation sqref="E27" showDropDown="0" showInputMessage="0" showErrorMessage="1" allowBlank="0" errorTitle="NA Engineering" error="Enter a number ≥ 0." type="decimal" errorStyle="stop" operator="greaterThanOrEqual">
      <formula1>0</formula1>
    </dataValidation>
    <dataValidation sqref="E28" showDropDown="0" showInputMessage="0" showErrorMessage="1" allowBlank="1" errorTitle="NA Engineering" error="Enter a number greater than 0." type="custom" errorStyle="stop">
      <formula1>IF(m_B&gt;1,AND(ISNUMBER(E28),E28&gt;0),TRUE)</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&amp;K8A8A8ANAE-RC-040  v1.0</oddFooter>
    <evenHeader/>
    <evenFooter/>
    <firstHeader/>
    <firstFooter/>
  </headerFooter>
  <rowBreaks count="1" manualBreakCount="1">
    <brk id="30" min="0" max="16383" man="1"/>
  </rowBreaks>
  <drawing xmlns:r="http://schemas.openxmlformats.org/officeDocument/2006/relationships" r:id="rId1"/>
</worksheet>
</file>

<file path=xl/worksheets/sheet14.xml><?xml version="1.0" encoding="utf-8"?>
<worksheet xmlns="http://schemas.openxmlformats.org/spreadsheetml/2006/main">
  <sheetPr>
    <outlinePr summaryBelow="1" summaryRight="1"/>
    <pageSetUpPr/>
  </sheetPr>
  <dimension ref="A1:FE7"/>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supporting beam</t>
        </is>
      </c>
      <c r="G2" t="inlineStr">
        <is>
          <t>supported beam</t>
        </is>
      </c>
      <c r="J2" t="inlineStr">
        <is>
          <t>zone A</t>
        </is>
      </c>
      <c r="M2" t="inlineStr">
        <is>
          <t>zone B</t>
        </is>
      </c>
      <c r="P2" t="inlineStr">
        <is>
          <t>link A 0</t>
        </is>
      </c>
      <c r="S2" t="inlineStr">
        <is>
          <t>link B 0</t>
        </is>
      </c>
      <c r="V2" t="inlineStr">
        <is>
          <t>link A 1</t>
        </is>
      </c>
      <c r="Y2" t="inlineStr">
        <is>
          <t>link B 1</t>
        </is>
      </c>
      <c r="AB2" t="inlineStr">
        <is>
          <t>link A 2</t>
        </is>
      </c>
      <c r="AE2" t="inlineStr">
        <is>
          <t>link B 2</t>
        </is>
      </c>
      <c r="AH2" t="inlineStr">
        <is>
          <t>link A 3</t>
        </is>
      </c>
      <c r="AK2" t="inlineStr">
        <is>
          <t>link B 3</t>
        </is>
      </c>
      <c r="AN2" t="inlineStr">
        <is>
          <t>link A 4</t>
        </is>
      </c>
      <c r="AQ2" t="inlineStr">
        <is>
          <t>link B 4</t>
        </is>
      </c>
      <c r="AT2" t="inlineStr">
        <is>
          <t>link A 5</t>
        </is>
      </c>
      <c r="AW2" t="inlineStr">
        <is>
          <t>link B 5</t>
        </is>
      </c>
      <c r="AZ2" t="inlineStr">
        <is>
          <t>link A 6</t>
        </is>
      </c>
      <c r="BC2" t="inlineStr">
        <is>
          <t>link B 6</t>
        </is>
      </c>
      <c r="BF2" t="inlineStr">
        <is>
          <t>link A 7</t>
        </is>
      </c>
      <c r="BI2" t="inlineStr">
        <is>
          <t>link B 7</t>
        </is>
      </c>
      <c r="BL2" t="inlineStr">
        <is>
          <t>link A 8</t>
        </is>
      </c>
      <c r="BO2" t="inlineStr">
        <is>
          <t>link B 8</t>
        </is>
      </c>
      <c r="BR2" t="inlineStr">
        <is>
          <t>link A 9</t>
        </is>
      </c>
      <c r="BU2" t="inlineStr">
        <is>
          <t>link B 9</t>
        </is>
      </c>
      <c r="BX2" t="inlineStr">
        <is>
          <t>link A 10</t>
        </is>
      </c>
      <c r="CA2" t="inlineStr">
        <is>
          <t>link B 10</t>
        </is>
      </c>
      <c r="CD2" t="inlineStr">
        <is>
          <t>link A 11</t>
        </is>
      </c>
      <c r="CG2" t="inlineStr">
        <is>
          <t>link B 11</t>
        </is>
      </c>
      <c r="CJ2" t="inlineStr">
        <is>
          <t>link A 12</t>
        </is>
      </c>
      <c r="CM2" t="inlineStr">
        <is>
          <t>link B 12</t>
        </is>
      </c>
      <c r="CP2" t="inlineStr">
        <is>
          <t>link A 13</t>
        </is>
      </c>
      <c r="CS2" t="inlineStr">
        <is>
          <t>link B 13</t>
        </is>
      </c>
      <c r="CV2" t="inlineStr">
        <is>
          <t>link A 14</t>
        </is>
      </c>
      <c r="CY2" t="inlineStr">
        <is>
          <t>link B 14</t>
        </is>
      </c>
      <c r="DB2" t="inlineStr">
        <is>
          <t>link A 15</t>
        </is>
      </c>
      <c r="DE2" t="inlineStr">
        <is>
          <t>link B 15</t>
        </is>
      </c>
      <c r="DH2" t="inlineStr">
        <is>
          <t>link A 16</t>
        </is>
      </c>
      <c r="DK2" t="inlineStr">
        <is>
          <t>link B 16</t>
        </is>
      </c>
      <c r="DN2" t="inlineStr">
        <is>
          <t>link A 17</t>
        </is>
      </c>
      <c r="DQ2" t="inlineStr">
        <is>
          <t>link B 17</t>
        </is>
      </c>
      <c r="DT2" t="inlineStr">
        <is>
          <t>link A 18</t>
        </is>
      </c>
      <c r="DW2" t="inlineStr">
        <is>
          <t>link B 18</t>
        </is>
      </c>
      <c r="DZ2" t="inlineStr">
        <is>
          <t>link A 19</t>
        </is>
      </c>
      <c r="EC2" t="inlineStr">
        <is>
          <t>link B 19</t>
        </is>
      </c>
      <c r="EF2" t="inlineStr">
        <is>
          <t>dim</t>
        </is>
      </c>
      <c r="EI2">
        <f>IF(inputs_ok,"≤ "&amp;TEXT(L_A,"0"),"")</f>
        <v/>
      </c>
      <c r="EL2" t="inlineStr">
        <is>
          <t>dim</t>
        </is>
      </c>
      <c r="EO2">
        <f>IF(inputs_ok,"≤ "&amp;TEXT(L_B,"0"),"")</f>
        <v/>
      </c>
      <c r="ER2">
        <f>IF(inputs_ok,"A: "&amp;m_A&amp;" × "&amp;n_A&amp;" legs φ"&amp;phi_A&amp;IF(m_A&gt;1," @ "&amp;s_A,""),"")</f>
        <v/>
      </c>
      <c r="EU2">
        <f>IF(inputs_ok,IF(m_B&gt;0,"B: "&amp;m_B&amp;" × "&amp;n_B&amp;" legs φ"&amp;phi_B&amp;IF(m_B&gt;1," @ "&amp;s_B,""),"B: none"),"")</f>
        <v/>
      </c>
      <c r="EX2">
        <f>IF(inputs_ok,"b1 "&amp;b_1&amp;" · h1 "&amp;h_1,"")</f>
        <v/>
      </c>
      <c r="FA2">
        <f>IF(inputs_ok,"b2 "&amp;b_2&amp;" · h2 "&amp;h_2,"")</f>
        <v/>
      </c>
      <c r="FD2" t="inlineStr">
        <is>
          <t>frame</t>
        </is>
      </c>
    </row>
    <row r="3">
      <c r="A3">
        <f>0</f>
        <v/>
      </c>
      <c r="B3">
        <f>0</f>
        <v/>
      </c>
      <c r="D3">
        <f>IF(inputs_ok,-(b_2/2+L_A+0.8*h_1),NA())</f>
        <v/>
      </c>
      <c r="E3">
        <f>-(b_1/2)</f>
        <v/>
      </c>
      <c r="G3">
        <f>IF(inputs_ok,-b_2/2,NA())</f>
        <v/>
      </c>
      <c r="H3">
        <f>(b_1/2+L_B+0.6*h_2)</f>
        <v/>
      </c>
      <c r="J3">
        <f>IF(inputs_ok,-b_2/2-L_A,NA())</f>
        <v/>
      </c>
      <c r="K3">
        <f>-(b_1/2)</f>
        <v/>
      </c>
      <c r="M3">
        <f>IF(inputs_ok,-b_2/2,NA())</f>
        <v/>
      </c>
      <c r="N3">
        <f>(b_1/2)</f>
        <v/>
      </c>
      <c r="P3">
        <f>IF(inputs_ok,IF(0&lt;m_A,IF(m_A&gt;1,(0-(m_A-1)/2)*s_A,0),NA()),NA())</f>
        <v/>
      </c>
      <c r="Q3">
        <f>IF(0&lt;m_A,-(b_1/2)+c_A,NA())</f>
        <v/>
      </c>
      <c r="S3">
        <f>IF(inputs_ok,IF(0&lt;m_B,-b_2/2+c_A,NA()),NA())</f>
        <v/>
      </c>
      <c r="T3">
        <f>IF(0&lt;m_B,(b_1/2),NA())</f>
        <v/>
      </c>
      <c r="V3">
        <f>IF(inputs_ok,IF(1&lt;m_A,IF(m_A&gt;1,(1-(m_A-1)/2)*s_A,0),NA()),NA())</f>
        <v/>
      </c>
      <c r="W3">
        <f>IF(1&lt;m_A,-(b_1/2)+c_A,NA())</f>
        <v/>
      </c>
      <c r="Y3">
        <f>IF(inputs_ok,IF(1&lt;m_B,-b_2/2+c_A,NA()),NA())</f>
        <v/>
      </c>
      <c r="Z3">
        <f>IF(1&lt;m_B,(b_1/2)+1*s_B,NA())</f>
        <v/>
      </c>
      <c r="AB3">
        <f>IF(inputs_ok,IF(2&lt;m_A,IF(m_A&gt;1,(2-(m_A-1)/2)*s_A,0),NA()),NA())</f>
        <v/>
      </c>
      <c r="AC3">
        <f>IF(2&lt;m_A,-(b_1/2)+c_A,NA())</f>
        <v/>
      </c>
      <c r="AE3">
        <f>IF(inputs_ok,IF(2&lt;m_B,-b_2/2+c_A,NA()),NA())</f>
        <v/>
      </c>
      <c r="AF3">
        <f>IF(2&lt;m_B,(b_1/2)+2*s_B,NA())</f>
        <v/>
      </c>
      <c r="AH3">
        <f>IF(inputs_ok,IF(3&lt;m_A,IF(m_A&gt;1,(3-(m_A-1)/2)*s_A,0),NA()),NA())</f>
        <v/>
      </c>
      <c r="AI3">
        <f>IF(3&lt;m_A,-(b_1/2)+c_A,NA())</f>
        <v/>
      </c>
      <c r="AK3">
        <f>IF(inputs_ok,IF(3&lt;m_B,-b_2/2+c_A,NA()),NA())</f>
        <v/>
      </c>
      <c r="AL3">
        <f>IF(3&lt;m_B,(b_1/2)+3*s_B,NA())</f>
        <v/>
      </c>
      <c r="AN3">
        <f>IF(inputs_ok,IF(4&lt;m_A,IF(m_A&gt;1,(4-(m_A-1)/2)*s_A,0),NA()),NA())</f>
        <v/>
      </c>
      <c r="AO3">
        <f>IF(4&lt;m_A,-(b_1/2)+c_A,NA())</f>
        <v/>
      </c>
      <c r="AQ3">
        <f>IF(inputs_ok,IF(4&lt;m_B,-b_2/2+c_A,NA()),NA())</f>
        <v/>
      </c>
      <c r="AR3">
        <f>IF(4&lt;m_B,(b_1/2)+4*s_B,NA())</f>
        <v/>
      </c>
      <c r="AT3">
        <f>IF(inputs_ok,IF(5&lt;m_A,IF(m_A&gt;1,(5-(m_A-1)/2)*s_A,0),NA()),NA())</f>
        <v/>
      </c>
      <c r="AU3">
        <f>IF(5&lt;m_A,-(b_1/2)+c_A,NA())</f>
        <v/>
      </c>
      <c r="AW3">
        <f>IF(inputs_ok,IF(5&lt;m_B,-b_2/2+c_A,NA()),NA())</f>
        <v/>
      </c>
      <c r="AX3">
        <f>IF(5&lt;m_B,(b_1/2)+5*s_B,NA())</f>
        <v/>
      </c>
      <c r="AZ3">
        <f>IF(inputs_ok,IF(6&lt;m_A,IF(m_A&gt;1,(6-(m_A-1)/2)*s_A,0),NA()),NA())</f>
        <v/>
      </c>
      <c r="BA3">
        <f>IF(6&lt;m_A,-(b_1/2)+c_A,NA())</f>
        <v/>
      </c>
      <c r="BC3">
        <f>IF(inputs_ok,IF(6&lt;m_B,-b_2/2+c_A,NA()),NA())</f>
        <v/>
      </c>
      <c r="BD3">
        <f>IF(6&lt;m_B,(b_1/2)+6*s_B,NA())</f>
        <v/>
      </c>
      <c r="BF3">
        <f>IF(inputs_ok,IF(7&lt;m_A,IF(m_A&gt;1,(7-(m_A-1)/2)*s_A,0),NA()),NA())</f>
        <v/>
      </c>
      <c r="BG3">
        <f>IF(7&lt;m_A,-(b_1/2)+c_A,NA())</f>
        <v/>
      </c>
      <c r="BI3">
        <f>IF(inputs_ok,IF(7&lt;m_B,-b_2/2+c_A,NA()),NA())</f>
        <v/>
      </c>
      <c r="BJ3">
        <f>IF(7&lt;m_B,(b_1/2)+7*s_B,NA())</f>
        <v/>
      </c>
      <c r="BL3">
        <f>IF(inputs_ok,IF(8&lt;m_A,IF(m_A&gt;1,(8-(m_A-1)/2)*s_A,0),NA()),NA())</f>
        <v/>
      </c>
      <c r="BM3">
        <f>IF(8&lt;m_A,-(b_1/2)+c_A,NA())</f>
        <v/>
      </c>
      <c r="BO3">
        <f>IF(inputs_ok,IF(8&lt;m_B,-b_2/2+c_A,NA()),NA())</f>
        <v/>
      </c>
      <c r="BP3">
        <f>IF(8&lt;m_B,(b_1/2)+8*s_B,NA())</f>
        <v/>
      </c>
      <c r="BR3">
        <f>IF(inputs_ok,IF(9&lt;m_A,IF(m_A&gt;1,(9-(m_A-1)/2)*s_A,0),NA()),NA())</f>
        <v/>
      </c>
      <c r="BS3">
        <f>IF(9&lt;m_A,-(b_1/2)+c_A,NA())</f>
        <v/>
      </c>
      <c r="BU3">
        <f>IF(inputs_ok,IF(9&lt;m_B,-b_2/2+c_A,NA()),NA())</f>
        <v/>
      </c>
      <c r="BV3">
        <f>IF(9&lt;m_B,(b_1/2)+9*s_B,NA())</f>
        <v/>
      </c>
      <c r="BX3">
        <f>IF(inputs_ok,IF(10&lt;m_A,IF(m_A&gt;1,(10-(m_A-1)/2)*s_A,0),NA()),NA())</f>
        <v/>
      </c>
      <c r="BY3">
        <f>IF(10&lt;m_A,-(b_1/2)+c_A,NA())</f>
        <v/>
      </c>
      <c r="CA3">
        <f>IF(inputs_ok,IF(10&lt;m_B,-b_2/2+c_A,NA()),NA())</f>
        <v/>
      </c>
      <c r="CB3">
        <f>IF(10&lt;m_B,(b_1/2)+10*s_B,NA())</f>
        <v/>
      </c>
      <c r="CD3">
        <f>IF(inputs_ok,IF(11&lt;m_A,IF(m_A&gt;1,(11-(m_A-1)/2)*s_A,0),NA()),NA())</f>
        <v/>
      </c>
      <c r="CE3">
        <f>IF(11&lt;m_A,-(b_1/2)+c_A,NA())</f>
        <v/>
      </c>
      <c r="CG3">
        <f>IF(inputs_ok,IF(11&lt;m_B,-b_2/2+c_A,NA()),NA())</f>
        <v/>
      </c>
      <c r="CH3">
        <f>IF(11&lt;m_B,(b_1/2)+11*s_B,NA())</f>
        <v/>
      </c>
      <c r="CJ3">
        <f>IF(inputs_ok,IF(12&lt;m_A,IF(m_A&gt;1,(12-(m_A-1)/2)*s_A,0),NA()),NA())</f>
        <v/>
      </c>
      <c r="CK3">
        <f>IF(12&lt;m_A,-(b_1/2)+c_A,NA())</f>
        <v/>
      </c>
      <c r="CM3">
        <f>IF(inputs_ok,IF(12&lt;m_B,-b_2/2+c_A,NA()),NA())</f>
        <v/>
      </c>
      <c r="CN3">
        <f>IF(12&lt;m_B,(b_1/2)+12*s_B,NA())</f>
        <v/>
      </c>
      <c r="CP3">
        <f>IF(inputs_ok,IF(13&lt;m_A,IF(m_A&gt;1,(13-(m_A-1)/2)*s_A,0),NA()),NA())</f>
        <v/>
      </c>
      <c r="CQ3">
        <f>IF(13&lt;m_A,-(b_1/2)+c_A,NA())</f>
        <v/>
      </c>
      <c r="CS3">
        <f>IF(inputs_ok,IF(13&lt;m_B,-b_2/2+c_A,NA()),NA())</f>
        <v/>
      </c>
      <c r="CT3">
        <f>IF(13&lt;m_B,(b_1/2)+13*s_B,NA())</f>
        <v/>
      </c>
      <c r="CV3">
        <f>IF(inputs_ok,IF(14&lt;m_A,IF(m_A&gt;1,(14-(m_A-1)/2)*s_A,0),NA()),NA())</f>
        <v/>
      </c>
      <c r="CW3">
        <f>IF(14&lt;m_A,-(b_1/2)+c_A,NA())</f>
        <v/>
      </c>
      <c r="CY3">
        <f>IF(inputs_ok,IF(14&lt;m_B,-b_2/2+c_A,NA()),NA())</f>
        <v/>
      </c>
      <c r="CZ3">
        <f>IF(14&lt;m_B,(b_1/2)+14*s_B,NA())</f>
        <v/>
      </c>
      <c r="DB3">
        <f>IF(inputs_ok,IF(15&lt;m_A,IF(m_A&gt;1,(15-(m_A-1)/2)*s_A,0),NA()),NA())</f>
        <v/>
      </c>
      <c r="DC3">
        <f>IF(15&lt;m_A,-(b_1/2)+c_A,NA())</f>
        <v/>
      </c>
      <c r="DE3">
        <f>IF(inputs_ok,IF(15&lt;m_B,-b_2/2+c_A,NA()),NA())</f>
        <v/>
      </c>
      <c r="DF3">
        <f>IF(15&lt;m_B,(b_1/2)+15*s_B,NA())</f>
        <v/>
      </c>
      <c r="DH3">
        <f>IF(inputs_ok,IF(16&lt;m_A,IF(m_A&gt;1,(16-(m_A-1)/2)*s_A,0),NA()),NA())</f>
        <v/>
      </c>
      <c r="DI3">
        <f>IF(16&lt;m_A,-(b_1/2)+c_A,NA())</f>
        <v/>
      </c>
      <c r="DK3">
        <f>IF(inputs_ok,IF(16&lt;m_B,-b_2/2+c_A,NA()),NA())</f>
        <v/>
      </c>
      <c r="DL3">
        <f>IF(16&lt;m_B,(b_1/2)+16*s_B,NA())</f>
        <v/>
      </c>
      <c r="DN3">
        <f>IF(inputs_ok,IF(17&lt;m_A,IF(m_A&gt;1,(17-(m_A-1)/2)*s_A,0),NA()),NA())</f>
        <v/>
      </c>
      <c r="DO3">
        <f>IF(17&lt;m_A,-(b_1/2)+c_A,NA())</f>
        <v/>
      </c>
      <c r="DQ3">
        <f>IF(inputs_ok,IF(17&lt;m_B,-b_2/2+c_A,NA()),NA())</f>
        <v/>
      </c>
      <c r="DR3">
        <f>IF(17&lt;m_B,(b_1/2)+17*s_B,NA())</f>
        <v/>
      </c>
      <c r="DT3">
        <f>IF(inputs_ok,IF(18&lt;m_A,IF(m_A&gt;1,(18-(m_A-1)/2)*s_A,0),NA()),NA())</f>
        <v/>
      </c>
      <c r="DU3">
        <f>IF(18&lt;m_A,-(b_1/2)+c_A,NA())</f>
        <v/>
      </c>
      <c r="DW3">
        <f>IF(inputs_ok,IF(18&lt;m_B,-b_2/2+c_A,NA()),NA())</f>
        <v/>
      </c>
      <c r="DX3">
        <f>IF(18&lt;m_B,(b_1/2)+18*s_B,NA())</f>
        <v/>
      </c>
      <c r="DZ3">
        <f>IF(inputs_ok,IF(19&lt;m_A,IF(m_A&gt;1,(19-(m_A-1)/2)*s_A,0),NA()),NA())</f>
        <v/>
      </c>
      <c r="EA3">
        <f>IF(19&lt;m_A,-(b_1/2)+c_A,NA())</f>
        <v/>
      </c>
      <c r="EC3">
        <f>IF(inputs_ok,IF(19&lt;m_B,-b_2/2+c_A,NA()),NA())</f>
        <v/>
      </c>
      <c r="ED3">
        <f>IF(19&lt;m_B,(b_1/2)+19*s_B,NA())</f>
        <v/>
      </c>
      <c r="EF3">
        <f>IF(inputs_ok,IF(L_A&gt;0,b_2/2,NA()),NA())</f>
        <v/>
      </c>
      <c r="EG3">
        <f>IF(L_A&gt;0,-(b_1/2)-0.25*h_1,NA())</f>
        <v/>
      </c>
      <c r="EI3">
        <f>IF(inputs_ok,IF(L_A&gt;0,((b_2/2)+(b_2/2+L_A))/2,NA()),NA())</f>
        <v/>
      </c>
      <c r="EJ3">
        <f>IF(L_A&gt;0,((-(b_1/2)-0.25*h_1)+(-(b_1/2)-0.25*h_1))/2,NA())</f>
        <v/>
      </c>
      <c r="EL3">
        <f>IF(inputs_ok,IF(L_B&gt;0,b_2/2+0.25*h_1,NA()),NA())</f>
        <v/>
      </c>
      <c r="EM3">
        <f>IF(L_B&gt;0,(b_1/2),NA())</f>
        <v/>
      </c>
      <c r="EO3">
        <f>IF(inputs_ok,IF(L_B&gt;0,((b_2/2+0.25*h_1)+(b_2/2+0.25*h_1))/2,NA()),NA())</f>
        <v/>
      </c>
      <c r="EP3">
        <f>IF(L_B&gt;0,(((b_1/2))+((b_1/2)+L_B))/2,NA())</f>
        <v/>
      </c>
      <c r="ER3">
        <f>IF(inputs_ok,(b_2/2+L_A+0.8*h_1),NA())</f>
        <v/>
      </c>
      <c r="ES3">
        <f>-(b_1/2)</f>
        <v/>
      </c>
      <c r="EU3">
        <f>IF(inputs_ok,-b_2/2,NA())</f>
        <v/>
      </c>
      <c r="EV3">
        <f>(b_1/2+L_B+0.6*h_2)</f>
        <v/>
      </c>
      <c r="EX3">
        <f>IF(inputs_ok,-(b_2/2+L_A+0.8*h_1),NA())</f>
        <v/>
      </c>
      <c r="EY3">
        <f>(b_1/2)</f>
        <v/>
      </c>
      <c r="FA3">
        <f>IF(inputs_ok,b_2/2,NA())</f>
        <v/>
      </c>
      <c r="FB3">
        <f>(b_1/2+L_B+0.6*h_2)</f>
        <v/>
      </c>
      <c r="FD3">
        <f>((-(b_2/2+L_A+0.8*h_1))+((b_2/2+L_A+0.8*h_1)))/2-MAX(((b_1/2+L_B+0.6*h_2))-(-(b_1/2)-0.5*h_1),(((b_2/2+L_A+0.8*h_1))-(-(b_2/2+L_A+0.8*h_1)))/1.55)*0.55*1.55</f>
        <v/>
      </c>
      <c r="FE3">
        <f>((-(b_1/2)-0.5*h_1)+((b_1/2+L_B+0.6*h_2)))/2-MAX(((b_1/2+L_B+0.6*h_2))-(-(b_1/2)-0.5*h_1),(((b_2/2+L_A+0.8*h_1))-(-(b_2/2+L_A+0.8*h_1)))/1.55)*0.55</f>
        <v/>
      </c>
    </row>
    <row r="4">
      <c r="D4">
        <f>IF(inputs_ok,(b_2/2+L_A+0.8*h_1),NA())</f>
        <v/>
      </c>
      <c r="E4">
        <f>-(b_1/2)</f>
        <v/>
      </c>
      <c r="G4">
        <f>IF(inputs_ok,-b_2/2,NA())</f>
        <v/>
      </c>
      <c r="H4">
        <f>(b_1/2)</f>
        <v/>
      </c>
      <c r="J4">
        <f>IF(inputs_ok,b_2/2+L_A,NA())</f>
        <v/>
      </c>
      <c r="K4">
        <f>-(b_1/2)</f>
        <v/>
      </c>
      <c r="M4">
        <f>IF(inputs_ok,-b_2/2,NA())</f>
        <v/>
      </c>
      <c r="N4">
        <f>(b_1/2)+L_B</f>
        <v/>
      </c>
      <c r="P4">
        <f>IF(inputs_ok,IF(0&lt;m_A,IF(m_A&gt;1,(0-(m_A-1)/2)*s_A,0),NA()),NA())</f>
        <v/>
      </c>
      <c r="Q4">
        <f>IF(0&lt;m_A,(b_1/2)-c_A,NA())</f>
        <v/>
      </c>
      <c r="S4">
        <f>IF(inputs_ok,IF(0&lt;m_B,b_2/2-c_A,NA()),NA())</f>
        <v/>
      </c>
      <c r="T4">
        <f>IF(0&lt;m_B,(b_1/2),NA())</f>
        <v/>
      </c>
      <c r="V4">
        <f>IF(inputs_ok,IF(1&lt;m_A,IF(m_A&gt;1,(1-(m_A-1)/2)*s_A,0),NA()),NA())</f>
        <v/>
      </c>
      <c r="W4">
        <f>IF(1&lt;m_A,(b_1/2)-c_A,NA())</f>
        <v/>
      </c>
      <c r="Y4">
        <f>IF(inputs_ok,IF(1&lt;m_B,b_2/2-c_A,NA()),NA())</f>
        <v/>
      </c>
      <c r="Z4">
        <f>IF(1&lt;m_B,(b_1/2)+1*s_B,NA())</f>
        <v/>
      </c>
      <c r="AB4">
        <f>IF(inputs_ok,IF(2&lt;m_A,IF(m_A&gt;1,(2-(m_A-1)/2)*s_A,0),NA()),NA())</f>
        <v/>
      </c>
      <c r="AC4">
        <f>IF(2&lt;m_A,(b_1/2)-c_A,NA())</f>
        <v/>
      </c>
      <c r="AE4">
        <f>IF(inputs_ok,IF(2&lt;m_B,b_2/2-c_A,NA()),NA())</f>
        <v/>
      </c>
      <c r="AF4">
        <f>IF(2&lt;m_B,(b_1/2)+2*s_B,NA())</f>
        <v/>
      </c>
      <c r="AH4">
        <f>IF(inputs_ok,IF(3&lt;m_A,IF(m_A&gt;1,(3-(m_A-1)/2)*s_A,0),NA()),NA())</f>
        <v/>
      </c>
      <c r="AI4">
        <f>IF(3&lt;m_A,(b_1/2)-c_A,NA())</f>
        <v/>
      </c>
      <c r="AK4">
        <f>IF(inputs_ok,IF(3&lt;m_B,b_2/2-c_A,NA()),NA())</f>
        <v/>
      </c>
      <c r="AL4">
        <f>IF(3&lt;m_B,(b_1/2)+3*s_B,NA())</f>
        <v/>
      </c>
      <c r="AN4">
        <f>IF(inputs_ok,IF(4&lt;m_A,IF(m_A&gt;1,(4-(m_A-1)/2)*s_A,0),NA()),NA())</f>
        <v/>
      </c>
      <c r="AO4">
        <f>IF(4&lt;m_A,(b_1/2)-c_A,NA())</f>
        <v/>
      </c>
      <c r="AQ4">
        <f>IF(inputs_ok,IF(4&lt;m_B,b_2/2-c_A,NA()),NA())</f>
        <v/>
      </c>
      <c r="AR4">
        <f>IF(4&lt;m_B,(b_1/2)+4*s_B,NA())</f>
        <v/>
      </c>
      <c r="AT4">
        <f>IF(inputs_ok,IF(5&lt;m_A,IF(m_A&gt;1,(5-(m_A-1)/2)*s_A,0),NA()),NA())</f>
        <v/>
      </c>
      <c r="AU4">
        <f>IF(5&lt;m_A,(b_1/2)-c_A,NA())</f>
        <v/>
      </c>
      <c r="AW4">
        <f>IF(inputs_ok,IF(5&lt;m_B,b_2/2-c_A,NA()),NA())</f>
        <v/>
      </c>
      <c r="AX4">
        <f>IF(5&lt;m_B,(b_1/2)+5*s_B,NA())</f>
        <v/>
      </c>
      <c r="AZ4">
        <f>IF(inputs_ok,IF(6&lt;m_A,IF(m_A&gt;1,(6-(m_A-1)/2)*s_A,0),NA()),NA())</f>
        <v/>
      </c>
      <c r="BA4">
        <f>IF(6&lt;m_A,(b_1/2)-c_A,NA())</f>
        <v/>
      </c>
      <c r="BC4">
        <f>IF(inputs_ok,IF(6&lt;m_B,b_2/2-c_A,NA()),NA())</f>
        <v/>
      </c>
      <c r="BD4">
        <f>IF(6&lt;m_B,(b_1/2)+6*s_B,NA())</f>
        <v/>
      </c>
      <c r="BF4">
        <f>IF(inputs_ok,IF(7&lt;m_A,IF(m_A&gt;1,(7-(m_A-1)/2)*s_A,0),NA()),NA())</f>
        <v/>
      </c>
      <c r="BG4">
        <f>IF(7&lt;m_A,(b_1/2)-c_A,NA())</f>
        <v/>
      </c>
      <c r="BI4">
        <f>IF(inputs_ok,IF(7&lt;m_B,b_2/2-c_A,NA()),NA())</f>
        <v/>
      </c>
      <c r="BJ4">
        <f>IF(7&lt;m_B,(b_1/2)+7*s_B,NA())</f>
        <v/>
      </c>
      <c r="BL4">
        <f>IF(inputs_ok,IF(8&lt;m_A,IF(m_A&gt;1,(8-(m_A-1)/2)*s_A,0),NA()),NA())</f>
        <v/>
      </c>
      <c r="BM4">
        <f>IF(8&lt;m_A,(b_1/2)-c_A,NA())</f>
        <v/>
      </c>
      <c r="BO4">
        <f>IF(inputs_ok,IF(8&lt;m_B,b_2/2-c_A,NA()),NA())</f>
        <v/>
      </c>
      <c r="BP4">
        <f>IF(8&lt;m_B,(b_1/2)+8*s_B,NA())</f>
        <v/>
      </c>
      <c r="BR4">
        <f>IF(inputs_ok,IF(9&lt;m_A,IF(m_A&gt;1,(9-(m_A-1)/2)*s_A,0),NA()),NA())</f>
        <v/>
      </c>
      <c r="BS4">
        <f>IF(9&lt;m_A,(b_1/2)-c_A,NA())</f>
        <v/>
      </c>
      <c r="BU4">
        <f>IF(inputs_ok,IF(9&lt;m_B,b_2/2-c_A,NA()),NA())</f>
        <v/>
      </c>
      <c r="BV4">
        <f>IF(9&lt;m_B,(b_1/2)+9*s_B,NA())</f>
        <v/>
      </c>
      <c r="BX4">
        <f>IF(inputs_ok,IF(10&lt;m_A,IF(m_A&gt;1,(10-(m_A-1)/2)*s_A,0),NA()),NA())</f>
        <v/>
      </c>
      <c r="BY4">
        <f>IF(10&lt;m_A,(b_1/2)-c_A,NA())</f>
        <v/>
      </c>
      <c r="CA4">
        <f>IF(inputs_ok,IF(10&lt;m_B,b_2/2-c_A,NA()),NA())</f>
        <v/>
      </c>
      <c r="CB4">
        <f>IF(10&lt;m_B,(b_1/2)+10*s_B,NA())</f>
        <v/>
      </c>
      <c r="CD4">
        <f>IF(inputs_ok,IF(11&lt;m_A,IF(m_A&gt;1,(11-(m_A-1)/2)*s_A,0),NA()),NA())</f>
        <v/>
      </c>
      <c r="CE4">
        <f>IF(11&lt;m_A,(b_1/2)-c_A,NA())</f>
        <v/>
      </c>
      <c r="CG4">
        <f>IF(inputs_ok,IF(11&lt;m_B,b_2/2-c_A,NA()),NA())</f>
        <v/>
      </c>
      <c r="CH4">
        <f>IF(11&lt;m_B,(b_1/2)+11*s_B,NA())</f>
        <v/>
      </c>
      <c r="CJ4">
        <f>IF(inputs_ok,IF(12&lt;m_A,IF(m_A&gt;1,(12-(m_A-1)/2)*s_A,0),NA()),NA())</f>
        <v/>
      </c>
      <c r="CK4">
        <f>IF(12&lt;m_A,(b_1/2)-c_A,NA())</f>
        <v/>
      </c>
      <c r="CM4">
        <f>IF(inputs_ok,IF(12&lt;m_B,b_2/2-c_A,NA()),NA())</f>
        <v/>
      </c>
      <c r="CN4">
        <f>IF(12&lt;m_B,(b_1/2)+12*s_B,NA())</f>
        <v/>
      </c>
      <c r="CP4">
        <f>IF(inputs_ok,IF(13&lt;m_A,IF(m_A&gt;1,(13-(m_A-1)/2)*s_A,0),NA()),NA())</f>
        <v/>
      </c>
      <c r="CQ4">
        <f>IF(13&lt;m_A,(b_1/2)-c_A,NA())</f>
        <v/>
      </c>
      <c r="CS4">
        <f>IF(inputs_ok,IF(13&lt;m_B,b_2/2-c_A,NA()),NA())</f>
        <v/>
      </c>
      <c r="CT4">
        <f>IF(13&lt;m_B,(b_1/2)+13*s_B,NA())</f>
        <v/>
      </c>
      <c r="CV4">
        <f>IF(inputs_ok,IF(14&lt;m_A,IF(m_A&gt;1,(14-(m_A-1)/2)*s_A,0),NA()),NA())</f>
        <v/>
      </c>
      <c r="CW4">
        <f>IF(14&lt;m_A,(b_1/2)-c_A,NA())</f>
        <v/>
      </c>
      <c r="CY4">
        <f>IF(inputs_ok,IF(14&lt;m_B,b_2/2-c_A,NA()),NA())</f>
        <v/>
      </c>
      <c r="CZ4">
        <f>IF(14&lt;m_B,(b_1/2)+14*s_B,NA())</f>
        <v/>
      </c>
      <c r="DB4">
        <f>IF(inputs_ok,IF(15&lt;m_A,IF(m_A&gt;1,(15-(m_A-1)/2)*s_A,0),NA()),NA())</f>
        <v/>
      </c>
      <c r="DC4">
        <f>IF(15&lt;m_A,(b_1/2)-c_A,NA())</f>
        <v/>
      </c>
      <c r="DE4">
        <f>IF(inputs_ok,IF(15&lt;m_B,b_2/2-c_A,NA()),NA())</f>
        <v/>
      </c>
      <c r="DF4">
        <f>IF(15&lt;m_B,(b_1/2)+15*s_B,NA())</f>
        <v/>
      </c>
      <c r="DH4">
        <f>IF(inputs_ok,IF(16&lt;m_A,IF(m_A&gt;1,(16-(m_A-1)/2)*s_A,0),NA()),NA())</f>
        <v/>
      </c>
      <c r="DI4">
        <f>IF(16&lt;m_A,(b_1/2)-c_A,NA())</f>
        <v/>
      </c>
      <c r="DK4">
        <f>IF(inputs_ok,IF(16&lt;m_B,b_2/2-c_A,NA()),NA())</f>
        <v/>
      </c>
      <c r="DL4">
        <f>IF(16&lt;m_B,(b_1/2)+16*s_B,NA())</f>
        <v/>
      </c>
      <c r="DN4">
        <f>IF(inputs_ok,IF(17&lt;m_A,IF(m_A&gt;1,(17-(m_A-1)/2)*s_A,0),NA()),NA())</f>
        <v/>
      </c>
      <c r="DO4">
        <f>IF(17&lt;m_A,(b_1/2)-c_A,NA())</f>
        <v/>
      </c>
      <c r="DQ4">
        <f>IF(inputs_ok,IF(17&lt;m_B,b_2/2-c_A,NA()),NA())</f>
        <v/>
      </c>
      <c r="DR4">
        <f>IF(17&lt;m_B,(b_1/2)+17*s_B,NA())</f>
        <v/>
      </c>
      <c r="DT4">
        <f>IF(inputs_ok,IF(18&lt;m_A,IF(m_A&gt;1,(18-(m_A-1)/2)*s_A,0),NA()),NA())</f>
        <v/>
      </c>
      <c r="DU4">
        <f>IF(18&lt;m_A,(b_1/2)-c_A,NA())</f>
        <v/>
      </c>
      <c r="DW4">
        <f>IF(inputs_ok,IF(18&lt;m_B,b_2/2-c_A,NA()),NA())</f>
        <v/>
      </c>
      <c r="DX4">
        <f>IF(18&lt;m_B,(b_1/2)+18*s_B,NA())</f>
        <v/>
      </c>
      <c r="DZ4">
        <f>IF(inputs_ok,IF(19&lt;m_A,IF(m_A&gt;1,(19-(m_A-1)/2)*s_A,0),NA()),NA())</f>
        <v/>
      </c>
      <c r="EA4">
        <f>IF(19&lt;m_A,(b_1/2)-c_A,NA())</f>
        <v/>
      </c>
      <c r="EC4">
        <f>IF(inputs_ok,IF(19&lt;m_B,b_2/2-c_A,NA()),NA())</f>
        <v/>
      </c>
      <c r="ED4">
        <f>IF(19&lt;m_B,(b_1/2)+19*s_B,NA())</f>
        <v/>
      </c>
      <c r="EF4">
        <f>IF(inputs_ok,IF(L_A&gt;0,b_2/2+L_A,NA()),NA())</f>
        <v/>
      </c>
      <c r="EG4">
        <f>IF(L_A&gt;0,-(b_1/2)-0.25*h_1,NA())</f>
        <v/>
      </c>
      <c r="EL4">
        <f>IF(inputs_ok,IF(L_B&gt;0,b_2/2+0.25*h_1,NA()),NA())</f>
        <v/>
      </c>
      <c r="EM4">
        <f>IF(L_B&gt;0,(b_1/2)+L_B,NA())</f>
        <v/>
      </c>
      <c r="FD4">
        <f>((-(b_2/2+L_A+0.8*h_1))+((b_2/2+L_A+0.8*h_1)))/2+MAX(((b_1/2+L_B+0.6*h_2))-(-(b_1/2)-0.5*h_1),(((b_2/2+L_A+0.8*h_1))-(-(b_2/2+L_A+0.8*h_1)))/1.55)*0.55*1.55</f>
        <v/>
      </c>
      <c r="FE4">
        <f>((-(b_1/2)-0.5*h_1)+((b_1/2+L_B+0.6*h_2)))/2+MAX(((b_1/2+L_B+0.6*h_2))-(-(b_1/2)-0.5*h_1),(((b_2/2+L_A+0.8*h_1))-(-(b_2/2+L_A+0.8*h_1)))/1.55)*0.55</f>
        <v/>
      </c>
    </row>
    <row r="5">
      <c r="D5">
        <f>IF(inputs_ok,(b_2/2+L_A+0.8*h_1),NA())</f>
        <v/>
      </c>
      <c r="E5">
        <f>(b_1/2)</f>
        <v/>
      </c>
      <c r="G5">
        <f>IF(inputs_ok,b_2/2,NA())</f>
        <v/>
      </c>
      <c r="H5">
        <f>(b_1/2)</f>
        <v/>
      </c>
      <c r="J5">
        <f>IF(inputs_ok,b_2/2+L_A,NA())</f>
        <v/>
      </c>
      <c r="K5">
        <f>(b_1/2)</f>
        <v/>
      </c>
      <c r="M5">
        <f>IF(inputs_ok,b_2/2,NA())</f>
        <v/>
      </c>
      <c r="N5">
        <f>(b_1/2)+L_B</f>
        <v/>
      </c>
    </row>
    <row r="6">
      <c r="D6">
        <f>IF(inputs_ok,-(b_2/2+L_A+0.8*h_1),NA())</f>
        <v/>
      </c>
      <c r="E6">
        <f>(b_1/2)</f>
        <v/>
      </c>
      <c r="G6">
        <f>IF(inputs_ok,b_2/2,NA())</f>
        <v/>
      </c>
      <c r="H6">
        <f>(b_1/2+L_B+0.6*h_2)</f>
        <v/>
      </c>
      <c r="J6">
        <f>IF(inputs_ok,-b_2/2-L_A,NA())</f>
        <v/>
      </c>
      <c r="K6">
        <f>(b_1/2)</f>
        <v/>
      </c>
      <c r="M6">
        <f>IF(inputs_ok,b_2/2,NA())</f>
        <v/>
      </c>
      <c r="N6">
        <f>(b_1/2)</f>
        <v/>
      </c>
    </row>
    <row r="7">
      <c r="D7">
        <f>IF(inputs_ok,-(b_2/2+L_A+0.8*h_1),NA())</f>
        <v/>
      </c>
      <c r="E7">
        <f>-(b_1/2)</f>
        <v/>
      </c>
      <c r="J7">
        <f>IF(inputs_ok,-b_2/2-L_A,NA())</f>
        <v/>
      </c>
      <c r="K7">
        <f>-(b_1/2)</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15.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53" t="inlineStr">
        <is>
          <t>Nationally Determined Parameters</t>
        </is>
      </c>
    </row>
    <row r="3">
      <c r="B3" s="16" t="inlineStr">
        <is>
          <t>Values used by every calculation tab for the National Annex selected on that tab. Sources: UK NA to BS EN 1992-1-1:2004, Table NA.1; PN-EN 1992-1-1:2008, Załącznik krajowy NA. Edit only if your project specifies different values.</t>
        </is>
      </c>
    </row>
    <row r="5">
      <c r="B5" s="54" t="inlineStr">
        <is>
          <t>Parameter</t>
        </is>
      </c>
      <c r="C5" s="54" t="inlineStr">
        <is>
          <t>Clause</t>
        </is>
      </c>
      <c r="D5" s="54" t="inlineStr">
        <is>
          <t>UK NA</t>
        </is>
      </c>
      <c r="E5" s="54" t="inlineStr">
        <is>
          <t>PL NA</t>
        </is>
      </c>
      <c r="F5" s="54" t="inlineStr">
        <is>
          <t>Notes</t>
        </is>
      </c>
    </row>
    <row r="6">
      <c r="B6" s="55" t="inlineStr">
        <is>
          <t>Partial factor, concrete  γc</t>
        </is>
      </c>
      <c r="C6" s="56" t="inlineStr">
        <is>
          <t>2.4.2.4(1)</t>
        </is>
      </c>
      <c r="D6" s="57" t="n">
        <v>1.5</v>
      </c>
      <c r="E6" s="57" t="n">
        <v>1.4</v>
      </c>
      <c r="F6" s="56" t="inlineStr">
        <is>
          <t>Persistent &amp; transient. UK NA: recommended; PL: NA.2, Table NA.2</t>
        </is>
      </c>
    </row>
    <row r="7">
      <c r="B7" s="55" t="inlineStr">
        <is>
          <t>Partial factor, reinforcement  γs</t>
        </is>
      </c>
      <c r="C7" s="56" t="inlineStr">
        <is>
          <t>2.4.2.4(1)</t>
        </is>
      </c>
      <c r="D7" s="57" t="n">
        <v>1.15</v>
      </c>
      <c r="E7" s="57" t="n">
        <v>1.15</v>
      </c>
      <c r="F7" s="56" t="inlineStr">
        <is>
          <t>UK NA: recommended; PL: NA.2, Table NA.2</t>
        </is>
      </c>
    </row>
    <row r="8">
      <c r="B8" s="55" t="inlineStr">
        <is>
          <t>αcc  (compression in flexure / axial)</t>
        </is>
      </c>
      <c r="C8" s="56" t="inlineStr">
        <is>
          <t>3.1.6(1)</t>
        </is>
      </c>
      <c r="D8" s="57" t="n">
        <v>0.85</v>
      </c>
      <c r="E8" s="57" t="n">
        <v>1</v>
      </c>
      <c r="F8" s="56" t="inlineStr">
        <is>
          <t>UK NA: 0.85; PL: recommended (NA.9)</t>
        </is>
      </c>
    </row>
    <row r="9">
      <c r="B9" s="55" t="inlineStr">
        <is>
          <t>αcc,pl  (plain concrete, compression)</t>
        </is>
      </c>
      <c r="C9" s="56" t="inlineStr">
        <is>
          <t>12.3.1(1)</t>
        </is>
      </c>
      <c r="D9" s="57" t="n">
        <v>0.6</v>
      </c>
      <c r="E9" s="57" t="n">
        <v>0.8</v>
      </c>
      <c r="F9" s="56" t="inlineStr">
        <is>
          <t>UK NA Table NA.1: 0.6; PL: recommended (NA.9)</t>
        </is>
      </c>
    </row>
    <row r="10">
      <c r="B10" s="55" t="inlineStr">
        <is>
          <t>αcc  (shear and punching)</t>
        </is>
      </c>
      <c r="C10" s="56" t="inlineStr">
        <is>
          <t>3.1.6(1)</t>
        </is>
      </c>
      <c r="D10" s="57" t="n">
        <v>1</v>
      </c>
      <c r="E10" s="57" t="n">
        <v>1</v>
      </c>
      <c r="F10" s="56" t="inlineStr">
        <is>
          <t>UK NA: 1.0 for other phenomena; PL: recommended (NA.9)</t>
        </is>
      </c>
    </row>
    <row r="11">
      <c r="B11" s="55" t="inlineStr">
        <is>
          <t>αct  (design tensile strength)</t>
        </is>
      </c>
      <c r="C11" s="56" t="inlineStr">
        <is>
          <t>3.1.6(2)</t>
        </is>
      </c>
      <c r="D11" s="57" t="n">
        <v>1</v>
      </c>
      <c r="E11" s="57" t="n">
        <v>1</v>
      </c>
      <c r="F11" s="56" t="inlineStr">
        <is>
          <t>Recommended value in both annexes</t>
        </is>
      </c>
    </row>
    <row r="12">
      <c r="B12" s="55" t="inlineStr">
        <is>
          <t>CRd,c numerator  (CRd,c = value / γc)</t>
        </is>
      </c>
      <c r="C12" s="56" t="inlineStr">
        <is>
          <t>6.2.2(1), 6.4.4(1)</t>
        </is>
      </c>
      <c r="D12" s="57" t="n">
        <v>0.18</v>
      </c>
      <c r="E12" s="57" t="n">
        <v>0.18</v>
      </c>
      <c r="F12" s="56" t="inlineStr">
        <is>
          <t>Recommended value in both annexes</t>
        </is>
      </c>
    </row>
    <row r="13">
      <c r="B13" s="55" t="inlineStr">
        <is>
          <t>k1  (axial stress term, punching)</t>
        </is>
      </c>
      <c r="C13" s="56" t="inlineStr">
        <is>
          <t>6.4.4(1)</t>
        </is>
      </c>
      <c r="D13" s="57" t="n">
        <v>0.1</v>
      </c>
      <c r="E13" s="57" t="n">
        <v>0.1</v>
      </c>
      <c r="F13" s="56" t="inlineStr">
        <is>
          <t>Recommended value in both annexes</t>
        </is>
      </c>
    </row>
    <row r="14">
      <c r="B14" s="55" t="inlineStr">
        <is>
          <t>vRd,max factor  (vRd,max = factor · ν · fcd)</t>
        </is>
      </c>
      <c r="C14" s="56" t="inlineStr">
        <is>
          <t>6.4.5(3)</t>
        </is>
      </c>
      <c r="D14" s="57" t="n">
        <v>0.5</v>
      </c>
      <c r="E14" s="57" t="n">
        <v>0.4</v>
      </c>
      <c r="F14" s="56" t="inlineStr">
        <is>
          <t>UK NA: 0.5 ν fcd; PL: recommended value (NA.9), 0.4 ν fcd since EN 1992-1-1 AC:2010 (PN-EN 1992-1-1:2008/AC:2011)</t>
        </is>
      </c>
    </row>
    <row r="15">
      <c r="B15" s="55" t="inlineStr">
        <is>
          <t>kmax  (vEd ≤ kmax · vRd,c at u1)</t>
        </is>
      </c>
      <c r="C15" s="56" t="inlineStr">
        <is>
          <t>6.4.5</t>
        </is>
      </c>
      <c r="D15" s="57" t="n">
        <v>2</v>
      </c>
      <c r="E15" s="57" t="n">
        <v>1.5</v>
      </c>
      <c r="F15" s="56" t="inlineStr">
        <is>
          <t>UK NA 6.4.5(3): 2 vRd,c. PL: no limit in PN-EN 1992-1-1:2008; 1.5 (A1:2014 recommendation) applied conservatively</t>
        </is>
      </c>
    </row>
    <row r="16">
      <c r="B16" s="55" t="inlineStr">
        <is>
          <t>φlarge  (large bar threshold, mm)</t>
        </is>
      </c>
      <c r="C16" s="56" t="inlineStr">
        <is>
          <t>8.8(1)</t>
        </is>
      </c>
      <c r="D16" s="57" t="n">
        <v>40</v>
      </c>
      <c r="E16" s="57" t="n">
        <v>32</v>
      </c>
      <c r="F16" s="56" t="inlineStr">
        <is>
          <t>UK NA: 40 mm; PL: 32 mm recommended (NA.9)</t>
        </is>
      </c>
    </row>
    <row r="17">
      <c r="B17" s="55" t="inlineStr">
        <is>
          <t>cot θ upper limit  (variable strut)</t>
        </is>
      </c>
      <c r="C17" s="56" t="inlineStr">
        <is>
          <t>6.2.3(2)</t>
        </is>
      </c>
      <c r="D17" s="57" t="n">
        <v>2.5</v>
      </c>
      <c r="E17" s="57" t="n">
        <v>2</v>
      </c>
      <c r="F17" s="56" t="inlineStr">
        <is>
          <t>UK NA: 2.5 (1.25 with axial tension); PL: NA.4, 1 ≤ cot θ ≤ 2.0</t>
        </is>
      </c>
    </row>
    <row r="18">
      <c r="B18" s="55" t="inlineStr">
        <is>
          <t>k1  (x/d limit, δ ≥ k1 + k2 xu/d)</t>
        </is>
      </c>
      <c r="C18" s="56" t="inlineStr">
        <is>
          <t>5.5(4)</t>
        </is>
      </c>
      <c r="D18" s="57" t="n">
        <v>0.4</v>
      </c>
      <c r="E18" s="57" t="n">
        <v>0.44</v>
      </c>
      <c r="F18" s="56" t="inlineStr">
        <is>
          <t>UK NA for fyk ≤ 500 MPa; PL: recommended (NA.9)</t>
        </is>
      </c>
    </row>
    <row r="19">
      <c r="B19" s="55" t="inlineStr">
        <is>
          <t>k2  (x/d limit, εcu2 = 0.0035)</t>
        </is>
      </c>
      <c r="C19" s="56" t="inlineStr">
        <is>
          <t>5.5(4)</t>
        </is>
      </c>
      <c r="D19" s="57" t="n">
        <v>1</v>
      </c>
      <c r="E19" s="57" t="n">
        <v>1.25</v>
      </c>
      <c r="F19" s="56" t="inlineStr">
        <is>
          <t>UK NA: 0.6 + 0.0014/εcu2; PL: 1.25(0.6 + 0.0014/εcu2)</t>
        </is>
      </c>
    </row>
    <row r="20">
      <c r="B20" s="55" t="inlineStr">
        <is>
          <t>Upper limit on the (310/σs) factor  (0 = none)</t>
        </is>
      </c>
      <c r="C20" s="56" t="inlineStr">
        <is>
          <t>7.4.2(2)</t>
        </is>
      </c>
      <c r="D20" s="57" t="n">
        <v>1.5</v>
      </c>
      <c r="E20" s="57" t="n">
        <v>0</v>
      </c>
      <c r="F20" s="56" t="inlineStr">
        <is>
          <t>UK NA Table NA.5 Note 5: (310/σs) or (500/fyk)(As,prov/As,req) ≤ 1.5; PL: none</t>
        </is>
      </c>
    </row>
    <row r="21">
      <c r="B21" s="55" t="inlineStr">
        <is>
          <t>L/d not to exceed 40 K  (1 = applies)</t>
        </is>
      </c>
      <c r="C21" s="56" t="inlineStr">
        <is>
          <t>7.4.2(2)</t>
        </is>
      </c>
      <c r="D21" s="57" t="n">
        <v>1</v>
      </c>
      <c r="E21" s="57" t="n">
        <v>0</v>
      </c>
      <c r="F21" s="56" t="inlineStr">
        <is>
          <t>UK NA Table NA.5 Note 6; not in EN text</t>
        </is>
      </c>
    </row>
    <row r="22">
      <c r="B22" s="55" t="inlineStr">
        <is>
          <t>φmin  (longitudinal bars in columns, mm)</t>
        </is>
      </c>
      <c r="C22" s="56" t="inlineStr">
        <is>
          <t>9.5.2(1)</t>
        </is>
      </c>
      <c r="D22" s="57" t="n">
        <v>12</v>
      </c>
      <c r="E22" s="57" t="n">
        <v>6</v>
      </c>
      <c r="F22" s="56" t="inlineStr">
        <is>
          <t>UK NA: 12 mm; PL: NA.6, 6 mm</t>
        </is>
      </c>
    </row>
    <row r="23">
      <c r="B23" s="55" t="inlineStr">
        <is>
          <t>k3  (crack spacing)</t>
        </is>
      </c>
      <c r="C23" s="56" t="inlineStr">
        <is>
          <t>7.3.4(3)</t>
        </is>
      </c>
      <c r="D23" s="57" t="n">
        <v>3.4</v>
      </c>
      <c r="E23" s="57" t="n">
        <v>3.4</v>
      </c>
      <c r="F23" s="56" t="inlineStr">
        <is>
          <t>Recommended value in both annexes</t>
        </is>
      </c>
    </row>
    <row r="24">
      <c r="B24" s="55" t="inlineStr">
        <is>
          <t>k4  (crack spacing)</t>
        </is>
      </c>
      <c r="C24" s="56" t="inlineStr">
        <is>
          <t>7.3.4(3)</t>
        </is>
      </c>
      <c r="D24" s="57" t="n">
        <v>0.425</v>
      </c>
      <c r="E24" s="57" t="n">
        <v>0.425</v>
      </c>
      <c r="F24" s="56" t="inlineStr">
        <is>
          <t>Recommended value in both annexes</t>
        </is>
      </c>
    </row>
    <row r="25">
      <c r="B25" s="55" t="inlineStr">
        <is>
          <t>k1  (concrete stress, characteristic; XD, XF, XS)</t>
        </is>
      </c>
      <c r="C25" s="56" t="inlineStr">
        <is>
          <t>7.2(2)</t>
        </is>
      </c>
      <c r="D25" s="57" t="n">
        <v>0.6</v>
      </c>
      <c r="E25" s="57" t="n">
        <v>1</v>
      </c>
      <c r="F25" s="56" t="inlineStr">
        <is>
          <t>UK NA: recommended; PL: NA.5, k1 = 1.0</t>
        </is>
      </c>
    </row>
    <row r="26">
      <c r="B26" s="55" t="inlineStr">
        <is>
          <t>k2  (concrete stress, quasi-permanent; linear creep)</t>
        </is>
      </c>
      <c r="C26" s="56" t="inlineStr">
        <is>
          <t>7.2(3)</t>
        </is>
      </c>
      <c r="D26" s="57" t="n">
        <v>0.45</v>
      </c>
      <c r="E26" s="57" t="n">
        <v>0.45</v>
      </c>
      <c r="F26" s="56" t="inlineStr">
        <is>
          <t>Recommended value in both annexes (UK NA; PL NA.9)</t>
        </is>
      </c>
    </row>
    <row r="27">
      <c r="B27" s="55" t="inlineStr">
        <is>
          <t>k3  (steel stress, characteristic)</t>
        </is>
      </c>
      <c r="C27" s="56" t="inlineStr">
        <is>
          <t>7.2(5)</t>
        </is>
      </c>
      <c r="D27" s="57" t="n">
        <v>0.8</v>
      </c>
      <c r="E27" s="57" t="n">
        <v>0.8</v>
      </c>
      <c r="F27" s="56" t="inlineStr">
        <is>
          <t>Recommended value in both annexes (UK NA; PL NA.9)</t>
        </is>
      </c>
    </row>
    <row r="28">
      <c r="B28" s="55" t="inlineStr">
        <is>
          <t>k4  (steel stress, imposed deformation)</t>
        </is>
      </c>
      <c r="C28" s="56" t="inlineStr">
        <is>
          <t>7.2(5)</t>
        </is>
      </c>
      <c r="D28" s="57" t="n">
        <v>1</v>
      </c>
      <c r="E28" s="57" t="n">
        <v>1</v>
      </c>
      <c r="F28" s="56"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&amp;K8A8A8ANAE-RC-040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NAE-RC-040 Element design</dc:title>
  <dc:subject xmlns:dc="http://purl.org/dc/elements/1.1/">Slabs, beams, shear, columns, indirect supports  ·  EN 1992-1-1  ·  UK NA / PN-EN</dc:subject>
  <dcterms:created xmlns:dcterms="http://purl.org/dc/terms/" xmlns:xsi="http://www.w3.org/2001/XMLSchema-instance" xsi:type="dcterms:W3CDTF">2026-10-30T10:58:40Z</dcterms:created>
  <dcterms:modified xmlns:dcterms="http://purl.org/dc/terms/" xmlns:xsi="http://www.w3.org/2001/XMLSchema-instance" xsi:type="dcterms:W3CDTF">2026-10-30T10:58:40Z</dcterms:modified>
  <cp:lastModifiedBy>NA Engineering sp. z o.o.</cp:lastModifiedBy>
  <cp:keywords>NA Engineering; Eurocode 2; EN 1992-1-1</cp:keywords>
</cp:coreProperties>
</file>