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cs_cem">'Calculation'!$E$13</definedName>
    <definedName name="cs_sec">'Calculation'!$E$14</definedName>
    <definedName name="cs_b">'Calculation'!$E$15</definedName>
    <definedName name="cs_h">'Calculation'!$E$16</definedName>
    <definedName name="cs_RH">'Calculation'!$E$17</definedName>
    <definedName name="cs_t0">'Calculation'!$E$20</definedName>
    <definedName name="cs_ts">'Calculation'!$E$21</definedName>
    <definedName name="cs_t">'Calculation'!$E$22</definedName>
    <definedName name="cs_sig">'Calculation'!$E$23</definedName>
    <definedName name="inputs_ok">IFERROR(AND(OR(NA_sel="UK NA (BS EN)",NA_sel="PL NA (PN-EN)"),OR(conc_class="C20/25",conc_class="C25/30",conc_class="C28/35",conc_class="C30/37",conc_class="C32/40",conc_class="C35/45",conc_class="C40/50",conc_class="C45/55",conc_class="C50/60"),OR(cs_cem="Class S  (slow: CEM 32.5 N)",cs_cem="Class N  (normal: CEM 32.5 R and 42.5 N)",cs_cem="Class R  (rapid: CEM 42.5 R and higher)"),OR(cs_sec="Rectangle  (all faces drying)",cs_sec="Slab  (both faces drying)",cs_sec="Slab  (one face drying)"),IF(cs_sec="Rectangle  (all faces drying)",IF(ISNUMBER(cs_b),cs_b&gt;0,FALSE),TRUE),ISNUMBER(cs_h),cs_h&gt;0,ISNUMBER(cs_RH),cs_RH&gt;0,ISNUMBER(cs_t0),cs_t0&gt;0,ISNUMBER(cs_ts),cs_ts&gt;0,ISNUMBER(cs_t),cs_t&gt;0,ISNUMBER(cs_sig),cs_sig&gt;=0,AND(cs_RH&gt;=40,cs_RH&lt;=100,cs_t0&gt;=1,cs_ts&gt;=1,cs_t&gt;cs_t0,cs_t&gt;cs_ts)),FALSE)</definedName>
    <definedName name="input_status">'Calculation'!$G$24</definedName>
    <definedName name="cs_n">IF(cs_cem="Class S  (slow: CEM 32.5 N)",1,IF(cs_cem="Class N  (normal: CEM 32.5 R and 42.5 N)",2,3))</definedName>
    <definedName name="lin_cs">IFERROR(kst_cs&lt;=0.45,FALSE)</definedName>
    <definedName name="lin_status">'Calculation'!$G$30</definedName>
    <definedName name="f_ck">'Calculation'!$E$58</definedName>
    <definedName name="f_ctm">'Calculation'!$E$59</definedName>
    <definedName name="fcm_cs">'Calculation'!$E$60</definedName>
    <definedName name="al1_cs">'Calculation'!$E$61</definedName>
    <definedName name="al2_cs">'Calculation'!$E$62</definedName>
    <definedName name="al3_cs">'Calculation'!$E$63</definedName>
    <definedName name="h0_cs">'Calculation'!$E$64</definedName>
    <definedName name="phiRH_cs">'Calculation'!$E$65</definedName>
    <definedName name="bfcm_cs">'Calculation'!$E$66</definedName>
    <definedName name="t0a_cs">'Calculation'!$E$67</definedName>
    <definedName name="bt0_cs">'Calculation'!$E$68</definedName>
    <definedName name="phi0_cs">'Calculation'!$E$69</definedName>
    <definedName name="bH_cs">'Calculation'!$E$70</definedName>
    <definedName name="bc_cs">'Calculation'!$E$71</definedName>
    <definedName name="philin_cs">'Calculation'!$E$72</definedName>
    <definedName name="bcc_cs">'Calculation'!$E$73</definedName>
    <definedName name="fckt_cs">'Calculation'!$E$74</definedName>
    <definedName name="kst_cs">'Calculation'!$E$75</definedName>
    <definedName name="ks_cs">'Calculation'!$E$76</definedName>
    <definedName name="phi_cs">'Calculation'!$E$77</definedName>
    <definedName name="Ecm_cs">'Calculation'!$E$78</definedName>
    <definedName name="Ece_cs">'Calculation'!$E$79</definedName>
    <definedName name="bRH_cs">'Calculation'!$E$82</definedName>
    <definedName name="ads1_cs">'Calculation'!$E$83</definedName>
    <definedName name="ads2_cs">'Calculation'!$E$84</definedName>
    <definedName name="ecd0_cs">'Calculation'!$E$85</definedName>
    <definedName name="kh_cs">'Calculation'!$E$86</definedName>
    <definedName name="bds_cs">'Calculation'!$E$87</definedName>
    <definedName name="ecd_cs">'Calculation'!$E$88</definedName>
    <definedName name="ecai_cs">'Calculation'!$E$89</definedName>
    <definedName name="bas_cs">'Calculation'!$E$90</definedName>
    <definedName name="eca_cs">'Calculation'!$E$91</definedName>
    <definedName name="ecs_cs">'Calculation'!$E$92</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'Calculation'!$A$1:$H$96</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2" fontId="16" fillId="4" borderId="0" applyAlignment="1" pivotButton="0" quotePrefix="0" xfId="0">
      <alignment horizontal="center" vertical="center"/>
    </xf>
    <xf numFmtId="0" fontId="4" fillId="4" borderId="0" applyAlignment="1" pivotButton="0" quotePrefix="0" xfId="0">
      <alignment vertical="center"/>
    </xf>
    <xf numFmtId="1" fontId="16" fillId="4" borderId="0" applyAlignment="1" pivotButton="0" quotePrefix="0" xfId="0">
      <alignment horizontal="center" vertical="center"/>
    </xf>
    <xf numFmtId="49" fontId="16" fillId="4" borderId="0" applyAlignment="1" pivotButton="0" quotePrefix="0" xfId="0">
      <alignment horizontal="center" vertical="center"/>
    </xf>
    <xf numFmtId="0" fontId="12" fillId="4" borderId="0" applyAlignment="1" pivotButton="0" quotePrefix="0" xfId="0">
      <alignment horizontal="center" vertical="center"/>
    </xf>
    <xf numFmtId="0" fontId="17" fillId="0" borderId="0" pivotButton="0" quotePrefix="0" xfId="0"/>
    <xf numFmtId="1" fontId="5" fillId="0" borderId="1" applyAlignment="1" pivotButton="0" quotePrefix="0" xfId="0">
      <alignment horizontal="center" vertical="center"/>
    </xf>
    <xf numFmtId="2" fontId="5" fillId="0" borderId="1" applyAlignment="1" pivotButton="0" quotePrefix="0" xfId="0">
      <alignment horizontal="center" vertical="center"/>
    </xf>
    <xf numFmtId="166" fontId="5" fillId="0" borderId="1" applyAlignment="1" pivotButton="0" quotePrefix="0" xfId="0">
      <alignment horizontal="center" vertical="center"/>
    </xf>
    <xf numFmtId="165" fontId="5" fillId="0" borderId="1" applyAlignment="1" pivotButton="0" quotePrefix="0" xfId="0">
      <alignment horizontal="center" vertical="center"/>
    </xf>
    <xf numFmtId="166" fontId="12" fillId="0" borderId="1" applyAlignment="1" pivotButton="0" quotePrefix="0" xfId="0">
      <alignment horizontal="center" vertical="center"/>
    </xf>
    <xf numFmtId="167" fontId="5" fillId="0" borderId="1" applyAlignment="1" pivotButton="0" quotePrefix="0" xfId="0">
      <alignment horizontal="center" vertical="center"/>
    </xf>
    <xf numFmtId="167" fontId="12"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shrinkage axis</v>
          </tx>
          <spPr>
            <a:ln xmlns:a="http://schemas.openxmlformats.org/drawingml/2006/main" w="12700">
              <a:solidFill>
                <a:srgbClr val="9A9A9A"/>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creep axis</v>
          </tx>
          <spPr>
            <a:ln xmlns:a="http://schemas.openxmlformats.org/drawingml/2006/main" w="12700">
              <a:solidFill>
                <a:srgbClr val="9A9A9A"/>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creep</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'Geometry'!$J$3:$J$43</f>
            </numRef>
          </xVal>
          <yVal>
            <numRef>
              <f>'Geometry'!$K$3:$K$43</f>
            </numRef>
          </yVal>
          <smooth val="0"/>
        </ser>
        <ser>
          <idx val="4"/>
          <order val="4"/>
          <tx>
            <v>shrinkage</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'Geometry'!$M$3:$M$43</f>
            </numRef>
          </xVal>
          <yVal>
            <numRef>
              <f>'Geometry'!$N$3:$N$43</f>
            </numRef>
          </yVal>
          <smooth val="0"/>
        </ser>
        <ser>
          <idx val="5"/>
          <order val="5"/>
          <tx>
            <v>t0</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'Geometry'!$P$3:$P$4</f>
            </numRef>
          </xVal>
          <yVal>
            <numRef>
              <f>'Geometry'!$Q$3:$Q$4</f>
            </numRef>
          </yVal>
          <smooth val="0"/>
        </ser>
        <ser>
          <idx val="6"/>
          <order val="6"/>
          <tx>
            <v>ts</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'Geometry'!$S$3:$S$4</f>
            </numRef>
          </xVal>
          <yVal>
            <numRef>
              <f>'Geometry'!$T$3:$T$4</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'Geometry'!$V$3</f>
            </numRef>
          </xVal>
          <yVal>
            <numRef>
              <f>'Geometry'!$W$3</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'Geometry'!$Y$3</f>
            </numRef>
          </xVal>
          <yVal>
            <numRef>
              <f>'Geometry'!$Z$3</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r"/>
            <showLegendKey val="0"/>
            <showVal val="0"/>
            <showCatName val="0"/>
            <showSerName val="1"/>
            <showPercent val="0"/>
          </dLbls>
          <xVal>
            <numRef>
              <f>'Geometry'!$AB$3</f>
            </numRef>
          </xVal>
          <yVal>
            <numRef>
              <f>'Geometry'!$AC$3</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'Geometry'!$AE$3</f>
            </numRef>
          </xVal>
          <yVal>
            <numRef>
              <f>'Geometry'!$AF$3</f>
            </numRef>
          </yVal>
          <smooth val="0"/>
        </ser>
        <ser>
          <idx val="11"/>
          <order val="11"/>
          <tx>
            <v>tick 1</v>
          </tx>
          <spPr>
            <a:ln xmlns:a="http://schemas.openxmlformats.org/drawingml/2006/main">
              <a:noFill/>
              <a:prstDash val="solid"/>
            </a:ln>
          </spPr>
          <marker>
            <symbol val="circle"/>
            <size val="4"/>
            <spPr>
              <a:solidFill xmlns:a="http://schemas.openxmlformats.org/drawingml/2006/main">
                <a:srgbClr val="9A9A9A"/>
              </a:solidFill>
              <a:ln xmlns:a="http://schemas.openxmlformats.org/drawingml/2006/main">
                <a:solidFill>
                  <a:srgbClr val="9A9A9A"/>
                </a:solidFill>
                <a:prstDash val="solid"/>
              </a:ln>
            </spPr>
          </marker>
          <xVal>
            <numRef>
              <f>'Geometry'!$AH$3</f>
            </numRef>
          </xVal>
          <yVal>
            <numRef>
              <f>'Geometry'!$AI$3</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'Geometry'!$AK$3</f>
            </numRef>
          </xVal>
          <yVal>
            <numRef>
              <f>'Geometry'!$AL$3</f>
            </numRef>
          </yVal>
          <smooth val="0"/>
        </ser>
        <ser>
          <idx val="13"/>
          <order val="13"/>
          <tx>
            <v>tick 10</v>
          </tx>
          <spPr>
            <a:ln xmlns:a="http://schemas.openxmlformats.org/drawingml/2006/main">
              <a:noFill/>
              <a:prstDash val="solid"/>
            </a:ln>
          </spPr>
          <marker>
            <symbol val="circle"/>
            <size val="4"/>
            <spPr>
              <a:solidFill xmlns:a="http://schemas.openxmlformats.org/drawingml/2006/main">
                <a:srgbClr val="9A9A9A"/>
              </a:solidFill>
              <a:ln xmlns:a="http://schemas.openxmlformats.org/drawingml/2006/main">
                <a:solidFill>
                  <a:srgbClr val="9A9A9A"/>
                </a:solidFill>
                <a:prstDash val="solid"/>
              </a:ln>
            </spPr>
          </marker>
          <xVal>
            <numRef>
              <f>'Geometry'!$AN$3</f>
            </numRef>
          </xVal>
          <yVal>
            <numRef>
              <f>'Geometry'!$AO$3</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'Geometry'!$AQ$3</f>
            </numRef>
          </xVal>
          <yVal>
            <numRef>
              <f>'Geometry'!$AR$3</f>
            </numRef>
          </yVal>
          <smooth val="0"/>
        </ser>
        <ser>
          <idx val="15"/>
          <order val="15"/>
          <tx>
            <v>tick 100</v>
          </tx>
          <spPr>
            <a:ln xmlns:a="http://schemas.openxmlformats.org/drawingml/2006/main">
              <a:noFill/>
              <a:prstDash val="solid"/>
            </a:ln>
          </spPr>
          <marker>
            <symbol val="circle"/>
            <size val="4"/>
            <spPr>
              <a:solidFill xmlns:a="http://schemas.openxmlformats.org/drawingml/2006/main">
                <a:srgbClr val="9A9A9A"/>
              </a:solidFill>
              <a:ln xmlns:a="http://schemas.openxmlformats.org/drawingml/2006/main">
                <a:solidFill>
                  <a:srgbClr val="9A9A9A"/>
                </a:solidFill>
                <a:prstDash val="solid"/>
              </a:ln>
            </spPr>
          </marker>
          <xVal>
            <numRef>
              <f>'Geometry'!$AT$3</f>
            </numRef>
          </xVal>
          <yVal>
            <numRef>
              <f>'Geometry'!$AU$3</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'Geometry'!$AW$3</f>
            </numRef>
          </xVal>
          <yVal>
            <numRef>
              <f>'Geometry'!$AX$3</f>
            </numRef>
          </yVal>
          <smooth val="0"/>
        </ser>
        <ser>
          <idx val="17"/>
          <order val="17"/>
          <tx>
            <v>tick 1000</v>
          </tx>
          <spPr>
            <a:ln xmlns:a="http://schemas.openxmlformats.org/drawingml/2006/main">
              <a:noFill/>
              <a:prstDash val="solid"/>
            </a:ln>
          </spPr>
          <marker>
            <symbol val="circle"/>
            <size val="4"/>
            <spPr>
              <a:solidFill xmlns:a="http://schemas.openxmlformats.org/drawingml/2006/main">
                <a:srgbClr val="9A9A9A"/>
              </a:solidFill>
              <a:ln xmlns:a="http://schemas.openxmlformats.org/drawingml/2006/main">
                <a:solidFill>
                  <a:srgbClr val="9A9A9A"/>
                </a:solidFill>
                <a:prstDash val="solid"/>
              </a:ln>
            </spPr>
          </marker>
          <xVal>
            <numRef>
              <f>'Geometry'!$AZ$3</f>
            </numRef>
          </xVal>
          <yVal>
            <numRef>
              <f>'Geometry'!$BA$3</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'Geometry'!$BC$3</f>
            </numRef>
          </xVal>
          <yVal>
            <numRef>
              <f>'Geometry'!$BD$3</f>
            </numRef>
          </yVal>
          <smooth val="0"/>
        </ser>
        <ser>
          <idx val="19"/>
          <order val="19"/>
          <tx>
            <v>tick 10000</v>
          </tx>
          <spPr>
            <a:ln xmlns:a="http://schemas.openxmlformats.org/drawingml/2006/main">
              <a:noFill/>
              <a:prstDash val="solid"/>
            </a:ln>
          </spPr>
          <marker>
            <symbol val="circle"/>
            <size val="4"/>
            <spPr>
              <a:solidFill xmlns:a="http://schemas.openxmlformats.org/drawingml/2006/main">
                <a:srgbClr val="9A9A9A"/>
              </a:solidFill>
              <a:ln xmlns:a="http://schemas.openxmlformats.org/drawingml/2006/main">
                <a:solidFill>
                  <a:srgbClr val="9A9A9A"/>
                </a:solidFill>
                <a:prstDash val="solid"/>
              </a:ln>
            </spPr>
          </marker>
          <xVal>
            <numRef>
              <f>'Geometry'!$BF$3</f>
            </numRef>
          </xVal>
          <yVal>
            <numRef>
              <f>'Geometry'!$BG$3</f>
            </numRef>
          </yVal>
          <smooth val="0"/>
        </ser>
        <ser>
          <idx val="20"/>
          <order val="20"/>
          <tx>
            <strRef>
              <f>'Geometry'!$BI$2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'Geometry'!$BI$3</f>
            </numRef>
          </xVal>
          <yVal>
            <numRef>
              <f>'Geometry'!$BJ$3</f>
            </numRef>
          </yVal>
          <smooth val="0"/>
        </ser>
        <ser>
          <idx val="21"/>
          <order val="21"/>
          <tx>
            <v>frame</v>
          </tx>
          <spPr>
            <a:ln xmlns:a="http://schemas.openxmlformats.org/drawingml/2006/main">
              <a:noFill/>
              <a:prstDash val="solid"/>
            </a:ln>
          </spPr>
          <marker>
            <symbol val="none"/>
            <spPr>
              <a:ln xmlns:a="http://schemas.openxmlformats.org/drawingml/2006/main">
                <a:prstDash val="solid"/>
              </a:ln>
            </spPr>
          </marker>
          <xVal>
            <numRef>
              <f>'Geometry'!$BL$3:$BL$4</f>
            </numRef>
          </xVal>
          <yVal>
            <numRef>
              <f>'Geometry'!$BM$3:$BM$4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34</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Creep and shrinkage</t>
        </is>
      </c>
    </row>
    <row r="8" ht="20" customHeight="1">
      <c r="B8" s="4" t="inlineStr">
        <is>
          <t>Creep coefficient and shrinkage strain  ·  EN 1992-1-1 §3.1.4, Annex B  ·  UK NA / PN-EN</t>
        </is>
      </c>
    </row>
    <row r="10">
      <c r="B10" s="5" t="inlineStr">
        <is>
          <t>Reference</t>
        </is>
      </c>
      <c r="C10" s="6" t="inlineStr">
        <is>
          <t>NAE-RC-039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Creep coefficient φ(t, t0) and the total shrinkage strain εcs(t) (drying and autogenous) of a concrete member at any age, from the cement class, the relative humidity, the notional size and the ages at loading and at the end of curing; the inputs of a deflection or restraint calculation (RC-033, RC-022).</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63.5" customHeight="1">
      <c r="B22" s="7" t="inlineStr">
        <is>
          <t>Creep by Annex B.1: φ(t, t0) = φ0 βc(t, t0) (B.1), φ0 = φRH β(fcm) β(t0) (B.2 – B.5), βc = [(t − t0) / (βH + t − t0)]^0.3 (B.7), βH (B.8), α1, α2, α3 (B.8c), the cement class by adjusting t0 (B.9, not less than 0.5 day); temperatures other than 20 °C (B.10) are not covered. Creep linear while the stress at loading σc ≤ 0.45 fck(t0) (3.1.4(4)); above that the non-linear coefficient φ exp(1.5 (kσ − 0.45)) (3.7) is used, kσ = σc / fck(t0), fck(t0) = fcm(t0) − 8 with fcm(t0) = βcc(t0) fcm (3.1.2(5), (3.1), (3.2)) for t0 &lt; 28 days. φ goes with the tangent modulus Ec = 1.05 Ecm (Annex B). Shrinkage by 3.1.4(6): εcs = εcd + εca (3.8), εcd(t) = βds(t, ts) kh εcd,0 (3.9, 3.10, Table 3.3, linear between its values), εcd,0 by (B.11, B.12), εca(t) = βas(t) εca(∞) (3.11 – 3.13). Notional size h0 = 2 Ac / u (B.6): rectangle b h / (b + h), slab drying on both faces h, on one face 2 h. RH 40 – 100 %. Annex B is informative: the UK NA lets it be used, the PL NA keeps the recommended method (NA.9). The predicted creep has a coefficient of variation of about 20 % (B.1). Concrete classes up to C50/60.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Deflection calculations (creep and shrinkage).
•  The Concrete Centre, Concise Eurocode 2, 3 (materials).
•  CIRIA C766, Control of cracking caused by restrained deformation in concrete (shrinkage).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&amp;K8A8A8ANAE-RC-039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95"/>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Creep and shrinkage</t>
        </is>
      </c>
      <c r="H2" s="1" t="n"/>
    </row>
    <row r="3" ht="16" customHeight="1">
      <c r="A3" s="1" t="n"/>
      <c r="B3" s="1" t="n"/>
      <c r="C3" s="15" t="inlineStr">
        <is>
          <t>NAE-RC-039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concrete and member</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3.1.2(6)</t>
        </is>
      </c>
      <c r="C13" s="24" t="inlineStr">
        <is>
          <t>Cement class</t>
        </is>
      </c>
      <c r="D13" s="23" t="n"/>
      <c r="E13" s="25" t="inlineStr">
        <is>
          <t>Class N  (normal: CEM 32.5 R and 42.5 N)</t>
        </is>
      </c>
      <c r="F13" s="23" t="n"/>
      <c r="G13" s="23" t="n"/>
    </row>
    <row r="14" ht="17" customHeight="1">
      <c r="B14" s="26" t="inlineStr">
        <is>
          <t>(B.6)</t>
        </is>
      </c>
      <c r="C14" s="24" t="inlineStr">
        <is>
          <t>Section</t>
        </is>
      </c>
      <c r="D14" s="23" t="n"/>
      <c r="E14" s="25" t="inlineStr">
        <is>
          <t>Slab  (both faces drying)</t>
        </is>
      </c>
      <c r="F14" s="23" t="n"/>
      <c r="G14" s="23" t="n"/>
    </row>
    <row r="15" ht="17" customHeight="1">
      <c r="B15" s="23" t="n"/>
      <c r="C15" s="24" t="inlineStr">
        <is>
          <t>Rectangle: width b</t>
        </is>
      </c>
      <c r="D15" s="27" t="inlineStr">
        <is>
          <r>
            <rPr>
              <rFont val="Calibri"/>
              <i val="1"/>
              <color rgb="002B2B2B"/>
              <sz val="10"/>
            </rPr>
            <t>b</t>
          </r>
        </is>
      </c>
      <c r="E15" s="25" t="n">
        <v>300</v>
      </c>
      <c r="F15" s="28" t="inlineStr">
        <is>
          <t>mm</t>
        </is>
      </c>
      <c r="G15" s="23" t="n"/>
    </row>
    <row r="16" ht="17" customHeight="1">
      <c r="B16" s="23" t="n"/>
      <c r="C16" s="24" t="inlineStr">
        <is>
          <t>Depth  (slab: thickness)</t>
        </is>
      </c>
      <c r="D16" s="27" t="inlineStr">
        <is>
          <r>
            <rPr>
              <rFont val="Calibri"/>
              <i val="1"/>
              <color rgb="002B2B2B"/>
              <sz val="10"/>
            </rPr>
            <t>h</t>
          </r>
        </is>
      </c>
      <c r="E16" s="25" t="n">
        <v>250</v>
      </c>
      <c r="F16" s="28" t="inlineStr">
        <is>
          <t>mm</t>
        </is>
      </c>
      <c r="G16" s="23" t="n"/>
    </row>
    <row r="17" ht="17" customHeight="1">
      <c r="B17" s="23" t="n"/>
      <c r="C17" s="24" t="inlineStr">
        <is>
          <t>Relative humidity of the surroundings  (40 – 100)</t>
        </is>
      </c>
      <c r="D17" s="27" t="inlineStr">
        <is>
          <r>
            <rPr>
              <rFont val="Calibri"/>
              <i val="1"/>
              <color rgb="002B2B2B"/>
              <sz val="10"/>
            </rPr>
            <t>RH</t>
          </r>
        </is>
      </c>
      <c r="E17" s="25" t="n">
        <v>50</v>
      </c>
      <c r="F17" s="28" t="inlineStr">
        <is>
          <t>%</t>
        </is>
      </c>
      <c r="G17" s="26" t="inlineStr">
        <is>
          <t>Inside 50, outside 80</t>
        </is>
      </c>
    </row>
    <row r="19" ht="22" customHeight="1">
      <c r="B19" s="20" t="inlineStr">
        <is>
          <t>Inputs  ·  ages</t>
        </is>
      </c>
      <c r="C19" s="21" t="n"/>
      <c r="D19" s="21" t="n"/>
      <c r="E19" s="21" t="n"/>
      <c r="F19" s="21" t="n"/>
      <c r="G19" s="22" t="inlineStr">
        <is>
          <t>Days</t>
        </is>
      </c>
    </row>
    <row r="20" ht="17" customHeight="1">
      <c r="B20" s="23" t="n"/>
      <c r="C20" s="24" t="inlineStr">
        <is>
          <t>Age at loading</t>
        </is>
      </c>
      <c r="D20" s="27" t="inlineStr">
        <is>
          <r>
            <rPr>
              <rFont val="Calibri"/>
              <i val="1"/>
              <color rgb="002B2B2B"/>
              <sz val="10"/>
            </rPr>
            <t>t</t>
          </r>
          <r>
            <rPr>
              <rFont val="Calibri"/>
              <i val="1"/>
              <color rgb="002B2B2B"/>
              <sz val="10"/>
              <vertAlign val="subscript"/>
            </rPr>
            <t>0</t>
          </r>
        </is>
      </c>
      <c r="E20" s="29" t="n">
        <v>28</v>
      </c>
      <c r="F20" s="28" t="inlineStr">
        <is>
          <t>days</t>
        </is>
      </c>
      <c r="G20" s="23" t="n"/>
    </row>
    <row r="21" ht="17" customHeight="1">
      <c r="B21" s="23" t="n"/>
      <c r="C21" s="24" t="inlineStr">
        <is>
          <t>Age at the end of curing  (drying starts)</t>
        </is>
      </c>
      <c r="D21" s="27" t="inlineStr">
        <is>
          <r>
            <rPr>
              <rFont val="Calibri"/>
              <i val="1"/>
              <color rgb="002B2B2B"/>
              <sz val="10"/>
            </rPr>
            <t>t</t>
          </r>
          <r>
            <rPr>
              <rFont val="Calibri"/>
              <i val="1"/>
              <color rgb="002B2B2B"/>
              <sz val="10"/>
              <vertAlign val="subscript"/>
            </rPr>
            <t>s</t>
          </r>
        </is>
      </c>
      <c r="E21" s="29" t="n">
        <v>7</v>
      </c>
      <c r="F21" s="28" t="inlineStr">
        <is>
          <t>days</t>
        </is>
      </c>
      <c r="G21" s="23" t="n"/>
    </row>
    <row r="22" ht="17" customHeight="1">
      <c r="B22" s="23" t="n"/>
      <c r="C22" s="24" t="inlineStr">
        <is>
          <t>Age considered  (70 years = 25 550 days)</t>
        </is>
      </c>
      <c r="D22" s="27" t="inlineStr">
        <is>
          <r>
            <rPr>
              <rFont val="Calibri"/>
              <i val="1"/>
              <color rgb="002B2B2B"/>
              <sz val="10"/>
            </rPr>
            <t>t</t>
          </r>
        </is>
      </c>
      <c r="E22" s="30" t="n">
        <v>25550</v>
      </c>
      <c r="F22" s="28" t="inlineStr">
        <is>
          <t>days</t>
        </is>
      </c>
      <c r="G22" s="23" t="n"/>
    </row>
    <row r="23" ht="17" customHeight="1">
      <c r="B23" s="26" t="inlineStr">
        <is>
          <t>3.1.4(4)</t>
        </is>
      </c>
      <c r="C23" s="24" t="inlineStr">
        <is>
          <t>Compressive stress at loading  (0 = not checked)</t>
        </is>
      </c>
      <c r="D23" s="27" t="inlineStr">
        <is>
          <r>
            <rPr>
              <rFont val="Calibri"/>
              <i val="1"/>
              <color rgb="002B2B2B"/>
              <sz val="10"/>
            </rPr>
            <t>σ</t>
          </r>
          <r>
            <rPr>
              <rFont val="Calibri"/>
              <i val="1"/>
              <color rgb="002B2B2B"/>
              <sz val="10"/>
              <vertAlign val="subscript"/>
            </rPr>
            <t>c</t>
          </r>
        </is>
      </c>
      <c r="E23" s="29" t="n">
        <v>0</v>
      </c>
      <c r="F23" s="28" t="inlineStr">
        <is>
          <t>MPa</t>
        </is>
      </c>
      <c r="G23" s="23" t="n"/>
    </row>
    <row r="24" ht="17" customHeight="1">
      <c r="B24" s="23" t="n"/>
      <c r="C24" s="24" t="inlineStr">
        <is>
          <t>Inputs valid and consistent</t>
        </is>
      </c>
      <c r="D24" s="23" t="n"/>
      <c r="E24" s="9" t="n"/>
      <c r="F24" s="23" t="n"/>
      <c r="G24" s="31">
        <f>IF(inputs_ok,"OK","FAIL")</f>
        <v/>
      </c>
    </row>
    <row r="26" ht="22" customHeight="1">
      <c r="B26" s="20" t="inlineStr">
        <is>
          <t>Results</t>
        </is>
      </c>
      <c r="C26" s="21" t="n"/>
      <c r="D26" s="21" t="n"/>
      <c r="E26" s="21" t="n"/>
      <c r="F26" s="21" t="n"/>
      <c r="G26" s="21" t="n"/>
    </row>
    <row r="27" ht="26" customHeight="1">
      <c r="B27" s="32" t="n"/>
      <c r="C27" s="33" t="inlineStr">
        <is>
          <t>Creep coefficient  (B.1)</t>
        </is>
      </c>
      <c r="D27" s="34" t="inlineStr">
        <is>
          <r>
            <rPr>
              <rFont val="Calibri"/>
              <i val="1"/>
              <color rgb="002B2B2B"/>
              <sz val="11"/>
            </rPr>
            <t>φ(t, t</t>
          </r>
          <r>
            <rPr>
              <rFont val="Calibri"/>
              <i val="1"/>
              <color rgb="002B2B2B"/>
              <sz val="11"/>
              <vertAlign val="subscript"/>
            </rPr>
            <t>0)</t>
          </r>
        </is>
      </c>
      <c r="E27" s="35">
        <f>IF(inputs_ok,phi_cs,"–")</f>
        <v/>
      </c>
      <c r="F27" s="36" t="inlineStr"/>
      <c r="G27" s="32" t="n"/>
    </row>
    <row r="28" ht="26" customHeight="1">
      <c r="B28" s="32" t="n"/>
      <c r="C28" s="33" t="inlineStr">
        <is>
          <t>Total shrinkage strain  εcd + εca  (3.8)</t>
        </is>
      </c>
      <c r="D28" s="34" t="inlineStr">
        <is>
          <r>
            <rPr>
              <rFont val="Calibri"/>
              <i val="1"/>
              <color rgb="002B2B2B"/>
              <sz val="11"/>
            </rPr>
            <t>ε</t>
          </r>
          <r>
            <rPr>
              <rFont val="Calibri"/>
              <i val="1"/>
              <color rgb="002B2B2B"/>
              <sz val="11"/>
              <vertAlign val="subscript"/>
            </rPr>
            <t>cs</t>
          </r>
        </is>
      </c>
      <c r="E28" s="37">
        <f>IF(inputs_ok,ecs_cs*1E6,"–")</f>
        <v/>
      </c>
      <c r="F28" s="36" t="inlineStr">
        <is>
          <t>× 10⁻⁶</t>
        </is>
      </c>
      <c r="G28" s="32" t="n"/>
    </row>
    <row r="29" ht="26" customHeight="1">
      <c r="B29" s="32" t="n"/>
      <c r="C29" s="33" t="inlineStr">
        <is>
          <t>Drying  /  autogenous</t>
        </is>
      </c>
      <c r="D29" s="34" t="inlineStr">
        <is>
          <r>
            <rPr>
              <rFont val="Calibri"/>
              <i val="1"/>
              <color rgb="002B2B2B"/>
              <sz val="11"/>
            </rPr>
            <t>ε</t>
          </r>
          <r>
            <rPr>
              <rFont val="Calibri"/>
              <i val="1"/>
              <color rgb="002B2B2B"/>
              <sz val="11"/>
              <vertAlign val="subscript"/>
            </rPr>
            <t>cd / ε_ca</t>
          </r>
        </is>
      </c>
      <c r="E29" s="38">
        <f>IF(inputs_ok,TEXT(ecd_cs*1E6,"0")&amp;"  /  "&amp;TEXT(eca_cs*1E6,"0"),"–")</f>
        <v/>
      </c>
      <c r="F29" s="36" t="inlineStr">
        <is>
          <t>× 10⁻⁶</t>
        </is>
      </c>
      <c r="G29" s="32" t="n"/>
    </row>
    <row r="30" ht="26" customHeight="1">
      <c r="B30" s="32" t="n"/>
      <c r="C30" s="33" t="inlineStr">
        <is>
          <t>Stress at loading  σc / fck(t0)  (3.1.4(4))</t>
        </is>
      </c>
      <c r="D30" s="34" t="inlineStr">
        <is>
          <r>
            <rPr>
              <rFont val="Calibri"/>
              <i val="1"/>
              <color rgb="002B2B2B"/>
              <sz val="11"/>
            </rPr>
            <t>k</t>
          </r>
          <r>
            <rPr>
              <rFont val="Calibri"/>
              <i val="1"/>
              <color rgb="002B2B2B"/>
              <sz val="11"/>
              <vertAlign val="subscript"/>
            </rPr>
            <t>σ</t>
          </r>
        </is>
      </c>
      <c r="E30" s="35">
        <f>IF(inputs_ok,kst_cs,"–")</f>
        <v/>
      </c>
      <c r="F30" s="36" t="inlineStr"/>
      <c r="G30" s="39">
        <f>IF(NOT(inputs_ok),"FAIL",IF(cs_sig=0,"not checked",IF(lin_cs,"linear","non-linear (3.7)")))</f>
        <v/>
      </c>
    </row>
    <row r="31" ht="26" customHeight="1">
      <c r="B31" s="32" t="n"/>
      <c r="C31" s="33" t="inlineStr">
        <is>
          <t>Notional size  2 Ac / u</t>
        </is>
      </c>
      <c r="D31" s="34" t="inlineStr">
        <is>
          <r>
            <rPr>
              <rFont val="Calibri"/>
              <i val="1"/>
              <color rgb="002B2B2B"/>
              <sz val="11"/>
            </rPr>
            <t>h</t>
          </r>
          <r>
            <rPr>
              <rFont val="Calibri"/>
              <i val="1"/>
              <color rgb="002B2B2B"/>
              <sz val="11"/>
              <vertAlign val="subscript"/>
            </rPr>
            <t>0</t>
          </r>
        </is>
      </c>
      <c r="E31" s="37">
        <f>IF(inputs_ok,h0_cs,"–")</f>
        <v/>
      </c>
      <c r="F31" s="36" t="inlineStr">
        <is>
          <t>mm</t>
        </is>
      </c>
      <c r="G31" s="32" t="n"/>
    </row>
    <row r="32" ht="26" customHeight="1">
      <c r="B32" s="32" t="n"/>
      <c r="C32" s="33" t="inlineStr">
        <is>
          <t>Effective modulus  Ecm / (1 + φ)  (7.20)</t>
        </is>
      </c>
      <c r="D32" s="34" t="inlineStr">
        <is>
          <r>
            <rPr>
              <rFont val="Calibri"/>
              <i val="1"/>
              <color rgb="002B2B2B"/>
              <sz val="11"/>
            </rPr>
            <t>E</t>
          </r>
          <r>
            <rPr>
              <rFont val="Calibri"/>
              <i val="1"/>
              <color rgb="002B2B2B"/>
              <sz val="11"/>
              <vertAlign val="subscript"/>
            </rPr>
            <t>c,eff</t>
          </r>
        </is>
      </c>
      <c r="E32" s="37">
        <f>IF(inputs_ok,Ece_cs,"–")</f>
        <v/>
      </c>
      <c r="F32" s="36" t="inlineStr">
        <is>
          <t>MPa</t>
        </is>
      </c>
      <c r="G32" s="32" t="n"/>
    </row>
    <row r="33"/>
    <row r="34">
      <c r="B34" s="40" t="inlineStr">
        <is>
          <t>Development with time  (log scale, days)  ·  creep φ(t, t0) from loading at t0, shrinkage εcs from casting (drying from ts)</t>
        </is>
      </c>
    </row>
    <row r="35"/>
    <row r="36"/>
    <row r="37"/>
    <row r="38"/>
    <row r="39"/>
    <row r="40"/>
    <row r="41"/>
    <row r="42"/>
    <row r="43"/>
    <row r="44"/>
    <row r="45"/>
    <row r="46"/>
    <row r="47"/>
    <row r="48"/>
    <row r="49"/>
    <row r="50"/>
    <row r="51"/>
    <row r="52"/>
    <row r="53"/>
    <row r="54"/>
    <row r="55"/>
    <row r="56"/>
    <row r="57" ht="22" customHeight="1">
      <c r="B57" s="20" t="inlineStr">
        <is>
          <t>Calculation  ·  creep, Annex B.1</t>
        </is>
      </c>
      <c r="C57" s="21" t="n"/>
      <c r="D57" s="21" t="n"/>
      <c r="E57" s="21" t="n"/>
      <c r="F57" s="21" t="n"/>
      <c r="G57" s="21" t="n"/>
    </row>
    <row r="58" ht="17" customHeight="1">
      <c r="B58" s="26" t="inlineStr">
        <is>
          <t>Table 3.1</t>
        </is>
      </c>
      <c r="C58" s="24" t="inlineStr">
        <is>
          <t>Characteristic cylinder strength</t>
        </is>
      </c>
      <c r="D58" s="27" t="inlineStr">
        <is>
          <r>
            <rPr>
              <rFont val="Calibri"/>
              <i val="1"/>
              <color rgb="002B2B2B"/>
              <sz val="10"/>
            </rPr>
            <t>f</t>
          </r>
          <r>
            <rPr>
              <rFont val="Calibri"/>
              <i val="1"/>
              <color rgb="002B2B2B"/>
              <sz val="10"/>
              <vertAlign val="subscript"/>
            </rPr>
            <t>ck</t>
          </r>
        </is>
      </c>
      <c r="E58" s="41">
        <f>IF(inputs_ok,VALUE(MID(conc_class,2,FIND("/",conc_class)-2)),NA())</f>
        <v/>
      </c>
      <c r="F58" s="28" t="inlineStr">
        <is>
          <t>MPa</t>
        </is>
      </c>
      <c r="G58" s="23" t="n"/>
    </row>
    <row r="59" ht="17" customHeight="1">
      <c r="B59" s="26" t="inlineStr">
        <is>
          <t>Table 3.1</t>
        </is>
      </c>
      <c r="C59" s="24" t="inlineStr">
        <is>
          <t>Mean tensile strength</t>
        </is>
      </c>
      <c r="D59" s="27" t="inlineStr">
        <is>
          <r>
            <rPr>
              <rFont val="Calibri"/>
              <i val="1"/>
              <color rgb="002B2B2B"/>
              <sz val="10"/>
            </rPr>
            <t>f</t>
          </r>
          <r>
            <rPr>
              <rFont val="Calibri"/>
              <i val="1"/>
              <color rgb="002B2B2B"/>
              <sz val="10"/>
              <vertAlign val="subscript"/>
            </rPr>
            <t>ctm</t>
          </r>
        </is>
      </c>
      <c r="E59" s="42">
        <f>IF(inputs_ok,IF(f_ck&lt;=50,0.3*f_ck^(2/3),2.12*LN(1+(f_ck+8)/10)),NA())</f>
        <v/>
      </c>
      <c r="F59" s="28" t="inlineStr">
        <is>
          <t>MPa</t>
        </is>
      </c>
      <c r="G59" s="23" t="n"/>
    </row>
    <row r="60" ht="17" customHeight="1">
      <c r="B60" s="26" t="inlineStr">
        <is>
          <t>3.1.2</t>
        </is>
      </c>
      <c r="C60" s="24" t="inlineStr">
        <is>
          <t>Mean strength  fck + 8</t>
        </is>
      </c>
      <c r="D60" s="27" t="inlineStr">
        <is>
          <r>
            <rPr>
              <rFont val="Calibri"/>
              <i val="1"/>
              <color rgb="002B2B2B"/>
              <sz val="10"/>
            </rPr>
            <t>f</t>
          </r>
          <r>
            <rPr>
              <rFont val="Calibri"/>
              <i val="1"/>
              <color rgb="002B2B2B"/>
              <sz val="10"/>
              <vertAlign val="subscript"/>
            </rPr>
            <t>cm</t>
          </r>
        </is>
      </c>
      <c r="E60" s="41">
        <f>IF(inputs_ok,f_ck+8,NA())</f>
        <v/>
      </c>
      <c r="F60" s="28" t="inlineStr">
        <is>
          <t>MPa</t>
        </is>
      </c>
      <c r="G60" s="23" t="n"/>
    </row>
    <row r="61" ht="17" customHeight="1">
      <c r="B61" s="26" t="inlineStr">
        <is>
          <t>(B.8c)</t>
        </is>
      </c>
      <c r="C61" s="24" t="inlineStr">
        <is>
          <t>α1 = (35 / fcm)^0.7</t>
        </is>
      </c>
      <c r="D61" s="27" t="inlineStr">
        <is>
          <r>
            <rPr>
              <rFont val="Calibri"/>
              <i val="1"/>
              <color rgb="002B2B2B"/>
              <sz val="10"/>
            </rPr>
            <t>α</t>
          </r>
          <r>
            <rPr>
              <rFont val="Calibri"/>
              <i val="1"/>
              <color rgb="002B2B2B"/>
              <sz val="10"/>
              <vertAlign val="subscript"/>
            </rPr>
            <t>1</t>
          </r>
        </is>
      </c>
      <c r="E61" s="43">
        <f>IF(inputs_ok,(35/fcm_cs)^0.7,NA())</f>
        <v/>
      </c>
      <c r="F61" s="23" t="n"/>
      <c r="G61" s="23" t="n"/>
    </row>
    <row r="62" ht="17" customHeight="1">
      <c r="B62" s="26" t="inlineStr">
        <is>
          <t>(B.8c)</t>
        </is>
      </c>
      <c r="C62" s="24" t="inlineStr">
        <is>
          <t>α2 = (35 / fcm)^0.2</t>
        </is>
      </c>
      <c r="D62" s="27" t="inlineStr">
        <is>
          <r>
            <rPr>
              <rFont val="Calibri"/>
              <i val="1"/>
              <color rgb="002B2B2B"/>
              <sz val="10"/>
            </rPr>
            <t>α</t>
          </r>
          <r>
            <rPr>
              <rFont val="Calibri"/>
              <i val="1"/>
              <color rgb="002B2B2B"/>
              <sz val="10"/>
              <vertAlign val="subscript"/>
            </rPr>
            <t>2</t>
          </r>
        </is>
      </c>
      <c r="E62" s="43">
        <f>IF(inputs_ok,(35/fcm_cs)^0.2,NA())</f>
        <v/>
      </c>
      <c r="F62" s="23" t="n"/>
      <c r="G62" s="23" t="n"/>
    </row>
    <row r="63" ht="17" customHeight="1">
      <c r="B63" s="26" t="inlineStr">
        <is>
          <t>(B.8c)</t>
        </is>
      </c>
      <c r="C63" s="24" t="inlineStr">
        <is>
          <t>α3 = (35 / fcm)^0.5</t>
        </is>
      </c>
      <c r="D63" s="27" t="inlineStr">
        <is>
          <r>
            <rPr>
              <rFont val="Calibri"/>
              <i val="1"/>
              <color rgb="002B2B2B"/>
              <sz val="10"/>
            </rPr>
            <t>α</t>
          </r>
          <r>
            <rPr>
              <rFont val="Calibri"/>
              <i val="1"/>
              <color rgb="002B2B2B"/>
              <sz val="10"/>
              <vertAlign val="subscript"/>
            </rPr>
            <t>3</t>
          </r>
        </is>
      </c>
      <c r="E63" s="43">
        <f>IF(inputs_ok,(35/fcm_cs)^0.5,NA())</f>
        <v/>
      </c>
      <c r="F63" s="23" t="n"/>
      <c r="G63" s="23" t="n"/>
    </row>
    <row r="64" ht="17" customHeight="1">
      <c r="B64" s="26" t="inlineStr">
        <is>
          <t>(B.6)</t>
        </is>
      </c>
      <c r="C64" s="24" t="inlineStr">
        <is>
          <t>Notional size  2 Ac / u</t>
        </is>
      </c>
      <c r="D64" s="27" t="inlineStr">
        <is>
          <r>
            <rPr>
              <rFont val="Calibri"/>
              <i val="1"/>
              <color rgb="002B2B2B"/>
              <sz val="10"/>
            </rPr>
            <t>h</t>
          </r>
          <r>
            <rPr>
              <rFont val="Calibri"/>
              <i val="1"/>
              <color rgb="002B2B2B"/>
              <sz val="10"/>
              <vertAlign val="subscript"/>
            </rPr>
            <t>0</t>
          </r>
        </is>
      </c>
      <c r="E64" s="44">
        <f>IF(inputs_ok,IF(cs_sec="Rectangle  (all faces drying)",cs_b*cs_h/(cs_b+cs_h),IF(cs_sec="Slab  (both faces drying)",cs_h,2*cs_h)),NA())</f>
        <v/>
      </c>
      <c r="F64" s="28" t="inlineStr">
        <is>
          <t>mm</t>
        </is>
      </c>
      <c r="G64" s="23" t="n"/>
    </row>
    <row r="65" ht="17" customHeight="1">
      <c r="B65" s="26" t="inlineStr">
        <is>
          <t>(B.3)</t>
        </is>
      </c>
      <c r="C65" s="24" t="inlineStr">
        <is>
          <t>φRH  (fcm &gt; 35 MPa: with α1, α2)</t>
        </is>
      </c>
      <c r="D65" s="27" t="inlineStr">
        <is>
          <r>
            <rPr>
              <rFont val="Calibri"/>
              <i val="1"/>
              <color rgb="002B2B2B"/>
              <sz val="10"/>
            </rPr>
            <t>φ</t>
          </r>
          <r>
            <rPr>
              <rFont val="Calibri"/>
              <i val="1"/>
              <color rgb="002B2B2B"/>
              <sz val="10"/>
              <vertAlign val="subscript"/>
            </rPr>
            <t>RH</t>
          </r>
        </is>
      </c>
      <c r="E65" s="43">
        <f>IF(inputs_ok,IF(fcm_cs&lt;=35,1+(1-cs_RH/100)/(0.1*h0_cs^(1/3)),(1+(1-cs_RH/100)/(0.1*h0_cs^(1/3))*al1_cs)*al2_cs),NA())</f>
        <v/>
      </c>
      <c r="F65" s="23" t="n"/>
      <c r="G65" s="23" t="n"/>
    </row>
    <row r="66" ht="17" customHeight="1">
      <c r="B66" s="26" t="inlineStr">
        <is>
          <t>(B.4)</t>
        </is>
      </c>
      <c r="C66" s="24" t="inlineStr">
        <is>
          <t>β(fcm) = 16.8 / √fcm</t>
        </is>
      </c>
      <c r="D66" s="27" t="inlineStr">
        <is>
          <r>
            <rPr>
              <rFont val="Calibri"/>
              <i val="1"/>
              <color rgb="002B2B2B"/>
              <sz val="10"/>
            </rPr>
            <t>β(f</t>
          </r>
          <r>
            <rPr>
              <rFont val="Calibri"/>
              <i val="1"/>
              <color rgb="002B2B2B"/>
              <sz val="10"/>
              <vertAlign val="subscript"/>
            </rPr>
            <t>cm)</t>
          </r>
        </is>
      </c>
      <c r="E66" s="43">
        <f>IF(inputs_ok,16.8/SQRT(fcm_cs),NA())</f>
        <v/>
      </c>
      <c r="F66" s="23" t="n"/>
      <c r="G66" s="23" t="n"/>
    </row>
    <row r="67" ht="17" customHeight="1">
      <c r="B67" s="26" t="inlineStr">
        <is>
          <t>(B.9)</t>
        </is>
      </c>
      <c r="C67" s="24" t="inlineStr">
        <is>
          <t>t0 for the cement  t0 (9 / (2 + t0^1.2) + 1)^α ≥ 0.5,  α = −1, 0, 1</t>
        </is>
      </c>
      <c r="D67" s="27" t="inlineStr">
        <is>
          <r>
            <rPr>
              <rFont val="Calibri"/>
              <i val="1"/>
              <color rgb="002B2B2B"/>
              <sz val="10"/>
            </rPr>
            <t>t</t>
          </r>
          <r>
            <rPr>
              <rFont val="Calibri"/>
              <i val="1"/>
              <color rgb="002B2B2B"/>
              <sz val="10"/>
              <vertAlign val="subscript"/>
            </rPr>
            <t>0,adj</t>
          </r>
        </is>
      </c>
      <c r="E67" s="42">
        <f>IF(inputs_ok,MAX(0.5,cs_t0*(9/(2+cs_t0^1.2)+1)^(cs_n-2)),NA())</f>
        <v/>
      </c>
      <c r="F67" s="28" t="inlineStr">
        <is>
          <t>days</t>
        </is>
      </c>
      <c r="G67" s="23" t="n"/>
    </row>
    <row r="68" ht="17" customHeight="1">
      <c r="B68" s="26" t="inlineStr">
        <is>
          <t>(B.5)</t>
        </is>
      </c>
      <c r="C68" s="24" t="inlineStr">
        <is>
          <t>β(t0) = 1 / (0.1 + t0^0.20)</t>
        </is>
      </c>
      <c r="D68" s="27" t="inlineStr">
        <is>
          <r>
            <rPr>
              <rFont val="Calibri"/>
              <i val="1"/>
              <color rgb="002B2B2B"/>
              <sz val="10"/>
            </rPr>
            <t>β(t</t>
          </r>
          <r>
            <rPr>
              <rFont val="Calibri"/>
              <i val="1"/>
              <color rgb="002B2B2B"/>
              <sz val="10"/>
              <vertAlign val="subscript"/>
            </rPr>
            <t>0)</t>
          </r>
        </is>
      </c>
      <c r="E68" s="43">
        <f>IF(inputs_ok,1/(0.1+t0a_cs^0.2),NA())</f>
        <v/>
      </c>
      <c r="F68" s="23" t="n"/>
      <c r="G68" s="23" t="n"/>
    </row>
    <row r="69" ht="17" customHeight="1">
      <c r="B69" s="26" t="inlineStr">
        <is>
          <t>(B.2)</t>
        </is>
      </c>
      <c r="C69" s="24" t="inlineStr">
        <is>
          <t>Notional creep coefficient  φRH β(fcm) β(t0)</t>
        </is>
      </c>
      <c r="D69" s="27" t="inlineStr">
        <is>
          <r>
            <rPr>
              <rFont val="Calibri"/>
              <i val="1"/>
              <color rgb="002B2B2B"/>
              <sz val="10"/>
            </rPr>
            <t>φ</t>
          </r>
          <r>
            <rPr>
              <rFont val="Calibri"/>
              <i val="1"/>
              <color rgb="002B2B2B"/>
              <sz val="10"/>
              <vertAlign val="subscript"/>
            </rPr>
            <t>0</t>
          </r>
        </is>
      </c>
      <c r="E69" s="43">
        <f>IF(inputs_ok,phiRH_cs*bfcm_cs*bt0_cs,NA())</f>
        <v/>
      </c>
      <c r="F69" s="23" t="n"/>
      <c r="G69" s="23" t="n"/>
    </row>
    <row r="70" ht="17" customHeight="1">
      <c r="B70" s="26" t="inlineStr">
        <is>
          <t>(B.8)</t>
        </is>
      </c>
      <c r="C70" s="24" t="inlineStr">
        <is>
          <t>βH = 1.5 [1 + (0.012 RH)^18] h0 + 250 α3 ≤ 1500 α3  (α3 = 1 if fcm ≤ 35)</t>
        </is>
      </c>
      <c r="D70" s="27" t="inlineStr">
        <is>
          <r>
            <rPr>
              <rFont val="Calibri"/>
              <i val="1"/>
              <color rgb="002B2B2B"/>
              <sz val="10"/>
            </rPr>
            <t>β</t>
          </r>
          <r>
            <rPr>
              <rFont val="Calibri"/>
              <i val="1"/>
              <color rgb="002B2B2B"/>
              <sz val="10"/>
              <vertAlign val="subscript"/>
            </rPr>
            <t>H</t>
          </r>
        </is>
      </c>
      <c r="E70" s="41">
        <f>IF(inputs_ok,MIN(1.5*(1+(0.012*cs_RH)^18)*h0_cs+250*IF(fcm_cs&lt;=35,1,al3_cs),1500*IF(fcm_cs&lt;=35,1,al3_cs)),NA())</f>
        <v/>
      </c>
      <c r="F70" s="23" t="n"/>
      <c r="G70" s="23" t="n"/>
    </row>
    <row r="71" ht="17" customHeight="1">
      <c r="B71" s="26" t="inlineStr">
        <is>
          <t>(B.7)</t>
        </is>
      </c>
      <c r="C71" s="24" t="inlineStr">
        <is>
          <t>βc = [(t − t0) / (βH + t − t0)]^0.3</t>
        </is>
      </c>
      <c r="D71" s="27" t="inlineStr">
        <is>
          <r>
            <rPr>
              <rFont val="Calibri"/>
              <i val="1"/>
              <color rgb="002B2B2B"/>
              <sz val="10"/>
            </rPr>
            <t>β</t>
          </r>
          <r>
            <rPr>
              <rFont val="Calibri"/>
              <i val="1"/>
              <color rgb="002B2B2B"/>
              <sz val="10"/>
              <vertAlign val="subscript"/>
            </rPr>
            <t>c(t, t_0)</t>
          </r>
        </is>
      </c>
      <c r="E71" s="43">
        <f>IF(inputs_ok,((cs_t-cs_t0)/(bH_cs+cs_t-cs_t0))^0.3,NA())</f>
        <v/>
      </c>
      <c r="F71" s="23" t="n"/>
      <c r="G71" s="23" t="n"/>
    </row>
    <row r="72" ht="17" customHeight="1">
      <c r="B72" s="26" t="inlineStr">
        <is>
          <t>(B.1)</t>
        </is>
      </c>
      <c r="C72" s="24" t="inlineStr">
        <is>
          <t>Linear creep coefficient  φ0 βc</t>
        </is>
      </c>
      <c r="D72" s="27" t="inlineStr">
        <is>
          <r>
            <rPr>
              <rFont val="Calibri"/>
              <i val="1"/>
              <color rgb="002B2B2B"/>
              <sz val="10"/>
            </rPr>
            <t>φ</t>
          </r>
          <r>
            <rPr>
              <rFont val="Calibri"/>
              <i val="1"/>
              <color rgb="002B2B2B"/>
              <sz val="10"/>
              <vertAlign val="subscript"/>
            </rPr>
            <t>lin</t>
          </r>
        </is>
      </c>
      <c r="E72" s="43">
        <f>IF(inputs_ok,phi0_cs*bc_cs,NA())</f>
        <v/>
      </c>
      <c r="F72" s="23" t="n"/>
      <c r="G72" s="23" t="n"/>
    </row>
    <row r="73" ht="17" customHeight="1">
      <c r="B73" s="26" t="inlineStr">
        <is>
          <t>(3.2)</t>
        </is>
      </c>
      <c r="C73" s="24" t="inlineStr">
        <is>
          <t>βcc(t0) = exp(s (1 − √(28 / t0))),  s = 0.38, 0.25, 0.20</t>
        </is>
      </c>
      <c r="D73" s="27" t="inlineStr">
        <is>
          <r>
            <rPr>
              <rFont val="Calibri"/>
              <i val="1"/>
              <color rgb="002B2B2B"/>
              <sz val="10"/>
            </rPr>
            <t>β</t>
          </r>
          <r>
            <rPr>
              <rFont val="Calibri"/>
              <i val="1"/>
              <color rgb="002B2B2B"/>
              <sz val="10"/>
              <vertAlign val="subscript"/>
            </rPr>
            <t>cc(t_0)</t>
          </r>
        </is>
      </c>
      <c r="E73" s="43">
        <f>IF(inputs_ok,EXP(CHOOSE(cs_n,0.38,0.25,0.2)*(1-SQRT(28/cs_t0))),NA())</f>
        <v/>
      </c>
      <c r="F73" s="23" t="n"/>
      <c r="G73" s="23" t="n"/>
    </row>
    <row r="74" ht="17" customHeight="1">
      <c r="B74" s="26" t="inlineStr">
        <is>
          <t>3.1.2(5)</t>
        </is>
      </c>
      <c r="C74" s="24" t="inlineStr">
        <is>
          <t>fck(t0)  (fcm(t0) − 8 before 28 days, fck after)</t>
        </is>
      </c>
      <c r="D74" s="27" t="inlineStr">
        <is>
          <r>
            <rPr>
              <rFont val="Calibri"/>
              <i val="1"/>
              <color rgb="002B2B2B"/>
              <sz val="10"/>
            </rPr>
            <t>f</t>
          </r>
          <r>
            <rPr>
              <rFont val="Calibri"/>
              <i val="1"/>
              <color rgb="002B2B2B"/>
              <sz val="10"/>
              <vertAlign val="subscript"/>
            </rPr>
            <t>ck(t_0)</t>
          </r>
        </is>
      </c>
      <c r="E74" s="44">
        <f>IF(inputs_ok,IF(cs_t0&gt;=28,f_ck,bcc_cs*fcm_cs-8),NA())</f>
        <v/>
      </c>
      <c r="F74" s="28" t="inlineStr">
        <is>
          <t>MPa</t>
        </is>
      </c>
      <c r="G74" s="23" t="n"/>
    </row>
    <row r="75" ht="17" customHeight="1">
      <c r="B75" s="26" t="inlineStr">
        <is>
          <t>3.1.4(4)</t>
        </is>
      </c>
      <c r="C75" s="24" t="inlineStr">
        <is>
          <t>kσ = σc / fck(t0)</t>
        </is>
      </c>
      <c r="D75" s="27" t="inlineStr">
        <is>
          <r>
            <rPr>
              <rFont val="Calibri"/>
              <i val="1"/>
              <color rgb="002B2B2B"/>
              <sz val="10"/>
            </rPr>
            <t>k</t>
          </r>
          <r>
            <rPr>
              <rFont val="Calibri"/>
              <i val="1"/>
              <color rgb="002B2B2B"/>
              <sz val="10"/>
              <vertAlign val="subscript"/>
            </rPr>
            <t>σ</t>
          </r>
        </is>
      </c>
      <c r="E75" s="43">
        <f>IF(inputs_ok,cs_sig/fckt_cs,NA())</f>
        <v/>
      </c>
      <c r="F75" s="23" t="n"/>
      <c r="G75" s="23" t="n"/>
    </row>
    <row r="76" ht="17" customHeight="1">
      <c r="B76" s="26" t="inlineStr">
        <is>
          <t>(3.7)</t>
        </is>
      </c>
      <c r="C76" s="24" t="inlineStr">
        <is>
          <t>Non-linear factor  exp(1.5 (kσ − 0.45)) above 0.45</t>
        </is>
      </c>
      <c r="D76" s="23" t="n"/>
      <c r="E76" s="43">
        <f>IF(inputs_ok,IF(kst_cs&lt;=0.45,1,EXP(1.5*(kst_cs-0.45))),NA())</f>
        <v/>
      </c>
      <c r="F76" s="23" t="n"/>
      <c r="G76" s="23" t="n"/>
    </row>
    <row r="77" ht="17" customHeight="1">
      <c r="B77" s="26" t="inlineStr">
        <is>
          <t>(B.1), (3.7)</t>
        </is>
      </c>
      <c r="C77" s="24" t="inlineStr">
        <is>
          <t>Creep coefficient</t>
        </is>
      </c>
      <c r="D77" s="27" t="inlineStr">
        <is>
          <r>
            <rPr>
              <rFont val="Calibri"/>
              <i val="1"/>
              <color rgb="002B2B2B"/>
              <sz val="10"/>
            </rPr>
            <t>φ(t, t</t>
          </r>
          <r>
            <rPr>
              <rFont val="Calibri"/>
              <i val="1"/>
              <color rgb="002B2B2B"/>
              <sz val="10"/>
              <vertAlign val="subscript"/>
            </rPr>
            <t>0)</t>
          </r>
        </is>
      </c>
      <c r="E77" s="45">
        <f>IF(inputs_ok,philin_cs*ks_cs,NA())</f>
        <v/>
      </c>
      <c r="F77" s="23" t="n"/>
      <c r="G77" s="23" t="n"/>
    </row>
    <row r="78" ht="17" customHeight="1">
      <c r="B78" s="26" t="inlineStr">
        <is>
          <t>Table 3.1</t>
        </is>
      </c>
      <c r="C78" s="24" t="inlineStr">
        <is>
          <t>Mean modulus  22 (fcm / 10)^0.3</t>
        </is>
      </c>
      <c r="D78" s="27" t="inlineStr">
        <is>
          <r>
            <rPr>
              <rFont val="Calibri"/>
              <i val="1"/>
              <color rgb="002B2B2B"/>
              <sz val="10"/>
            </rPr>
            <t>E</t>
          </r>
          <r>
            <rPr>
              <rFont val="Calibri"/>
              <i val="1"/>
              <color rgb="002B2B2B"/>
              <sz val="10"/>
              <vertAlign val="subscript"/>
            </rPr>
            <t>cm</t>
          </r>
        </is>
      </c>
      <c r="E78" s="41">
        <f>IF(inputs_ok,22000*(fcm_cs/10)^0.3,NA())</f>
        <v/>
      </c>
      <c r="F78" s="28" t="inlineStr">
        <is>
          <t>MPa</t>
        </is>
      </c>
      <c r="G78" s="23" t="n"/>
    </row>
    <row r="79" ht="17" customHeight="1">
      <c r="B79" s="26" t="inlineStr">
        <is>
          <t>(7.20)</t>
        </is>
      </c>
      <c r="C79" s="24" t="inlineStr">
        <is>
          <t>Effective modulus  Ecm / (1 + φ)</t>
        </is>
      </c>
      <c r="D79" s="27" t="inlineStr">
        <is>
          <r>
            <rPr>
              <rFont val="Calibri"/>
              <i val="1"/>
              <color rgb="002B2B2B"/>
              <sz val="10"/>
            </rPr>
            <t>E</t>
          </r>
          <r>
            <rPr>
              <rFont val="Calibri"/>
              <i val="1"/>
              <color rgb="002B2B2B"/>
              <sz val="10"/>
              <vertAlign val="subscript"/>
            </rPr>
            <t>c,eff</t>
          </r>
        </is>
      </c>
      <c r="E79" s="41">
        <f>IF(inputs_ok,Ecm_cs/(1+phi_cs),NA())</f>
        <v/>
      </c>
      <c r="F79" s="28" t="inlineStr">
        <is>
          <t>MPa</t>
        </is>
      </c>
      <c r="G79" s="23" t="n"/>
    </row>
    <row r="80"/>
    <row r="81" ht="22" customHeight="1">
      <c r="B81" s="20" t="inlineStr">
        <is>
          <t>Calculation  ·  shrinkage, 3.1.4(6) and Annex B.2</t>
        </is>
      </c>
      <c r="C81" s="21" t="n"/>
      <c r="D81" s="21" t="n"/>
      <c r="E81" s="21" t="n"/>
      <c r="F81" s="21" t="n"/>
      <c r="G81" s="21" t="n"/>
    </row>
    <row r="82" ht="17" customHeight="1">
      <c r="B82" s="26" t="inlineStr">
        <is>
          <t>(B.12)</t>
        </is>
      </c>
      <c r="C82" s="24" t="inlineStr">
        <is>
          <t>βRH = 1.55 [1 − (RH / 100)³]</t>
        </is>
      </c>
      <c r="D82" s="27" t="inlineStr">
        <is>
          <r>
            <rPr>
              <rFont val="Calibri"/>
              <i val="1"/>
              <color rgb="002B2B2B"/>
              <sz val="10"/>
            </rPr>
            <t>β</t>
          </r>
          <r>
            <rPr>
              <rFont val="Calibri"/>
              <i val="1"/>
              <color rgb="002B2B2B"/>
              <sz val="10"/>
              <vertAlign val="subscript"/>
            </rPr>
            <t>RH</t>
          </r>
        </is>
      </c>
      <c r="E82" s="43">
        <f>IF(inputs_ok,1.55*(1-(cs_RH/100)^3),NA())</f>
        <v/>
      </c>
      <c r="F82" s="23" t="n"/>
      <c r="G82" s="23" t="n"/>
    </row>
    <row r="83" ht="17" customHeight="1">
      <c r="B83" s="26" t="inlineStr">
        <is>
          <t>(B.11)</t>
        </is>
      </c>
      <c r="C83" s="24" t="inlineStr">
        <is>
          <t>αds1, αds2  (S: 3, 0.13;  N: 4, 0.12;  R: 6, 0.11)</t>
        </is>
      </c>
      <c r="D83" s="27" t="inlineStr">
        <is>
          <r>
            <rPr>
              <rFont val="Calibri"/>
              <i val="1"/>
              <color rgb="002B2B2B"/>
              <sz val="10"/>
            </rPr>
            <t>α</t>
          </r>
          <r>
            <rPr>
              <rFont val="Calibri"/>
              <i val="1"/>
              <color rgb="002B2B2B"/>
              <sz val="10"/>
              <vertAlign val="subscript"/>
            </rPr>
            <t>ds1</t>
          </r>
        </is>
      </c>
      <c r="E83" s="41">
        <f>IF(inputs_ok,CHOOSE(cs_n,3,4,6),NA())</f>
        <v/>
      </c>
      <c r="F83" s="23" t="n"/>
      <c r="G83" s="23" t="n"/>
    </row>
    <row r="84" ht="17" customHeight="1">
      <c r="B84" s="26" t="inlineStr">
        <is>
          <t>(B.11)</t>
        </is>
      </c>
      <c r="C84" s="24" t="inlineStr"/>
      <c r="D84" s="27" t="inlineStr">
        <is>
          <r>
            <rPr>
              <rFont val="Calibri"/>
              <i val="1"/>
              <color rgb="002B2B2B"/>
              <sz val="10"/>
            </rPr>
            <t>α</t>
          </r>
          <r>
            <rPr>
              <rFont val="Calibri"/>
              <i val="1"/>
              <color rgb="002B2B2B"/>
              <sz val="10"/>
              <vertAlign val="subscript"/>
            </rPr>
            <t>ds2</t>
          </r>
        </is>
      </c>
      <c r="E84" s="42">
        <f>IF(inputs_ok,CHOOSE(cs_n,0.13,0.12,0.11),NA())</f>
        <v/>
      </c>
      <c r="F84" s="23" t="n"/>
      <c r="G84" s="23" t="n"/>
    </row>
    <row r="85" ht="17" customHeight="1">
      <c r="B85" s="26" t="inlineStr">
        <is>
          <t>(B.11)</t>
        </is>
      </c>
      <c r="C85" s="24" t="inlineStr">
        <is>
          <t>Basic drying shrinkage  0.85 (220 + 110 αds1) exp(−αds2 fcm / 10) 10⁻⁶ βRH</t>
        </is>
      </c>
      <c r="D85" s="27" t="inlineStr">
        <is>
          <r>
            <rPr>
              <rFont val="Calibri"/>
              <i val="1"/>
              <color rgb="002B2B2B"/>
              <sz val="10"/>
            </rPr>
            <t>ε</t>
          </r>
          <r>
            <rPr>
              <rFont val="Calibri"/>
              <i val="1"/>
              <color rgb="002B2B2B"/>
              <sz val="10"/>
              <vertAlign val="subscript"/>
            </rPr>
            <t>cd,0</t>
          </r>
        </is>
      </c>
      <c r="E85" s="46">
        <f>IF(inputs_ok,0.85*(220+110*ads1_cs)*EXP(-ads2_cs*fcm_cs/10)*1E-6*bRH_cs,NA())</f>
        <v/>
      </c>
      <c r="F85" s="23" t="n"/>
      <c r="G85" s="23" t="n"/>
    </row>
    <row r="86" ht="17" customHeight="1">
      <c r="B86" s="26" t="inlineStr">
        <is>
          <t>Table 3.3</t>
        </is>
      </c>
      <c r="C86" s="24" t="inlineStr">
        <is>
          <t>kh  (1.0, 0.85, 0.75, 0.70 at h0 = 100, 200, 300, ≥ 500)</t>
        </is>
      </c>
      <c r="D86" s="27" t="inlineStr">
        <is>
          <r>
            <rPr>
              <rFont val="Calibri"/>
              <i val="1"/>
              <color rgb="002B2B2B"/>
              <sz val="10"/>
            </rPr>
            <t>k</t>
          </r>
          <r>
            <rPr>
              <rFont val="Calibri"/>
              <i val="1"/>
              <color rgb="002B2B2B"/>
              <sz val="10"/>
              <vertAlign val="subscript"/>
            </rPr>
            <t>h</t>
          </r>
        </is>
      </c>
      <c r="E86" s="43">
        <f>IF(inputs_ok,IF(h0_cs&lt;=100,1,IF(h0_cs&lt;=200,1-0.15*(h0_cs-100)/100,IF(h0_cs&lt;=300,0.85-0.1*(h0_cs-200)/100,IF(h0_cs&lt;=500,0.75-0.05*(h0_cs-300)/200,0.7)))),NA())</f>
        <v/>
      </c>
      <c r="F86" s="23" t="n"/>
      <c r="G86" s="23" t="n"/>
    </row>
    <row r="87" ht="17" customHeight="1">
      <c r="B87" s="26" t="inlineStr">
        <is>
          <t>(3.10)</t>
        </is>
      </c>
      <c r="C87" s="24" t="inlineStr">
        <is>
          <t>βds = (t − ts) / ((t − ts) + 0.04 √h0³)</t>
        </is>
      </c>
      <c r="D87" s="27" t="inlineStr">
        <is>
          <r>
            <rPr>
              <rFont val="Calibri"/>
              <i val="1"/>
              <color rgb="002B2B2B"/>
              <sz val="10"/>
            </rPr>
            <t>β</t>
          </r>
          <r>
            <rPr>
              <rFont val="Calibri"/>
              <i val="1"/>
              <color rgb="002B2B2B"/>
              <sz val="10"/>
              <vertAlign val="subscript"/>
            </rPr>
            <t>ds(t, t_s)</t>
          </r>
        </is>
      </c>
      <c r="E87" s="43">
        <f>IF(inputs_ok,(cs_t-cs_ts)/((cs_t-cs_ts)+0.04*SQRT(h0_cs^3)),NA())</f>
        <v/>
      </c>
      <c r="F87" s="23" t="n"/>
      <c r="G87" s="23" t="n"/>
    </row>
    <row r="88" ht="17" customHeight="1">
      <c r="B88" s="26" t="inlineStr">
        <is>
          <t>(3.9)</t>
        </is>
      </c>
      <c r="C88" s="24" t="inlineStr">
        <is>
          <t>Drying shrinkage  βds kh εcd,0</t>
        </is>
      </c>
      <c r="D88" s="27" t="inlineStr">
        <is>
          <r>
            <rPr>
              <rFont val="Calibri"/>
              <i val="1"/>
              <color rgb="002B2B2B"/>
              <sz val="10"/>
            </rPr>
            <t>ε</t>
          </r>
          <r>
            <rPr>
              <rFont val="Calibri"/>
              <i val="1"/>
              <color rgb="002B2B2B"/>
              <sz val="10"/>
              <vertAlign val="subscript"/>
            </rPr>
            <t>cd(t)</t>
          </r>
        </is>
      </c>
      <c r="E88" s="46">
        <f>IF(inputs_ok,bds_cs*kh_cs*ecd0_cs,NA())</f>
        <v/>
      </c>
      <c r="F88" s="23" t="n"/>
      <c r="G88" s="23" t="n"/>
    </row>
    <row r="89" ht="17" customHeight="1">
      <c r="B89" s="26" t="inlineStr">
        <is>
          <t>(3.12)</t>
        </is>
      </c>
      <c r="C89" s="24" t="inlineStr">
        <is>
          <t>εca(∞) = 2.5 (fck − 10) 10⁻⁶</t>
        </is>
      </c>
      <c r="D89" s="27" t="inlineStr">
        <is>
          <r>
            <rPr>
              <rFont val="Calibri"/>
              <i val="1"/>
              <color rgb="002B2B2B"/>
              <sz val="10"/>
            </rPr>
            <t>ε</t>
          </r>
          <r>
            <rPr>
              <rFont val="Calibri"/>
              <i val="1"/>
              <color rgb="002B2B2B"/>
              <sz val="10"/>
              <vertAlign val="subscript"/>
            </rPr>
            <t>ca(∞)</t>
          </r>
        </is>
      </c>
      <c r="E89" s="46">
        <f>IF(inputs_ok,2.5*(f_ck-10)*1E-6,NA())</f>
        <v/>
      </c>
      <c r="F89" s="23" t="n"/>
      <c r="G89" s="23" t="n"/>
    </row>
    <row r="90" ht="17" customHeight="1">
      <c r="B90" s="26" t="inlineStr">
        <is>
          <t>(3.13)</t>
        </is>
      </c>
      <c r="C90" s="24" t="inlineStr">
        <is>
          <t>βas = 1 − exp(−0.2 t^0.5)</t>
        </is>
      </c>
      <c r="D90" s="27" t="inlineStr">
        <is>
          <r>
            <rPr>
              <rFont val="Calibri"/>
              <i val="1"/>
              <color rgb="002B2B2B"/>
              <sz val="10"/>
            </rPr>
            <t>β</t>
          </r>
          <r>
            <rPr>
              <rFont val="Calibri"/>
              <i val="1"/>
              <color rgb="002B2B2B"/>
              <sz val="10"/>
              <vertAlign val="subscript"/>
            </rPr>
            <t>as(t)</t>
          </r>
        </is>
      </c>
      <c r="E90" s="43">
        <f>IF(inputs_ok,1-EXP(-0.2*cs_t^0.5),NA())</f>
        <v/>
      </c>
      <c r="F90" s="23" t="n"/>
      <c r="G90" s="23" t="n"/>
    </row>
    <row r="91" ht="17" customHeight="1">
      <c r="B91" s="26" t="inlineStr">
        <is>
          <t>(3.11)</t>
        </is>
      </c>
      <c r="C91" s="24" t="inlineStr">
        <is>
          <t>Autogenous shrinkage  βas εca(∞)</t>
        </is>
      </c>
      <c r="D91" s="27" t="inlineStr">
        <is>
          <r>
            <rPr>
              <rFont val="Calibri"/>
              <i val="1"/>
              <color rgb="002B2B2B"/>
              <sz val="10"/>
            </rPr>
            <t>ε</t>
          </r>
          <r>
            <rPr>
              <rFont val="Calibri"/>
              <i val="1"/>
              <color rgb="002B2B2B"/>
              <sz val="10"/>
              <vertAlign val="subscript"/>
            </rPr>
            <t>ca(t)</t>
          </r>
        </is>
      </c>
      <c r="E91" s="46">
        <f>IF(inputs_ok,bas_cs*ecai_cs,NA())</f>
        <v/>
      </c>
      <c r="F91" s="23" t="n"/>
      <c r="G91" s="23" t="n"/>
    </row>
    <row r="92" ht="17" customHeight="1">
      <c r="B92" s="26" t="inlineStr">
        <is>
          <t>(3.8)</t>
        </is>
      </c>
      <c r="C92" s="24" t="inlineStr">
        <is>
          <t>Total shrinkage strain  εcd + εca</t>
        </is>
      </c>
      <c r="D92" s="27" t="inlineStr">
        <is>
          <r>
            <rPr>
              <rFont val="Calibri"/>
              <i val="1"/>
              <color rgb="002B2B2B"/>
              <sz val="10"/>
            </rPr>
            <t>ε</t>
          </r>
          <r>
            <rPr>
              <rFont val="Calibri"/>
              <i val="1"/>
              <color rgb="002B2B2B"/>
              <sz val="10"/>
              <vertAlign val="subscript"/>
            </rPr>
            <t>cs(t)</t>
          </r>
        </is>
      </c>
      <c r="E92" s="47">
        <f>IF(inputs_ok,ecd_cs+eca_cs,NA())</f>
        <v/>
      </c>
      <c r="F92" s="23" t="n"/>
      <c r="G92" s="23" t="n"/>
    </row>
    <row r="93" ht="29" customHeight="1">
      <c r="B93" s="48" t="inlineStr">
        <is>
          <t>The strains are positive numbers (shortening). For a deflection calculation (RC-033) enter φ and εcs at the age considered; for early-age cracking (RC-022) the autogenous part at the age of interest.</t>
        </is>
      </c>
    </row>
    <row r="94"/>
    <row r="95" ht="29" customHeight="1">
      <c r="B95"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95:G95"/>
    <mergeCell ref="E5:G5"/>
    <mergeCell ref="B93:G93"/>
    <mergeCell ref="D2:G2"/>
    <mergeCell ref="E7:G7"/>
    <mergeCell ref="E6:G6"/>
    <mergeCell ref="C3:G3"/>
  </mergeCells>
  <conditionalFormatting sqref="G9:G96">
    <cfRule type="expression" priority="1" dxfId="0">
      <formula>G9="OK"</formula>
    </cfRule>
    <cfRule type="expression" priority="2" dxfId="1">
      <formula>G9="FAIL"</formula>
    </cfRule>
    <cfRule type="expression" priority="3" dxfId="2">
      <formula>LEFT(G9,1)="!"</formula>
    </cfRule>
  </conditionalFormatting>
  <dataValidations count="11">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"Class S  (slow: CEM 32.5 N),Class N  (normal: CEM 32.5 R and 42.5 N),Class R  (rapid: CEM 42.5 R and higher)"</formula1>
    </dataValidation>
    <dataValidation sqref="E14" showDropDown="0" showInputMessage="0" showErrorMessage="1" allowBlank="0" errorTitle="NA Engineering" error="Pick a value from the list." type="list" errorStyle="stop">
      <formula1>"Rectangle  (all faces drying),Slab  (both faces drying),Slab  (one face drying)"</formula1>
    </dataValidation>
    <dataValidation sqref="E15" showDropDown="0" showInputMessage="0" showErrorMessage="1" allowBlank="1" errorTitle="NA Engineering" error="Enter a number greater than 0." type="custom" errorStyle="stop">
      <formula1>IF(cs_sec="Rectangle  (all faces drying)",AND(ISNUMBER(E15),E15&gt;0),TRUE)</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&amp;K8A8A8ANAE-RC-039  v1.0</oddFooter>
    <evenHeader/>
    <evenFooter/>
    <firstHeader/>
    <firstFooter/>
  </headerFooter>
  <rowBreaks count="1" manualBreakCount="1">
    <brk id="25"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M43"/>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shrinkage axis</t>
        </is>
      </c>
      <c r="G2" t="inlineStr">
        <is>
          <t>creep axis</t>
        </is>
      </c>
      <c r="J2" t="inlineStr">
        <is>
          <t>creep</t>
        </is>
      </c>
      <c r="M2" t="inlineStr">
        <is>
          <t>shrinkage</t>
        </is>
      </c>
      <c r="P2" t="inlineStr">
        <is>
          <t>t0</t>
        </is>
      </c>
      <c r="S2" t="inlineStr">
        <is>
          <t>ts</t>
        </is>
      </c>
      <c r="V2">
        <f>IF(inputs_ok,"t0 "&amp;cs_t0&amp;" d","")</f>
        <v/>
      </c>
      <c r="Y2">
        <f>IF(inputs_ok,"ts "&amp;cs_ts&amp;" d","")</f>
        <v/>
      </c>
      <c r="AB2">
        <f>IF(inputs_ok,"φ "&amp;TEXT(phi_cs,"0.00"),"")</f>
        <v/>
      </c>
      <c r="AE2">
        <f>IF(inputs_ok,"εcs "&amp;TEXT(ecs_cs*1E6,"0")&amp;" × 10⁻⁶","")</f>
        <v/>
      </c>
      <c r="AH2" t="inlineStr">
        <is>
          <t>tick 1</t>
        </is>
      </c>
      <c r="AK2">
        <f>IF(inputs_ok,IF(1&lt;=cs_t,"1 d",""),"")</f>
        <v/>
      </c>
      <c r="AN2" t="inlineStr">
        <is>
          <t>tick 10</t>
        </is>
      </c>
      <c r="AQ2">
        <f>IF(inputs_ok,IF(10&lt;=cs_t,"10 d",""),"")</f>
        <v/>
      </c>
      <c r="AT2" t="inlineStr">
        <is>
          <t>tick 100</t>
        </is>
      </c>
      <c r="AW2">
        <f>IF(inputs_ok,IF(100&lt;=cs_t,"100 d",""),"")</f>
        <v/>
      </c>
      <c r="AZ2" t="inlineStr">
        <is>
          <t>tick 1000</t>
        </is>
      </c>
      <c r="BC2">
        <f>IF(inputs_ok,IF(1000&lt;=cs_t,"1 000 d",""),"")</f>
        <v/>
      </c>
      <c r="BF2" t="inlineStr">
        <is>
          <t>tick 10000</t>
        </is>
      </c>
      <c r="BI2">
        <f>IF(inputs_ok,IF(10000&lt;=cs_t,"10 000 d",""),"")</f>
        <v/>
      </c>
      <c r="BL2" t="inlineStr">
        <is>
          <t>frame</t>
        </is>
      </c>
    </row>
    <row r="3">
      <c r="A3">
        <f>0</f>
        <v/>
      </c>
      <c r="B3">
        <f>0</f>
        <v/>
      </c>
      <c r="D3">
        <f>IF(inputs_ok,0,NA())</f>
        <v/>
      </c>
      <c r="E3">
        <f>0</f>
        <v/>
      </c>
      <c r="G3">
        <f>IF(inputs_ok,0,NA())</f>
        <v/>
      </c>
      <c r="H3">
        <f>1.4</f>
        <v/>
      </c>
      <c r="J3">
        <f>IF(inputs_ok,1.6*LOG10((cs_t0*(cs_t/cs_t0)^(0/40)))/LOG10(cs_t),NA())</f>
        <v/>
      </c>
      <c r="K3">
        <f>1.4+phi0_cs*ks_cs*((((cs_t0*(cs_t/cs_t0)^(0/40)))-cs_t0)/(bH_cs+((cs_t0*(cs_t/cs_t0)^(0/40)))-cs_t0))^0.3/phi_cs</f>
        <v/>
      </c>
      <c r="M3">
        <f>IF(inputs_ok,1.6*LOG10((cs_t^(0/40)))/LOG10(cs_t),NA())</f>
        <v/>
      </c>
      <c r="N3">
        <f>(MAX(0,(cs_t^(0/40))-cs_ts)/(MAX(0,(cs_t^(0/40))-cs_ts)+0.04*SQRT(h0_cs^3))*kh_cs*ecd0_cs+(1-EXP(-0.2*((cs_t^(0/40)))^0.5))*ecai_cs)/ecs_cs</f>
        <v/>
      </c>
      <c r="P3">
        <f>IF(inputs_ok,1.6*LOG10(cs_t0)/LOG10(cs_t),NA())</f>
        <v/>
      </c>
      <c r="Q3">
        <f>1.4</f>
        <v/>
      </c>
      <c r="S3">
        <f>IF(inputs_ok,1.6*LOG10(cs_ts)/LOG10(cs_t),NA())</f>
        <v/>
      </c>
      <c r="T3">
        <f>0</f>
        <v/>
      </c>
      <c r="V3">
        <f>IF(inputs_ok,1.6*LOG10(cs_t0)/LOG10(cs_t),NA())</f>
        <v/>
      </c>
      <c r="W3">
        <f>1.4+1</f>
        <v/>
      </c>
      <c r="Y3">
        <f>IF(inputs_ok,1.6*LOG10(cs_ts)/LOG10(cs_t),NA())</f>
        <v/>
      </c>
      <c r="Z3">
        <f>1</f>
        <v/>
      </c>
      <c r="AB3">
        <f>IF(inputs_ok,1.6,NA())</f>
        <v/>
      </c>
      <c r="AC3">
        <f>1.4+1</f>
        <v/>
      </c>
      <c r="AE3">
        <f>IF(inputs_ok,1.6,NA())</f>
        <v/>
      </c>
      <c r="AF3">
        <f>1</f>
        <v/>
      </c>
      <c r="AH3">
        <f>IF(inputs_ok,IF(1&lt;=cs_t,1.6*LOG10(1)/LOG10(cs_t),NA()),NA())</f>
        <v/>
      </c>
      <c r="AI3">
        <f>IF(1&lt;=cs_t,0,NA())</f>
        <v/>
      </c>
      <c r="AK3">
        <f>IF(inputs_ok,1.6*LOG10(1)/LOG10(cs_t),NA())</f>
        <v/>
      </c>
      <c r="AL3">
        <f>0</f>
        <v/>
      </c>
      <c r="AN3">
        <f>IF(inputs_ok,IF(10&lt;=cs_t,1.6*LOG10(10)/LOG10(cs_t),NA()),NA())</f>
        <v/>
      </c>
      <c r="AO3">
        <f>IF(10&lt;=cs_t,0,NA())</f>
        <v/>
      </c>
      <c r="AQ3">
        <f>IF(inputs_ok,1.6*LOG10(10)/LOG10(cs_t),NA())</f>
        <v/>
      </c>
      <c r="AR3">
        <f>0</f>
        <v/>
      </c>
      <c r="AT3">
        <f>IF(inputs_ok,IF(100&lt;=cs_t,1.6*LOG10(100)/LOG10(cs_t),NA()),NA())</f>
        <v/>
      </c>
      <c r="AU3">
        <f>IF(100&lt;=cs_t,0,NA())</f>
        <v/>
      </c>
      <c r="AW3">
        <f>IF(inputs_ok,1.6*LOG10(100)/LOG10(cs_t),NA())</f>
        <v/>
      </c>
      <c r="AX3">
        <f>0</f>
        <v/>
      </c>
      <c r="AZ3">
        <f>IF(inputs_ok,IF(1000&lt;=cs_t,1.6*LOG10(1000)/LOG10(cs_t),NA()),NA())</f>
        <v/>
      </c>
      <c r="BA3">
        <f>IF(1000&lt;=cs_t,0,NA())</f>
        <v/>
      </c>
      <c r="BC3">
        <f>IF(inputs_ok,1.6*LOG10(1000)/LOG10(cs_t),NA())</f>
        <v/>
      </c>
      <c r="BD3">
        <f>0</f>
        <v/>
      </c>
      <c r="BF3">
        <f>IF(inputs_ok,IF(10000&lt;=cs_t,1.6*LOG10(10000)/LOG10(cs_t),NA()),NA())</f>
        <v/>
      </c>
      <c r="BG3">
        <f>IF(10000&lt;=cs_t,0,NA())</f>
        <v/>
      </c>
      <c r="BI3">
        <f>IF(inputs_ok,1.6*LOG10(10000)/LOG10(cs_t),NA())</f>
        <v/>
      </c>
      <c r="BJ3">
        <f>0</f>
        <v/>
      </c>
      <c r="BL3">
        <f>((-0.1)+(1.6+0.55))/2-MAX((1.4+1.2)-(-0.2),((1.6+0.55)-(-0.1))/1.55)*0.53*1.55</f>
        <v/>
      </c>
      <c r="BM3">
        <f>((-0.2)+(1.4+1.2))/2-MAX((1.4+1.2)-(-0.2),((1.6+0.55)-(-0.1))/1.55)*0.53</f>
        <v/>
      </c>
    </row>
    <row r="4">
      <c r="D4">
        <f>IF(inputs_ok,1.6,NA())</f>
        <v/>
      </c>
      <c r="E4">
        <f>0</f>
        <v/>
      </c>
      <c r="G4">
        <f>IF(inputs_ok,1.6,NA())</f>
        <v/>
      </c>
      <c r="H4">
        <f>1.4</f>
        <v/>
      </c>
      <c r="J4">
        <f>IF(inputs_ok,1.6*LOG10((cs_t0*(cs_t/cs_t0)^(1/40)))/LOG10(cs_t),NA())</f>
        <v/>
      </c>
      <c r="K4">
        <f>1.4+phi0_cs*ks_cs*((((cs_t0*(cs_t/cs_t0)^(1/40)))-cs_t0)/(bH_cs+((cs_t0*(cs_t/cs_t0)^(1/40)))-cs_t0))^0.3/phi_cs</f>
        <v/>
      </c>
      <c r="M4">
        <f>IF(inputs_ok,1.6*LOG10((cs_t^(1/40)))/LOG10(cs_t),NA())</f>
        <v/>
      </c>
      <c r="N4">
        <f>(MAX(0,(cs_t^(1/40))-cs_ts)/(MAX(0,(cs_t^(1/40))-cs_ts)+0.04*SQRT(h0_cs^3))*kh_cs*ecd0_cs+(1-EXP(-0.2*((cs_t^(1/40)))^0.5))*ecai_cs)/ecs_cs</f>
        <v/>
      </c>
      <c r="P4">
        <f>IF(inputs_ok,1.6*LOG10(cs_t0)/LOG10(cs_t),NA())</f>
        <v/>
      </c>
      <c r="Q4">
        <f>1.4+1</f>
        <v/>
      </c>
      <c r="S4">
        <f>IF(inputs_ok,1.6*LOG10(cs_ts)/LOG10(cs_t),NA())</f>
        <v/>
      </c>
      <c r="T4">
        <f>1</f>
        <v/>
      </c>
      <c r="BL4">
        <f>((-0.1)+(1.6+0.55))/2+MAX((1.4+1.2)-(-0.2),((1.6+0.55)-(-0.1))/1.55)*0.53*1.55</f>
        <v/>
      </c>
      <c r="BM4">
        <f>((-0.2)+(1.4+1.2))/2+MAX((1.4+1.2)-(-0.2),((1.6+0.55)-(-0.1))/1.55)*0.53</f>
        <v/>
      </c>
    </row>
    <row r="5">
      <c r="J5">
        <f>IF(inputs_ok,1.6*LOG10((cs_t0*(cs_t/cs_t0)^(2/40)))/LOG10(cs_t),NA())</f>
        <v/>
      </c>
      <c r="K5">
        <f>1.4+phi0_cs*ks_cs*((((cs_t0*(cs_t/cs_t0)^(2/40)))-cs_t0)/(bH_cs+((cs_t0*(cs_t/cs_t0)^(2/40)))-cs_t0))^0.3/phi_cs</f>
        <v/>
      </c>
      <c r="M5">
        <f>IF(inputs_ok,1.6*LOG10((cs_t^(2/40)))/LOG10(cs_t),NA())</f>
        <v/>
      </c>
      <c r="N5">
        <f>(MAX(0,(cs_t^(2/40))-cs_ts)/(MAX(0,(cs_t^(2/40))-cs_ts)+0.04*SQRT(h0_cs^3))*kh_cs*ecd0_cs+(1-EXP(-0.2*((cs_t^(2/40)))^0.5))*ecai_cs)/ecs_cs</f>
        <v/>
      </c>
    </row>
    <row r="6">
      <c r="J6">
        <f>IF(inputs_ok,1.6*LOG10((cs_t0*(cs_t/cs_t0)^(3/40)))/LOG10(cs_t),NA())</f>
        <v/>
      </c>
      <c r="K6">
        <f>1.4+phi0_cs*ks_cs*((((cs_t0*(cs_t/cs_t0)^(3/40)))-cs_t0)/(bH_cs+((cs_t0*(cs_t/cs_t0)^(3/40)))-cs_t0))^0.3/phi_cs</f>
        <v/>
      </c>
      <c r="M6">
        <f>IF(inputs_ok,1.6*LOG10((cs_t^(3/40)))/LOG10(cs_t),NA())</f>
        <v/>
      </c>
      <c r="N6">
        <f>(MAX(0,(cs_t^(3/40))-cs_ts)/(MAX(0,(cs_t^(3/40))-cs_ts)+0.04*SQRT(h0_cs^3))*kh_cs*ecd0_cs+(1-EXP(-0.2*((cs_t^(3/40)))^0.5))*ecai_cs)/ecs_cs</f>
        <v/>
      </c>
    </row>
    <row r="7">
      <c r="J7">
        <f>IF(inputs_ok,1.6*LOG10((cs_t0*(cs_t/cs_t0)^(4/40)))/LOG10(cs_t),NA())</f>
        <v/>
      </c>
      <c r="K7">
        <f>1.4+phi0_cs*ks_cs*((((cs_t0*(cs_t/cs_t0)^(4/40)))-cs_t0)/(bH_cs+((cs_t0*(cs_t/cs_t0)^(4/40)))-cs_t0))^0.3/phi_cs</f>
        <v/>
      </c>
      <c r="M7">
        <f>IF(inputs_ok,1.6*LOG10((cs_t^(4/40)))/LOG10(cs_t),NA())</f>
        <v/>
      </c>
      <c r="N7">
        <f>(MAX(0,(cs_t^(4/40))-cs_ts)/(MAX(0,(cs_t^(4/40))-cs_ts)+0.04*SQRT(h0_cs^3))*kh_cs*ecd0_cs+(1-EXP(-0.2*((cs_t^(4/40)))^0.5))*ecai_cs)/ecs_cs</f>
        <v/>
      </c>
    </row>
    <row r="8">
      <c r="J8">
        <f>IF(inputs_ok,1.6*LOG10((cs_t0*(cs_t/cs_t0)^(5/40)))/LOG10(cs_t),NA())</f>
        <v/>
      </c>
      <c r="K8">
        <f>1.4+phi0_cs*ks_cs*((((cs_t0*(cs_t/cs_t0)^(5/40)))-cs_t0)/(bH_cs+((cs_t0*(cs_t/cs_t0)^(5/40)))-cs_t0))^0.3/phi_cs</f>
        <v/>
      </c>
      <c r="M8">
        <f>IF(inputs_ok,1.6*LOG10((cs_t^(5/40)))/LOG10(cs_t),NA())</f>
        <v/>
      </c>
      <c r="N8">
        <f>(MAX(0,(cs_t^(5/40))-cs_ts)/(MAX(0,(cs_t^(5/40))-cs_ts)+0.04*SQRT(h0_cs^3))*kh_cs*ecd0_cs+(1-EXP(-0.2*((cs_t^(5/40)))^0.5))*ecai_cs)/ecs_cs</f>
        <v/>
      </c>
    </row>
    <row r="9">
      <c r="J9">
        <f>IF(inputs_ok,1.6*LOG10((cs_t0*(cs_t/cs_t0)^(6/40)))/LOG10(cs_t),NA())</f>
        <v/>
      </c>
      <c r="K9">
        <f>1.4+phi0_cs*ks_cs*((((cs_t0*(cs_t/cs_t0)^(6/40)))-cs_t0)/(bH_cs+((cs_t0*(cs_t/cs_t0)^(6/40)))-cs_t0))^0.3/phi_cs</f>
        <v/>
      </c>
      <c r="M9">
        <f>IF(inputs_ok,1.6*LOG10((cs_t^(6/40)))/LOG10(cs_t),NA())</f>
        <v/>
      </c>
      <c r="N9">
        <f>(MAX(0,(cs_t^(6/40))-cs_ts)/(MAX(0,(cs_t^(6/40))-cs_ts)+0.04*SQRT(h0_cs^3))*kh_cs*ecd0_cs+(1-EXP(-0.2*((cs_t^(6/40)))^0.5))*ecai_cs)/ecs_cs</f>
        <v/>
      </c>
    </row>
    <row r="10">
      <c r="J10">
        <f>IF(inputs_ok,1.6*LOG10((cs_t0*(cs_t/cs_t0)^(7/40)))/LOG10(cs_t),NA())</f>
        <v/>
      </c>
      <c r="K10">
        <f>1.4+phi0_cs*ks_cs*((((cs_t0*(cs_t/cs_t0)^(7/40)))-cs_t0)/(bH_cs+((cs_t0*(cs_t/cs_t0)^(7/40)))-cs_t0))^0.3/phi_cs</f>
        <v/>
      </c>
      <c r="M10">
        <f>IF(inputs_ok,1.6*LOG10((cs_t^(7/40)))/LOG10(cs_t),NA())</f>
        <v/>
      </c>
      <c r="N10">
        <f>(MAX(0,(cs_t^(7/40))-cs_ts)/(MAX(0,(cs_t^(7/40))-cs_ts)+0.04*SQRT(h0_cs^3))*kh_cs*ecd0_cs+(1-EXP(-0.2*((cs_t^(7/40)))^0.5))*ecai_cs)/ecs_cs</f>
        <v/>
      </c>
    </row>
    <row r="11">
      <c r="J11">
        <f>IF(inputs_ok,1.6*LOG10((cs_t0*(cs_t/cs_t0)^(8/40)))/LOG10(cs_t),NA())</f>
        <v/>
      </c>
      <c r="K11">
        <f>1.4+phi0_cs*ks_cs*((((cs_t0*(cs_t/cs_t0)^(8/40)))-cs_t0)/(bH_cs+((cs_t0*(cs_t/cs_t0)^(8/40)))-cs_t0))^0.3/phi_cs</f>
        <v/>
      </c>
      <c r="M11">
        <f>IF(inputs_ok,1.6*LOG10((cs_t^(8/40)))/LOG10(cs_t),NA())</f>
        <v/>
      </c>
      <c r="N11">
        <f>(MAX(0,(cs_t^(8/40))-cs_ts)/(MAX(0,(cs_t^(8/40))-cs_ts)+0.04*SQRT(h0_cs^3))*kh_cs*ecd0_cs+(1-EXP(-0.2*((cs_t^(8/40)))^0.5))*ecai_cs)/ecs_cs</f>
        <v/>
      </c>
    </row>
    <row r="12">
      <c r="J12">
        <f>IF(inputs_ok,1.6*LOG10((cs_t0*(cs_t/cs_t0)^(9/40)))/LOG10(cs_t),NA())</f>
        <v/>
      </c>
      <c r="K12">
        <f>1.4+phi0_cs*ks_cs*((((cs_t0*(cs_t/cs_t0)^(9/40)))-cs_t0)/(bH_cs+((cs_t0*(cs_t/cs_t0)^(9/40)))-cs_t0))^0.3/phi_cs</f>
        <v/>
      </c>
      <c r="M12">
        <f>IF(inputs_ok,1.6*LOG10((cs_t^(9/40)))/LOG10(cs_t),NA())</f>
        <v/>
      </c>
      <c r="N12">
        <f>(MAX(0,(cs_t^(9/40))-cs_ts)/(MAX(0,(cs_t^(9/40))-cs_ts)+0.04*SQRT(h0_cs^3))*kh_cs*ecd0_cs+(1-EXP(-0.2*((cs_t^(9/40)))^0.5))*ecai_cs)/ecs_cs</f>
        <v/>
      </c>
    </row>
    <row r="13">
      <c r="J13">
        <f>IF(inputs_ok,1.6*LOG10((cs_t0*(cs_t/cs_t0)^(10/40)))/LOG10(cs_t),NA())</f>
        <v/>
      </c>
      <c r="K13">
        <f>1.4+phi0_cs*ks_cs*((((cs_t0*(cs_t/cs_t0)^(10/40)))-cs_t0)/(bH_cs+((cs_t0*(cs_t/cs_t0)^(10/40)))-cs_t0))^0.3/phi_cs</f>
        <v/>
      </c>
      <c r="M13">
        <f>IF(inputs_ok,1.6*LOG10((cs_t^(10/40)))/LOG10(cs_t),NA())</f>
        <v/>
      </c>
      <c r="N13">
        <f>(MAX(0,(cs_t^(10/40))-cs_ts)/(MAX(0,(cs_t^(10/40))-cs_ts)+0.04*SQRT(h0_cs^3))*kh_cs*ecd0_cs+(1-EXP(-0.2*((cs_t^(10/40)))^0.5))*ecai_cs)/ecs_cs</f>
        <v/>
      </c>
    </row>
    <row r="14">
      <c r="J14">
        <f>IF(inputs_ok,1.6*LOG10((cs_t0*(cs_t/cs_t0)^(11/40)))/LOG10(cs_t),NA())</f>
        <v/>
      </c>
      <c r="K14">
        <f>1.4+phi0_cs*ks_cs*((((cs_t0*(cs_t/cs_t0)^(11/40)))-cs_t0)/(bH_cs+((cs_t0*(cs_t/cs_t0)^(11/40)))-cs_t0))^0.3/phi_cs</f>
        <v/>
      </c>
      <c r="M14">
        <f>IF(inputs_ok,1.6*LOG10((cs_t^(11/40)))/LOG10(cs_t),NA())</f>
        <v/>
      </c>
      <c r="N14">
        <f>(MAX(0,(cs_t^(11/40))-cs_ts)/(MAX(0,(cs_t^(11/40))-cs_ts)+0.04*SQRT(h0_cs^3))*kh_cs*ecd0_cs+(1-EXP(-0.2*((cs_t^(11/40)))^0.5))*ecai_cs)/ecs_cs</f>
        <v/>
      </c>
    </row>
    <row r="15">
      <c r="J15">
        <f>IF(inputs_ok,1.6*LOG10((cs_t0*(cs_t/cs_t0)^(12/40)))/LOG10(cs_t),NA())</f>
        <v/>
      </c>
      <c r="K15">
        <f>1.4+phi0_cs*ks_cs*((((cs_t0*(cs_t/cs_t0)^(12/40)))-cs_t0)/(bH_cs+((cs_t0*(cs_t/cs_t0)^(12/40)))-cs_t0))^0.3/phi_cs</f>
        <v/>
      </c>
      <c r="M15">
        <f>IF(inputs_ok,1.6*LOG10((cs_t^(12/40)))/LOG10(cs_t),NA())</f>
        <v/>
      </c>
      <c r="N15">
        <f>(MAX(0,(cs_t^(12/40))-cs_ts)/(MAX(0,(cs_t^(12/40))-cs_ts)+0.04*SQRT(h0_cs^3))*kh_cs*ecd0_cs+(1-EXP(-0.2*((cs_t^(12/40)))^0.5))*ecai_cs)/ecs_cs</f>
        <v/>
      </c>
    </row>
    <row r="16">
      <c r="J16">
        <f>IF(inputs_ok,1.6*LOG10((cs_t0*(cs_t/cs_t0)^(13/40)))/LOG10(cs_t),NA())</f>
        <v/>
      </c>
      <c r="K16">
        <f>1.4+phi0_cs*ks_cs*((((cs_t0*(cs_t/cs_t0)^(13/40)))-cs_t0)/(bH_cs+((cs_t0*(cs_t/cs_t0)^(13/40)))-cs_t0))^0.3/phi_cs</f>
        <v/>
      </c>
      <c r="M16">
        <f>IF(inputs_ok,1.6*LOG10((cs_t^(13/40)))/LOG10(cs_t),NA())</f>
        <v/>
      </c>
      <c r="N16">
        <f>(MAX(0,(cs_t^(13/40))-cs_ts)/(MAX(0,(cs_t^(13/40))-cs_ts)+0.04*SQRT(h0_cs^3))*kh_cs*ecd0_cs+(1-EXP(-0.2*((cs_t^(13/40)))^0.5))*ecai_cs)/ecs_cs</f>
        <v/>
      </c>
    </row>
    <row r="17">
      <c r="J17">
        <f>IF(inputs_ok,1.6*LOG10((cs_t0*(cs_t/cs_t0)^(14/40)))/LOG10(cs_t),NA())</f>
        <v/>
      </c>
      <c r="K17">
        <f>1.4+phi0_cs*ks_cs*((((cs_t0*(cs_t/cs_t0)^(14/40)))-cs_t0)/(bH_cs+((cs_t0*(cs_t/cs_t0)^(14/40)))-cs_t0))^0.3/phi_cs</f>
        <v/>
      </c>
      <c r="M17">
        <f>IF(inputs_ok,1.6*LOG10((cs_t^(14/40)))/LOG10(cs_t),NA())</f>
        <v/>
      </c>
      <c r="N17">
        <f>(MAX(0,(cs_t^(14/40))-cs_ts)/(MAX(0,(cs_t^(14/40))-cs_ts)+0.04*SQRT(h0_cs^3))*kh_cs*ecd0_cs+(1-EXP(-0.2*((cs_t^(14/40)))^0.5))*ecai_cs)/ecs_cs</f>
        <v/>
      </c>
    </row>
    <row r="18">
      <c r="J18">
        <f>IF(inputs_ok,1.6*LOG10((cs_t0*(cs_t/cs_t0)^(15/40)))/LOG10(cs_t),NA())</f>
        <v/>
      </c>
      <c r="K18">
        <f>1.4+phi0_cs*ks_cs*((((cs_t0*(cs_t/cs_t0)^(15/40)))-cs_t0)/(bH_cs+((cs_t0*(cs_t/cs_t0)^(15/40)))-cs_t0))^0.3/phi_cs</f>
        <v/>
      </c>
      <c r="M18">
        <f>IF(inputs_ok,1.6*LOG10((cs_t^(15/40)))/LOG10(cs_t),NA())</f>
        <v/>
      </c>
      <c r="N18">
        <f>(MAX(0,(cs_t^(15/40))-cs_ts)/(MAX(0,(cs_t^(15/40))-cs_ts)+0.04*SQRT(h0_cs^3))*kh_cs*ecd0_cs+(1-EXP(-0.2*((cs_t^(15/40)))^0.5))*ecai_cs)/ecs_cs</f>
        <v/>
      </c>
    </row>
    <row r="19">
      <c r="J19">
        <f>IF(inputs_ok,1.6*LOG10((cs_t0*(cs_t/cs_t0)^(16/40)))/LOG10(cs_t),NA())</f>
        <v/>
      </c>
      <c r="K19">
        <f>1.4+phi0_cs*ks_cs*((((cs_t0*(cs_t/cs_t0)^(16/40)))-cs_t0)/(bH_cs+((cs_t0*(cs_t/cs_t0)^(16/40)))-cs_t0))^0.3/phi_cs</f>
        <v/>
      </c>
      <c r="M19">
        <f>IF(inputs_ok,1.6*LOG10((cs_t^(16/40)))/LOG10(cs_t),NA())</f>
        <v/>
      </c>
      <c r="N19">
        <f>(MAX(0,(cs_t^(16/40))-cs_ts)/(MAX(0,(cs_t^(16/40))-cs_ts)+0.04*SQRT(h0_cs^3))*kh_cs*ecd0_cs+(1-EXP(-0.2*((cs_t^(16/40)))^0.5))*ecai_cs)/ecs_cs</f>
        <v/>
      </c>
    </row>
    <row r="20">
      <c r="J20">
        <f>IF(inputs_ok,1.6*LOG10((cs_t0*(cs_t/cs_t0)^(17/40)))/LOG10(cs_t),NA())</f>
        <v/>
      </c>
      <c r="K20">
        <f>1.4+phi0_cs*ks_cs*((((cs_t0*(cs_t/cs_t0)^(17/40)))-cs_t0)/(bH_cs+((cs_t0*(cs_t/cs_t0)^(17/40)))-cs_t0))^0.3/phi_cs</f>
        <v/>
      </c>
      <c r="M20">
        <f>IF(inputs_ok,1.6*LOG10((cs_t^(17/40)))/LOG10(cs_t),NA())</f>
        <v/>
      </c>
      <c r="N20">
        <f>(MAX(0,(cs_t^(17/40))-cs_ts)/(MAX(0,(cs_t^(17/40))-cs_ts)+0.04*SQRT(h0_cs^3))*kh_cs*ecd0_cs+(1-EXP(-0.2*((cs_t^(17/40)))^0.5))*ecai_cs)/ecs_cs</f>
        <v/>
      </c>
    </row>
    <row r="21">
      <c r="J21">
        <f>IF(inputs_ok,1.6*LOG10((cs_t0*(cs_t/cs_t0)^(18/40)))/LOG10(cs_t),NA())</f>
        <v/>
      </c>
      <c r="K21">
        <f>1.4+phi0_cs*ks_cs*((((cs_t0*(cs_t/cs_t0)^(18/40)))-cs_t0)/(bH_cs+((cs_t0*(cs_t/cs_t0)^(18/40)))-cs_t0))^0.3/phi_cs</f>
        <v/>
      </c>
      <c r="M21">
        <f>IF(inputs_ok,1.6*LOG10((cs_t^(18/40)))/LOG10(cs_t),NA())</f>
        <v/>
      </c>
      <c r="N21">
        <f>(MAX(0,(cs_t^(18/40))-cs_ts)/(MAX(0,(cs_t^(18/40))-cs_ts)+0.04*SQRT(h0_cs^3))*kh_cs*ecd0_cs+(1-EXP(-0.2*((cs_t^(18/40)))^0.5))*ecai_cs)/ecs_cs</f>
        <v/>
      </c>
    </row>
    <row r="22">
      <c r="J22">
        <f>IF(inputs_ok,1.6*LOG10((cs_t0*(cs_t/cs_t0)^(19/40)))/LOG10(cs_t),NA())</f>
        <v/>
      </c>
      <c r="K22">
        <f>1.4+phi0_cs*ks_cs*((((cs_t0*(cs_t/cs_t0)^(19/40)))-cs_t0)/(bH_cs+((cs_t0*(cs_t/cs_t0)^(19/40)))-cs_t0))^0.3/phi_cs</f>
        <v/>
      </c>
      <c r="M22">
        <f>IF(inputs_ok,1.6*LOG10((cs_t^(19/40)))/LOG10(cs_t),NA())</f>
        <v/>
      </c>
      <c r="N22">
        <f>(MAX(0,(cs_t^(19/40))-cs_ts)/(MAX(0,(cs_t^(19/40))-cs_ts)+0.04*SQRT(h0_cs^3))*kh_cs*ecd0_cs+(1-EXP(-0.2*((cs_t^(19/40)))^0.5))*ecai_cs)/ecs_cs</f>
        <v/>
      </c>
    </row>
    <row r="23">
      <c r="J23">
        <f>IF(inputs_ok,1.6*LOG10((cs_t0*(cs_t/cs_t0)^(20/40)))/LOG10(cs_t),NA())</f>
        <v/>
      </c>
      <c r="K23">
        <f>1.4+phi0_cs*ks_cs*((((cs_t0*(cs_t/cs_t0)^(20/40)))-cs_t0)/(bH_cs+((cs_t0*(cs_t/cs_t0)^(20/40)))-cs_t0))^0.3/phi_cs</f>
        <v/>
      </c>
      <c r="M23">
        <f>IF(inputs_ok,1.6*LOG10((cs_t^(20/40)))/LOG10(cs_t),NA())</f>
        <v/>
      </c>
      <c r="N23">
        <f>(MAX(0,(cs_t^(20/40))-cs_ts)/(MAX(0,(cs_t^(20/40))-cs_ts)+0.04*SQRT(h0_cs^3))*kh_cs*ecd0_cs+(1-EXP(-0.2*((cs_t^(20/40)))^0.5))*ecai_cs)/ecs_cs</f>
        <v/>
      </c>
    </row>
    <row r="24">
      <c r="J24">
        <f>IF(inputs_ok,1.6*LOG10((cs_t0*(cs_t/cs_t0)^(21/40)))/LOG10(cs_t),NA())</f>
        <v/>
      </c>
      <c r="K24">
        <f>1.4+phi0_cs*ks_cs*((((cs_t0*(cs_t/cs_t0)^(21/40)))-cs_t0)/(bH_cs+((cs_t0*(cs_t/cs_t0)^(21/40)))-cs_t0))^0.3/phi_cs</f>
        <v/>
      </c>
      <c r="M24">
        <f>IF(inputs_ok,1.6*LOG10((cs_t^(21/40)))/LOG10(cs_t),NA())</f>
        <v/>
      </c>
      <c r="N24">
        <f>(MAX(0,(cs_t^(21/40))-cs_ts)/(MAX(0,(cs_t^(21/40))-cs_ts)+0.04*SQRT(h0_cs^3))*kh_cs*ecd0_cs+(1-EXP(-0.2*((cs_t^(21/40)))^0.5))*ecai_cs)/ecs_cs</f>
        <v/>
      </c>
    </row>
    <row r="25">
      <c r="J25">
        <f>IF(inputs_ok,1.6*LOG10((cs_t0*(cs_t/cs_t0)^(22/40)))/LOG10(cs_t),NA())</f>
        <v/>
      </c>
      <c r="K25">
        <f>1.4+phi0_cs*ks_cs*((((cs_t0*(cs_t/cs_t0)^(22/40)))-cs_t0)/(bH_cs+((cs_t0*(cs_t/cs_t0)^(22/40)))-cs_t0))^0.3/phi_cs</f>
        <v/>
      </c>
      <c r="M25">
        <f>IF(inputs_ok,1.6*LOG10((cs_t^(22/40)))/LOG10(cs_t),NA())</f>
        <v/>
      </c>
      <c r="N25">
        <f>(MAX(0,(cs_t^(22/40))-cs_ts)/(MAX(0,(cs_t^(22/40))-cs_ts)+0.04*SQRT(h0_cs^3))*kh_cs*ecd0_cs+(1-EXP(-0.2*((cs_t^(22/40)))^0.5))*ecai_cs)/ecs_cs</f>
        <v/>
      </c>
    </row>
    <row r="26">
      <c r="J26">
        <f>IF(inputs_ok,1.6*LOG10((cs_t0*(cs_t/cs_t0)^(23/40)))/LOG10(cs_t),NA())</f>
        <v/>
      </c>
      <c r="K26">
        <f>1.4+phi0_cs*ks_cs*((((cs_t0*(cs_t/cs_t0)^(23/40)))-cs_t0)/(bH_cs+((cs_t0*(cs_t/cs_t0)^(23/40)))-cs_t0))^0.3/phi_cs</f>
        <v/>
      </c>
      <c r="M26">
        <f>IF(inputs_ok,1.6*LOG10((cs_t^(23/40)))/LOG10(cs_t),NA())</f>
        <v/>
      </c>
      <c r="N26">
        <f>(MAX(0,(cs_t^(23/40))-cs_ts)/(MAX(0,(cs_t^(23/40))-cs_ts)+0.04*SQRT(h0_cs^3))*kh_cs*ecd0_cs+(1-EXP(-0.2*((cs_t^(23/40)))^0.5))*ecai_cs)/ecs_cs</f>
        <v/>
      </c>
    </row>
    <row r="27">
      <c r="J27">
        <f>IF(inputs_ok,1.6*LOG10((cs_t0*(cs_t/cs_t0)^(24/40)))/LOG10(cs_t),NA())</f>
        <v/>
      </c>
      <c r="K27">
        <f>1.4+phi0_cs*ks_cs*((((cs_t0*(cs_t/cs_t0)^(24/40)))-cs_t0)/(bH_cs+((cs_t0*(cs_t/cs_t0)^(24/40)))-cs_t0))^0.3/phi_cs</f>
        <v/>
      </c>
      <c r="M27">
        <f>IF(inputs_ok,1.6*LOG10((cs_t^(24/40)))/LOG10(cs_t),NA())</f>
        <v/>
      </c>
      <c r="N27">
        <f>(MAX(0,(cs_t^(24/40))-cs_ts)/(MAX(0,(cs_t^(24/40))-cs_ts)+0.04*SQRT(h0_cs^3))*kh_cs*ecd0_cs+(1-EXP(-0.2*((cs_t^(24/40)))^0.5))*ecai_cs)/ecs_cs</f>
        <v/>
      </c>
    </row>
    <row r="28">
      <c r="J28">
        <f>IF(inputs_ok,1.6*LOG10((cs_t0*(cs_t/cs_t0)^(25/40)))/LOG10(cs_t),NA())</f>
        <v/>
      </c>
      <c r="K28">
        <f>1.4+phi0_cs*ks_cs*((((cs_t0*(cs_t/cs_t0)^(25/40)))-cs_t0)/(bH_cs+((cs_t0*(cs_t/cs_t0)^(25/40)))-cs_t0))^0.3/phi_cs</f>
        <v/>
      </c>
      <c r="M28">
        <f>IF(inputs_ok,1.6*LOG10((cs_t^(25/40)))/LOG10(cs_t),NA())</f>
        <v/>
      </c>
      <c r="N28">
        <f>(MAX(0,(cs_t^(25/40))-cs_ts)/(MAX(0,(cs_t^(25/40))-cs_ts)+0.04*SQRT(h0_cs^3))*kh_cs*ecd0_cs+(1-EXP(-0.2*((cs_t^(25/40)))^0.5))*ecai_cs)/ecs_cs</f>
        <v/>
      </c>
    </row>
    <row r="29">
      <c r="J29">
        <f>IF(inputs_ok,1.6*LOG10((cs_t0*(cs_t/cs_t0)^(26/40)))/LOG10(cs_t),NA())</f>
        <v/>
      </c>
      <c r="K29">
        <f>1.4+phi0_cs*ks_cs*((((cs_t0*(cs_t/cs_t0)^(26/40)))-cs_t0)/(bH_cs+((cs_t0*(cs_t/cs_t0)^(26/40)))-cs_t0))^0.3/phi_cs</f>
        <v/>
      </c>
      <c r="M29">
        <f>IF(inputs_ok,1.6*LOG10((cs_t^(26/40)))/LOG10(cs_t),NA())</f>
        <v/>
      </c>
      <c r="N29">
        <f>(MAX(0,(cs_t^(26/40))-cs_ts)/(MAX(0,(cs_t^(26/40))-cs_ts)+0.04*SQRT(h0_cs^3))*kh_cs*ecd0_cs+(1-EXP(-0.2*((cs_t^(26/40)))^0.5))*ecai_cs)/ecs_cs</f>
        <v/>
      </c>
    </row>
    <row r="30">
      <c r="J30">
        <f>IF(inputs_ok,1.6*LOG10((cs_t0*(cs_t/cs_t0)^(27/40)))/LOG10(cs_t),NA())</f>
        <v/>
      </c>
      <c r="K30">
        <f>1.4+phi0_cs*ks_cs*((((cs_t0*(cs_t/cs_t0)^(27/40)))-cs_t0)/(bH_cs+((cs_t0*(cs_t/cs_t0)^(27/40)))-cs_t0))^0.3/phi_cs</f>
        <v/>
      </c>
      <c r="M30">
        <f>IF(inputs_ok,1.6*LOG10((cs_t^(27/40)))/LOG10(cs_t),NA())</f>
        <v/>
      </c>
      <c r="N30">
        <f>(MAX(0,(cs_t^(27/40))-cs_ts)/(MAX(0,(cs_t^(27/40))-cs_ts)+0.04*SQRT(h0_cs^3))*kh_cs*ecd0_cs+(1-EXP(-0.2*((cs_t^(27/40)))^0.5))*ecai_cs)/ecs_cs</f>
        <v/>
      </c>
    </row>
    <row r="31">
      <c r="J31">
        <f>IF(inputs_ok,1.6*LOG10((cs_t0*(cs_t/cs_t0)^(28/40)))/LOG10(cs_t),NA())</f>
        <v/>
      </c>
      <c r="K31">
        <f>1.4+phi0_cs*ks_cs*((((cs_t0*(cs_t/cs_t0)^(28/40)))-cs_t0)/(bH_cs+((cs_t0*(cs_t/cs_t0)^(28/40)))-cs_t0))^0.3/phi_cs</f>
        <v/>
      </c>
      <c r="M31">
        <f>IF(inputs_ok,1.6*LOG10((cs_t^(28/40)))/LOG10(cs_t),NA())</f>
        <v/>
      </c>
      <c r="N31">
        <f>(MAX(0,(cs_t^(28/40))-cs_ts)/(MAX(0,(cs_t^(28/40))-cs_ts)+0.04*SQRT(h0_cs^3))*kh_cs*ecd0_cs+(1-EXP(-0.2*((cs_t^(28/40)))^0.5))*ecai_cs)/ecs_cs</f>
        <v/>
      </c>
    </row>
    <row r="32">
      <c r="J32">
        <f>IF(inputs_ok,1.6*LOG10((cs_t0*(cs_t/cs_t0)^(29/40)))/LOG10(cs_t),NA())</f>
        <v/>
      </c>
      <c r="K32">
        <f>1.4+phi0_cs*ks_cs*((((cs_t0*(cs_t/cs_t0)^(29/40)))-cs_t0)/(bH_cs+((cs_t0*(cs_t/cs_t0)^(29/40)))-cs_t0))^0.3/phi_cs</f>
        <v/>
      </c>
      <c r="M32">
        <f>IF(inputs_ok,1.6*LOG10((cs_t^(29/40)))/LOG10(cs_t),NA())</f>
        <v/>
      </c>
      <c r="N32">
        <f>(MAX(0,(cs_t^(29/40))-cs_ts)/(MAX(0,(cs_t^(29/40))-cs_ts)+0.04*SQRT(h0_cs^3))*kh_cs*ecd0_cs+(1-EXP(-0.2*((cs_t^(29/40)))^0.5))*ecai_cs)/ecs_cs</f>
        <v/>
      </c>
    </row>
    <row r="33">
      <c r="J33">
        <f>IF(inputs_ok,1.6*LOG10((cs_t0*(cs_t/cs_t0)^(30/40)))/LOG10(cs_t),NA())</f>
        <v/>
      </c>
      <c r="K33">
        <f>1.4+phi0_cs*ks_cs*((((cs_t0*(cs_t/cs_t0)^(30/40)))-cs_t0)/(bH_cs+((cs_t0*(cs_t/cs_t0)^(30/40)))-cs_t0))^0.3/phi_cs</f>
        <v/>
      </c>
      <c r="M33">
        <f>IF(inputs_ok,1.6*LOG10((cs_t^(30/40)))/LOG10(cs_t),NA())</f>
        <v/>
      </c>
      <c r="N33">
        <f>(MAX(0,(cs_t^(30/40))-cs_ts)/(MAX(0,(cs_t^(30/40))-cs_ts)+0.04*SQRT(h0_cs^3))*kh_cs*ecd0_cs+(1-EXP(-0.2*((cs_t^(30/40)))^0.5))*ecai_cs)/ecs_cs</f>
        <v/>
      </c>
    </row>
    <row r="34">
      <c r="J34">
        <f>IF(inputs_ok,1.6*LOG10((cs_t0*(cs_t/cs_t0)^(31/40)))/LOG10(cs_t),NA())</f>
        <v/>
      </c>
      <c r="K34">
        <f>1.4+phi0_cs*ks_cs*((((cs_t0*(cs_t/cs_t0)^(31/40)))-cs_t0)/(bH_cs+((cs_t0*(cs_t/cs_t0)^(31/40)))-cs_t0))^0.3/phi_cs</f>
        <v/>
      </c>
      <c r="M34">
        <f>IF(inputs_ok,1.6*LOG10((cs_t^(31/40)))/LOG10(cs_t),NA())</f>
        <v/>
      </c>
      <c r="N34">
        <f>(MAX(0,(cs_t^(31/40))-cs_ts)/(MAX(0,(cs_t^(31/40))-cs_ts)+0.04*SQRT(h0_cs^3))*kh_cs*ecd0_cs+(1-EXP(-0.2*((cs_t^(31/40)))^0.5))*ecai_cs)/ecs_cs</f>
        <v/>
      </c>
    </row>
    <row r="35">
      <c r="J35">
        <f>IF(inputs_ok,1.6*LOG10((cs_t0*(cs_t/cs_t0)^(32/40)))/LOG10(cs_t),NA())</f>
        <v/>
      </c>
      <c r="K35">
        <f>1.4+phi0_cs*ks_cs*((((cs_t0*(cs_t/cs_t0)^(32/40)))-cs_t0)/(bH_cs+((cs_t0*(cs_t/cs_t0)^(32/40)))-cs_t0))^0.3/phi_cs</f>
        <v/>
      </c>
      <c r="M35">
        <f>IF(inputs_ok,1.6*LOG10((cs_t^(32/40)))/LOG10(cs_t),NA())</f>
        <v/>
      </c>
      <c r="N35">
        <f>(MAX(0,(cs_t^(32/40))-cs_ts)/(MAX(0,(cs_t^(32/40))-cs_ts)+0.04*SQRT(h0_cs^3))*kh_cs*ecd0_cs+(1-EXP(-0.2*((cs_t^(32/40)))^0.5))*ecai_cs)/ecs_cs</f>
        <v/>
      </c>
    </row>
    <row r="36">
      <c r="J36">
        <f>IF(inputs_ok,1.6*LOG10((cs_t0*(cs_t/cs_t0)^(33/40)))/LOG10(cs_t),NA())</f>
        <v/>
      </c>
      <c r="K36">
        <f>1.4+phi0_cs*ks_cs*((((cs_t0*(cs_t/cs_t0)^(33/40)))-cs_t0)/(bH_cs+((cs_t0*(cs_t/cs_t0)^(33/40)))-cs_t0))^0.3/phi_cs</f>
        <v/>
      </c>
      <c r="M36">
        <f>IF(inputs_ok,1.6*LOG10((cs_t^(33/40)))/LOG10(cs_t),NA())</f>
        <v/>
      </c>
      <c r="N36">
        <f>(MAX(0,(cs_t^(33/40))-cs_ts)/(MAX(0,(cs_t^(33/40))-cs_ts)+0.04*SQRT(h0_cs^3))*kh_cs*ecd0_cs+(1-EXP(-0.2*((cs_t^(33/40)))^0.5))*ecai_cs)/ecs_cs</f>
        <v/>
      </c>
    </row>
    <row r="37">
      <c r="J37">
        <f>IF(inputs_ok,1.6*LOG10((cs_t0*(cs_t/cs_t0)^(34/40)))/LOG10(cs_t),NA())</f>
        <v/>
      </c>
      <c r="K37">
        <f>1.4+phi0_cs*ks_cs*((((cs_t0*(cs_t/cs_t0)^(34/40)))-cs_t0)/(bH_cs+((cs_t0*(cs_t/cs_t0)^(34/40)))-cs_t0))^0.3/phi_cs</f>
        <v/>
      </c>
      <c r="M37">
        <f>IF(inputs_ok,1.6*LOG10((cs_t^(34/40)))/LOG10(cs_t),NA())</f>
        <v/>
      </c>
      <c r="N37">
        <f>(MAX(0,(cs_t^(34/40))-cs_ts)/(MAX(0,(cs_t^(34/40))-cs_ts)+0.04*SQRT(h0_cs^3))*kh_cs*ecd0_cs+(1-EXP(-0.2*((cs_t^(34/40)))^0.5))*ecai_cs)/ecs_cs</f>
        <v/>
      </c>
    </row>
    <row r="38">
      <c r="J38">
        <f>IF(inputs_ok,1.6*LOG10((cs_t0*(cs_t/cs_t0)^(35/40)))/LOG10(cs_t),NA())</f>
        <v/>
      </c>
      <c r="K38">
        <f>1.4+phi0_cs*ks_cs*((((cs_t0*(cs_t/cs_t0)^(35/40)))-cs_t0)/(bH_cs+((cs_t0*(cs_t/cs_t0)^(35/40)))-cs_t0))^0.3/phi_cs</f>
        <v/>
      </c>
      <c r="M38">
        <f>IF(inputs_ok,1.6*LOG10((cs_t^(35/40)))/LOG10(cs_t),NA())</f>
        <v/>
      </c>
      <c r="N38">
        <f>(MAX(0,(cs_t^(35/40))-cs_ts)/(MAX(0,(cs_t^(35/40))-cs_ts)+0.04*SQRT(h0_cs^3))*kh_cs*ecd0_cs+(1-EXP(-0.2*((cs_t^(35/40)))^0.5))*ecai_cs)/ecs_cs</f>
        <v/>
      </c>
    </row>
    <row r="39">
      <c r="J39">
        <f>IF(inputs_ok,1.6*LOG10((cs_t0*(cs_t/cs_t0)^(36/40)))/LOG10(cs_t),NA())</f>
        <v/>
      </c>
      <c r="K39">
        <f>1.4+phi0_cs*ks_cs*((((cs_t0*(cs_t/cs_t0)^(36/40)))-cs_t0)/(bH_cs+((cs_t0*(cs_t/cs_t0)^(36/40)))-cs_t0))^0.3/phi_cs</f>
        <v/>
      </c>
      <c r="M39">
        <f>IF(inputs_ok,1.6*LOG10((cs_t^(36/40)))/LOG10(cs_t),NA())</f>
        <v/>
      </c>
      <c r="N39">
        <f>(MAX(0,(cs_t^(36/40))-cs_ts)/(MAX(0,(cs_t^(36/40))-cs_ts)+0.04*SQRT(h0_cs^3))*kh_cs*ecd0_cs+(1-EXP(-0.2*((cs_t^(36/40)))^0.5))*ecai_cs)/ecs_cs</f>
        <v/>
      </c>
    </row>
    <row r="40">
      <c r="J40">
        <f>IF(inputs_ok,1.6*LOG10((cs_t0*(cs_t/cs_t0)^(37/40)))/LOG10(cs_t),NA())</f>
        <v/>
      </c>
      <c r="K40">
        <f>1.4+phi0_cs*ks_cs*((((cs_t0*(cs_t/cs_t0)^(37/40)))-cs_t0)/(bH_cs+((cs_t0*(cs_t/cs_t0)^(37/40)))-cs_t0))^0.3/phi_cs</f>
        <v/>
      </c>
      <c r="M40">
        <f>IF(inputs_ok,1.6*LOG10((cs_t^(37/40)))/LOG10(cs_t),NA())</f>
        <v/>
      </c>
      <c r="N40">
        <f>(MAX(0,(cs_t^(37/40))-cs_ts)/(MAX(0,(cs_t^(37/40))-cs_ts)+0.04*SQRT(h0_cs^3))*kh_cs*ecd0_cs+(1-EXP(-0.2*((cs_t^(37/40)))^0.5))*ecai_cs)/ecs_cs</f>
        <v/>
      </c>
    </row>
    <row r="41">
      <c r="J41">
        <f>IF(inputs_ok,1.6*LOG10((cs_t0*(cs_t/cs_t0)^(38/40)))/LOG10(cs_t),NA())</f>
        <v/>
      </c>
      <c r="K41">
        <f>1.4+phi0_cs*ks_cs*((((cs_t0*(cs_t/cs_t0)^(38/40)))-cs_t0)/(bH_cs+((cs_t0*(cs_t/cs_t0)^(38/40)))-cs_t0))^0.3/phi_cs</f>
        <v/>
      </c>
      <c r="M41">
        <f>IF(inputs_ok,1.6*LOG10((cs_t^(38/40)))/LOG10(cs_t),NA())</f>
        <v/>
      </c>
      <c r="N41">
        <f>(MAX(0,(cs_t^(38/40))-cs_ts)/(MAX(0,(cs_t^(38/40))-cs_ts)+0.04*SQRT(h0_cs^3))*kh_cs*ecd0_cs+(1-EXP(-0.2*((cs_t^(38/40)))^0.5))*ecai_cs)/ecs_cs</f>
        <v/>
      </c>
    </row>
    <row r="42">
      <c r="J42">
        <f>IF(inputs_ok,1.6*LOG10((cs_t0*(cs_t/cs_t0)^(39/40)))/LOG10(cs_t),NA())</f>
        <v/>
      </c>
      <c r="K42">
        <f>1.4+phi0_cs*ks_cs*((((cs_t0*(cs_t/cs_t0)^(39/40)))-cs_t0)/(bH_cs+((cs_t0*(cs_t/cs_t0)^(39/40)))-cs_t0))^0.3/phi_cs</f>
        <v/>
      </c>
      <c r="M42">
        <f>IF(inputs_ok,1.6*LOG10((cs_t^(39/40)))/LOG10(cs_t),NA())</f>
        <v/>
      </c>
      <c r="N42">
        <f>(MAX(0,(cs_t^(39/40))-cs_ts)/(MAX(0,(cs_t^(39/40))-cs_ts)+0.04*SQRT(h0_cs^3))*kh_cs*ecd0_cs+(1-EXP(-0.2*((cs_t^(39/40)))^0.5))*ecai_cs)/ecs_cs</f>
        <v/>
      </c>
    </row>
    <row r="43">
      <c r="J43">
        <f>IF(inputs_ok,1.6*LOG10((cs_t0*(cs_t/cs_t0)^(40/40)))/LOG10(cs_t),NA())</f>
        <v/>
      </c>
      <c r="K43">
        <f>1.4+phi0_cs*ks_cs*((((cs_t0*(cs_t/cs_t0)^(40/40)))-cs_t0)/(bH_cs+((cs_t0*(cs_t/cs_t0)^(40/40)))-cs_t0))^0.3/phi_cs</f>
        <v/>
      </c>
      <c r="M43">
        <f>IF(inputs_ok,1.6*LOG10((cs_t^(40/40)))/LOG10(cs_t),NA())</f>
        <v/>
      </c>
      <c r="N43">
        <f>(MAX(0,(cs_t^(40/40))-cs_ts)/(MAX(0,(cs_t^(40/40))-cs_ts)+0.04*SQRT(h0_cs^3))*kh_cs*ecd0_cs+(1-EXP(-0.2*((cs_t^(40/40)))^0.5))*ecai_cs)/ecs_cs</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9"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0" t="inlineStr">
        <is>
          <t>Parameter</t>
        </is>
      </c>
      <c r="C5" s="50" t="inlineStr">
        <is>
          <t>Clause</t>
        </is>
      </c>
      <c r="D5" s="50" t="inlineStr">
        <is>
          <t>UK NA</t>
        </is>
      </c>
      <c r="E5" s="50" t="inlineStr">
        <is>
          <t>PL NA</t>
        </is>
      </c>
      <c r="F5" s="50" t="inlineStr">
        <is>
          <t>Notes</t>
        </is>
      </c>
    </row>
    <row r="6">
      <c r="B6" s="51" t="inlineStr">
        <is>
          <t>Partial factor, concrete  γc</t>
        </is>
      </c>
      <c r="C6" s="52" t="inlineStr">
        <is>
          <t>2.4.2.4(1)</t>
        </is>
      </c>
      <c r="D6" s="53" t="n">
        <v>1.5</v>
      </c>
      <c r="E6" s="53" t="n">
        <v>1.4</v>
      </c>
      <c r="F6" s="52" t="inlineStr">
        <is>
          <t>Persistent &amp; transient. UK NA: recommended; PL: NA.2, Table NA.2</t>
        </is>
      </c>
    </row>
    <row r="7">
      <c r="B7" s="51" t="inlineStr">
        <is>
          <t>Partial factor, reinforcement  γs</t>
        </is>
      </c>
      <c r="C7" s="52" t="inlineStr">
        <is>
          <t>2.4.2.4(1)</t>
        </is>
      </c>
      <c r="D7" s="53" t="n">
        <v>1.15</v>
      </c>
      <c r="E7" s="53" t="n">
        <v>1.15</v>
      </c>
      <c r="F7" s="52" t="inlineStr">
        <is>
          <t>UK NA: recommended; PL: NA.2, Table NA.2</t>
        </is>
      </c>
    </row>
    <row r="8">
      <c r="B8" s="51" t="inlineStr">
        <is>
          <t>αcc  (compression in flexure / axial)</t>
        </is>
      </c>
      <c r="C8" s="52" t="inlineStr">
        <is>
          <t>3.1.6(1)</t>
        </is>
      </c>
      <c r="D8" s="53" t="n">
        <v>0.85</v>
      </c>
      <c r="E8" s="53" t="n">
        <v>1</v>
      </c>
      <c r="F8" s="52" t="inlineStr">
        <is>
          <t>UK NA: 0.85; PL: recommended (NA.9)</t>
        </is>
      </c>
    </row>
    <row r="9">
      <c r="B9" s="51" t="inlineStr">
        <is>
          <t>αcc,pl  (plain concrete, compression)</t>
        </is>
      </c>
      <c r="C9" s="52" t="inlineStr">
        <is>
          <t>12.3.1(1)</t>
        </is>
      </c>
      <c r="D9" s="53" t="n">
        <v>0.6</v>
      </c>
      <c r="E9" s="53" t="n">
        <v>0.8</v>
      </c>
      <c r="F9" s="52" t="inlineStr">
        <is>
          <t>UK NA Table NA.1: 0.6; PL: recommended (NA.9)</t>
        </is>
      </c>
    </row>
    <row r="10">
      <c r="B10" s="51" t="inlineStr">
        <is>
          <t>αcc  (shear and punching)</t>
        </is>
      </c>
      <c r="C10" s="52" t="inlineStr">
        <is>
          <t>3.1.6(1)</t>
        </is>
      </c>
      <c r="D10" s="53" t="n">
        <v>1</v>
      </c>
      <c r="E10" s="53" t="n">
        <v>1</v>
      </c>
      <c r="F10" s="52" t="inlineStr">
        <is>
          <t>UK NA: 1.0 for other phenomena; PL: recommended (NA.9)</t>
        </is>
      </c>
    </row>
    <row r="11">
      <c r="B11" s="51" t="inlineStr">
        <is>
          <t>αct  (design tensile strength)</t>
        </is>
      </c>
      <c r="C11" s="52" t="inlineStr">
        <is>
          <t>3.1.6(2)</t>
        </is>
      </c>
      <c r="D11" s="53" t="n">
        <v>1</v>
      </c>
      <c r="E11" s="53" t="n">
        <v>1</v>
      </c>
      <c r="F11" s="52" t="inlineStr">
        <is>
          <t>Recommended value in both annexes</t>
        </is>
      </c>
    </row>
    <row r="12">
      <c r="B12" s="51" t="inlineStr">
        <is>
          <t>CRd,c numerator  (CRd,c = value / γc)</t>
        </is>
      </c>
      <c r="C12" s="52" t="inlineStr">
        <is>
          <t>6.2.2(1), 6.4.4(1)</t>
        </is>
      </c>
      <c r="D12" s="53" t="n">
        <v>0.18</v>
      </c>
      <c r="E12" s="53" t="n">
        <v>0.18</v>
      </c>
      <c r="F12" s="52" t="inlineStr">
        <is>
          <t>Recommended value in both annexes</t>
        </is>
      </c>
    </row>
    <row r="13">
      <c r="B13" s="51" t="inlineStr">
        <is>
          <t>k1  (axial stress term, punching)</t>
        </is>
      </c>
      <c r="C13" s="52" t="inlineStr">
        <is>
          <t>6.4.4(1)</t>
        </is>
      </c>
      <c r="D13" s="53" t="n">
        <v>0.1</v>
      </c>
      <c r="E13" s="53" t="n">
        <v>0.1</v>
      </c>
      <c r="F13" s="52" t="inlineStr">
        <is>
          <t>Recommended value in both annexes</t>
        </is>
      </c>
    </row>
    <row r="14">
      <c r="B14" s="51" t="inlineStr">
        <is>
          <t>vRd,max factor  (vRd,max = factor · ν · fcd)</t>
        </is>
      </c>
      <c r="C14" s="52" t="inlineStr">
        <is>
          <t>6.4.5(3)</t>
        </is>
      </c>
      <c r="D14" s="53" t="n">
        <v>0.5</v>
      </c>
      <c r="E14" s="53" t="n">
        <v>0.4</v>
      </c>
      <c r="F14" s="52" t="inlineStr">
        <is>
          <t>UK NA: 0.5 ν fcd; PL: recommended value (NA.9), 0.4 ν fcd since EN 1992-1-1 AC:2010 (PN-EN 1992-1-1:2008/AC:2011)</t>
        </is>
      </c>
    </row>
    <row r="15">
      <c r="B15" s="51" t="inlineStr">
        <is>
          <t>kmax  (vEd ≤ kmax · vRd,c at u1)</t>
        </is>
      </c>
      <c r="C15" s="52" t="inlineStr">
        <is>
          <t>6.4.5</t>
        </is>
      </c>
      <c r="D15" s="53" t="n">
        <v>2</v>
      </c>
      <c r="E15" s="53" t="n">
        <v>1.5</v>
      </c>
      <c r="F15" s="52" t="inlineStr">
        <is>
          <t>UK NA 6.4.5(3): 2 vRd,c. PL: no limit in PN-EN 1992-1-1:2008; 1.5 (A1:2014 recommendation) applied conservatively</t>
        </is>
      </c>
    </row>
    <row r="16">
      <c r="B16" s="51" t="inlineStr">
        <is>
          <t>φlarge  (large bar threshold, mm)</t>
        </is>
      </c>
      <c r="C16" s="52" t="inlineStr">
        <is>
          <t>8.8(1)</t>
        </is>
      </c>
      <c r="D16" s="53" t="n">
        <v>40</v>
      </c>
      <c r="E16" s="53" t="n">
        <v>32</v>
      </c>
      <c r="F16" s="52" t="inlineStr">
        <is>
          <t>UK NA: 40 mm; PL: 32 mm recommended (NA.9)</t>
        </is>
      </c>
    </row>
    <row r="17">
      <c r="B17" s="51" t="inlineStr">
        <is>
          <t>cot θ upper limit  (variable strut)</t>
        </is>
      </c>
      <c r="C17" s="52" t="inlineStr">
        <is>
          <t>6.2.3(2)</t>
        </is>
      </c>
      <c r="D17" s="53" t="n">
        <v>2.5</v>
      </c>
      <c r="E17" s="53" t="n">
        <v>2</v>
      </c>
      <c r="F17" s="52" t="inlineStr">
        <is>
          <t>UK NA: 2.5 (1.25 with axial tension); PL: NA.4, 1 ≤ cot θ ≤ 2.0</t>
        </is>
      </c>
    </row>
    <row r="18">
      <c r="B18" s="51" t="inlineStr">
        <is>
          <t>k1  (x/d limit, δ ≥ k1 + k2 xu/d)</t>
        </is>
      </c>
      <c r="C18" s="52" t="inlineStr">
        <is>
          <t>5.5(4)</t>
        </is>
      </c>
      <c r="D18" s="53" t="n">
        <v>0.4</v>
      </c>
      <c r="E18" s="53" t="n">
        <v>0.44</v>
      </c>
      <c r="F18" s="52" t="inlineStr">
        <is>
          <t>UK NA for fyk ≤ 500 MPa; PL: recommended (NA.9)</t>
        </is>
      </c>
    </row>
    <row r="19">
      <c r="B19" s="51" t="inlineStr">
        <is>
          <t>k2  (x/d limit, εcu2 = 0.0035)</t>
        </is>
      </c>
      <c r="C19" s="52" t="inlineStr">
        <is>
          <t>5.5(4)</t>
        </is>
      </c>
      <c r="D19" s="53" t="n">
        <v>1</v>
      </c>
      <c r="E19" s="53" t="n">
        <v>1.25</v>
      </c>
      <c r="F19" s="52" t="inlineStr">
        <is>
          <t>UK NA: 0.6 + 0.0014/εcu2; PL: 1.25(0.6 + 0.0014/εcu2)</t>
        </is>
      </c>
    </row>
    <row r="20">
      <c r="B20" s="51" t="inlineStr">
        <is>
          <t>Upper limit on the (310/σs) factor  (0 = none)</t>
        </is>
      </c>
      <c r="C20" s="52" t="inlineStr">
        <is>
          <t>7.4.2(2)</t>
        </is>
      </c>
      <c r="D20" s="53" t="n">
        <v>1.5</v>
      </c>
      <c r="E20" s="53" t="n">
        <v>0</v>
      </c>
      <c r="F20" s="52" t="inlineStr">
        <is>
          <t>UK NA Table NA.5 Note 5: (310/σs) or (500/fyk)(As,prov/As,req) ≤ 1.5; PL: none</t>
        </is>
      </c>
    </row>
    <row r="21">
      <c r="B21" s="51" t="inlineStr">
        <is>
          <t>L/d not to exceed 40 K  (1 = applies)</t>
        </is>
      </c>
      <c r="C21" s="52" t="inlineStr">
        <is>
          <t>7.4.2(2)</t>
        </is>
      </c>
      <c r="D21" s="53" t="n">
        <v>1</v>
      </c>
      <c r="E21" s="53" t="n">
        <v>0</v>
      </c>
      <c r="F21" s="52" t="inlineStr">
        <is>
          <t>UK NA Table NA.5 Note 6; not in EN text</t>
        </is>
      </c>
    </row>
    <row r="22">
      <c r="B22" s="51" t="inlineStr">
        <is>
          <t>φmin  (longitudinal bars in columns, mm)</t>
        </is>
      </c>
      <c r="C22" s="52" t="inlineStr">
        <is>
          <t>9.5.2(1)</t>
        </is>
      </c>
      <c r="D22" s="53" t="n">
        <v>12</v>
      </c>
      <c r="E22" s="53" t="n">
        <v>6</v>
      </c>
      <c r="F22" s="52" t="inlineStr">
        <is>
          <t>UK NA: 12 mm; PL: NA.6, 6 mm</t>
        </is>
      </c>
    </row>
    <row r="23">
      <c r="B23" s="51" t="inlineStr">
        <is>
          <t>k3  (crack spacing)</t>
        </is>
      </c>
      <c r="C23" s="52" t="inlineStr">
        <is>
          <t>7.3.4(3)</t>
        </is>
      </c>
      <c r="D23" s="53" t="n">
        <v>3.4</v>
      </c>
      <c r="E23" s="53" t="n">
        <v>3.4</v>
      </c>
      <c r="F23" s="52" t="inlineStr">
        <is>
          <t>Recommended value in both annexes</t>
        </is>
      </c>
    </row>
    <row r="24">
      <c r="B24" s="51" t="inlineStr">
        <is>
          <t>k4  (crack spacing)</t>
        </is>
      </c>
      <c r="C24" s="52" t="inlineStr">
        <is>
          <t>7.3.4(3)</t>
        </is>
      </c>
      <c r="D24" s="53" t="n">
        <v>0.425</v>
      </c>
      <c r="E24" s="53" t="n">
        <v>0.425</v>
      </c>
      <c r="F24" s="52" t="inlineStr">
        <is>
          <t>Recommended value in both annexes</t>
        </is>
      </c>
    </row>
    <row r="25">
      <c r="B25" s="51" t="inlineStr">
        <is>
          <t>k1  (concrete stress, characteristic; XD, XF, XS)</t>
        </is>
      </c>
      <c r="C25" s="52" t="inlineStr">
        <is>
          <t>7.2(2)</t>
        </is>
      </c>
      <c r="D25" s="53" t="n">
        <v>0.6</v>
      </c>
      <c r="E25" s="53" t="n">
        <v>1</v>
      </c>
      <c r="F25" s="52" t="inlineStr">
        <is>
          <t>UK NA: recommended; PL: NA.5, k1 = 1.0</t>
        </is>
      </c>
    </row>
    <row r="26">
      <c r="B26" s="51" t="inlineStr">
        <is>
          <t>k2  (concrete stress, quasi-permanent; linear creep)</t>
        </is>
      </c>
      <c r="C26" s="52" t="inlineStr">
        <is>
          <t>7.2(3)</t>
        </is>
      </c>
      <c r="D26" s="53" t="n">
        <v>0.45</v>
      </c>
      <c r="E26" s="53" t="n">
        <v>0.45</v>
      </c>
      <c r="F26" s="52" t="inlineStr">
        <is>
          <t>Recommended value in both annexes (UK NA; PL NA.9)</t>
        </is>
      </c>
    </row>
    <row r="27">
      <c r="B27" s="51" t="inlineStr">
        <is>
          <t>k3  (steel stress, characteristic)</t>
        </is>
      </c>
      <c r="C27" s="52" t="inlineStr">
        <is>
          <t>7.2(5)</t>
        </is>
      </c>
      <c r="D27" s="53" t="n">
        <v>0.8</v>
      </c>
      <c r="E27" s="53" t="n">
        <v>0.8</v>
      </c>
      <c r="F27" s="52" t="inlineStr">
        <is>
          <t>Recommended value in both annexes (UK NA; PL NA.9)</t>
        </is>
      </c>
    </row>
    <row r="28">
      <c r="B28" s="51" t="inlineStr">
        <is>
          <t>k4  (steel stress, imposed deformation)</t>
        </is>
      </c>
      <c r="C28" s="52" t="inlineStr">
        <is>
          <t>7.2(5)</t>
        </is>
      </c>
      <c r="D28" s="53" t="n">
        <v>1</v>
      </c>
      <c r="E28" s="53" t="n">
        <v>1</v>
      </c>
      <c r="F28" s="52"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&amp;K8A8A8ANAE-RC-039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NAE-RC-039 Creep and shrinkage</dc:title>
  <dc:subject xmlns:dc="http://purl.org/dc/elements/1.1/">Creep coefficient and shrinkage strain  ·  EN 1992-1-1 §3.1.4, Annex B  ·  UK NA / PN-EN</dc:subject>
  <dcterms:created xmlns:dcterms="http://purl.org/dc/terms/" xmlns:xsi="http://www.w3.org/2001/XMLSchema-instance" xsi:type="dcterms:W3CDTF">2026-10-30T10:58:40Z</dcterms:created>
  <dcterms:modified xmlns:dcterms="http://purl.org/dc/terms/" xmlns:xsi="http://www.w3.org/2001/XMLSchema-instance" xsi:type="dcterms:W3CDTF">2026-10-30T10:58:40Z</dcterms:modified>
  <cp:lastModifiedBy>NA Engineering sp. z o.o.</cp:lastModifiedBy>
  <cp:keywords>NA Engineering; Eurocode 2; EN 1992-1-1</cp:keywords>
</cp:coreProperties>
</file>