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pw_edges">'Calculation'!$E$13</definedName>
    <definedName name="pw_rigid">'Calculation'!$E$14</definedName>
    <definedName name="pw_h">'Calculation'!$E$15</definedName>
    <definedName name="pw_lw">'Calculation'!$E$16</definedName>
    <definedName name="pw_bw">'Calculation'!$E$17</definedName>
    <definedName name="pw_N">'Calculation'!$E$20</definedName>
    <definedName name="pw_e0">'Calculation'!$E$21</definedName>
    <definedName name="pw_ne">IF(pw_edges="Top and bottom  (two edges)",2,IF(pw_edges="Top  bottom and one vertical edge  (three)",3,4))</definedName>
    <definedName name="inputs_ok">IFERROR(AND(OR(NA_sel="UK NA (BS EN)",NA_sel="PL NA (PN-EN)"),OR(conc_class="C20/25",conc_class="C25/30",conc_class="C28/35",conc_class="C30/37",conc_class="C32/40",conc_class="C35/45",conc_class="C40/50",conc_class="C45/55",conc_class="C50/60"),OR(pw_edges="Top and bottom  (two edges)",pw_edges="Top  bottom and one vertical edge  (three)",pw_edges="All four edges"),OR(pw_rigid="Yes",pw_rigid="No"),ISNUMBER(pw_h),pw_h&gt;0,ISNUMBER(pw_lw),pw_lw&gt;0,IF(pw_ne&gt;2,IF(ISNUMBER(pw_bw),pw_bw&gt;0,FALSE),TRUE),ISNUMBER(pw_N),pw_N&gt;0,ISNUMBER(pw_e0),pw_e0&gt;=-1000000.0,AND(ABS(pw_e0)&lt;pw_h/2,pw_h&lt;pw_lw)),FALSE)</definedName>
    <definedName name="input_status">'Calculation'!$G$22</definedName>
    <definedName name="pw_Wd">IF(pw_ne=2,pw_lw,pw_bw)</definedName>
    <definedName name="axial_pw">IFERROR(AND(NRd_pw&gt;0,pw_N&lt;=NRd_pw),FALSE)</definedName>
    <definedName name="slend_pw">IFERROR(lam_pw&lt;=86,FALSE)</definedName>
    <definedName name="thick_pw">IFERROR(pw_h&gt;=120,FALSE)</definedName>
    <definedName name="axial_status">'Calculation'!$G$25</definedName>
    <definedName name="slend_status">'Calculation'!$G$26</definedName>
    <definedName name="thick_status">'Calculation'!$G$27</definedName>
    <definedName name="n_pw">'Calculation'!$E$57</definedName>
    <definedName name="beta_pw">'Calculation'!$E$58</definedName>
    <definedName name="kr_pw">'Calculation'!$E$59</definedName>
    <definedName name="l0_pw">'Calculation'!$E$60</definedName>
    <definedName name="lam_pw">'Calculation'!$E$61</definedName>
    <definedName name="chk_slend">'Calculation'!$G$62</definedName>
    <definedName name="chk_thick">'Calculation'!$G$63</definedName>
    <definedName name="gamma_c">'Calculation'!$E$66</definedName>
    <definedName name="alpha_cc_pl">'Calculation'!$E$67</definedName>
    <definedName name="f_ck">'Calculation'!$E$68</definedName>
    <definedName name="f_ctm">'Calculation'!$E$69</definedName>
    <definedName name="fcd_pw">'Calculation'!$E$70</definedName>
    <definedName name="ei_pw">'Calculation'!$E$71</definedName>
    <definedName name="etot_pw">'Calculation'!$E$72</definedName>
    <definedName name="Phi1_pw">'Calculation'!$E$73</definedName>
    <definedName name="Phi2_pw">'Calculation'!$E$74</definedName>
    <definedName name="Phi_pw">'Calculation'!$E$75</definedName>
    <definedName name="NRd_pw">'Calculation'!$E$76</definedName>
    <definedName name="chk_axial">'Calculation'!$G$77</definedName>
    <definedName name="h1_pw">'Calculation'!$E$80</definedName>
    <definedName name="h2_pw">'Calculation'!$E$81</definedName>
    <definedName name="h3_pw">'Calculation'!$E$82</definedName>
    <definedName name="hmin_pw">'Calculation'!$E$83</definedName>
    <definedName name="hadopt_pw">'Calculation'!$E$84</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'Calculation'!$A$1:$H$88</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4">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 fontId="16" fillId="4" borderId="0" applyAlignment="1" pivotButton="0" quotePrefix="0" xfId="0">
      <alignment horizontal="center" vertical="center"/>
    </xf>
    <xf numFmtId="165" fontId="16" fillId="4" borderId="0" applyAlignment="1" pivotButton="0" quotePrefix="0" xfId="0">
      <alignment horizontal="center" vertical="center"/>
    </xf>
    <xf numFmtId="166" fontId="16" fillId="4" borderId="0" applyAlignment="1" pivotButton="0" quotePrefix="0" xfId="0">
      <alignment horizontal="center" vertical="center"/>
    </xf>
    <xf numFmtId="0" fontId="17" fillId="0" borderId="0" pivotButton="0" quotePrefix="0" xfId="0"/>
    <xf numFmtId="1" fontId="5" fillId="0" borderId="1" applyAlignment="1" pivotButton="0" quotePrefix="0" xfId="0">
      <alignment horizontal="center" vertical="center"/>
    </xf>
    <xf numFmtId="166" fontId="5" fillId="0" borderId="1" applyAlignment="1" pivotButton="0" quotePrefix="0" xfId="0">
      <alignment horizontal="center" vertical="center"/>
    </xf>
    <xf numFmtId="2" fontId="5" fillId="0" borderId="1" applyAlignment="1" pivotButton="0" quotePrefix="0" xfId="0">
      <alignment horizontal="center" vertical="center"/>
    </xf>
    <xf numFmtId="1" fontId="12" fillId="0" borderId="1" applyAlignment="1" pivotButton="0" quotePrefix="0" xfId="0">
      <alignment horizontal="center" vertical="center"/>
    </xf>
    <xf numFmtId="165" fontId="5" fillId="0" borderId="1" applyAlignment="1" pivotButton="0" quotePrefix="0" xfId="0">
      <alignment horizontal="center" vertical="center"/>
    </xf>
    <xf numFmtId="166" fontId="12" fillId="0" borderId="1" applyAlignment="1" pivotButton="0" quotePrefix="0" xfId="0">
      <alignment horizontal="center" vertical="center"/>
    </xf>
    <xf numFmtId="165" fontId="12"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floor below</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'Geometry'!$D$3:$D$4</f>
            </numRef>
          </xVal>
          <yVal>
            <numRef>
              <f>'Geometry'!$E$3:$E$4</f>
            </numRef>
          </yVal>
          <smooth val="0"/>
        </ser>
        <ser>
          <idx val="2"/>
          <order val="2"/>
          <tx>
            <v>floor above</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wall face</v>
          </tx>
          <spPr>
            <a:ln xmlns:a="http://schemas.openxmlformats.org/drawingml/2006/main" w="12700">
              <a:solidFill>
                <a:srgbClr val="2B2B2B"/>
              </a:solidFill>
              <a:prstDash val="solid"/>
            </a:ln>
          </spPr>
          <marker>
            <symbol val="none"/>
            <spPr>
              <a:ln xmlns:a="http://schemas.openxmlformats.org/drawingml/2006/main">
                <a:prstDash val="solid"/>
              </a:ln>
            </spPr>
          </marker>
          <xVal>
            <numRef>
              <f>'Geometry'!$J$3:$J$7</f>
            </numRef>
          </xVal>
          <yVal>
            <numRef>
              <f>'Geometry'!$K$3:$K$7</f>
            </numRef>
          </yVal>
          <smooth val="0"/>
        </ser>
        <ser>
          <idx val="4"/>
          <order val="4"/>
          <tx>
            <v>left edge restrained</v>
          </tx>
          <spPr>
            <a:ln xmlns:a="http://schemas.openxmlformats.org/drawingml/2006/main" w="38100">
              <a:solidFill>
                <a:srgbClr val="5B7F8A"/>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right edge restrained</v>
          </tx>
          <spPr>
            <a:ln xmlns:a="http://schemas.openxmlformats.org/drawingml/2006/main" w="38100">
              <a:solidFill>
                <a:srgbClr val="5B7F8A"/>
              </a:solidFill>
              <a:prstDash val="solid"/>
            </a:ln>
          </spPr>
          <marker>
            <symbol val="none"/>
            <spPr>
              <a:ln xmlns:a="http://schemas.openxmlformats.org/drawingml/2006/main">
                <a:prstDash val="solid"/>
              </a:ln>
            </spPr>
          </marker>
          <xVal>
            <numRef>
              <f>'Geometry'!$P$3:$P$4</f>
            </numRef>
          </xVal>
          <yVal>
            <numRef>
              <f>'Geometry'!$Q$3:$Q$4</f>
            </numRef>
          </yVal>
          <smooth val="0"/>
        </ser>
        <ser>
          <idx val="6"/>
          <order val="6"/>
          <tx>
            <v>left edge free</v>
          </tx>
          <spPr>
            <a:ln xmlns:a="http://schemas.openxmlformats.org/drawingml/2006/main" w="19050">
              <a:solidFill>
                <a:srgbClr val="9A9A9A"/>
              </a:solidFill>
              <a:prstDash val="dash"/>
            </a:ln>
          </spPr>
          <marker>
            <symbol val="none"/>
            <spPr>
              <a:ln xmlns:a="http://schemas.openxmlformats.org/drawingml/2006/main">
                <a:prstDash val="solid"/>
              </a:ln>
            </spPr>
          </marker>
          <xVal>
            <numRef>
              <f>'Geometry'!$S$3:$S$4</f>
            </numRef>
          </xVal>
          <yVal>
            <numRef>
              <f>'Geometry'!$T$3:$T$4</f>
            </numRef>
          </yVal>
          <smooth val="0"/>
        </ser>
        <ser>
          <idx val="7"/>
          <order val="7"/>
          <tx>
            <v>right edge free</v>
          </tx>
          <spPr>
            <a:ln xmlns:a="http://schemas.openxmlformats.org/drawingml/2006/main" w="19050">
              <a:solidFill>
                <a:srgbClr val="9A9A9A"/>
              </a:solidFill>
              <a:prstDash val="dash"/>
            </a:ln>
          </spPr>
          <marker>
            <symbol val="none"/>
            <spPr>
              <a:ln xmlns:a="http://schemas.openxmlformats.org/drawingml/2006/main">
                <a:prstDash val="solid"/>
              </a:ln>
            </spPr>
          </marker>
          <xVal>
            <numRef>
              <f>'Geometry'!$V$3:$V$4</f>
            </numRef>
          </xVal>
          <yVal>
            <numRef>
              <f>'Geometry'!$W$3:$W$4</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'Geometry'!$Y$3</f>
            </numRef>
          </xVal>
          <yVal>
            <numRef>
              <f>'Geometry'!$Z$3</f>
            </numRef>
          </yVal>
          <smooth val="0"/>
        </ser>
        <ser>
          <idx val="9"/>
          <order val="9"/>
          <tx>
            <strRef>
              <f>'Geometry'!$AB$2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l"/>
            <showLegendKey val="0"/>
            <showVal val="0"/>
            <showCatName val="0"/>
            <showSerName val="1"/>
            <showPercent val="0"/>
          </dLbls>
          <xVal>
            <numRef>
              <f>'Geometry'!$AB$3</f>
            </numRef>
          </xVal>
          <yVal>
            <numRef>
              <f>'Geometry'!$AC$3</f>
            </numRef>
          </yVal>
          <smooth val="0"/>
        </ser>
        <ser>
          <idx val="10"/>
          <order val="1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'Geometry'!$AE$3:$AE$4</f>
            </numRef>
          </xVal>
          <yVal>
            <numRef>
              <f>'Geometry'!$AF$3:$AF$4</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'Geometry'!$AH$3</f>
            </numRef>
          </xVal>
          <yVal>
            <numRef>
              <f>'Geometry'!$AI$3</f>
            </numRef>
          </yVal>
          <smooth val="0"/>
        </ser>
        <ser>
          <idx val="12"/>
          <order val="1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'Geometry'!$AK$3:$AK$4</f>
            </numRef>
          </xVal>
          <yVal>
            <numRef>
              <f>'Geometry'!$AL$3:$AL$4</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'Geometry'!$AN$3</f>
            </numRef>
          </xVal>
          <yVal>
            <numRef>
              <f>'Geometry'!$AO$3</f>
            </numRef>
          </yVal>
          <smooth val="0"/>
        </ser>
        <ser>
          <idx val="14"/>
          <order val="14"/>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'Geometry'!$AQ$3:$AQ$7</f>
            </numRef>
          </xVal>
          <yVal>
            <numRef>
              <f>'Geometry'!$AR$3:$AR$7</f>
            </numRef>
          </yVal>
          <smooth val="0"/>
        </ser>
        <ser>
          <idx val="15"/>
          <order val="15"/>
          <tx>
            <v>slab below</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'Geometry'!$AT$3:$AT$4</f>
            </numRef>
          </xVal>
          <yVal>
            <numRef>
              <f>'Geometry'!$AU$3:$AU$4</f>
            </numRef>
          </yVal>
          <smooth val="0"/>
        </ser>
        <ser>
          <idx val="16"/>
          <order val="16"/>
          <tx>
            <v>slab above</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'Geometry'!$AW$3:$AW$4</f>
            </numRef>
          </xVal>
          <yVal>
            <numRef>
              <f>'Geometry'!$AX$3:$AX$4</f>
            </numRef>
          </yVal>
          <smooth val="0"/>
        </ser>
        <ser>
          <idx val="17"/>
          <order val="17"/>
          <tx>
            <v>load</v>
          </tx>
          <spPr>
            <a:ln xmlns:a="http://schemas.openxmlformats.org/drawingml/2006/main" w="25400">
              <a:solidFill>
                <a:srgbClr val="B3261E"/>
              </a:solidFill>
              <a:prstDash val="solid"/>
              <a:tailEnd type="triangle" w="sm" len="sm"/>
            </a:ln>
          </spPr>
          <marker>
            <symbol val="none"/>
            <spPr>
              <a:ln xmlns:a="http://schemas.openxmlformats.org/drawingml/2006/main">
                <a:prstDash val="solid"/>
              </a:ln>
            </spPr>
          </marker>
          <xVal>
            <numRef>
              <f>'Geometry'!$AZ$3:$AZ$4</f>
            </numRef>
          </xVal>
          <yVal>
            <numRef>
              <f>'Geometry'!$BA$3:$BA$4</f>
            </numRef>
          </yVal>
          <smooth val="0"/>
        </ser>
        <ser>
          <idx val="18"/>
          <order val="18"/>
          <tx>
            <strRef>
              <f>'Geometry'!$BC$2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'Geometry'!$BC$3</f>
            </numRef>
          </xVal>
          <yVal>
            <numRef>
              <f>'Geometry'!$BD$3</f>
            </numRef>
          </yVal>
          <smooth val="0"/>
        </ser>
        <ser>
          <idx val="19"/>
          <order val="19"/>
          <tx>
            <strRef>
              <f>'Geometry'!$BF$2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'Geometry'!$BF$3</f>
            </numRef>
          </xVal>
          <yVal>
            <numRef>
              <f>'Geometry'!$BG$3</f>
            </numRef>
          </yVal>
          <smooth val="0"/>
        </ser>
        <ser>
          <idx val="20"/>
          <order val="2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'Geometry'!$BI$3:$BI$4</f>
            </numRef>
          </xVal>
          <yVal>
            <numRef>
              <f>'Geometry'!$BJ$3:$BJ$4</f>
            </numRef>
          </yVal>
          <smooth val="0"/>
        </ser>
        <ser>
          <idx val="21"/>
          <order val="21"/>
          <tx>
            <strRef>
              <f>'Geometry'!$BL$2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'Geometry'!$BL$3</f>
            </numRef>
          </xVal>
          <yVal>
            <numRef>
              <f>'Geometry'!$BM$3</f>
            </numRef>
          </yVal>
          <smooth val="0"/>
        </ser>
        <ser>
          <idx val="22"/>
          <order val="22"/>
          <tx>
            <v>frame</v>
          </tx>
          <spPr>
            <a:ln xmlns:a="http://schemas.openxmlformats.org/drawingml/2006/main">
              <a:noFill/>
              <a:prstDash val="solid"/>
            </a:ln>
          </spPr>
          <marker>
            <symbol val="none"/>
            <spPr>
              <a:ln xmlns:a="http://schemas.openxmlformats.org/drawingml/2006/main">
                <a:prstDash val="solid"/>
              </a:ln>
            </spPr>
          </marker>
          <xVal>
            <numRef>
              <f>'Geometry'!$BO$3:$BO$4</f>
            </numRef>
          </xVal>
          <yVal>
            <numRef>
              <f>'Geometry'!$BP$3:$BP$4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33</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Plain concrete wall</t>
        </is>
      </c>
    </row>
    <row r="8" ht="20" customHeight="1">
      <c r="B8" s="4" t="inlineStr">
        <is>
          <t>Unreinforced wall under vertical load  ·  EN 1992-1-1 §12.6.5  ·  UK NA / PN-EN</t>
        </is>
      </c>
    </row>
    <row r="10">
      <c r="B10" s="5" t="inlineStr">
        <is>
          <t>Reference</t>
        </is>
      </c>
      <c r="C10" s="6" t="inlineStr">
        <is>
          <t>NAE-RC-038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Vertical load capacity of a braced plain (unreinforced) concrete wall per metre run by the simplified method of 12.6.5.2: effective length from the restraint of its edges (Table 12.1), slenderness, the eccentricity factor Φ and the least thickness for the load entered.</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92.5" customHeight="1">
      <c r="B22" s="7" t="inlineStr">
        <is>
          <t>Braced wall of plain concrete cast in situ, constant thickness hw, clear height lw between floors, laterally restrained top and bottom and, where entered, along one or two vertical edges by transverse walls a distance b apart (three edges: b from the transverse wall to the free edge). l0 = β lw with β from Table 12.1 (1.0; 1 / (1 + (lw / 3b)²); 1 / (1 + (lw / b)²) when b ≥ lw or b / 2 lw when b &lt; lw), factored by 0.85 where top and bottom are connected rigidly by in situ concrete and reinforcement (12.6.5.1(4)). Transverse walls must meet 12.6.5.1(3) (depth ≥ 0.5 hw, same height, length ≥ lw / 5 without openings); openings taller than lw / 3 or larger than 1/10 of the wall area reduce the restraint to two edges (Table 12.1, Note); chases and recesses are not covered (12.6.5.1(2)). NRd = b hw fcd,pl Φ (12.10), Φ = 1.14 (1 − 2 etot / hw) − 0.02 l0 / hw ≤ 1 − 2 etot / hw (12.11), etot = e0 + ei with e0 the first-order eccentricity entered (floor clamping moments and horizontal actions included, either sign) and ei = l0 / 400 (5.2(9)); fcd,pl = αcc,pl fck / γc with αcc,pl = 0.6 (UK NA) or 0.8 (PL NA, recommended value). Slenderness λ = l0 / i, i = hw / √12, not above 86 (12.6.5.1(5)); thickness at least 120 mm (12.9.1(1)). Concentrated loads, local bearing (RC-029) and shear are not covered. Concrete classes up to C50/60.
The second-generation EN 1992-1-1:2023 is not yet implemented.</t>
        </is>
      </c>
    </row>
    <row r="24" ht="20" customHeight="1">
      <c r="B24" s="8" t="inlineStr">
        <is>
          <t>Further reading and independent cross-check</t>
        </is>
      </c>
      <c r="C24" s="9" t="n"/>
    </row>
    <row r="25" ht="76.5" customHeight="1">
      <c r="B25" s="10" t="inlineStr">
        <is>
          <t>•  The Concrete Centre, Concise Eurocode 2, 12 (plain concrete).
•  IStructE, Manual for the design of concrete building structures to Eurocode 2 (walls).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&amp;K8A8A8ANAE-RC-038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87"/>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Plain concrete wall</t>
        </is>
      </c>
      <c r="H2" s="1" t="n"/>
    </row>
    <row r="3" ht="16" customHeight="1">
      <c r="A3" s="1" t="n"/>
      <c r="B3" s="1" t="n"/>
      <c r="C3" s="15" t="inlineStr">
        <is>
          <t>NAE-RC-038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wall</t>
        </is>
      </c>
      <c r="C10" s="21" t="n"/>
      <c r="D10" s="21" t="n"/>
      <c r="E10" s="21" t="n"/>
      <c r="F10" s="21" t="n"/>
      <c r="G10" s="22" t="inlineStr">
        <is>
          <t>Shaded cells only;  per metre run</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C25/30</t>
        </is>
      </c>
      <c r="F12" s="23" t="n"/>
      <c r="G12" s="23" t="n"/>
    </row>
    <row r="13" ht="17" customHeight="1">
      <c r="B13" s="23" t="n"/>
      <c r="C13" s="24" t="inlineStr">
        <is>
          <t>Lateral restraint</t>
        </is>
      </c>
      <c r="D13" s="23" t="n"/>
      <c r="E13" s="25" t="inlineStr">
        <is>
          <t>Top and bottom  (two edges)</t>
        </is>
      </c>
      <c r="F13" s="23" t="n"/>
      <c r="G13" s="23" t="n"/>
    </row>
    <row r="14" ht="17" customHeight="1">
      <c r="B14" s="26" t="inlineStr">
        <is>
          <t>12.6.5.1(4)</t>
        </is>
      </c>
      <c r="C14" s="24" t="inlineStr">
        <is>
          <t>Top and bottom connected rigidly  (in situ, reinforced)</t>
        </is>
      </c>
      <c r="D14" s="23" t="n"/>
      <c r="E14" s="25" t="inlineStr">
        <is>
          <t>No</t>
        </is>
      </c>
      <c r="F14" s="23" t="n"/>
      <c r="G14" s="23" t="n"/>
    </row>
    <row r="15" ht="17" customHeight="1">
      <c r="B15" s="23" t="n"/>
      <c r="C15" s="24" t="inlineStr">
        <is>
          <t>Wall thickness</t>
        </is>
      </c>
      <c r="D15" s="27" t="inlineStr">
        <is>
          <r>
            <rPr>
              <rFont val="Calibri"/>
              <i val="1"/>
              <color rgb="002B2B2B"/>
              <sz val="10"/>
            </rPr>
            <t>h</t>
          </r>
          <r>
            <rPr>
              <rFont val="Calibri"/>
              <i val="1"/>
              <color rgb="002B2B2B"/>
              <sz val="10"/>
              <vertAlign val="subscript"/>
            </rPr>
            <t>w</t>
          </r>
        </is>
      </c>
      <c r="E15" s="25" t="n">
        <v>200</v>
      </c>
      <c r="F15" s="28" t="inlineStr">
        <is>
          <t>mm</t>
        </is>
      </c>
      <c r="G15" s="23" t="n"/>
    </row>
    <row r="16" ht="17" customHeight="1">
      <c r="B16" s="23" t="n"/>
      <c r="C16" s="24" t="inlineStr">
        <is>
          <t>Clear height between floors</t>
        </is>
      </c>
      <c r="D16" s="27" t="inlineStr">
        <is>
          <r>
            <rPr>
              <rFont val="Calibri"/>
              <i val="1"/>
              <color rgb="002B2B2B"/>
              <sz val="10"/>
            </rPr>
            <t>l</t>
          </r>
          <r>
            <rPr>
              <rFont val="Calibri"/>
              <i val="1"/>
              <color rgb="002B2B2B"/>
              <sz val="10"/>
              <vertAlign val="subscript"/>
            </rPr>
            <t>w</t>
          </r>
        </is>
      </c>
      <c r="E16" s="25" t="n">
        <v>3000</v>
      </c>
      <c r="F16" s="28" t="inlineStr">
        <is>
          <t>mm</t>
        </is>
      </c>
      <c r="G16" s="23" t="n"/>
    </row>
    <row r="17" ht="17" customHeight="1">
      <c r="B17" s="23" t="n"/>
      <c r="C17" s="24" t="inlineStr">
        <is>
          <t>Transverse walls: distance b  (three edges: to the free edge)</t>
        </is>
      </c>
      <c r="D17" s="27" t="inlineStr">
        <is>
          <r>
            <rPr>
              <rFont val="Calibri"/>
              <i val="1"/>
              <color rgb="002B2B2B"/>
              <sz val="10"/>
            </rPr>
            <t>b</t>
          </r>
        </is>
      </c>
      <c r="E17" s="25" t="n">
        <v>4000</v>
      </c>
      <c r="F17" s="28" t="inlineStr">
        <is>
          <t>mm</t>
        </is>
      </c>
      <c r="G17" s="23" t="n"/>
    </row>
    <row r="19" ht="22" customHeight="1">
      <c r="B19" s="20" t="inlineStr">
        <is>
          <t>Inputs  ·  load</t>
        </is>
      </c>
      <c r="C19" s="21" t="n"/>
      <c r="D19" s="21" t="n"/>
      <c r="E19" s="21" t="n"/>
      <c r="F19" s="21" t="n"/>
      <c r="G19" s="22" t="inlineStr">
        <is>
          <t>Ultimate limit state</t>
        </is>
      </c>
    </row>
    <row r="20" ht="17" customHeight="1">
      <c r="B20" s="23" t="n"/>
      <c r="C20" s="24" t="inlineStr">
        <is>
          <t>Design vertical load</t>
        </is>
      </c>
      <c r="D20" s="27" t="inlineStr">
        <is>
          <r>
            <rPr>
              <rFont val="Calibri"/>
              <i val="1"/>
              <color rgb="002B2B2B"/>
              <sz val="10"/>
            </rPr>
            <t>N</t>
          </r>
          <r>
            <rPr>
              <rFont val="Calibri"/>
              <i val="1"/>
              <color rgb="002B2B2B"/>
              <sz val="10"/>
              <vertAlign val="subscript"/>
            </rPr>
            <t>Ed</t>
          </r>
        </is>
      </c>
      <c r="E20" s="29" t="n">
        <v>400</v>
      </c>
      <c r="F20" s="28" t="inlineStr">
        <is>
          <t>kN/m</t>
        </is>
      </c>
      <c r="G20" s="23" t="n"/>
    </row>
    <row r="21" ht="17" customHeight="1">
      <c r="B21" s="23" t="n"/>
      <c r="C21" s="24" t="inlineStr">
        <is>
          <t>First-order eccentricity  (either sign)</t>
        </is>
      </c>
      <c r="D21" s="27" t="inlineStr">
        <is>
          <r>
            <rPr>
              <rFont val="Calibri"/>
              <i val="1"/>
              <color rgb="002B2B2B"/>
              <sz val="10"/>
            </rPr>
            <t>e</t>
          </r>
          <r>
            <rPr>
              <rFont val="Calibri"/>
              <i val="1"/>
              <color rgb="002B2B2B"/>
              <sz val="10"/>
              <vertAlign val="subscript"/>
            </rPr>
            <t>0</t>
          </r>
        </is>
      </c>
      <c r="E21" s="29" t="n">
        <v>10</v>
      </c>
      <c r="F21" s="28" t="inlineStr">
        <is>
          <t>mm</t>
        </is>
      </c>
      <c r="G21" s="26" t="inlineStr">
        <is>
          <t>M0Ed / NEd</t>
        </is>
      </c>
    </row>
    <row r="22" ht="17" customHeight="1">
      <c r="B22" s="23" t="n"/>
      <c r="C22" s="24" t="inlineStr">
        <is>
          <t>Inputs valid and consistent</t>
        </is>
      </c>
      <c r="D22" s="23" t="n"/>
      <c r="E22" s="9" t="n"/>
      <c r="F22" s="23" t="n"/>
      <c r="G22" s="30">
        <f>IF(inputs_ok,"OK","FAIL")</f>
        <v/>
      </c>
    </row>
    <row r="24" ht="22" customHeight="1">
      <c r="B24" s="20" t="inlineStr">
        <is>
          <t>Results</t>
        </is>
      </c>
      <c r="C24" s="21" t="n"/>
      <c r="D24" s="21" t="n"/>
      <c r="E24" s="21" t="n"/>
      <c r="F24" s="21" t="n"/>
      <c r="G24" s="21" t="n"/>
    </row>
    <row r="25" ht="26" customHeight="1">
      <c r="B25" s="31" t="n"/>
      <c r="C25" s="32" t="inlineStr">
        <is>
          <t>Axial  NEd / NRd  (12.10)</t>
        </is>
      </c>
      <c r="D25" s="31" t="n"/>
      <c r="E25" s="33">
        <f>IF(inputs_ok,IF(NRd_pw&lt;=0,"no resistance",pw_N/NRd_pw),"–")</f>
        <v/>
      </c>
      <c r="F25" s="34" t="inlineStr"/>
      <c r="G25" s="35">
        <f>IF(NOT(inputs_ok),"FAIL",IF(axial_pw,"OK","FAIL"))</f>
        <v/>
      </c>
    </row>
    <row r="26" ht="26" customHeight="1">
      <c r="B26" s="31" t="n"/>
      <c r="C26" s="32" t="inlineStr">
        <is>
          <t>Slenderness  λ / 86  (12.6.5.1(5))</t>
        </is>
      </c>
      <c r="D26" s="31" t="n"/>
      <c r="E26" s="33">
        <f>IF(inputs_ok,lam_pw/86,"–")</f>
        <v/>
      </c>
      <c r="F26" s="34" t="inlineStr"/>
      <c r="G26" s="35">
        <f>IF(NOT(inputs_ok),"FAIL",IF(slend_pw,"OK","FAIL"))</f>
        <v/>
      </c>
    </row>
    <row r="27" ht="26" customHeight="1">
      <c r="B27" s="31" t="n"/>
      <c r="C27" s="32" t="inlineStr">
        <is>
          <t>Thickness  hw ≥ 120 mm  (12.9.1)</t>
        </is>
      </c>
      <c r="D27" s="36" t="inlineStr">
        <is>
          <r>
            <rPr>
              <rFont val="Calibri"/>
              <i val="1"/>
              <color rgb="002B2B2B"/>
              <sz val="11"/>
            </rPr>
            <t>h</t>
          </r>
          <r>
            <rPr>
              <rFont val="Calibri"/>
              <i val="1"/>
              <color rgb="002B2B2B"/>
              <sz val="11"/>
              <vertAlign val="subscript"/>
            </rPr>
            <t>w</t>
          </r>
        </is>
      </c>
      <c r="E27" s="37">
        <f>IF(inputs_ok,pw_h,"–")</f>
        <v/>
      </c>
      <c r="F27" s="34" t="inlineStr">
        <is>
          <t>mm</t>
        </is>
      </c>
      <c r="G27" s="35">
        <f>IF(NOT(inputs_ok),"FAIL",IF(thick_pw,"OK","FAIL"))</f>
        <v/>
      </c>
    </row>
    <row r="28" ht="26" customHeight="1">
      <c r="B28" s="31" t="n"/>
      <c r="C28" s="32" t="inlineStr">
        <is>
          <t>Axial resistance</t>
        </is>
      </c>
      <c r="D28" s="36" t="inlineStr">
        <is>
          <r>
            <rPr>
              <rFont val="Calibri"/>
              <i val="1"/>
              <color rgb="002B2B2B"/>
              <sz val="11"/>
            </rPr>
            <t>N</t>
          </r>
          <r>
            <rPr>
              <rFont val="Calibri"/>
              <i val="1"/>
              <color rgb="002B2B2B"/>
              <sz val="11"/>
              <vertAlign val="subscript"/>
            </rPr>
            <t>Rd</t>
          </r>
        </is>
      </c>
      <c r="E28" s="38">
        <f>IF(inputs_ok,NRd_pw,"–")</f>
        <v/>
      </c>
      <c r="F28" s="34" t="inlineStr">
        <is>
          <t>kN/m</t>
        </is>
      </c>
      <c r="G28" s="31" t="n"/>
    </row>
    <row r="29" ht="26" customHeight="1">
      <c r="B29" s="31" t="n"/>
      <c r="C29" s="32" t="inlineStr">
        <is>
          <t>Least thickness for NEd, λ ≤ 86 and 120 mm  (rounded up)</t>
        </is>
      </c>
      <c r="D29" s="36" t="inlineStr">
        <is>
          <r>
            <rPr>
              <rFont val="Calibri"/>
              <i val="1"/>
              <color rgb="002B2B2B"/>
              <sz val="11"/>
            </rPr>
            <t>h</t>
          </r>
          <r>
            <rPr>
              <rFont val="Calibri"/>
              <i val="1"/>
              <color rgb="002B2B2B"/>
              <sz val="11"/>
              <vertAlign val="subscript"/>
            </rPr>
            <t>w,min</t>
          </r>
        </is>
      </c>
      <c r="E29" s="37">
        <f>IF(inputs_ok,IF(hadopt_pw&lt;pw_lw,hadopt_pw,"none below lw"),"–")</f>
        <v/>
      </c>
      <c r="F29" s="34" t="inlineStr">
        <is>
          <t>mm</t>
        </is>
      </c>
      <c r="G29" s="31" t="n"/>
    </row>
    <row r="30" ht="26" customHeight="1">
      <c r="B30" s="31" t="n"/>
      <c r="C30" s="32" t="inlineStr">
        <is>
          <t>Effective length</t>
        </is>
      </c>
      <c r="D30" s="36" t="inlineStr">
        <is>
          <r>
            <rPr>
              <rFont val="Calibri"/>
              <i val="1"/>
              <color rgb="002B2B2B"/>
              <sz val="11"/>
            </rPr>
            <t>l</t>
          </r>
          <r>
            <rPr>
              <rFont val="Calibri"/>
              <i val="1"/>
              <color rgb="002B2B2B"/>
              <sz val="11"/>
              <vertAlign val="subscript"/>
            </rPr>
            <t>0</t>
          </r>
        </is>
      </c>
      <c r="E30" s="37">
        <f>IF(inputs_ok,l0_pw,"–")</f>
        <v/>
      </c>
      <c r="F30" s="34" t="inlineStr">
        <is>
          <t>mm</t>
        </is>
      </c>
      <c r="G30" s="31" t="n"/>
    </row>
    <row r="31" ht="26" customHeight="1">
      <c r="B31" s="31" t="n"/>
      <c r="C31" s="32" t="inlineStr">
        <is>
          <t>Eccentricity factor  (12.11)</t>
        </is>
      </c>
      <c r="D31" s="36" t="inlineStr">
        <is>
          <r>
            <rPr>
              <rFont val="Calibri"/>
              <i val="1"/>
              <color rgb="002B2B2B"/>
              <sz val="11"/>
            </rPr>
            <t>Φ</t>
          </r>
        </is>
      </c>
      <c r="E31" s="39">
        <f>IF(inputs_ok,Phi_pw,"–")</f>
        <v/>
      </c>
      <c r="F31" s="34" t="inlineStr"/>
      <c r="G31" s="31" t="n"/>
    </row>
    <row r="32"/>
    <row r="33">
      <c r="B33" s="40" t="inlineStr">
        <is>
          <t>Your wall  ·  elevation with the restrained edges (thick) and free edges (dashed), and a section through it to the same scale with the load at its eccentricity</t>
        </is>
      </c>
    </row>
    <row r="34"/>
    <row r="35"/>
    <row r="36"/>
    <row r="37"/>
    <row r="38"/>
    <row r="39"/>
    <row r="40"/>
    <row r="41"/>
    <row r="42"/>
    <row r="43"/>
    <row r="44"/>
    <row r="45"/>
    <row r="46"/>
    <row r="47"/>
    <row r="48"/>
    <row r="49"/>
    <row r="50"/>
    <row r="51"/>
    <row r="52"/>
    <row r="53"/>
    <row r="54"/>
    <row r="55"/>
    <row r="56" ht="22" customHeight="1">
      <c r="B56" s="20" t="inlineStr">
        <is>
          <t>Calculation  ·  effective length, 12.6.5.1</t>
        </is>
      </c>
      <c r="C56" s="21" t="n"/>
      <c r="D56" s="21" t="n"/>
      <c r="E56" s="21" t="n"/>
      <c r="F56" s="21" t="n"/>
      <c r="G56" s="21" t="n"/>
    </row>
    <row r="57" ht="17" customHeight="1">
      <c r="B57" s="26" t="inlineStr">
        <is>
          <t>Table 12.1</t>
        </is>
      </c>
      <c r="C57" s="24" t="inlineStr">
        <is>
          <t>Restrained edges</t>
        </is>
      </c>
      <c r="D57" s="27" t="inlineStr">
        <is>
          <r>
            <rPr>
              <rFont val="Calibri"/>
              <i val="1"/>
              <color rgb="002B2B2B"/>
              <sz val="10"/>
            </rPr>
            <t>n</t>
          </r>
        </is>
      </c>
      <c r="E57" s="41">
        <f>IF(inputs_ok,pw_ne,NA())</f>
        <v/>
      </c>
      <c r="F57" s="23" t="n"/>
      <c r="G57" s="23" t="n"/>
    </row>
    <row r="58" ht="17" customHeight="1">
      <c r="B58" s="26" t="inlineStr">
        <is>
          <t>Table 12.1</t>
        </is>
      </c>
      <c r="C58" s="24" t="inlineStr">
        <is>
          <t>β  (2: 1.0;  3: 1/(1+(lw/3b)²);  4: 1/(1+(lw/b)²) or b/2lw)</t>
        </is>
      </c>
      <c r="D58" s="27" t="inlineStr">
        <is>
          <r>
            <rPr>
              <rFont val="Calibri"/>
              <i val="1"/>
              <color rgb="002B2B2B"/>
              <sz val="10"/>
            </rPr>
            <t>β</t>
          </r>
        </is>
      </c>
      <c r="E58" s="42">
        <f>IF(inputs_ok,IF(pw_ne=2,1,IF(pw_ne=3,1/(1+(pw_lw/(3*pw_bw))^2),IF(pw_bw&gt;=pw_lw,1/(1+(pw_lw/pw_bw)^2),pw_bw/(2*pw_lw)))),NA())</f>
        <v/>
      </c>
      <c r="F58" s="23" t="n"/>
      <c r="G58" s="23" t="n"/>
    </row>
    <row r="59" ht="17" customHeight="1">
      <c r="B59" s="26" t="inlineStr">
        <is>
          <t>12.6.5.1(4)</t>
        </is>
      </c>
      <c r="C59" s="24" t="inlineStr">
        <is>
          <t>Rigid top and bottom  (Yes: × 0.85)</t>
        </is>
      </c>
      <c r="D59" s="23" t="n"/>
      <c r="E59" s="43">
        <f>IF(inputs_ok,IF(pw_rigid="Yes",0.85,1),NA())</f>
        <v/>
      </c>
      <c r="F59" s="23" t="n"/>
      <c r="G59" s="23" t="n"/>
    </row>
    <row r="60" ht="17" customHeight="1">
      <c r="B60" s="26" t="inlineStr">
        <is>
          <t>(12.9)</t>
        </is>
      </c>
      <c r="C60" s="24" t="inlineStr">
        <is>
          <t>Effective length  β lw</t>
        </is>
      </c>
      <c r="D60" s="27" t="inlineStr">
        <is>
          <r>
            <rPr>
              <rFont val="Calibri"/>
              <i val="1"/>
              <color rgb="002B2B2B"/>
              <sz val="10"/>
            </rPr>
            <t>l</t>
          </r>
          <r>
            <rPr>
              <rFont val="Calibri"/>
              <i val="1"/>
              <color rgb="002B2B2B"/>
              <sz val="10"/>
              <vertAlign val="subscript"/>
            </rPr>
            <t>0</t>
          </r>
        </is>
      </c>
      <c r="E60" s="44">
        <f>IF(inputs_ok,kr_pw*beta_pw*pw_lw,NA())</f>
        <v/>
      </c>
      <c r="F60" s="28" t="inlineStr">
        <is>
          <t>mm</t>
        </is>
      </c>
      <c r="G60" s="23" t="n"/>
    </row>
    <row r="61" ht="17" customHeight="1">
      <c r="B61" s="26" t="inlineStr">
        <is>
          <t>(12.8)</t>
        </is>
      </c>
      <c r="C61" s="24" t="inlineStr">
        <is>
          <t>Slenderness  l0 / i,  i = hw / √12</t>
        </is>
      </c>
      <c r="D61" s="27" t="inlineStr">
        <is>
          <r>
            <rPr>
              <rFont val="Calibri"/>
              <i val="1"/>
              <color rgb="002B2B2B"/>
              <sz val="10"/>
            </rPr>
            <t>λ</t>
          </r>
        </is>
      </c>
      <c r="E61" s="45">
        <f>IF(inputs_ok,l0_pw/(pw_h/SQRT(12)),NA())</f>
        <v/>
      </c>
      <c r="F61" s="23" t="n"/>
      <c r="G61" s="23" t="n"/>
    </row>
    <row r="62" ht="17" customHeight="1">
      <c r="B62" s="26" t="inlineStr">
        <is>
          <t>12.6.5.1(5)</t>
        </is>
      </c>
      <c r="C62" s="24" t="inlineStr">
        <is>
          <t>λ ≤ 86  (l0 / hw ≤ 25)</t>
        </is>
      </c>
      <c r="D62" s="23" t="n"/>
      <c r="E62" s="45">
        <f>IF(inputs_ok,lam_pw,NA())</f>
        <v/>
      </c>
      <c r="F62" s="23" t="n"/>
      <c r="G62" s="30">
        <f>IF(NOT(inputs_ok),"FAIL",IF(slend_pw,"OK","FAIL"))</f>
        <v/>
      </c>
    </row>
    <row r="63" ht="17" customHeight="1">
      <c r="B63" s="26" t="inlineStr">
        <is>
          <t>12.9.1(1)</t>
        </is>
      </c>
      <c r="C63" s="24" t="inlineStr">
        <is>
          <t>hw ≥ 120 mm, cast in situ</t>
        </is>
      </c>
      <c r="D63" s="27" t="inlineStr">
        <is>
          <r>
            <rPr>
              <rFont val="Calibri"/>
              <i val="1"/>
              <color rgb="002B2B2B"/>
              <sz val="10"/>
            </rPr>
            <t>h</t>
          </r>
          <r>
            <rPr>
              <rFont val="Calibri"/>
              <i val="1"/>
              <color rgb="002B2B2B"/>
              <sz val="10"/>
              <vertAlign val="subscript"/>
            </rPr>
            <t>w</t>
          </r>
        </is>
      </c>
      <c r="E63" s="41">
        <f>IF(inputs_ok,pw_h,NA())</f>
        <v/>
      </c>
      <c r="F63" s="28" t="inlineStr">
        <is>
          <t>mm</t>
        </is>
      </c>
      <c r="G63" s="30">
        <f>IF(NOT(inputs_ok),"FAIL",IF(thick_pw,"OK","FAIL"))</f>
        <v/>
      </c>
    </row>
    <row r="64"/>
    <row r="65" ht="22" customHeight="1">
      <c r="B65" s="20" t="inlineStr">
        <is>
          <t>Calculation  ·  axial resistance, 12.6.5.2</t>
        </is>
      </c>
      <c r="C65" s="21" t="n"/>
      <c r="D65" s="21" t="n"/>
      <c r="E65" s="21" t="n"/>
      <c r="F65" s="21" t="n"/>
      <c r="G65" s="21" t="n"/>
    </row>
    <row r="66" ht="17" customHeight="1">
      <c r="B66" s="26" t="inlineStr">
        <is>
          <t>2.4.2.4(1)</t>
        </is>
      </c>
      <c r="C66" s="24" t="inlineStr">
        <is>
          <t>Partial factor, concrete</t>
        </is>
      </c>
      <c r="D66" s="27" t="inlineStr">
        <is>
          <r>
            <rPr>
              <rFont val="Calibri"/>
              <i val="1"/>
              <color rgb="002B2B2B"/>
              <sz val="10"/>
            </rPr>
            <t>γ</t>
          </r>
          <r>
            <rPr>
              <rFont val="Calibri"/>
              <i val="1"/>
              <color rgb="002B2B2B"/>
              <sz val="10"/>
              <vertAlign val="subscript"/>
            </rPr>
            <t>c</t>
          </r>
        </is>
      </c>
      <c r="E66" s="43">
        <f>IF(inputs_ok,ndp_gamma_c,NA())</f>
        <v/>
      </c>
      <c r="F66" s="23" t="n"/>
      <c r="G66" s="26" t="inlineStr">
        <is>
          <t>NDP sheet</t>
        </is>
      </c>
    </row>
    <row r="67" ht="17" customHeight="1">
      <c r="B67" s="26" t="inlineStr">
        <is>
          <t>12.3.1(1)</t>
        </is>
      </c>
      <c r="C67" s="24" t="inlineStr">
        <is>
          <t>Coefficient on compressive strength (plain concrete)</t>
        </is>
      </c>
      <c r="D67" s="27" t="inlineStr">
        <is>
          <r>
            <rPr>
              <rFont val="Calibri"/>
              <i val="1"/>
              <color rgb="002B2B2B"/>
              <sz val="10"/>
            </rPr>
            <t>α</t>
          </r>
          <r>
            <rPr>
              <rFont val="Calibri"/>
              <i val="1"/>
              <color rgb="002B2B2B"/>
              <sz val="10"/>
              <vertAlign val="subscript"/>
            </rPr>
            <t>cc,pl</t>
          </r>
        </is>
      </c>
      <c r="E67" s="43">
        <f>IF(inputs_ok,ndp_alpha_cc_pl,NA())</f>
        <v/>
      </c>
      <c r="F67" s="23" t="n"/>
      <c r="G67" s="26" t="inlineStr">
        <is>
          <t>NDP sheet</t>
        </is>
      </c>
    </row>
    <row r="68" ht="17" customHeight="1">
      <c r="B68" s="26" t="inlineStr">
        <is>
          <t>Table 3.1</t>
        </is>
      </c>
      <c r="C68" s="24" t="inlineStr">
        <is>
          <t>Characteristic cylinder strength</t>
        </is>
      </c>
      <c r="D68" s="27" t="inlineStr">
        <is>
          <r>
            <rPr>
              <rFont val="Calibri"/>
              <i val="1"/>
              <color rgb="002B2B2B"/>
              <sz val="10"/>
            </rPr>
            <t>f</t>
          </r>
          <r>
            <rPr>
              <rFont val="Calibri"/>
              <i val="1"/>
              <color rgb="002B2B2B"/>
              <sz val="10"/>
              <vertAlign val="subscript"/>
            </rPr>
            <t>ck</t>
          </r>
        </is>
      </c>
      <c r="E68" s="41">
        <f>IF(inputs_ok,VALUE(MID(conc_class,2,FIND("/",conc_class)-2)),NA())</f>
        <v/>
      </c>
      <c r="F68" s="28" t="inlineStr">
        <is>
          <t>MPa</t>
        </is>
      </c>
      <c r="G68" s="23" t="n"/>
    </row>
    <row r="69" ht="17" customHeight="1">
      <c r="B69" s="26" t="inlineStr">
        <is>
          <t>Table 3.1</t>
        </is>
      </c>
      <c r="C69" s="24" t="inlineStr">
        <is>
          <t>Mean tensile strength</t>
        </is>
      </c>
      <c r="D69" s="27" t="inlineStr">
        <is>
          <r>
            <rPr>
              <rFont val="Calibri"/>
              <i val="1"/>
              <color rgb="002B2B2B"/>
              <sz val="10"/>
            </rPr>
            <t>f</t>
          </r>
          <r>
            <rPr>
              <rFont val="Calibri"/>
              <i val="1"/>
              <color rgb="002B2B2B"/>
              <sz val="10"/>
              <vertAlign val="subscript"/>
            </rPr>
            <t>ctm</t>
          </r>
        </is>
      </c>
      <c r="E69" s="43">
        <f>IF(inputs_ok,IF(f_ck&lt;=50,0.3*f_ck^(2/3),2.12*LN(1+(f_ck+8)/10)),NA())</f>
        <v/>
      </c>
      <c r="F69" s="28" t="inlineStr">
        <is>
          <t>MPa</t>
        </is>
      </c>
      <c r="G69" s="23" t="n"/>
    </row>
    <row r="70" ht="17" customHeight="1">
      <c r="B70" s="26" t="inlineStr">
        <is>
          <t>(3.15), 12.3.1</t>
        </is>
      </c>
      <c r="C70" s="24" t="inlineStr">
        <is>
          <t>Design strength  αcc,pl fck / γc</t>
        </is>
      </c>
      <c r="D70" s="27" t="inlineStr">
        <is>
          <r>
            <rPr>
              <rFont val="Calibri"/>
              <i val="1"/>
              <color rgb="002B2B2B"/>
              <sz val="10"/>
            </rPr>
            <t>f</t>
          </r>
          <r>
            <rPr>
              <rFont val="Calibri"/>
              <i val="1"/>
              <color rgb="002B2B2B"/>
              <sz val="10"/>
              <vertAlign val="subscript"/>
            </rPr>
            <t>cd,pl</t>
          </r>
        </is>
      </c>
      <c r="E70" s="43">
        <f>IF(inputs_ok,alpha_cc_pl*f_ck/gamma_c,NA())</f>
        <v/>
      </c>
      <c r="F70" s="28" t="inlineStr">
        <is>
          <t>MPa</t>
        </is>
      </c>
      <c r="G70" s="23" t="n"/>
    </row>
    <row r="71" ht="17" customHeight="1">
      <c r="B71" s="26" t="inlineStr">
        <is>
          <t>5.2(9)</t>
        </is>
      </c>
      <c r="C71" s="24" t="inlineStr">
        <is>
          <t>Imperfection  ei = l0 / 400</t>
        </is>
      </c>
      <c r="D71" s="27" t="inlineStr">
        <is>
          <r>
            <rPr>
              <rFont val="Calibri"/>
              <i val="1"/>
              <color rgb="002B2B2B"/>
              <sz val="10"/>
            </rPr>
            <t>e</t>
          </r>
          <r>
            <rPr>
              <rFont val="Calibri"/>
              <i val="1"/>
              <color rgb="002B2B2B"/>
              <sz val="10"/>
              <vertAlign val="subscript"/>
            </rPr>
            <t>i</t>
          </r>
        </is>
      </c>
      <c r="E71" s="45">
        <f>IF(inputs_ok,l0_pw/400,NA())</f>
        <v/>
      </c>
      <c r="F71" s="28" t="inlineStr">
        <is>
          <t>mm</t>
        </is>
      </c>
      <c r="G71" s="23" t="n"/>
    </row>
    <row r="72" ht="17" customHeight="1">
      <c r="B72" s="26" t="inlineStr">
        <is>
          <t>(12.12)</t>
        </is>
      </c>
      <c r="C72" s="24" t="inlineStr">
        <is>
          <t>etot = |e0| + ei</t>
        </is>
      </c>
      <c r="D72" s="27" t="inlineStr">
        <is>
          <r>
            <rPr>
              <rFont val="Calibri"/>
              <i val="1"/>
              <color rgb="002B2B2B"/>
              <sz val="10"/>
            </rPr>
            <t>e</t>
          </r>
          <r>
            <rPr>
              <rFont val="Calibri"/>
              <i val="1"/>
              <color rgb="002B2B2B"/>
              <sz val="10"/>
              <vertAlign val="subscript"/>
            </rPr>
            <t>tot</t>
          </r>
        </is>
      </c>
      <c r="E72" s="45">
        <f>IF(inputs_ok,ABS(pw_e0)+ei_pw,NA())</f>
        <v/>
      </c>
      <c r="F72" s="28" t="inlineStr">
        <is>
          <t>mm</t>
        </is>
      </c>
      <c r="G72" s="23" t="n"/>
    </row>
    <row r="73" ht="17" customHeight="1">
      <c r="B73" s="26" t="inlineStr">
        <is>
          <t>(12.11)</t>
        </is>
      </c>
      <c r="C73" s="24" t="inlineStr">
        <is>
          <t>1.14 (1 − 2 etot / hw) − 0.02 l0 / hw</t>
        </is>
      </c>
      <c r="D73" s="23" t="n"/>
      <c r="E73" s="42">
        <f>IF(inputs_ok,1.14*(1-2*etot_pw/pw_h)-0.02*l0_pw/pw_h,NA())</f>
        <v/>
      </c>
      <c r="F73" s="23" t="n"/>
      <c r="G73" s="23" t="n"/>
    </row>
    <row r="74" ht="17" customHeight="1">
      <c r="B74" s="26" t="inlineStr">
        <is>
          <t>(12.11)</t>
        </is>
      </c>
      <c r="C74" s="24" t="inlineStr">
        <is>
          <t>Upper limit  1 − 2 etot / hw</t>
        </is>
      </c>
      <c r="D74" s="23" t="n"/>
      <c r="E74" s="42">
        <f>IF(inputs_ok,1-2*etot_pw/pw_h,NA())</f>
        <v/>
      </c>
      <c r="F74" s="23" t="n"/>
      <c r="G74" s="23" t="n"/>
    </row>
    <row r="75" ht="17" customHeight="1">
      <c r="B75" s="26" t="inlineStr">
        <is>
          <t>(12.11)</t>
        </is>
      </c>
      <c r="C75" s="24" t="inlineStr">
        <is>
          <t>Φ  (not below 0)</t>
        </is>
      </c>
      <c r="D75" s="27" t="inlineStr">
        <is>
          <r>
            <rPr>
              <rFont val="Calibri"/>
              <i val="1"/>
              <color rgb="002B2B2B"/>
              <sz val="10"/>
            </rPr>
            <t>Φ</t>
          </r>
        </is>
      </c>
      <c r="E75" s="46">
        <f>IF(inputs_ok,MAX(0,MIN(Phi1_pw,Phi2_pw)),NA())</f>
        <v/>
      </c>
      <c r="F75" s="23" t="n"/>
      <c r="G75" s="23" t="n"/>
    </row>
    <row r="76" ht="17" customHeight="1">
      <c r="B76" s="26" t="inlineStr">
        <is>
          <t>(12.10)</t>
        </is>
      </c>
      <c r="C76" s="24" t="inlineStr">
        <is>
          <t>NRd = b hw fcd,pl Φ  (b = 1 m)</t>
        </is>
      </c>
      <c r="D76" s="27" t="inlineStr">
        <is>
          <r>
            <rPr>
              <rFont val="Calibri"/>
              <i val="1"/>
              <color rgb="002B2B2B"/>
              <sz val="10"/>
            </rPr>
            <t>N</t>
          </r>
          <r>
            <rPr>
              <rFont val="Calibri"/>
              <i val="1"/>
              <color rgb="002B2B2B"/>
              <sz val="10"/>
              <vertAlign val="subscript"/>
            </rPr>
            <t>Rd</t>
          </r>
        </is>
      </c>
      <c r="E76" s="47">
        <f>IF(inputs_ok,pw_h*fcd_pw*Phi_pw,NA())</f>
        <v/>
      </c>
      <c r="F76" s="28" t="inlineStr">
        <is>
          <t>kN/m</t>
        </is>
      </c>
      <c r="G76" s="23" t="n"/>
    </row>
    <row r="77" ht="17" customHeight="1">
      <c r="B77" s="26" t="inlineStr">
        <is>
          <t>(12.10)</t>
        </is>
      </c>
      <c r="C77" s="24" t="inlineStr">
        <is>
          <t>NEd ≤ NRd</t>
        </is>
      </c>
      <c r="D77" s="27" t="inlineStr">
        <is>
          <r>
            <rPr>
              <rFont val="Calibri"/>
              <i val="1"/>
              <color rgb="002B2B2B"/>
              <sz val="10"/>
            </rPr>
            <t>N</t>
          </r>
          <r>
            <rPr>
              <rFont val="Calibri"/>
              <i val="1"/>
              <color rgb="002B2B2B"/>
              <sz val="10"/>
              <vertAlign val="subscript"/>
            </rPr>
            <t>Ed</t>
          </r>
        </is>
      </c>
      <c r="E77" s="45">
        <f>IF(inputs_ok,pw_N,NA())</f>
        <v/>
      </c>
      <c r="F77" s="28" t="inlineStr">
        <is>
          <t>kN/m</t>
        </is>
      </c>
      <c r="G77" s="30">
        <f>IF(NOT(inputs_ok),"FAIL",IF(axial_pw,"OK","FAIL"))</f>
        <v/>
      </c>
    </row>
    <row r="78"/>
    <row r="79" ht="22" customHeight="1">
      <c r="B79" s="20" t="inlineStr">
        <is>
          <t>Calculation  ·  least thickness</t>
        </is>
      </c>
      <c r="C79" s="21" t="n"/>
      <c r="D79" s="21" t="n"/>
      <c r="E79" s="21" t="n"/>
      <c r="F79" s="21" t="n"/>
      <c r="G79" s="21" t="n"/>
    </row>
    <row r="80" ht="17" customHeight="1">
      <c r="B80" s="26" t="inlineStr">
        <is>
          <t>(12.11)</t>
        </is>
      </c>
      <c r="C80" s="24" t="inlineStr">
        <is>
          <t>From the first branch  (NEd / fcd,pl + 2.28 etot + 0.02 l0) / 1.14</t>
        </is>
      </c>
      <c r="D80" s="23" t="n"/>
      <c r="E80" s="45">
        <f>IF(inputs_ok,(pw_N/fcd_pw+2.28*etot_pw+0.02*l0_pw)/1.14,NA())</f>
        <v/>
      </c>
      <c r="F80" s="28" t="inlineStr">
        <is>
          <t>mm</t>
        </is>
      </c>
      <c r="G80" s="23" t="n"/>
    </row>
    <row r="81" ht="17" customHeight="1">
      <c r="B81" s="26" t="inlineStr">
        <is>
          <t>(12.11)</t>
        </is>
      </c>
      <c r="C81" s="24" t="inlineStr">
        <is>
          <t>From the upper limit  NEd / fcd,pl + 2 etot</t>
        </is>
      </c>
      <c r="D81" s="23" t="n"/>
      <c r="E81" s="45">
        <f>IF(inputs_ok,pw_N/fcd_pw+2*etot_pw,NA())</f>
        <v/>
      </c>
      <c r="F81" s="28" t="inlineStr">
        <is>
          <t>mm</t>
        </is>
      </c>
      <c r="G81" s="23" t="n"/>
    </row>
    <row r="82" ht="17" customHeight="1">
      <c r="B82" s="26" t="inlineStr">
        <is>
          <t>12.6.5.1(5)</t>
        </is>
      </c>
      <c r="C82" s="24" t="inlineStr">
        <is>
          <t>For λ ≤ 86  √12 l0 / 86</t>
        </is>
      </c>
      <c r="D82" s="23" t="n"/>
      <c r="E82" s="45">
        <f>IF(inputs_ok,SQRT(12)*l0_pw/86,NA())</f>
        <v/>
      </c>
      <c r="F82" s="28" t="inlineStr">
        <is>
          <t>mm</t>
        </is>
      </c>
      <c r="G82" s="23" t="n"/>
    </row>
    <row r="83" ht="17" customHeight="1">
      <c r="B83" s="23" t="n"/>
      <c r="C83" s="24" t="inlineStr">
        <is>
          <t>Least thickness  (and 120 mm)</t>
        </is>
      </c>
      <c r="D83" s="27" t="inlineStr">
        <is>
          <r>
            <rPr>
              <rFont val="Calibri"/>
              <i val="1"/>
              <color rgb="002B2B2B"/>
              <sz val="10"/>
            </rPr>
            <t>h</t>
          </r>
          <r>
            <rPr>
              <rFont val="Calibri"/>
              <i val="1"/>
              <color rgb="002B2B2B"/>
              <sz val="10"/>
              <vertAlign val="subscript"/>
            </rPr>
            <t>w,min</t>
          </r>
        </is>
      </c>
      <c r="E83" s="45">
        <f>IF(inputs_ok,MAX(h1_pw,h2_pw,h3_pw,120),NA())</f>
        <v/>
      </c>
      <c r="F83" s="28" t="inlineStr">
        <is>
          <t>mm</t>
        </is>
      </c>
      <c r="G83" s="23" t="n"/>
    </row>
    <row r="84" ht="17" customHeight="1">
      <c r="B84" s="23" t="n"/>
      <c r="C84" s="24" t="inlineStr">
        <is>
          <t>Rounded up to the mm</t>
        </is>
      </c>
      <c r="D84" s="27" t="inlineStr">
        <is>
          <r>
            <rPr>
              <rFont val="Calibri"/>
              <i val="1"/>
              <color rgb="002B2B2B"/>
              <sz val="10"/>
            </rPr>
            <t>h</t>
          </r>
          <r>
            <rPr>
              <rFont val="Calibri"/>
              <i val="1"/>
              <color rgb="002B2B2B"/>
              <sz val="10"/>
              <vertAlign val="subscript"/>
            </rPr>
            <t>w</t>
          </r>
        </is>
      </c>
      <c r="E84" s="41">
        <f>IF(inputs_ok,ROUNDUP(hmin_pw,0),NA())</f>
        <v/>
      </c>
      <c r="F84" s="28" t="inlineStr">
        <is>
          <t>mm</t>
        </is>
      </c>
      <c r="G84" s="23" t="n"/>
    </row>
    <row r="85" ht="41.5" customHeight="1">
      <c r="B85" s="48" t="inlineStr">
        <is>
          <t>The least thickness keeps the eccentricity e0 entered; where e0 comes from a slab bearing on part of the wall, it changes with the thickness. With openings beyond the Table 12.1 limits, check the parts between the openings as restrained on two edges only. Chases and recesses need their own strength and stability check and a larger β (12.6.5.1(2), 12.9.1(2)): not covered here.</t>
        </is>
      </c>
    </row>
    <row r="86"/>
    <row r="87" ht="29" customHeight="1">
      <c r="B87" s="4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85:G85"/>
    <mergeCell ref="E5:G5"/>
    <mergeCell ref="D2:G2"/>
    <mergeCell ref="E7:G7"/>
    <mergeCell ref="E6:G6"/>
    <mergeCell ref="C3:G3"/>
    <mergeCell ref="B87:G87"/>
  </mergeCells>
  <conditionalFormatting sqref="G9:G88">
    <cfRule type="expression" priority="1" dxfId="0">
      <formula>G9="OK"</formula>
    </cfRule>
    <cfRule type="expression" priority="2" dxfId="1">
      <formula>G9="FAIL"</formula>
    </cfRule>
    <cfRule type="expression" priority="3" dxfId="2">
      <formula>LEFT(G9,1)="!"</formula>
    </cfRule>
  </conditionalFormatting>
  <dataValidations count="9">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Pick a value from the list." type="list" errorStyle="stop">
      <formula1>"Top and bottom  (two edges),Top  bottom and one vertical edge  (three),All four edges"</formula1>
    </dataValidation>
    <dataValidation sqref="E14" showDropDown="0" showInputMessage="0" showErrorMessage="1" allowBlank="0" errorTitle="NA Engineering" error="Pick a value from the list." type="list" errorStyle="stop">
      <formula1>"Yes,No"</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1" errorTitle="NA Engineering" error="Enter a number greater than 0." type="custom" errorStyle="stop">
      <formula1>IF(pw_ne&gt;2,AND(ISNUMBER(E17),E17&gt;0),TRUE)</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 -1000000.0." type="decimal" errorStyle="stop" operator="greaterThanOrEqual">
      <formula1>-1000000.0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&amp;K8A8A8ANAE-RC-038  v1.0</oddFooter>
    <evenHeader/>
    <evenFooter/>
    <firstHeader/>
    <firstFooter/>
  </headerFooter>
  <rowBreaks count="1" manualBreakCount="1">
    <brk id="23"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P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floor below</t>
        </is>
      </c>
      <c r="G2" t="inlineStr">
        <is>
          <t>floor above</t>
        </is>
      </c>
      <c r="J2" t="inlineStr">
        <is>
          <t>wall face</t>
        </is>
      </c>
      <c r="M2" t="inlineStr">
        <is>
          <t>left edge restrained</t>
        </is>
      </c>
      <c r="P2" t="inlineStr">
        <is>
          <t>right edge restrained</t>
        </is>
      </c>
      <c r="S2" t="inlineStr">
        <is>
          <t>left edge free</t>
        </is>
      </c>
      <c r="V2" t="inlineStr">
        <is>
          <t>right edge free</t>
        </is>
      </c>
      <c r="Y2">
        <f>IF(inputs_ok,IF(pw_ne&gt;=3,"transverse wall","free edge"),"")</f>
        <v/>
      </c>
      <c r="AB2">
        <f>IF(inputs_ok,IF(pw_ne=4,"transverse wall","free edge"),"")</f>
        <v/>
      </c>
      <c r="AE2" t="inlineStr">
        <is>
          <t>dim</t>
        </is>
      </c>
      <c r="AH2">
        <f>IF(inputs_ok,IF(pw_ne=2,"","b "&amp;TEXT(pw_bw,"0")),"")</f>
        <v/>
      </c>
      <c r="AK2" t="inlineStr">
        <is>
          <t>dim</t>
        </is>
      </c>
      <c r="AN2">
        <f>IF(inputs_ok,"l_w "&amp;TEXT(pw_lw,"0"),"")</f>
        <v/>
      </c>
      <c r="AQ2" t="inlineStr">
        <is>
          <t>section</t>
        </is>
      </c>
      <c r="AT2" t="inlineStr">
        <is>
          <t>slab below</t>
        </is>
      </c>
      <c r="AW2" t="inlineStr">
        <is>
          <t>slab above</t>
        </is>
      </c>
      <c r="AZ2" t="inlineStr">
        <is>
          <t>load</t>
        </is>
      </c>
      <c r="BC2">
        <f>IF(inputs_ok,"N_Ed "&amp;TEXT(pw_N,"0")&amp;" kN/m  ·  e_0 "&amp;TEXT(pw_e0,"0")&amp;" mm","")</f>
        <v/>
      </c>
      <c r="BF2">
        <f>IF(inputs_ok,"l_0 "&amp;TEXT(l0_pw,"0")&amp;" mm  ·  e_tot "&amp;TEXT(etot_pw,"0.0")&amp;" mm","")</f>
        <v/>
      </c>
      <c r="BI2" t="inlineStr">
        <is>
          <t>dim</t>
        </is>
      </c>
      <c r="BL2">
        <f>IF(inputs_ok,"h_w "&amp;TEXT(pw_h,"0"),"")</f>
        <v/>
      </c>
      <c r="BO2" t="inlineStr">
        <is>
          <t>frame</t>
        </is>
      </c>
    </row>
    <row r="3">
      <c r="A3">
        <f>0</f>
        <v/>
      </c>
      <c r="B3">
        <f>0</f>
        <v/>
      </c>
      <c r="D3">
        <f>IF(inputs_ok,-0.06*pw_lw,NA())</f>
        <v/>
      </c>
      <c r="E3">
        <f>0</f>
        <v/>
      </c>
      <c r="G3">
        <f>IF(inputs_ok,-0.06*pw_lw,NA())</f>
        <v/>
      </c>
      <c r="H3">
        <f>pw_lw</f>
        <v/>
      </c>
      <c r="J3">
        <f>IF(inputs_ok,0,NA())</f>
        <v/>
      </c>
      <c r="K3">
        <f>0</f>
        <v/>
      </c>
      <c r="M3">
        <f>IF(inputs_ok,IF(pw_ne&gt;=3,0,NA()),NA())</f>
        <v/>
      </c>
      <c r="N3">
        <f>IF(pw_ne&gt;=3,0,NA())</f>
        <v/>
      </c>
      <c r="P3">
        <f>IF(inputs_ok,IF(pw_ne=4,pw_Wd,NA()),NA())</f>
        <v/>
      </c>
      <c r="Q3">
        <f>IF(pw_ne=4,0,NA())</f>
        <v/>
      </c>
      <c r="S3">
        <f>IF(inputs_ok,IF(pw_ne&lt;3,0,NA()),NA())</f>
        <v/>
      </c>
      <c r="T3">
        <f>IF(pw_ne&lt;3,0,NA())</f>
        <v/>
      </c>
      <c r="V3">
        <f>IF(inputs_ok,IF(pw_ne&lt;4,pw_Wd,NA()),NA())</f>
        <v/>
      </c>
      <c r="W3">
        <f>IF(pw_ne&lt;4,0,NA())</f>
        <v/>
      </c>
      <c r="Y3">
        <f>IF(inputs_ok,0.03*pw_lw,NA())</f>
        <v/>
      </c>
      <c r="Z3">
        <f>0.5*pw_lw</f>
        <v/>
      </c>
      <c r="AB3">
        <f>IF(inputs_ok,pw_Wd-0.03*pw_lw,NA())</f>
        <v/>
      </c>
      <c r="AC3">
        <f>0.5*pw_lw</f>
        <v/>
      </c>
      <c r="AE3">
        <f>IF(inputs_ok,IF(pw_ne&gt;2,0,NA()),NA())</f>
        <v/>
      </c>
      <c r="AF3">
        <f>IF(pw_ne&gt;2,-0.1*pw_lw,NA())</f>
        <v/>
      </c>
      <c r="AH3">
        <f>IF(inputs_ok,IF(pw_ne&gt;2,((0)+(pw_Wd))/2,NA()),NA())</f>
        <v/>
      </c>
      <c r="AI3">
        <f>IF(pw_ne&gt;2,((-0.1*pw_lw)+(-0.1*pw_lw))/2,NA())</f>
        <v/>
      </c>
      <c r="AK3">
        <f>IF(inputs_ok,IF(TRUE,-0.12*pw_lw,NA()),NA())</f>
        <v/>
      </c>
      <c r="AL3">
        <f>IF(TRUE,0,NA())</f>
        <v/>
      </c>
      <c r="AN3">
        <f>IF(inputs_ok,IF(TRUE,((-0.12*pw_lw)+(-0.12*pw_lw))/2,NA()),NA())</f>
        <v/>
      </c>
      <c r="AO3">
        <f>IF(TRUE,((0)+(pw_lw))/2,NA())</f>
        <v/>
      </c>
      <c r="AQ3">
        <f>IF(inputs_ok,(pw_Wd+0.45*pw_lw)-pw_h/2,NA())</f>
        <v/>
      </c>
      <c r="AR3">
        <f>0</f>
        <v/>
      </c>
      <c r="AT3">
        <f>IF(inputs_ok,(pw_Wd+0.45*pw_lw)-pw_h/2-0.12*pw_lw,NA())</f>
        <v/>
      </c>
      <c r="AU3">
        <f>0</f>
        <v/>
      </c>
      <c r="AW3">
        <f>IF(inputs_ok,(pw_Wd+0.45*pw_lw)-pw_h/2-0.12*pw_lw,NA())</f>
        <v/>
      </c>
      <c r="AX3">
        <f>pw_lw</f>
        <v/>
      </c>
      <c r="AZ3">
        <f>IF(inputs_ok,(pw_Wd+0.45*pw_lw)+pw_e0,NA())</f>
        <v/>
      </c>
      <c r="BA3">
        <f>pw_lw+0.2*pw_lw</f>
        <v/>
      </c>
      <c r="BC3">
        <f>IF(inputs_ok,(pw_Wd+0.45*pw_lw)+pw_e0,NA())</f>
        <v/>
      </c>
      <c r="BD3">
        <f>pw_lw+0.14*pw_lw</f>
        <v/>
      </c>
      <c r="BF3">
        <f>IF(inputs_ok,(pw_Wd+0.45*pw_lw)+pw_h/2+0.04*pw_lw,NA())</f>
        <v/>
      </c>
      <c r="BG3">
        <f>0.5*pw_lw</f>
        <v/>
      </c>
      <c r="BI3">
        <f>IF(inputs_ok,IF(TRUE,(pw_Wd+0.45*pw_lw)-pw_h/2,NA()),NA())</f>
        <v/>
      </c>
      <c r="BJ3">
        <f>IF(TRUE,-0.1*pw_lw,NA())</f>
        <v/>
      </c>
      <c r="BL3">
        <f>IF(inputs_ok,IF(TRUE,(((pw_Wd+0.45*pw_lw)-pw_h/2)+((pw_Wd+0.45*pw_lw)+pw_h/2))/2,NA()),NA())</f>
        <v/>
      </c>
      <c r="BM3">
        <f>IF(TRUE,((-0.1*pw_lw)+(-0.1*pw_lw))/2,NA())</f>
        <v/>
      </c>
      <c r="BO3">
        <f>((-0.3*pw_lw)+((pw_Wd+0.45*pw_lw)+pw_h/2+0.55*pw_lw))/2-MAX((1.35*pw_lw)-(-0.25*pw_lw),(((pw_Wd+0.45*pw_lw)+pw_h/2+0.55*pw_lw)-(-0.3*pw_lw))/1.55)*0.53*1.55</f>
        <v/>
      </c>
      <c r="BP3">
        <f>((-0.25*pw_lw)+(1.35*pw_lw))/2-MAX((1.35*pw_lw)-(-0.25*pw_lw),(((pw_Wd+0.45*pw_lw)+pw_h/2+0.55*pw_lw)-(-0.3*pw_lw))/1.55)*0.53</f>
        <v/>
      </c>
    </row>
    <row r="4">
      <c r="D4">
        <f>IF(inputs_ok,pw_Wd+0.06*pw_lw,NA())</f>
        <v/>
      </c>
      <c r="E4">
        <f>0</f>
        <v/>
      </c>
      <c r="G4">
        <f>IF(inputs_ok,pw_Wd+0.06*pw_lw,NA())</f>
        <v/>
      </c>
      <c r="H4">
        <f>pw_lw</f>
        <v/>
      </c>
      <c r="J4">
        <f>IF(inputs_ok,0,NA())</f>
        <v/>
      </c>
      <c r="K4">
        <f>pw_lw</f>
        <v/>
      </c>
      <c r="M4">
        <f>IF(inputs_ok,IF(pw_ne&gt;=3,0,NA()),NA())</f>
        <v/>
      </c>
      <c r="N4">
        <f>IF(pw_ne&gt;=3,pw_lw,NA())</f>
        <v/>
      </c>
      <c r="P4">
        <f>IF(inputs_ok,IF(pw_ne=4,pw_Wd,NA()),NA())</f>
        <v/>
      </c>
      <c r="Q4">
        <f>IF(pw_ne=4,pw_lw,NA())</f>
        <v/>
      </c>
      <c r="S4">
        <f>IF(inputs_ok,IF(pw_ne&lt;3,0,NA()),NA())</f>
        <v/>
      </c>
      <c r="T4">
        <f>IF(pw_ne&lt;3,pw_lw,NA())</f>
        <v/>
      </c>
      <c r="V4">
        <f>IF(inputs_ok,IF(pw_ne&lt;4,pw_Wd,NA()),NA())</f>
        <v/>
      </c>
      <c r="W4">
        <f>IF(pw_ne&lt;4,pw_lw,NA())</f>
        <v/>
      </c>
      <c r="AE4">
        <f>IF(inputs_ok,IF(pw_ne&gt;2,pw_Wd,NA()),NA())</f>
        <v/>
      </c>
      <c r="AF4">
        <f>IF(pw_ne&gt;2,-0.1*pw_lw,NA())</f>
        <v/>
      </c>
      <c r="AK4">
        <f>IF(inputs_ok,IF(TRUE,-0.12*pw_lw,NA()),NA())</f>
        <v/>
      </c>
      <c r="AL4">
        <f>IF(TRUE,pw_lw,NA())</f>
        <v/>
      </c>
      <c r="AQ4">
        <f>IF(inputs_ok,(pw_Wd+0.45*pw_lw)+pw_h/2,NA())</f>
        <v/>
      </c>
      <c r="AR4">
        <f>0</f>
        <v/>
      </c>
      <c r="AT4">
        <f>IF(inputs_ok,(pw_Wd+0.45*pw_lw)+pw_h/2+0.12*pw_lw,NA())</f>
        <v/>
      </c>
      <c r="AU4">
        <f>0</f>
        <v/>
      </c>
      <c r="AW4">
        <f>IF(inputs_ok,(pw_Wd+0.45*pw_lw)+pw_h/2+0.12*pw_lw,NA())</f>
        <v/>
      </c>
      <c r="AX4">
        <f>pw_lw</f>
        <v/>
      </c>
      <c r="AZ4">
        <f>IF(inputs_ok,(pw_Wd+0.45*pw_lw)+pw_e0,NA())</f>
        <v/>
      </c>
      <c r="BA4">
        <f>pw_lw+0.02*pw_lw</f>
        <v/>
      </c>
      <c r="BI4">
        <f>IF(inputs_ok,IF(TRUE,(pw_Wd+0.45*pw_lw)+pw_h/2,NA()),NA())</f>
        <v/>
      </c>
      <c r="BJ4">
        <f>IF(TRUE,-0.1*pw_lw,NA())</f>
        <v/>
      </c>
      <c r="BO4">
        <f>((-0.3*pw_lw)+((pw_Wd+0.45*pw_lw)+pw_h/2+0.55*pw_lw))/2+MAX((1.35*pw_lw)-(-0.25*pw_lw),(((pw_Wd+0.45*pw_lw)+pw_h/2+0.55*pw_lw)-(-0.3*pw_lw))/1.55)*0.53*1.55</f>
        <v/>
      </c>
      <c r="BP4">
        <f>((-0.25*pw_lw)+(1.35*pw_lw))/2+MAX((1.35*pw_lw)-(-0.25*pw_lw),(((pw_Wd+0.45*pw_lw)+pw_h/2+0.55*pw_lw)-(-0.3*pw_lw))/1.55)*0.53</f>
        <v/>
      </c>
    </row>
    <row r="5">
      <c r="J5">
        <f>IF(inputs_ok,pw_Wd,NA())</f>
        <v/>
      </c>
      <c r="K5">
        <f>pw_lw</f>
        <v/>
      </c>
      <c r="AQ5">
        <f>IF(inputs_ok,(pw_Wd+0.45*pw_lw)+pw_h/2,NA())</f>
        <v/>
      </c>
      <c r="AR5">
        <f>pw_lw</f>
        <v/>
      </c>
    </row>
    <row r="6">
      <c r="J6">
        <f>IF(inputs_ok,pw_Wd,NA())</f>
        <v/>
      </c>
      <c r="K6">
        <f>0</f>
        <v/>
      </c>
      <c r="AQ6">
        <f>IF(inputs_ok,(pw_Wd+0.45*pw_lw)-pw_h/2,NA())</f>
        <v/>
      </c>
      <c r="AR6">
        <f>pw_lw</f>
        <v/>
      </c>
    </row>
    <row r="7">
      <c r="J7">
        <f>IF(inputs_ok,0,NA())</f>
        <v/>
      </c>
      <c r="K7">
        <f>0</f>
        <v/>
      </c>
      <c r="AQ7">
        <f>IF(inputs_ok,(pw_Wd+0.45*pw_lw)-pw_h/2,NA())</f>
        <v/>
      </c>
      <c r="AR7">
        <f>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9"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0" t="inlineStr">
        <is>
          <t>Parameter</t>
        </is>
      </c>
      <c r="C5" s="50" t="inlineStr">
        <is>
          <t>Clause</t>
        </is>
      </c>
      <c r="D5" s="50" t="inlineStr">
        <is>
          <t>UK NA</t>
        </is>
      </c>
      <c r="E5" s="50" t="inlineStr">
        <is>
          <t>PL NA</t>
        </is>
      </c>
      <c r="F5" s="50" t="inlineStr">
        <is>
          <t>Notes</t>
        </is>
      </c>
    </row>
    <row r="6">
      <c r="B6" s="51" t="inlineStr">
        <is>
          <t>Partial factor, concrete  γc</t>
        </is>
      </c>
      <c r="C6" s="52" t="inlineStr">
        <is>
          <t>2.4.2.4(1)</t>
        </is>
      </c>
      <c r="D6" s="53" t="n">
        <v>1.5</v>
      </c>
      <c r="E6" s="53" t="n">
        <v>1.4</v>
      </c>
      <c r="F6" s="52" t="inlineStr">
        <is>
          <t>Persistent &amp; transient. UK NA: recommended; PL: NA.2, Table NA.2</t>
        </is>
      </c>
    </row>
    <row r="7">
      <c r="B7" s="51" t="inlineStr">
        <is>
          <t>Partial factor, reinforcement  γs</t>
        </is>
      </c>
      <c r="C7" s="52" t="inlineStr">
        <is>
          <t>2.4.2.4(1)</t>
        </is>
      </c>
      <c r="D7" s="53" t="n">
        <v>1.15</v>
      </c>
      <c r="E7" s="53" t="n">
        <v>1.15</v>
      </c>
      <c r="F7" s="52" t="inlineStr">
        <is>
          <t>UK NA: recommended; PL: NA.2, Table NA.2</t>
        </is>
      </c>
    </row>
    <row r="8">
      <c r="B8" s="51" t="inlineStr">
        <is>
          <t>αcc  (compression in flexure / axial)</t>
        </is>
      </c>
      <c r="C8" s="52" t="inlineStr">
        <is>
          <t>3.1.6(1)</t>
        </is>
      </c>
      <c r="D8" s="53" t="n">
        <v>0.85</v>
      </c>
      <c r="E8" s="53" t="n">
        <v>1</v>
      </c>
      <c r="F8" s="52" t="inlineStr">
        <is>
          <t>UK NA: 0.85; PL: recommended (NA.9)</t>
        </is>
      </c>
    </row>
    <row r="9">
      <c r="B9" s="51" t="inlineStr">
        <is>
          <t>αcc,pl  (plain concrete, compression)</t>
        </is>
      </c>
      <c r="C9" s="52" t="inlineStr">
        <is>
          <t>12.3.1(1)</t>
        </is>
      </c>
      <c r="D9" s="53" t="n">
        <v>0.6</v>
      </c>
      <c r="E9" s="53" t="n">
        <v>0.8</v>
      </c>
      <c r="F9" s="52" t="inlineStr">
        <is>
          <t>UK NA Table NA.1: 0.6; PL: recommended (NA.9)</t>
        </is>
      </c>
    </row>
    <row r="10">
      <c r="B10" s="51" t="inlineStr">
        <is>
          <t>αcc  (shear and punching)</t>
        </is>
      </c>
      <c r="C10" s="52" t="inlineStr">
        <is>
          <t>3.1.6(1)</t>
        </is>
      </c>
      <c r="D10" s="53" t="n">
        <v>1</v>
      </c>
      <c r="E10" s="53" t="n">
        <v>1</v>
      </c>
      <c r="F10" s="52" t="inlineStr">
        <is>
          <t>UK NA: 1.0 for other phenomena; PL: recommended (NA.9)</t>
        </is>
      </c>
    </row>
    <row r="11">
      <c r="B11" s="51" t="inlineStr">
        <is>
          <t>αct  (design tensile strength)</t>
        </is>
      </c>
      <c r="C11" s="52" t="inlineStr">
        <is>
          <t>3.1.6(2)</t>
        </is>
      </c>
      <c r="D11" s="53" t="n">
        <v>1</v>
      </c>
      <c r="E11" s="53" t="n">
        <v>1</v>
      </c>
      <c r="F11" s="52" t="inlineStr">
        <is>
          <t>Recommended value in both annexes</t>
        </is>
      </c>
    </row>
    <row r="12">
      <c r="B12" s="51" t="inlineStr">
        <is>
          <t>CRd,c numerator  (CRd,c = value / γc)</t>
        </is>
      </c>
      <c r="C12" s="52" t="inlineStr">
        <is>
          <t>6.2.2(1), 6.4.4(1)</t>
        </is>
      </c>
      <c r="D12" s="53" t="n">
        <v>0.18</v>
      </c>
      <c r="E12" s="53" t="n">
        <v>0.18</v>
      </c>
      <c r="F12" s="52" t="inlineStr">
        <is>
          <t>Recommended value in both annexes</t>
        </is>
      </c>
    </row>
    <row r="13">
      <c r="B13" s="51" t="inlineStr">
        <is>
          <t>k1  (axial stress term, punching)</t>
        </is>
      </c>
      <c r="C13" s="52" t="inlineStr">
        <is>
          <t>6.4.4(1)</t>
        </is>
      </c>
      <c r="D13" s="53" t="n">
        <v>0.1</v>
      </c>
      <c r="E13" s="53" t="n">
        <v>0.1</v>
      </c>
      <c r="F13" s="52" t="inlineStr">
        <is>
          <t>Recommended value in both annexes</t>
        </is>
      </c>
    </row>
    <row r="14">
      <c r="B14" s="51" t="inlineStr">
        <is>
          <t>vRd,max factor  (vRd,max = factor · ν · fcd)</t>
        </is>
      </c>
      <c r="C14" s="52" t="inlineStr">
        <is>
          <t>6.4.5(3)</t>
        </is>
      </c>
      <c r="D14" s="53" t="n">
        <v>0.5</v>
      </c>
      <c r="E14" s="53" t="n">
        <v>0.4</v>
      </c>
      <c r="F14" s="52" t="inlineStr">
        <is>
          <t>UK NA: 0.5 ν fcd; PL: recommended value (NA.9), 0.4 ν fcd since EN 1992-1-1 AC:2010 (PN-EN 1992-1-1:2008/AC:2011)</t>
        </is>
      </c>
    </row>
    <row r="15">
      <c r="B15" s="51" t="inlineStr">
        <is>
          <t>kmax  (vEd ≤ kmax · vRd,c at u1)</t>
        </is>
      </c>
      <c r="C15" s="52" t="inlineStr">
        <is>
          <t>6.4.5</t>
        </is>
      </c>
      <c r="D15" s="53" t="n">
        <v>2</v>
      </c>
      <c r="E15" s="53" t="n">
        <v>1.5</v>
      </c>
      <c r="F15" s="52" t="inlineStr">
        <is>
          <t>UK NA 6.4.5(3): 2 vRd,c. PL: no limit in PN-EN 1992-1-1:2008; 1.5 (A1:2014 recommendation) applied conservatively</t>
        </is>
      </c>
    </row>
    <row r="16">
      <c r="B16" s="51" t="inlineStr">
        <is>
          <t>φlarge  (large bar threshold, mm)</t>
        </is>
      </c>
      <c r="C16" s="52" t="inlineStr">
        <is>
          <t>8.8(1)</t>
        </is>
      </c>
      <c r="D16" s="53" t="n">
        <v>40</v>
      </c>
      <c r="E16" s="53" t="n">
        <v>32</v>
      </c>
      <c r="F16" s="52" t="inlineStr">
        <is>
          <t>UK NA: 40 mm; PL: 32 mm recommended (NA.9)</t>
        </is>
      </c>
    </row>
    <row r="17">
      <c r="B17" s="51" t="inlineStr">
        <is>
          <t>cot θ upper limit  (variable strut)</t>
        </is>
      </c>
      <c r="C17" s="52" t="inlineStr">
        <is>
          <t>6.2.3(2)</t>
        </is>
      </c>
      <c r="D17" s="53" t="n">
        <v>2.5</v>
      </c>
      <c r="E17" s="53" t="n">
        <v>2</v>
      </c>
      <c r="F17" s="52" t="inlineStr">
        <is>
          <t>UK NA: 2.5 (1.25 with axial tension); PL: NA.4, 1 ≤ cot θ ≤ 2.0</t>
        </is>
      </c>
    </row>
    <row r="18">
      <c r="B18" s="51" t="inlineStr">
        <is>
          <t>k1  (x/d limit, δ ≥ k1 + k2 xu/d)</t>
        </is>
      </c>
      <c r="C18" s="52" t="inlineStr">
        <is>
          <t>5.5(4)</t>
        </is>
      </c>
      <c r="D18" s="53" t="n">
        <v>0.4</v>
      </c>
      <c r="E18" s="53" t="n">
        <v>0.44</v>
      </c>
      <c r="F18" s="52" t="inlineStr">
        <is>
          <t>UK NA for fyk ≤ 500 MPa; PL: recommended (NA.9)</t>
        </is>
      </c>
    </row>
    <row r="19">
      <c r="B19" s="51" t="inlineStr">
        <is>
          <t>k2  (x/d limit, εcu2 = 0.0035)</t>
        </is>
      </c>
      <c r="C19" s="52" t="inlineStr">
        <is>
          <t>5.5(4)</t>
        </is>
      </c>
      <c r="D19" s="53" t="n">
        <v>1</v>
      </c>
      <c r="E19" s="53" t="n">
        <v>1.25</v>
      </c>
      <c r="F19" s="52" t="inlineStr">
        <is>
          <t>UK NA: 0.6 + 0.0014/εcu2; PL: 1.25(0.6 + 0.0014/εcu2)</t>
        </is>
      </c>
    </row>
    <row r="20">
      <c r="B20" s="51" t="inlineStr">
        <is>
          <t>Upper limit on the (310/σs) factor  (0 = none)</t>
        </is>
      </c>
      <c r="C20" s="52" t="inlineStr">
        <is>
          <t>7.4.2(2)</t>
        </is>
      </c>
      <c r="D20" s="53" t="n">
        <v>1.5</v>
      </c>
      <c r="E20" s="53" t="n">
        <v>0</v>
      </c>
      <c r="F20" s="52" t="inlineStr">
        <is>
          <t>UK NA Table NA.5 Note 5: (310/σs) or (500/fyk)(As,prov/As,req) ≤ 1.5; PL: none</t>
        </is>
      </c>
    </row>
    <row r="21">
      <c r="B21" s="51" t="inlineStr">
        <is>
          <t>L/d not to exceed 40 K  (1 = applies)</t>
        </is>
      </c>
      <c r="C21" s="52" t="inlineStr">
        <is>
          <t>7.4.2(2)</t>
        </is>
      </c>
      <c r="D21" s="53" t="n">
        <v>1</v>
      </c>
      <c r="E21" s="53" t="n">
        <v>0</v>
      </c>
      <c r="F21" s="52" t="inlineStr">
        <is>
          <t>UK NA Table NA.5 Note 6; not in EN text</t>
        </is>
      </c>
    </row>
    <row r="22">
      <c r="B22" s="51" t="inlineStr">
        <is>
          <t>φmin  (longitudinal bars in columns, mm)</t>
        </is>
      </c>
      <c r="C22" s="52" t="inlineStr">
        <is>
          <t>9.5.2(1)</t>
        </is>
      </c>
      <c r="D22" s="53" t="n">
        <v>12</v>
      </c>
      <c r="E22" s="53" t="n">
        <v>6</v>
      </c>
      <c r="F22" s="52" t="inlineStr">
        <is>
          <t>UK NA: 12 mm; PL: NA.6, 6 mm</t>
        </is>
      </c>
    </row>
    <row r="23">
      <c r="B23" s="51" t="inlineStr">
        <is>
          <t>k3  (crack spacing)</t>
        </is>
      </c>
      <c r="C23" s="52" t="inlineStr">
        <is>
          <t>7.3.4(3)</t>
        </is>
      </c>
      <c r="D23" s="53" t="n">
        <v>3.4</v>
      </c>
      <c r="E23" s="53" t="n">
        <v>3.4</v>
      </c>
      <c r="F23" s="52" t="inlineStr">
        <is>
          <t>Recommended value in both annexes</t>
        </is>
      </c>
    </row>
    <row r="24">
      <c r="B24" s="51" t="inlineStr">
        <is>
          <t>k4  (crack spacing)</t>
        </is>
      </c>
      <c r="C24" s="52" t="inlineStr">
        <is>
          <t>7.3.4(3)</t>
        </is>
      </c>
      <c r="D24" s="53" t="n">
        <v>0.425</v>
      </c>
      <c r="E24" s="53" t="n">
        <v>0.425</v>
      </c>
      <c r="F24" s="52" t="inlineStr">
        <is>
          <t>Recommended value in both annexes</t>
        </is>
      </c>
    </row>
    <row r="25">
      <c r="B25" s="51" t="inlineStr">
        <is>
          <t>k1  (concrete stress, characteristic; XD, XF, XS)</t>
        </is>
      </c>
      <c r="C25" s="52" t="inlineStr">
        <is>
          <t>7.2(2)</t>
        </is>
      </c>
      <c r="D25" s="53" t="n">
        <v>0.6</v>
      </c>
      <c r="E25" s="53" t="n">
        <v>1</v>
      </c>
      <c r="F25" s="52" t="inlineStr">
        <is>
          <t>UK NA: recommended; PL: NA.5, k1 = 1.0</t>
        </is>
      </c>
    </row>
    <row r="26">
      <c r="B26" s="51" t="inlineStr">
        <is>
          <t>k2  (concrete stress, quasi-permanent; linear creep)</t>
        </is>
      </c>
      <c r="C26" s="52" t="inlineStr">
        <is>
          <t>7.2(3)</t>
        </is>
      </c>
      <c r="D26" s="53" t="n">
        <v>0.45</v>
      </c>
      <c r="E26" s="53" t="n">
        <v>0.45</v>
      </c>
      <c r="F26" s="52" t="inlineStr">
        <is>
          <t>Recommended value in both annexes (UK NA; PL NA.9)</t>
        </is>
      </c>
    </row>
    <row r="27">
      <c r="B27" s="51" t="inlineStr">
        <is>
          <t>k3  (steel stress, characteristic)</t>
        </is>
      </c>
      <c r="C27" s="52" t="inlineStr">
        <is>
          <t>7.2(5)</t>
        </is>
      </c>
      <c r="D27" s="53" t="n">
        <v>0.8</v>
      </c>
      <c r="E27" s="53" t="n">
        <v>0.8</v>
      </c>
      <c r="F27" s="52" t="inlineStr">
        <is>
          <t>Recommended value in both annexes (UK NA; PL NA.9)</t>
        </is>
      </c>
    </row>
    <row r="28">
      <c r="B28" s="51" t="inlineStr">
        <is>
          <t>k4  (steel stress, imposed deformation)</t>
        </is>
      </c>
      <c r="C28" s="52" t="inlineStr">
        <is>
          <t>7.2(5)</t>
        </is>
      </c>
      <c r="D28" s="53" t="n">
        <v>1</v>
      </c>
      <c r="E28" s="53" t="n">
        <v>1</v>
      </c>
      <c r="F28" s="52"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&amp;K8A8A8ANAE-RC-038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NAE-RC-038 Plain concrete wall</dc:title>
  <dc:subject xmlns:dc="http://purl.org/dc/elements/1.1/">Unreinforced wall under vertical load  ·  EN 1992-1-1 §12.6.5  ·  UK NA / PN-EN</dc:subject>
  <dcterms:created xmlns:dcterms="http://purl.org/dc/terms/" xmlns:xsi="http://www.w3.org/2001/XMLSchema-instance" xsi:type="dcterms:W3CDTF">2026-10-30T10:58:40Z</dcterms:created>
  <dcterms:modified xmlns:dcterms="http://purl.org/dc/terms/" xmlns:xsi="http://www.w3.org/2001/XMLSchema-instance" xsi:type="dcterms:W3CDTF">2026-10-30T10:58:40Z</dcterms:modified>
  <cp:lastModifiedBy>NA Engineering sp. z o.o.</cp:lastModifiedBy>
  <cp:keywords>NA Engineering; Eurocode 2; EN 1992-1-1</cp:keywords>
</cp:coreProperties>
</file>