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el_frame">'Calculation'!$E$13</definedName>
    <definedName name="el_l">'Calculation'!$E$14</definedName>
    <definedName name="el_b">'Calculation'!$E$15</definedName>
    <definedName name="el_h">'Calculation'!$E$16</definedName>
    <definedName name="el_kap">'Calculation'!$E$17</definedName>
    <definedName name="el_top">'Calculation'!$E$18</definedName>
    <definedName name="el_tn">'Calculation'!$E$19</definedName>
    <definedName name="el_tb1">'Calculation'!$E$20</definedName>
    <definedName name="el_th1">'Calculation'!$E$21</definedName>
    <definedName name="el_tL1">'Calculation'!$E$22</definedName>
    <definedName name="el_tb2">'Calculation'!$E$23</definedName>
    <definedName name="el_th2">'Calculation'!$E$24</definedName>
    <definedName name="el_tL2">'Calculation'!$E$25</definedName>
    <definedName name="el_tadj">'Calculation'!$E$26</definedName>
    <definedName name="el_bottom">'Calculation'!$E$27</definedName>
    <definedName name="el_bn">'Calculation'!$E$28</definedName>
    <definedName name="el_bb1">'Calculation'!$E$29</definedName>
    <definedName name="el_bh1">'Calculation'!$E$30</definedName>
    <definedName name="el_bL1">'Calculation'!$E$31</definedName>
    <definedName name="el_bb2">'Calculation'!$E$32</definedName>
    <definedName name="el_bh2">'Calculation'!$E$33</definedName>
    <definedName name="el_bL2">'Calculation'!$E$34</definedName>
    <definedName name="el_badj">'Calculation'!$E$35</definedName>
    <definedName name="el_N">'Calculation'!$E$38</definedName>
    <definedName name="el_fA">'Calculation'!$E$39</definedName>
    <definedName name="el_fB">'Calculation'!$E$40</definedName>
    <definedName name="el_mom">'Calculation'!$E$41</definedName>
    <definedName name="el_rm">'Calculation'!$E$42</definedName>
    <definedName name="inputs_ok">IFERROR(AND(OR(NA_sel="UK NA (BS EN)",NA_sel="PL NA (PN-EN)"),OR(conc_class="C20/25",conc_class="C25/30",conc_class="C28/35",conc_class="C30/37",conc_class="C32/40",conc_class="C35/45",conc_class="C40/50",conc_class="C45/55",conc_class="C50/60"),OR(el_frame="Braced",el_frame="Unbraced"),ISNUMBER(el_l),el_l&gt;0,ISNUMBER(el_b),el_b&gt;0,ISNUMBER(el_h),el_h&gt;0,IF(OR(el_top="Beams",el_bottom="Beams"),IF(ISNUMBER(el_kap),el_kap&gt;0,FALSE),TRUE),OR(el_top="Beams",el_top="Fixed  (foundation)",el_top="Pinned"),IF(el_top="Beams",IF(ISNUMBER(el_tn),el_tn&gt;0,FALSE),TRUE),IF(el_top="Beams",IF(ISNUMBER(el_tb1),el_tb1&gt;0,FALSE),TRUE),IF(el_top="Beams",IF(ISNUMBER(el_th1),el_th1&gt;0,FALSE),TRUE),IF(el_top="Beams",IF(ISNUMBER(el_tL1),el_tL1&gt;0,FALSE),TRUE),IF(AND(el_top="Beams",el_tn&gt;=2),IF(ISNUMBER(el_tb2),el_tb2&gt;0,FALSE),TRUE),IF(AND(el_top="Beams",el_tn&gt;=2),IF(ISNUMBER(el_th2),el_th2&gt;0,FALSE),TRUE),IF(AND(el_top="Beams",el_tn&gt;=2),IF(ISNUMBER(el_tL2),el_tL2&gt;0,FALSE),TRUE),IF(el_top="Beams",IF(ISNUMBER(el_tadj),el_tadj&gt;=0,FALSE),TRUE),OR(el_bottom="Beams",el_bottom="Fixed  (foundation)",el_bottom="Pinned"),IF(el_bottom="Beams",IF(ISNUMBER(el_bn),el_bn&gt;0,FALSE),TRUE),IF(el_bottom="Beams",IF(ISNUMBER(el_bb1),el_bb1&gt;0,FALSE),TRUE),IF(el_bottom="Beams",IF(ISNUMBER(el_bh1),el_bh1&gt;0,FALSE),TRUE),IF(el_bottom="Beams",IF(ISNUMBER(el_bL1),el_bL1&gt;0,FALSE),TRUE),IF(AND(el_bottom="Beams",el_bn&gt;=2),IF(ISNUMBER(el_bb2),el_bb2&gt;0,FALSE),TRUE),IF(AND(el_bottom="Beams",el_bn&gt;=2),IF(ISNUMBER(el_bh2),el_bh2&gt;0,FALSE),TRUE),IF(AND(el_bottom="Beams",el_bn&gt;=2),IF(ISNUMBER(el_bL2),el_bL2&gt;0,FALSE),TRUE),IF(el_bottom="Beams",IF(ISNUMBER(el_badj),el_badj&gt;=0,FALSE),TRUE),ISNUMBER(el_N),el_N&gt;0,ISNUMBER(el_fA),el_fA&gt;0,ISNUMBER(el_fB),el_fB&gt;0,OR(el_mom="End moments only",el_mom="Imperfections or transverse load"),IF(AND(el_frame="Braced",el_mom="End moments only"),IF(ISNUMBER(el_rm),el_rm&gt;=-1,FALSE),TRUE),AND(el_fA&lt;=1,el_fB&gt;=1,IF(OR(el_top="Beams",el_bottom="Beams"),el_kap&lt;=4,TRUE),IF(AND(el_frame="Braced",el_mom="End moments only"),el_rm&lt;=1,TRUE),IF(el_top="Beams",AND(INT(el_tn)=el_tn,el_tn&lt;=2),TRUE),IF(el_bottom="Beams",AND(INT(el_bn)=el_bn,el_bn&lt;=2),TRUE),NOT(AND(el_top="Pinned",el_bottom="Pinned",el_frame="Unbraced")))),FALSE)</definedName>
    <definedName name="input_status">'Calculation'!$G$43</definedName>
    <definedName name="el_braced">el_frame="Braced"</definedName>
    <definedName name="slend_ok">IFERROR(lam_el&lt;=laml_el,FALSE)</definedName>
    <definedName name="slend_status">'Calculation'!$G$48</definedName>
    <definedName name="Icl_el">'Calculation'!$E$75</definedName>
    <definedName name="kbt_el">'Calculation'!$E$76</definedName>
    <definedName name="kct_el">'Calculation'!$E$77</definedName>
    <definedName name="k1_el">'Calculation'!$E$78</definedName>
    <definedName name="kbb_el">'Calculation'!$E$79</definedName>
    <definedName name="kcb_el">'Calculation'!$E$80</definedName>
    <definedName name="k2_el">'Calculation'!$E$81</definedName>
    <definedName name="l0b_el">'Calculation'!$E$84</definedName>
    <definedName name="l0u_el">'Calculation'!$E$85</definedName>
    <definedName name="l0_el">'Calculation'!$E$86</definedName>
    <definedName name="lam_el">'Calculation'!$E$87</definedName>
    <definedName name="gamma_c">'Calculation'!$E$88</definedName>
    <definedName name="alpha_cc">'Calculation'!$E$89</definedName>
    <definedName name="f_ck">'Calculation'!$E$90</definedName>
    <definedName name="f_ctm">'Calculation'!$E$91</definedName>
    <definedName name="n_el">'Calculation'!$E$92</definedName>
    <definedName name="C_el">'Calculation'!$E$93</definedName>
    <definedName name="laml_el">'Calculation'!$E$94</definedName>
    <definedName name="chk_slend">'Calculation'!$G$95</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'Calculation'!$A$1:$H$99</definedName>
    <definedName name="_xlnm.Print_Area" localSheetId="3">'NDP'!$A$1:$G$29</definedName>
  </definedNames>
  <calcPr calcId="124519" fullCalcOnLoad="1"/>
</workbook>
</file>

<file path=xl/styles.xml><?xml version="1.0" encoding="utf-8"?>
<styleSheet xmlns="http://schemas.openxmlformats.org/spreadsheetml/2006/main">
  <numFmts count="4">
    <numFmt numFmtId="164" formatCode="dd mmm yyyy"/>
    <numFmt numFmtId="165" formatCode="0.0"/>
    <numFmt numFmtId="166" formatCode="0.000"/>
    <numFmt numFmtId="167" formatCode="0.000E+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5">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165" fontId="12" fillId="3" borderId="1" applyAlignment="1" applyProtection="1" pivotButton="0" quotePrefix="0" xfId="0">
      <alignment horizontal="center" vertical="center"/>
      <protection locked="0" hidden="0"/>
    </xf>
    <xf numFmtId="1" fontId="12" fillId="3" borderId="1" applyAlignment="1" applyProtection="1" pivotButton="0" quotePrefix="0" xfId="0">
      <alignment horizontal="center" vertical="center"/>
      <protection locked="0" hidden="0"/>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0" fontId="0" fillId="4" borderId="0" applyAlignment="1" pivotButton="0" quotePrefix="0" xfId="0">
      <alignment horizontal="center" vertical="center"/>
    </xf>
    <xf numFmtId="1" fontId="16" fillId="4" borderId="0" applyAlignment="1" pivotButton="0" quotePrefix="0" xfId="0">
      <alignment horizontal="center" vertical="center"/>
    </xf>
    <xf numFmtId="0" fontId="4" fillId="4" borderId="0" applyAlignment="1" pivotButton="0" quotePrefix="0" xfId="0">
      <alignment vertical="center"/>
    </xf>
    <xf numFmtId="166" fontId="16" fillId="4" borderId="0" applyAlignment="1" pivotButton="0" quotePrefix="0" xfId="0">
      <alignment horizontal="center" vertical="center"/>
    </xf>
    <xf numFmtId="2" fontId="16" fillId="4" borderId="0" applyAlignment="1" pivotButton="0" quotePrefix="0" xfId="0">
      <alignment horizontal="center" vertical="center"/>
    </xf>
    <xf numFmtId="0" fontId="12" fillId="4" borderId="0" applyAlignment="1" pivotButton="0" quotePrefix="0" xfId="0">
      <alignment horizontal="center" vertical="center"/>
    </xf>
    <xf numFmtId="49" fontId="16" fillId="4" borderId="0" applyAlignment="1" pivotButton="0" quotePrefix="0" xfId="0">
      <alignment horizontal="center" vertical="center"/>
    </xf>
    <xf numFmtId="0" fontId="17" fillId="0" borderId="0" pivotButton="0" quotePrefix="0" xfId="0"/>
    <xf numFmtId="167" fontId="5" fillId="0" borderId="1" applyAlignment="1" pivotButton="0" quotePrefix="0" xfId="0">
      <alignment horizontal="center" vertical="center"/>
    </xf>
    <xf numFmtId="166" fontId="5" fillId="0" borderId="1" applyAlignment="1" pivotButton="0" quotePrefix="0" xfId="0">
      <alignment horizontal="center" vertical="center"/>
    </xf>
    <xf numFmtId="1" fontId="5" fillId="0" borderId="1" applyAlignment="1" pivotButton="0" quotePrefix="0" xfId="0">
      <alignment horizontal="center" vertical="center"/>
    </xf>
    <xf numFmtId="1" fontId="12" fillId="0" borderId="1" applyAlignment="1" pivotButton="0" quotePrefix="0" xfId="0">
      <alignment horizontal="center" vertical="center"/>
    </xf>
    <xf numFmtId="165" fontId="5" fillId="0" borderId="1" applyAlignment="1" pivotButton="0" quotePrefix="0" xfId="0">
      <alignment horizontal="center" vertical="center"/>
    </xf>
    <xf numFmtId="2" fontId="5" fillId="0" borderId="1" applyAlignment="1" pivotButton="0" quotePrefix="0" xfId="0">
      <alignment horizontal="center" vertical="center"/>
    </xf>
    <xf numFmtId="0" fontId="18" fillId="0" borderId="0" applyAlignment="1" pivotButton="0" quotePrefix="0" xfId="0">
      <alignment vertical="top" wrapText="1"/>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column</v>
          </tx>
          <spPr>
            <a:ln xmlns:a="http://schemas.openxmlformats.org/drawingml/2006/main" w="50800">
              <a:solidFill>
                <a:srgbClr val="2B2B2B"/>
              </a:solidFill>
              <a:prstDash val="solid"/>
            </a:ln>
          </spPr>
          <marker>
            <symbol val="none"/>
            <spPr>
              <a:ln xmlns:a="http://schemas.openxmlformats.org/drawingml/2006/main">
                <a:prstDash val="solid"/>
              </a:ln>
            </spPr>
          </marker>
          <xVal>
            <numRef>
              <f>'Geometry'!$D$3:$D$4</f>
            </numRef>
          </xVal>
          <yVal>
            <numRef>
              <f>'Geometry'!$E$3:$E$4</f>
            </numRef>
          </yVal>
          <smooth val="0"/>
        </ser>
        <ser>
          <idx val="2"/>
          <order val="2"/>
          <tx>
            <v>top beam left</v>
          </tx>
          <spPr>
            <a:ln xmlns:a="http://schemas.openxmlformats.org/drawingml/2006/main" w="38100">
              <a:solidFill>
                <a:srgbClr val="5B7F8A"/>
              </a:solidFill>
              <a:prstDash val="solid"/>
            </a:ln>
          </spPr>
          <marker>
            <symbol val="none"/>
            <spPr>
              <a:ln xmlns:a="http://schemas.openxmlformats.org/drawingml/2006/main">
                <a:prstDash val="solid"/>
              </a:ln>
            </spPr>
          </marker>
          <xVal>
            <numRef>
              <f>'Geometry'!$G$3:$G$4</f>
            </numRef>
          </xVal>
          <yVal>
            <numRef>
              <f>'Geometry'!$H$3:$H$4</f>
            </numRef>
          </yVal>
          <smooth val="0"/>
        </ser>
        <ser>
          <idx val="3"/>
          <order val="3"/>
          <tx>
            <v>top beam right</v>
          </tx>
          <spPr>
            <a:ln xmlns:a="http://schemas.openxmlformats.org/drawingml/2006/main" w="38100">
              <a:solidFill>
                <a:srgbClr val="5B7F8A"/>
              </a:solidFill>
              <a:prstDash val="solid"/>
            </a:ln>
          </spPr>
          <marker>
            <symbol val="none"/>
            <spPr>
              <a:ln xmlns:a="http://schemas.openxmlformats.org/drawingml/2006/main">
                <a:prstDash val="solid"/>
              </a:ln>
            </spPr>
          </marker>
          <xVal>
            <numRef>
              <f>'Geometry'!$J$3:$J$4</f>
            </numRef>
          </xVal>
          <yVal>
            <numRef>
              <f>'Geometry'!$K$3:$K$4</f>
            </numRef>
          </yVal>
          <smooth val="0"/>
        </ser>
        <ser>
          <idx val="4"/>
          <order val="4"/>
          <tx>
            <v>top column beyond</v>
          </tx>
          <spPr>
            <a:ln xmlns:a="http://schemas.openxmlformats.org/drawingml/2006/main" w="25400">
              <a:solidFill>
                <a:srgbClr val="2B2B2B"/>
              </a:solidFill>
              <a:prstDash val="dash"/>
            </a:ln>
          </spPr>
          <marker>
            <symbol val="none"/>
            <spPr>
              <a:ln xmlns:a="http://schemas.openxmlformats.org/drawingml/2006/main">
                <a:prstDash val="solid"/>
              </a:ln>
            </spPr>
          </marker>
          <xVal>
            <numRef>
              <f>'Geometry'!$M$3:$M$4</f>
            </numRef>
          </xVal>
          <yVal>
            <numRef>
              <f>'Geometry'!$N$3:$N$4</f>
            </numRef>
          </yVal>
          <smooth val="0"/>
        </ser>
        <ser>
          <idx val="5"/>
          <order val="5"/>
          <tx>
            <v>top fixed</v>
          </tx>
          <spPr>
            <a:ln xmlns:a="http://schemas.openxmlformats.org/drawingml/2006/main" w="63500">
              <a:solidFill>
                <a:srgbClr val="2B2B2B"/>
              </a:solidFill>
              <a:prstDash val="solid"/>
            </a:ln>
          </spPr>
          <marker>
            <symbol val="none"/>
            <spPr>
              <a:ln xmlns:a="http://schemas.openxmlformats.org/drawingml/2006/main">
                <a:prstDash val="solid"/>
              </a:ln>
            </spPr>
          </marker>
          <xVal>
            <numRef>
              <f>'Geometry'!$P$3:$P$4</f>
            </numRef>
          </xVal>
          <yVal>
            <numRef>
              <f>'Geometry'!$Q$3:$Q$4</f>
            </numRef>
          </yVal>
          <smooth val="0"/>
        </ser>
        <ser>
          <idx val="6"/>
          <order val="6"/>
          <tx>
            <v>top pin</v>
          </tx>
          <spPr>
            <a:ln xmlns:a="http://schemas.openxmlformats.org/drawingml/2006/main">
              <a:noFill/>
              <a:prstDash val="solid"/>
            </a:ln>
          </spPr>
          <marker>
            <symbol val="circle"/>
            <size val="9"/>
            <spPr>
              <a:solidFill xmlns:a="http://schemas.openxmlformats.org/drawingml/2006/main">
                <a:srgbClr val="B3261E"/>
              </a:solidFill>
              <a:ln xmlns:a="http://schemas.openxmlformats.org/drawingml/2006/main">
                <a:solidFill>
                  <a:srgbClr val="B3261E"/>
                </a:solidFill>
                <a:prstDash val="solid"/>
              </a:ln>
            </spPr>
          </marker>
          <xVal>
            <numRef>
              <f>'Geometry'!$S$3</f>
            </numRef>
          </xVal>
          <yVal>
            <numRef>
              <f>'Geometry'!$T$3</f>
            </numRef>
          </yVal>
          <smooth val="0"/>
        </ser>
        <ser>
          <idx val="7"/>
          <order val="7"/>
          <tx>
            <v>bottom beam left</v>
          </tx>
          <spPr>
            <a:ln xmlns:a="http://schemas.openxmlformats.org/drawingml/2006/main" w="38100">
              <a:solidFill>
                <a:srgbClr val="5B7F8A"/>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bottom beam right</v>
          </tx>
          <spPr>
            <a:ln xmlns:a="http://schemas.openxmlformats.org/drawingml/2006/main" w="38100">
              <a:solidFill>
                <a:srgbClr val="5B7F8A"/>
              </a:solidFill>
              <a:prstDash val="solid"/>
            </a:ln>
          </spPr>
          <marker>
            <symbol val="none"/>
            <spPr>
              <a:ln xmlns:a="http://schemas.openxmlformats.org/drawingml/2006/main">
                <a:prstDash val="solid"/>
              </a:ln>
            </spPr>
          </marker>
          <xVal>
            <numRef>
              <f>'Geometry'!$Y$3:$Y$4</f>
            </numRef>
          </xVal>
          <yVal>
            <numRef>
              <f>'Geometry'!$Z$3:$Z$4</f>
            </numRef>
          </yVal>
          <smooth val="0"/>
        </ser>
        <ser>
          <idx val="9"/>
          <order val="9"/>
          <tx>
            <v>bottom column beyond</v>
          </tx>
          <spPr>
            <a:ln xmlns:a="http://schemas.openxmlformats.org/drawingml/2006/main" w="25400">
              <a:solidFill>
                <a:srgbClr val="2B2B2B"/>
              </a:solidFill>
              <a:prstDash val="dash"/>
            </a:ln>
          </spPr>
          <marker>
            <symbol val="none"/>
            <spPr>
              <a:ln xmlns:a="http://schemas.openxmlformats.org/drawingml/2006/main">
                <a:prstDash val="solid"/>
              </a:ln>
            </spPr>
          </marker>
          <xVal>
            <numRef>
              <f>'Geometry'!$AB$3:$AB$4</f>
            </numRef>
          </xVal>
          <yVal>
            <numRef>
              <f>'Geometry'!$AC$3:$AC$4</f>
            </numRef>
          </yVal>
          <smooth val="0"/>
        </ser>
        <ser>
          <idx val="10"/>
          <order val="10"/>
          <tx>
            <v>bottom fixed</v>
          </tx>
          <spPr>
            <a:ln xmlns:a="http://schemas.openxmlformats.org/drawingml/2006/main" w="63500">
              <a:solidFill>
                <a:srgbClr val="2B2B2B"/>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v>bottom pin</v>
          </tx>
          <spPr>
            <a:ln xmlns:a="http://schemas.openxmlformats.org/drawingml/2006/main">
              <a:noFill/>
              <a:prstDash val="solid"/>
            </a:ln>
          </spPr>
          <marker>
            <symbol val="circle"/>
            <size val="9"/>
            <spPr>
              <a:solidFill xmlns:a="http://schemas.openxmlformats.org/drawingml/2006/main">
                <a:srgbClr val="B3261E"/>
              </a:solidFill>
              <a:ln xmlns:a="http://schemas.openxmlformats.org/drawingml/2006/main">
                <a:solidFill>
                  <a:srgbClr val="B3261E"/>
                </a:solidFill>
                <a:prstDash val="solid"/>
              </a:ln>
            </spPr>
          </marker>
          <xVal>
            <numRef>
              <f>'Geometry'!$AH$3</f>
            </numRef>
          </xVal>
          <yVal>
            <numRef>
              <f>'Geometry'!$AI$3</f>
            </numRef>
          </yVal>
          <smooth val="0"/>
        </ser>
        <ser>
          <idx val="12"/>
          <order val="1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'Geometry'!$AK$3:$AK$4</f>
            </numRef>
          </xVal>
          <yVal>
            <numRef>
              <f>'Geometry'!$AL$3:$AL$4</f>
            </numRef>
          </yVal>
          <smooth val="0"/>
        </ser>
        <ser>
          <idx val="13"/>
          <order val="13"/>
          <tx>
            <strRef>
              <f>'Geometry'!$AN$2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'Geometry'!$AN$3</f>
            </numRef>
          </xVal>
          <yVal>
            <numRef>
              <f>'Geometry'!$AO$3</f>
            </numRef>
          </yVal>
          <smooth val="0"/>
        </ser>
        <ser>
          <idx val="14"/>
          <order val="1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'Geometry'!$AQ$3:$AQ$4</f>
            </numRef>
          </xVal>
          <yVal>
            <numRef>
              <f>'Geometry'!$AR$3:$AR$4</f>
            </numRef>
          </yVal>
          <smooth val="0"/>
        </ser>
        <ser>
          <idx val="15"/>
          <order val="15"/>
          <tx>
            <strRef>
              <f>'Geometry'!$AT$2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'Geometry'!$AT$3</f>
            </numRef>
          </xVal>
          <yVal>
            <numRef>
              <f>'Geometry'!$AU$3</f>
            </numRef>
          </yVal>
          <smooth val="0"/>
        </ser>
        <ser>
          <idx val="16"/>
          <order val="16"/>
          <tx>
            <strRef>
              <f>'Geometry'!$AW$2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b"/>
            <showLegendKey val="0"/>
            <showVal val="0"/>
            <showCatName val="0"/>
            <showSerName val="1"/>
            <showPercent val="0"/>
          </dLbls>
          <xVal>
            <numRef>
              <f>'Geometry'!$AW$3</f>
            </numRef>
          </xVal>
          <yVal>
            <numRef>
              <f>'Geometry'!$AX$3</f>
            </numRef>
          </yVal>
          <smooth val="0"/>
        </ser>
        <ser>
          <idx val="17"/>
          <order val="17"/>
          <tx>
            <v>frame</v>
          </tx>
          <spPr>
            <a:ln xmlns:a="http://schemas.openxmlformats.org/drawingml/2006/main">
              <a:noFill/>
              <a:prstDash val="solid"/>
            </a:ln>
          </spPr>
          <marker>
            <symbol val="none"/>
            <spPr>
              <a:ln xmlns:a="http://schemas.openxmlformats.org/drawingml/2006/main">
                <a:prstDash val="solid"/>
              </a:ln>
            </spPr>
          </marker>
          <xVal>
            <numRef>
              <f>'Geometry'!$AZ$3:$AZ$4</f>
            </numRef>
          </xVal>
          <yVal>
            <numRef>
              <f>'Geometry'!$BA$3:$BA$4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image" Target="/xl/media/image2.png" Id="rId2"/></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51</row>
      <rowOff>0</rowOff>
    </from>
    <ext cx="6138000" cy="39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col>
      <colOff>0</colOff>
      <row>1</row>
      <rowOff>0</rowOff>
    </from>
    <ext cx="1514475" cy="3238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Column effective length</t>
        </is>
      </c>
    </row>
    <row r="8" ht="20" customHeight="1">
      <c r="B8" s="4" t="inlineStr">
        <is>
          <t>Effective length and slenderness of a column  ·  EN 1992-1-1 §5.8.3  ·  UK NA / PN-EN</t>
        </is>
      </c>
    </row>
    <row r="10">
      <c r="B10" s="5" t="inlineStr">
        <is>
          <t>Reference</t>
        </is>
      </c>
      <c r="C10" s="6" t="inlineStr">
        <is>
          <t>NAE-RC-037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33" customHeight="1">
      <c r="B16" s="7" t="inlineStr">
        <is>
          <t>Effective length of a column in a regular frame from the relative flexibility of the restraints at its two ends (5.15 braced, 5.16 unbraced), its slenderness and the slenderness limit above which second-order effects must be included.</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207" customHeight="1">
      <c r="B22" s="7" t="inlineStr">
        <is>
          <t>Rectangular column, bending about the axis with the depth h entered, clear height l between the restraints. At each end: beams (one or two, rectangular gross sections), a fixed foundation (k = 0.1, the least value of 5.8.3.2(3)) or a pin (k = ∞). k = (EI / l)column / Σ κ (EI / L)beam, with the column above or below added to the column term when it contributes to the rotation (5.8.3.2(4)), κ the rotational stiffness factor of the beams entered: 4 far end fixed, 3 pinned for uncracked elastic beams; the stiffness of the restraining beams must include cracking unless they are shown to be uncracked at ULS (5.8.3.2(5)), for which κ = 2 is a common allowance (TCC guidance). E the same throughout; k not less than 0.1. Braced (5.15): l0 = 0.5 l √((1 + k1/(0.45 + k1))(1 + k2/(0.45 + k2))); unbraced (5.16): l0 = l max(√(1 + 10 k1 k2 / (k1 + k2)); (1 + k1/(1 + k1))(1 + k2/(1 + k2))). Slenderness λ = l0 / i, i = h / √12 (5.14); limit λlim = 20 A B C / √n (5.13N) with A and B entered (0.7 and 1.1 when not known) and C = 1.7 − rm, rm = M01 / M02 with |M02| ≥ |M01|, positive when both end moments give tension on the same side, negative otherwise. rm = 1 (C = 0.7) is taken for unbraced columns and for braced columns whose first-order moments arise mainly from imperfections or transverse load (5.8.3.1(1)); n = NEd / (Ac fcd). The second-order design itself is RC-008. Unbraced columns pinned at both ends are unstable and FAIL.
The second-generation EN 1992-1-1:2023 is not yet implemented.</t>
        </is>
      </c>
    </row>
    <row r="24" ht="20" customHeight="1">
      <c r="B24" s="8" t="inlineStr">
        <is>
          <t>Further reading and independent cross-check</t>
        </is>
      </c>
      <c r="C24" s="9" t="n"/>
    </row>
    <row r="25" ht="62" customHeight="1">
      <c r="B25" s="10" t="inlineStr">
        <is>
          <t>•  The Concrete Centre, How to design concrete structures using Eurocode 2: Columns (effective length, slenderness).
•  The Concrete Centre, Concise Eurocode 2, 5.6 (slenderness).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&amp;K8A8A8ANAE-RC-037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98"/>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Column effective length</t>
        </is>
      </c>
      <c r="H2" s="1" t="n"/>
    </row>
    <row r="3" ht="16" customHeight="1">
      <c r="A3" s="1" t="n"/>
      <c r="B3" s="1" t="n"/>
      <c r="C3" s="15" t="inlineStr">
        <is>
          <t>NAE-RC-037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column and frame</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5.8.3.2</t>
        </is>
      </c>
      <c r="C13" s="24" t="inlineStr">
        <is>
          <t>Frame</t>
        </is>
      </c>
      <c r="D13" s="23" t="n"/>
      <c r="E13" s="25" t="inlineStr">
        <is>
          <t>Braced</t>
        </is>
      </c>
      <c r="F13" s="23" t="n"/>
      <c r="G13" s="23" t="n"/>
    </row>
    <row r="14" ht="17" customHeight="1">
      <c r="B14" s="23" t="n"/>
      <c r="C14" s="24" t="inlineStr">
        <is>
          <t>Clear height between restraints</t>
        </is>
      </c>
      <c r="D14" s="27" t="inlineStr">
        <is>
          <r>
            <rPr>
              <rFont val="Calibri"/>
              <i val="1"/>
              <color rgb="002B2B2B"/>
              <sz val="10"/>
            </rPr>
            <t>l</t>
          </r>
        </is>
      </c>
      <c r="E14" s="25" t="n">
        <v>3500</v>
      </c>
      <c r="F14" s="28" t="inlineStr">
        <is>
          <t>mm</t>
        </is>
      </c>
      <c r="G14" s="23" t="n"/>
    </row>
    <row r="15" ht="17" customHeight="1">
      <c r="B15" s="23" t="n"/>
      <c r="C15" s="24" t="inlineStr">
        <is>
          <t>Column: width b</t>
        </is>
      </c>
      <c r="D15" s="27" t="inlineStr">
        <is>
          <r>
            <rPr>
              <rFont val="Calibri"/>
              <i val="1"/>
              <color rgb="002B2B2B"/>
              <sz val="10"/>
            </rPr>
            <t>b</t>
          </r>
        </is>
      </c>
      <c r="E15" s="25" t="n">
        <v>400</v>
      </c>
      <c r="F15" s="28" t="inlineStr">
        <is>
          <t>mm</t>
        </is>
      </c>
      <c r="G15" s="23" t="n"/>
    </row>
    <row r="16" ht="17" customHeight="1">
      <c r="B16" s="23" t="n"/>
      <c r="C16" s="24" t="inlineStr">
        <is>
          <t>Column: depth h  (in the direction of buckling)</t>
        </is>
      </c>
      <c r="D16" s="27" t="inlineStr">
        <is>
          <r>
            <rPr>
              <rFont val="Calibri"/>
              <i val="1"/>
              <color rgb="002B2B2B"/>
              <sz val="10"/>
            </rPr>
            <t>h</t>
          </r>
        </is>
      </c>
      <c r="E16" s="25" t="n">
        <v>400</v>
      </c>
      <c r="F16" s="28" t="inlineStr">
        <is>
          <t>mm</t>
        </is>
      </c>
      <c r="G16" s="23" t="n"/>
    </row>
    <row r="17" ht="17" customHeight="1">
      <c r="B17" s="23" t="n"/>
      <c r="C17" s="24" t="inlineStr">
        <is>
          <t>Beam stiffness factor  κ in κ EI / L</t>
        </is>
      </c>
      <c r="D17" s="27" t="inlineStr">
        <is>
          <r>
            <rPr>
              <rFont val="Calibri"/>
              <i val="1"/>
              <color rgb="002B2B2B"/>
              <sz val="10"/>
            </rPr>
            <t>κ</t>
          </r>
        </is>
      </c>
      <c r="E17" s="29" t="n">
        <v>2</v>
      </c>
      <c r="F17" s="23" t="n"/>
      <c r="G17" s="26" t="inlineStr">
        <is>
          <t>4 fixed, 3 pinned far end</t>
        </is>
      </c>
    </row>
    <row r="18" ht="17" customHeight="1">
      <c r="B18" s="26" t="inlineStr">
        <is>
          <t>5.8.3.2(3)</t>
        </is>
      </c>
      <c r="C18" s="24" t="inlineStr">
        <is>
          <t>Top end</t>
        </is>
      </c>
      <c r="D18" s="23" t="n"/>
      <c r="E18" s="25" t="inlineStr">
        <is>
          <t>Beams</t>
        </is>
      </c>
      <c r="F18" s="23" t="n"/>
      <c r="G18" s="23" t="n"/>
    </row>
    <row r="19" ht="17" customHeight="1">
      <c r="B19" s="23" t="n"/>
      <c r="C19" s="24" t="inlineStr">
        <is>
          <t>Top: number of beams  (1 – 2)</t>
        </is>
      </c>
      <c r="D19" s="27" t="inlineStr">
        <is>
          <r>
            <rPr>
              <rFont val="Calibri"/>
              <i val="1"/>
              <color rgb="002B2B2B"/>
              <sz val="10"/>
            </rPr>
            <t>n</t>
          </r>
        </is>
      </c>
      <c r="E19" s="25" t="n">
        <v>2</v>
      </c>
      <c r="F19" s="23" t="n"/>
      <c r="G19" s="23" t="n"/>
    </row>
    <row r="20" ht="17" customHeight="1">
      <c r="B20" s="23" t="n"/>
      <c r="C20" s="24" t="inlineStr">
        <is>
          <t>Top beam 1: b × h × span</t>
        </is>
      </c>
      <c r="D20" s="27" t="inlineStr">
        <is>
          <r>
            <rPr>
              <rFont val="Calibri"/>
              <i val="1"/>
              <color rgb="002B2B2B"/>
              <sz val="10"/>
            </rPr>
            <t>b</t>
          </r>
        </is>
      </c>
      <c r="E20" s="25" t="n">
        <v>300</v>
      </c>
      <c r="F20" s="28" t="inlineStr">
        <is>
          <t>mm</t>
        </is>
      </c>
      <c r="G20" s="23" t="n"/>
    </row>
    <row r="21" ht="17" customHeight="1">
      <c r="B21" s="23" t="n"/>
      <c r="C21" s="24" t="inlineStr"/>
      <c r="D21" s="27" t="inlineStr">
        <is>
          <r>
            <rPr>
              <rFont val="Calibri"/>
              <i val="1"/>
              <color rgb="002B2B2B"/>
              <sz val="10"/>
            </rPr>
            <t>h</t>
          </r>
        </is>
      </c>
      <c r="E21" s="25" t="n">
        <v>600</v>
      </c>
      <c r="F21" s="28" t="inlineStr">
        <is>
          <t>mm</t>
        </is>
      </c>
      <c r="G21" s="23" t="n"/>
    </row>
    <row r="22" ht="17" customHeight="1">
      <c r="B22" s="23" t="n"/>
      <c r="C22" s="24" t="inlineStr"/>
      <c r="D22" s="27" t="inlineStr">
        <is>
          <r>
            <rPr>
              <rFont val="Calibri"/>
              <i val="1"/>
              <color rgb="002B2B2B"/>
              <sz val="10"/>
            </rPr>
            <t>L</t>
          </r>
        </is>
      </c>
      <c r="E22" s="25" t="n">
        <v>6000</v>
      </c>
      <c r="F22" s="28" t="inlineStr">
        <is>
          <t>mm</t>
        </is>
      </c>
      <c r="G22" s="23" t="n"/>
    </row>
    <row r="23" ht="17" customHeight="1">
      <c r="B23" s="23" t="n"/>
      <c r="C23" s="24" t="inlineStr">
        <is>
          <t>Top beam 2: b × h × span</t>
        </is>
      </c>
      <c r="D23" s="27" t="inlineStr">
        <is>
          <r>
            <rPr>
              <rFont val="Calibri"/>
              <i val="1"/>
              <color rgb="002B2B2B"/>
              <sz val="10"/>
            </rPr>
            <t>b</t>
          </r>
        </is>
      </c>
      <c r="E23" s="25" t="n">
        <v>300</v>
      </c>
      <c r="F23" s="28" t="inlineStr">
        <is>
          <t>mm</t>
        </is>
      </c>
      <c r="G23" s="23" t="n"/>
    </row>
    <row r="24" ht="17" customHeight="1">
      <c r="B24" s="23" t="n"/>
      <c r="C24" s="24" t="inlineStr"/>
      <c r="D24" s="27" t="inlineStr">
        <is>
          <r>
            <rPr>
              <rFont val="Calibri"/>
              <i val="1"/>
              <color rgb="002B2B2B"/>
              <sz val="10"/>
            </rPr>
            <t>h</t>
          </r>
        </is>
      </c>
      <c r="E24" s="25" t="n">
        <v>600</v>
      </c>
      <c r="F24" s="28" t="inlineStr">
        <is>
          <t>mm</t>
        </is>
      </c>
      <c r="G24" s="23" t="n"/>
    </row>
    <row r="25" ht="17" customHeight="1">
      <c r="B25" s="23" t="n"/>
      <c r="C25" s="24" t="inlineStr"/>
      <c r="D25" s="27" t="inlineStr">
        <is>
          <r>
            <rPr>
              <rFont val="Calibri"/>
              <i val="1"/>
              <color rgb="002B2B2B"/>
              <sz val="10"/>
            </rPr>
            <t>L</t>
          </r>
        </is>
      </c>
      <c r="E25" s="25" t="n">
        <v>6000</v>
      </c>
      <c r="F25" s="28" t="inlineStr">
        <is>
          <t>mm</t>
        </is>
      </c>
      <c r="G25" s="23" t="n"/>
    </row>
    <row r="26" ht="17" customHeight="1">
      <c r="B26" s="26" t="inlineStr">
        <is>
          <t>5.8.3.2(4)</t>
        </is>
      </c>
      <c r="C26" s="24" t="inlineStr">
        <is>
          <t>Top: column beyond the node, same section  (0 = none or not counted)</t>
        </is>
      </c>
      <c r="D26" s="27" t="inlineStr">
        <is>
          <r>
            <rPr>
              <rFont val="Calibri"/>
              <i val="1"/>
              <color rgb="002B2B2B"/>
              <sz val="10"/>
            </rPr>
            <t>l</t>
          </r>
          <r>
            <rPr>
              <rFont val="Calibri"/>
              <i val="1"/>
              <color rgb="002B2B2B"/>
              <sz val="10"/>
              <vertAlign val="subscript"/>
            </rPr>
            <t>adj</t>
          </r>
        </is>
      </c>
      <c r="E26" s="25" t="n">
        <v>3500</v>
      </c>
      <c r="F26" s="28" t="inlineStr">
        <is>
          <t>mm</t>
        </is>
      </c>
      <c r="G26" s="23" t="n"/>
    </row>
    <row r="27" ht="17" customHeight="1">
      <c r="B27" s="26" t="inlineStr">
        <is>
          <t>5.8.3.2(3)</t>
        </is>
      </c>
      <c r="C27" s="24" t="inlineStr">
        <is>
          <t>Bottom end</t>
        </is>
      </c>
      <c r="D27" s="23" t="n"/>
      <c r="E27" s="25" t="inlineStr">
        <is>
          <t>Beams</t>
        </is>
      </c>
      <c r="F27" s="23" t="n"/>
      <c r="G27" s="23" t="n"/>
    </row>
    <row r="28" ht="17" customHeight="1">
      <c r="B28" s="23" t="n"/>
      <c r="C28" s="24" t="inlineStr">
        <is>
          <t>Bottom: number of beams  (1 – 2)</t>
        </is>
      </c>
      <c r="D28" s="27" t="inlineStr">
        <is>
          <r>
            <rPr>
              <rFont val="Calibri"/>
              <i val="1"/>
              <color rgb="002B2B2B"/>
              <sz val="10"/>
            </rPr>
            <t>n</t>
          </r>
        </is>
      </c>
      <c r="E28" s="25" t="n">
        <v>2</v>
      </c>
      <c r="F28" s="23" t="n"/>
      <c r="G28" s="23" t="n"/>
    </row>
    <row r="29" ht="17" customHeight="1">
      <c r="B29" s="23" t="n"/>
      <c r="C29" s="24" t="inlineStr">
        <is>
          <t>Bottom beam 1: b × h × span</t>
        </is>
      </c>
      <c r="D29" s="27" t="inlineStr">
        <is>
          <r>
            <rPr>
              <rFont val="Calibri"/>
              <i val="1"/>
              <color rgb="002B2B2B"/>
              <sz val="10"/>
            </rPr>
            <t>b</t>
          </r>
        </is>
      </c>
      <c r="E29" s="25" t="n">
        <v>300</v>
      </c>
      <c r="F29" s="28" t="inlineStr">
        <is>
          <t>mm</t>
        </is>
      </c>
      <c r="G29" s="23" t="n"/>
    </row>
    <row r="30" ht="17" customHeight="1">
      <c r="B30" s="23" t="n"/>
      <c r="C30" s="24" t="inlineStr"/>
      <c r="D30" s="27" t="inlineStr">
        <is>
          <r>
            <rPr>
              <rFont val="Calibri"/>
              <i val="1"/>
              <color rgb="002B2B2B"/>
              <sz val="10"/>
            </rPr>
            <t>h</t>
          </r>
        </is>
      </c>
      <c r="E30" s="25" t="n">
        <v>600</v>
      </c>
      <c r="F30" s="28" t="inlineStr">
        <is>
          <t>mm</t>
        </is>
      </c>
      <c r="G30" s="23" t="n"/>
    </row>
    <row r="31" ht="17" customHeight="1">
      <c r="B31" s="23" t="n"/>
      <c r="C31" s="24" t="inlineStr"/>
      <c r="D31" s="27" t="inlineStr">
        <is>
          <r>
            <rPr>
              <rFont val="Calibri"/>
              <i val="1"/>
              <color rgb="002B2B2B"/>
              <sz val="10"/>
            </rPr>
            <t>L</t>
          </r>
        </is>
      </c>
      <c r="E31" s="25" t="n">
        <v>6000</v>
      </c>
      <c r="F31" s="28" t="inlineStr">
        <is>
          <t>mm</t>
        </is>
      </c>
      <c r="G31" s="23" t="n"/>
    </row>
    <row r="32" ht="17" customHeight="1">
      <c r="B32" s="23" t="n"/>
      <c r="C32" s="24" t="inlineStr">
        <is>
          <t>Bottom beam 2: b × h × span</t>
        </is>
      </c>
      <c r="D32" s="27" t="inlineStr">
        <is>
          <r>
            <rPr>
              <rFont val="Calibri"/>
              <i val="1"/>
              <color rgb="002B2B2B"/>
              <sz val="10"/>
            </rPr>
            <t>b</t>
          </r>
        </is>
      </c>
      <c r="E32" s="25" t="n">
        <v>300</v>
      </c>
      <c r="F32" s="28" t="inlineStr">
        <is>
          <t>mm</t>
        </is>
      </c>
      <c r="G32" s="23" t="n"/>
    </row>
    <row r="33" ht="17" customHeight="1">
      <c r="B33" s="23" t="n"/>
      <c r="C33" s="24" t="inlineStr"/>
      <c r="D33" s="27" t="inlineStr">
        <is>
          <r>
            <rPr>
              <rFont val="Calibri"/>
              <i val="1"/>
              <color rgb="002B2B2B"/>
              <sz val="10"/>
            </rPr>
            <t>h</t>
          </r>
        </is>
      </c>
      <c r="E33" s="25" t="n">
        <v>600</v>
      </c>
      <c r="F33" s="28" t="inlineStr">
        <is>
          <t>mm</t>
        </is>
      </c>
      <c r="G33" s="23" t="n"/>
    </row>
    <row r="34" ht="17" customHeight="1">
      <c r="B34" s="23" t="n"/>
      <c r="C34" s="24" t="inlineStr"/>
      <c r="D34" s="27" t="inlineStr">
        <is>
          <r>
            <rPr>
              <rFont val="Calibri"/>
              <i val="1"/>
              <color rgb="002B2B2B"/>
              <sz val="10"/>
            </rPr>
            <t>L</t>
          </r>
        </is>
      </c>
      <c r="E34" s="25" t="n">
        <v>6000</v>
      </c>
      <c r="F34" s="28" t="inlineStr">
        <is>
          <t>mm</t>
        </is>
      </c>
      <c r="G34" s="23" t="n"/>
    </row>
    <row r="35" ht="17" customHeight="1">
      <c r="B35" s="26" t="inlineStr">
        <is>
          <t>5.8.3.2(4)</t>
        </is>
      </c>
      <c r="C35" s="24" t="inlineStr">
        <is>
          <t>Bottom: column beyond the node, same section  (0 = none or not counted)</t>
        </is>
      </c>
      <c r="D35" s="27" t="inlineStr">
        <is>
          <r>
            <rPr>
              <rFont val="Calibri"/>
              <i val="1"/>
              <color rgb="002B2B2B"/>
              <sz val="10"/>
            </rPr>
            <t>l</t>
          </r>
          <r>
            <rPr>
              <rFont val="Calibri"/>
              <i val="1"/>
              <color rgb="002B2B2B"/>
              <sz val="10"/>
              <vertAlign val="subscript"/>
            </rPr>
            <t>adj</t>
          </r>
        </is>
      </c>
      <c r="E35" s="25" t="n">
        <v>0</v>
      </c>
      <c r="F35" s="28" t="inlineStr">
        <is>
          <t>mm</t>
        </is>
      </c>
      <c r="G35" s="23" t="n"/>
    </row>
    <row r="37" ht="22" customHeight="1">
      <c r="B37" s="20" t="inlineStr">
        <is>
          <t>Inputs  ·  for the slenderness limit</t>
        </is>
      </c>
      <c r="C37" s="21" t="n"/>
      <c r="D37" s="21" t="n"/>
      <c r="E37" s="21" t="n"/>
      <c r="F37" s="21" t="n"/>
      <c r="G37" s="22" t="inlineStr">
        <is>
          <t>Ultimate limit state</t>
        </is>
      </c>
    </row>
    <row r="38" ht="17" customHeight="1">
      <c r="B38" s="23" t="n"/>
      <c r="C38" s="24" t="inlineStr">
        <is>
          <t>Axial force</t>
        </is>
      </c>
      <c r="D38" s="27" t="inlineStr">
        <is>
          <r>
            <rPr>
              <rFont val="Calibri"/>
              <i val="1"/>
              <color rgb="002B2B2B"/>
              <sz val="10"/>
            </rPr>
            <t>N</t>
          </r>
          <r>
            <rPr>
              <rFont val="Calibri"/>
              <i val="1"/>
              <color rgb="002B2B2B"/>
              <sz val="10"/>
              <vertAlign val="subscript"/>
            </rPr>
            <t>Ed</t>
          </r>
        </is>
      </c>
      <c r="E38" s="30" t="n">
        <v>2000</v>
      </c>
      <c r="F38" s="28" t="inlineStr">
        <is>
          <t>kN</t>
        </is>
      </c>
      <c r="G38" s="23" t="n"/>
    </row>
    <row r="39" ht="17" customHeight="1">
      <c r="B39" s="26" t="inlineStr">
        <is>
          <t>5.8.3.1(1)</t>
        </is>
      </c>
      <c r="C39" s="24" t="inlineStr">
        <is>
          <t>Factor A = 1 / (1 + 0.2 φef)</t>
        </is>
      </c>
      <c r="D39" s="27" t="inlineStr">
        <is>
          <r>
            <rPr>
              <rFont val="Calibri"/>
              <i val="1"/>
              <color rgb="002B2B2B"/>
              <sz val="10"/>
            </rPr>
            <t>A</t>
          </r>
        </is>
      </c>
      <c r="E39" s="31" t="n">
        <v>0.7</v>
      </c>
      <c r="F39" s="23" t="n"/>
      <c r="G39" s="23" t="n"/>
    </row>
    <row r="40" ht="17" customHeight="1">
      <c r="B40" s="26" t="inlineStr">
        <is>
          <t>5.8.3.1(1)</t>
        </is>
      </c>
      <c r="C40" s="24" t="inlineStr">
        <is>
          <t>Factor B = √(1 + 2 ω)</t>
        </is>
      </c>
      <c r="D40" s="27" t="inlineStr">
        <is>
          <r>
            <rPr>
              <rFont val="Calibri"/>
              <i val="1"/>
              <color rgb="002B2B2B"/>
              <sz val="10"/>
            </rPr>
            <t>B</t>
          </r>
        </is>
      </c>
      <c r="E40" s="31" t="n">
        <v>1.1</v>
      </c>
      <c r="F40" s="23" t="n"/>
      <c r="G40" s="23" t="n"/>
    </row>
    <row r="41" ht="17" customHeight="1">
      <c r="B41" s="26" t="inlineStr">
        <is>
          <t>5.8.3.1(1)</t>
        </is>
      </c>
      <c r="C41" s="24" t="inlineStr">
        <is>
          <t>Braced: first-order moments from  (unbraced: either, not used)</t>
        </is>
      </c>
      <c r="D41" s="23" t="n"/>
      <c r="E41" s="25" t="inlineStr">
        <is>
          <t>End moments only</t>
        </is>
      </c>
      <c r="F41" s="23" t="n"/>
      <c r="G41" s="23" t="n"/>
    </row>
    <row r="42" ht="17" customHeight="1">
      <c r="B42" s="26" t="inlineStr">
        <is>
          <t>5.8.3.1(1)</t>
        </is>
      </c>
      <c r="C42" s="24" t="inlineStr">
        <is>
          <t>End moments: rm = M01 / M02,  |M02| ≥ |M01|  (+ same side in tension, − opposite)</t>
        </is>
      </c>
      <c r="D42" s="27" t="inlineStr">
        <is>
          <r>
            <rPr>
              <rFont val="Calibri"/>
              <i val="1"/>
              <color rgb="002B2B2B"/>
              <sz val="10"/>
            </rPr>
            <t>r</t>
          </r>
          <r>
            <rPr>
              <rFont val="Calibri"/>
              <i val="1"/>
              <color rgb="002B2B2B"/>
              <sz val="10"/>
              <vertAlign val="subscript"/>
            </rPr>
            <t>m</t>
          </r>
        </is>
      </c>
      <c r="E42" s="31" t="n">
        <v>1</v>
      </c>
      <c r="F42" s="23" t="n"/>
      <c r="G42" s="23" t="n"/>
    </row>
    <row r="43" ht="17" customHeight="1">
      <c r="B43" s="23" t="n"/>
      <c r="C43" s="24" t="inlineStr">
        <is>
          <t>Inputs valid and consistent</t>
        </is>
      </c>
      <c r="D43" s="23" t="n"/>
      <c r="E43" s="9" t="n"/>
      <c r="F43" s="23" t="n"/>
      <c r="G43" s="32">
        <f>IF(inputs_ok,"OK","FAIL")</f>
        <v/>
      </c>
    </row>
    <row r="45" ht="22" customHeight="1">
      <c r="B45" s="20" t="inlineStr">
        <is>
          <t>Results</t>
        </is>
      </c>
      <c r="C45" s="21" t="n"/>
      <c r="D45" s="21" t="n"/>
      <c r="E45" s="21" t="n"/>
      <c r="F45" s="21" t="n"/>
      <c r="G45" s="21" t="n"/>
    </row>
    <row r="46" ht="26" customHeight="1">
      <c r="B46" s="33" t="n"/>
      <c r="C46" s="34" t="inlineStr">
        <is>
          <t>Effective length</t>
        </is>
      </c>
      <c r="D46" s="35" t="inlineStr">
        <is>
          <r>
            <rPr>
              <rFont val="Calibri"/>
              <i val="1"/>
              <color rgb="002B2B2B"/>
              <sz val="11"/>
            </rPr>
            <t>l</t>
          </r>
          <r>
            <rPr>
              <rFont val="Calibri"/>
              <i val="1"/>
              <color rgb="002B2B2B"/>
              <sz val="11"/>
              <vertAlign val="subscript"/>
            </rPr>
            <t>0</t>
          </r>
        </is>
      </c>
      <c r="E46" s="36">
        <f>IF(inputs_ok,l0_el,"–")</f>
        <v/>
      </c>
      <c r="F46" s="37" t="inlineStr">
        <is>
          <t>mm</t>
        </is>
      </c>
      <c r="G46" s="33" t="n"/>
    </row>
    <row r="47" ht="26" customHeight="1">
      <c r="B47" s="33" t="n"/>
      <c r="C47" s="34" t="inlineStr">
        <is>
          <t>Effective length factor</t>
        </is>
      </c>
      <c r="D47" s="35" t="inlineStr">
        <is>
          <r>
            <rPr>
              <rFont val="Calibri"/>
              <i val="1"/>
              <color rgb="002B2B2B"/>
              <sz val="11"/>
            </rPr>
            <t>l</t>
          </r>
          <r>
            <rPr>
              <rFont val="Calibri"/>
              <i val="1"/>
              <color rgb="002B2B2B"/>
              <sz val="11"/>
              <vertAlign val="subscript"/>
            </rPr>
            <t>0 / l</t>
          </r>
        </is>
      </c>
      <c r="E47" s="38">
        <f>IF(inputs_ok,l0_el/el_l,"–")</f>
        <v/>
      </c>
      <c r="F47" s="37" t="inlineStr"/>
      <c r="G47" s="33" t="n"/>
    </row>
    <row r="48" ht="26" customHeight="1">
      <c r="B48" s="33" t="n"/>
      <c r="C48" s="34" t="inlineStr">
        <is>
          <t>Slenderness  λ / λlim  (5.8.3.1)</t>
        </is>
      </c>
      <c r="D48" s="33" t="n"/>
      <c r="E48" s="39">
        <f>IF(inputs_ok,lam_el/laml_el,"–")</f>
        <v/>
      </c>
      <c r="F48" s="37" t="inlineStr"/>
      <c r="G48" s="40">
        <f>IF(NOT(inputs_ok),"FAIL",IF(slend_ok,"Not slender","Slender: 2nd order"))</f>
        <v/>
      </c>
    </row>
    <row r="49" ht="26" customHeight="1">
      <c r="B49" s="33" t="n"/>
      <c r="C49" s="34" t="inlineStr">
        <is>
          <t>Slenderness  λ  and its limit</t>
        </is>
      </c>
      <c r="D49" s="35" t="inlineStr">
        <is>
          <r>
            <rPr>
              <rFont val="Calibri"/>
              <i val="1"/>
              <color rgb="002B2B2B"/>
              <sz val="11"/>
            </rPr>
            <t>λ</t>
          </r>
        </is>
      </c>
      <c r="E49" s="41">
        <f>IF(inputs_ok,TEXT(lam_el,"0.0")&amp;" / "&amp;TEXT(laml_el,"0.0"),"–")</f>
        <v/>
      </c>
      <c r="F49" s="37" t="inlineStr"/>
      <c r="G49" s="33" t="n"/>
    </row>
    <row r="50"/>
    <row r="51">
      <c r="B51" s="42" t="inlineStr">
        <is>
          <t>Your column, elevation  ·  clear height l, the beams framing in at each end (schematic, drawn longer for the longer span), the column beyond a node when counted (dashed), effective length l0 (dimension)</t>
        </is>
      </c>
    </row>
    <row r="52"/>
    <row r="53"/>
    <row r="54"/>
    <row r="55"/>
    <row r="56"/>
    <row r="57"/>
    <row r="58"/>
    <row r="59"/>
    <row r="60"/>
    <row r="61"/>
    <row r="62"/>
    <row r="63"/>
    <row r="64"/>
    <row r="65"/>
    <row r="66"/>
    <row r="67"/>
    <row r="68"/>
    <row r="69"/>
    <row r="70"/>
    <row r="71"/>
    <row r="72"/>
    <row r="73"/>
    <row r="74" ht="22" customHeight="1">
      <c r="B74" s="20" t="inlineStr">
        <is>
          <t>Calculation  ·  relative flexibilities</t>
        </is>
      </c>
      <c r="C74" s="21" t="n"/>
      <c r="D74" s="21" t="n"/>
      <c r="E74" s="21" t="n"/>
      <c r="F74" s="21" t="n"/>
      <c r="G74" s="21" t="n"/>
    </row>
    <row r="75" ht="17" customHeight="1">
      <c r="B75" s="23" t="n"/>
      <c r="C75" s="24" t="inlineStr">
        <is>
          <t>Column  I / l  (E cancels)</t>
        </is>
      </c>
      <c r="D75" s="27" t="inlineStr">
        <is>
          <r>
            <rPr>
              <rFont val="Calibri"/>
              <i val="1"/>
              <color rgb="002B2B2B"/>
              <sz val="10"/>
            </rPr>
            <t>I</t>
          </r>
          <r>
            <rPr>
              <rFont val="Calibri"/>
              <i val="1"/>
              <color rgb="002B2B2B"/>
              <sz val="10"/>
              <vertAlign val="subscript"/>
            </rPr>
            <t>c / l</t>
          </r>
        </is>
      </c>
      <c r="E75" s="43">
        <f>IF(inputs_ok,el_b*el_h^3/12/el_l,NA())</f>
        <v/>
      </c>
      <c r="F75" s="28" t="inlineStr">
        <is>
          <t>mm³</t>
        </is>
      </c>
      <c r="G75" s="23" t="n"/>
    </row>
    <row r="76" ht="17" customHeight="1">
      <c r="B76" s="26" t="inlineStr">
        <is>
          <t>5.8.3.2(3)</t>
        </is>
      </c>
      <c r="C76" s="24" t="inlineStr">
        <is>
          <t>Beams at the top  Σ κ I / L</t>
        </is>
      </c>
      <c r="D76" s="27" t="inlineStr">
        <is>
          <r>
            <rPr>
              <rFont val="Calibri"/>
              <i val="1"/>
              <color rgb="002B2B2B"/>
              <sz val="10"/>
            </rPr>
            <t>Σ κ I</t>
          </r>
          <r>
            <rPr>
              <rFont val="Calibri"/>
              <i val="1"/>
              <color rgb="002B2B2B"/>
              <sz val="10"/>
              <vertAlign val="subscript"/>
            </rPr>
            <t>b/L</t>
          </r>
        </is>
      </c>
      <c r="E76" s="43">
        <f>IF(inputs_ok,IF(el_top="Beams",el_kap*(IF(el_tn&gt;=1,el_tb1*el_th1^3/12/el_tL1,0)+IF(el_tn&gt;=2,el_tb2*el_th2^3/12/el_tL2,0)),NA()),NA())</f>
        <v/>
      </c>
      <c r="F76" s="28" t="inlineStr">
        <is>
          <t>mm³</t>
        </is>
      </c>
      <c r="G76" s="23" t="n"/>
    </row>
    <row r="77" ht="17" customHeight="1">
      <c r="B77" s="26" t="inlineStr">
        <is>
          <t>5.8.3.2(4)</t>
        </is>
      </c>
      <c r="C77" s="24" t="inlineStr">
        <is>
          <t>Column term at the top  I/l + I/l_adj</t>
        </is>
      </c>
      <c r="D77" s="27" t="inlineStr">
        <is>
          <r>
            <rPr>
              <rFont val="Calibri"/>
              <i val="1"/>
              <color rgb="002B2B2B"/>
              <sz val="10"/>
            </rPr>
            <t>Σ I</t>
          </r>
          <r>
            <rPr>
              <rFont val="Calibri"/>
              <i val="1"/>
              <color rgb="002B2B2B"/>
              <sz val="10"/>
              <vertAlign val="subscript"/>
            </rPr>
            <t>c/l</t>
          </r>
        </is>
      </c>
      <c r="E77" s="43">
        <f>IF(inputs_ok,IF(el_top="Beams",Icl_el+IF(el_tadj&gt;0,el_b*el_h^3/12/el_tadj,0),NA()),NA())</f>
        <v/>
      </c>
      <c r="F77" s="28" t="inlineStr">
        <is>
          <t>mm³</t>
        </is>
      </c>
      <c r="G77" s="23" t="n"/>
    </row>
    <row r="78" ht="17" customHeight="1">
      <c r="B78" s="26" t="inlineStr">
        <is>
          <t>5.8.3.2(3)</t>
        </is>
      </c>
      <c r="C78" s="24" t="inlineStr">
        <is>
          <t>k at the top  (≥ 0.1; fixed 0.1, pinned ∞)</t>
        </is>
      </c>
      <c r="D78" s="27" t="inlineStr">
        <is>
          <r>
            <rPr>
              <rFont val="Calibri"/>
              <i val="1"/>
              <color rgb="002B2B2B"/>
              <sz val="10"/>
            </rPr>
            <t>k</t>
          </r>
          <r>
            <rPr>
              <rFont val="Calibri"/>
              <i val="1"/>
              <color rgb="002B2B2B"/>
              <sz val="10"/>
              <vertAlign val="subscript"/>
            </rPr>
            <t>1</t>
          </r>
        </is>
      </c>
      <c r="E78" s="44">
        <f>IF(inputs_ok,IF(el_top="Fixed  (foundation)",0.1,IF(el_top="Pinned",1E9,MAX(0.1,kct_el/kbt_el))),NA())</f>
        <v/>
      </c>
      <c r="F78" s="23" t="n"/>
      <c r="G78" s="23" t="n"/>
    </row>
    <row r="79" ht="17" customHeight="1">
      <c r="B79" s="26" t="inlineStr">
        <is>
          <t>5.8.3.2(3)</t>
        </is>
      </c>
      <c r="C79" s="24" t="inlineStr">
        <is>
          <t>Beams at the bottom  Σ κ I / L</t>
        </is>
      </c>
      <c r="D79" s="27" t="inlineStr">
        <is>
          <r>
            <rPr>
              <rFont val="Calibri"/>
              <i val="1"/>
              <color rgb="002B2B2B"/>
              <sz val="10"/>
            </rPr>
            <t>Σ κ I</t>
          </r>
          <r>
            <rPr>
              <rFont val="Calibri"/>
              <i val="1"/>
              <color rgb="002B2B2B"/>
              <sz val="10"/>
              <vertAlign val="subscript"/>
            </rPr>
            <t>b/L</t>
          </r>
        </is>
      </c>
      <c r="E79" s="43">
        <f>IF(inputs_ok,IF(el_bottom="Beams",el_kap*(IF(el_bn&gt;=1,el_bb1*el_bh1^3/12/el_bL1,0)+IF(el_bn&gt;=2,el_bb2*el_bh2^3/12/el_bL2,0)),NA()),NA())</f>
        <v/>
      </c>
      <c r="F79" s="28" t="inlineStr">
        <is>
          <t>mm³</t>
        </is>
      </c>
      <c r="G79" s="23" t="n"/>
    </row>
    <row r="80" ht="17" customHeight="1">
      <c r="B80" s="26" t="inlineStr">
        <is>
          <t>5.8.3.2(4)</t>
        </is>
      </c>
      <c r="C80" s="24" t="inlineStr">
        <is>
          <t>Column term at the bottom  I/l + I/l_adj</t>
        </is>
      </c>
      <c r="D80" s="27" t="inlineStr">
        <is>
          <r>
            <rPr>
              <rFont val="Calibri"/>
              <i val="1"/>
              <color rgb="002B2B2B"/>
              <sz val="10"/>
            </rPr>
            <t>Σ I</t>
          </r>
          <r>
            <rPr>
              <rFont val="Calibri"/>
              <i val="1"/>
              <color rgb="002B2B2B"/>
              <sz val="10"/>
              <vertAlign val="subscript"/>
            </rPr>
            <t>c/l</t>
          </r>
        </is>
      </c>
      <c r="E80" s="43">
        <f>IF(inputs_ok,IF(el_bottom="Beams",Icl_el+IF(el_badj&gt;0,el_b*el_h^3/12/el_badj,0),NA()),NA())</f>
        <v/>
      </c>
      <c r="F80" s="28" t="inlineStr">
        <is>
          <t>mm³</t>
        </is>
      </c>
      <c r="G80" s="23" t="n"/>
    </row>
    <row r="81" ht="17" customHeight="1">
      <c r="B81" s="26" t="inlineStr">
        <is>
          <t>5.8.3.2(3)</t>
        </is>
      </c>
      <c r="C81" s="24" t="inlineStr">
        <is>
          <t>k at the bottom  (≥ 0.1; fixed 0.1, pinned ∞)</t>
        </is>
      </c>
      <c r="D81" s="27" t="inlineStr">
        <is>
          <r>
            <rPr>
              <rFont val="Calibri"/>
              <i val="1"/>
              <color rgb="002B2B2B"/>
              <sz val="10"/>
            </rPr>
            <t>k</t>
          </r>
          <r>
            <rPr>
              <rFont val="Calibri"/>
              <i val="1"/>
              <color rgb="002B2B2B"/>
              <sz val="10"/>
              <vertAlign val="subscript"/>
            </rPr>
            <t>2</t>
          </r>
        </is>
      </c>
      <c r="E81" s="44">
        <f>IF(inputs_ok,IF(el_bottom="Fixed  (foundation)",0.1,IF(el_bottom="Pinned",1E9,MAX(0.1,kcb_el/kbb_el))),NA())</f>
        <v/>
      </c>
      <c r="F81" s="23" t="n"/>
      <c r="G81" s="23" t="n"/>
    </row>
    <row r="82"/>
    <row r="83" ht="22" customHeight="1">
      <c r="B83" s="20" t="inlineStr">
        <is>
          <t>Calculation  ·  effective length and slenderness</t>
        </is>
      </c>
      <c r="C83" s="21" t="n"/>
      <c r="D83" s="21" t="n"/>
      <c r="E83" s="21" t="n"/>
      <c r="F83" s="21" t="n"/>
      <c r="G83" s="21" t="n"/>
    </row>
    <row r="84" ht="17" customHeight="1">
      <c r="B84" s="26" t="inlineStr">
        <is>
          <t>(5.15)</t>
        </is>
      </c>
      <c r="C84" s="24" t="inlineStr">
        <is>
          <t>Braced  0.5 l √((1 + k1/(0.45 + k1))(1 + k2/(0.45 + k2)))</t>
        </is>
      </c>
      <c r="D84" s="27" t="inlineStr">
        <is>
          <r>
            <rPr>
              <rFont val="Calibri"/>
              <i val="1"/>
              <color rgb="002B2B2B"/>
              <sz val="10"/>
            </rPr>
            <t>l</t>
          </r>
          <r>
            <rPr>
              <rFont val="Calibri"/>
              <i val="1"/>
              <color rgb="002B2B2B"/>
              <sz val="10"/>
              <vertAlign val="subscript"/>
            </rPr>
            <t>0,br</t>
          </r>
        </is>
      </c>
      <c r="E84" s="45">
        <f>IF(inputs_ok,0.5*el_l*SQRT((1+k1_el/(0.45+k1_el))*(1+k2_el/(0.45+k2_el))),NA())</f>
        <v/>
      </c>
      <c r="F84" s="28" t="inlineStr">
        <is>
          <t>mm</t>
        </is>
      </c>
      <c r="G84" s="23" t="n"/>
    </row>
    <row r="85" ht="17" customHeight="1">
      <c r="B85" s="26" t="inlineStr">
        <is>
          <t>(5.16)</t>
        </is>
      </c>
      <c r="C85" s="24" t="inlineStr">
        <is>
          <t>Unbraced  l max(√(1 + 10 k1 k2/(k1 + k2)); (1 + k1/(1 + k1))(1 + k2/(1 + k2)))</t>
        </is>
      </c>
      <c r="D85" s="27" t="inlineStr">
        <is>
          <r>
            <rPr>
              <rFont val="Calibri"/>
              <i val="1"/>
              <color rgb="002B2B2B"/>
              <sz val="10"/>
            </rPr>
            <t>l</t>
          </r>
          <r>
            <rPr>
              <rFont val="Calibri"/>
              <i val="1"/>
              <color rgb="002B2B2B"/>
              <sz val="10"/>
              <vertAlign val="subscript"/>
            </rPr>
            <t>0,unbr</t>
          </r>
        </is>
      </c>
      <c r="E85" s="45">
        <f>IF(inputs_ok,el_l*MAX(SQRT(1+10*k1_el*k2_el/(k1_el+k2_el)),(1+k1_el/(1+k1_el))*(1+k2_el/(1+k2_el))),NA())</f>
        <v/>
      </c>
      <c r="F85" s="28" t="inlineStr">
        <is>
          <t>mm</t>
        </is>
      </c>
      <c r="G85" s="23" t="n"/>
    </row>
    <row r="86" ht="17" customHeight="1">
      <c r="B86" s="26" t="inlineStr">
        <is>
          <t>5.8.3.2</t>
        </is>
      </c>
      <c r="C86" s="24" t="inlineStr">
        <is>
          <t>Used</t>
        </is>
      </c>
      <c r="D86" s="27" t="inlineStr">
        <is>
          <r>
            <rPr>
              <rFont val="Calibri"/>
              <i val="1"/>
              <color rgb="002B2B2B"/>
              <sz val="10"/>
            </rPr>
            <t>l</t>
          </r>
          <r>
            <rPr>
              <rFont val="Calibri"/>
              <i val="1"/>
              <color rgb="002B2B2B"/>
              <sz val="10"/>
              <vertAlign val="subscript"/>
            </rPr>
            <t>0</t>
          </r>
        </is>
      </c>
      <c r="E86" s="46">
        <f>IF(inputs_ok,IF(el_braced,l0b_el,l0u_el),NA())</f>
        <v/>
      </c>
      <c r="F86" s="28" t="inlineStr">
        <is>
          <t>mm</t>
        </is>
      </c>
      <c r="G86" s="23" t="n"/>
    </row>
    <row r="87" ht="17" customHeight="1">
      <c r="B87" s="26" t="inlineStr">
        <is>
          <t>(5.14)</t>
        </is>
      </c>
      <c r="C87" s="24" t="inlineStr">
        <is>
          <t>Slenderness  l0 / i,  i = h / √12</t>
        </is>
      </c>
      <c r="D87" s="27" t="inlineStr">
        <is>
          <r>
            <rPr>
              <rFont val="Calibri"/>
              <i val="1"/>
              <color rgb="002B2B2B"/>
              <sz val="10"/>
            </rPr>
            <t>λ</t>
          </r>
        </is>
      </c>
      <c r="E87" s="47">
        <f>IF(inputs_ok,l0_el/(el_h/SQRT(12)),NA())</f>
        <v/>
      </c>
      <c r="F87" s="23" t="n"/>
      <c r="G87" s="23" t="n"/>
    </row>
    <row r="88" ht="17" customHeight="1">
      <c r="B88" s="26" t="inlineStr">
        <is>
          <t>2.4.2.4(1)</t>
        </is>
      </c>
      <c r="C88" s="24" t="inlineStr">
        <is>
          <t>Partial factor, concrete</t>
        </is>
      </c>
      <c r="D88" s="27" t="inlineStr">
        <is>
          <r>
            <rPr>
              <rFont val="Calibri"/>
              <i val="1"/>
              <color rgb="002B2B2B"/>
              <sz val="10"/>
            </rPr>
            <t>γ</t>
          </r>
          <r>
            <rPr>
              <rFont val="Calibri"/>
              <i val="1"/>
              <color rgb="002B2B2B"/>
              <sz val="10"/>
              <vertAlign val="subscript"/>
            </rPr>
            <t>c</t>
          </r>
        </is>
      </c>
      <c r="E88" s="48">
        <f>IF(inputs_ok,ndp_gamma_c,NA())</f>
        <v/>
      </c>
      <c r="F88" s="23" t="n"/>
      <c r="G88" s="26" t="inlineStr">
        <is>
          <t>NDP sheet</t>
        </is>
      </c>
    </row>
    <row r="89" ht="17" customHeight="1">
      <c r="B89" s="26" t="inlineStr">
        <is>
          <t>3.1.6(1)</t>
        </is>
      </c>
      <c r="C89" s="24" t="inlineStr">
        <is>
          <t>Coefficient on compressive strength (flexure)</t>
        </is>
      </c>
      <c r="D89" s="27" t="inlineStr">
        <is>
          <r>
            <rPr>
              <rFont val="Calibri"/>
              <i val="1"/>
              <color rgb="002B2B2B"/>
              <sz val="10"/>
            </rPr>
            <t>α</t>
          </r>
          <r>
            <rPr>
              <rFont val="Calibri"/>
              <i val="1"/>
              <color rgb="002B2B2B"/>
              <sz val="10"/>
              <vertAlign val="subscript"/>
            </rPr>
            <t>cc</t>
          </r>
        </is>
      </c>
      <c r="E89" s="48">
        <f>IF(inputs_ok,ndp_alpha_cc,NA())</f>
        <v/>
      </c>
      <c r="F89" s="23" t="n"/>
      <c r="G89" s="26" t="inlineStr">
        <is>
          <t>NDP sheet</t>
        </is>
      </c>
    </row>
    <row r="90" ht="17" customHeight="1">
      <c r="B90" s="26" t="inlineStr">
        <is>
          <t>Table 3.1</t>
        </is>
      </c>
      <c r="C90" s="24" t="inlineStr">
        <is>
          <t>Characteristic cylinder strength</t>
        </is>
      </c>
      <c r="D90" s="27" t="inlineStr">
        <is>
          <r>
            <rPr>
              <rFont val="Calibri"/>
              <i val="1"/>
              <color rgb="002B2B2B"/>
              <sz val="10"/>
            </rPr>
            <t>f</t>
          </r>
          <r>
            <rPr>
              <rFont val="Calibri"/>
              <i val="1"/>
              <color rgb="002B2B2B"/>
              <sz val="10"/>
              <vertAlign val="subscript"/>
            </rPr>
            <t>ck</t>
          </r>
        </is>
      </c>
      <c r="E90" s="45">
        <f>IF(inputs_ok,VALUE(MID(conc_class,2,FIND("/",conc_class)-2)),NA())</f>
        <v/>
      </c>
      <c r="F90" s="28" t="inlineStr">
        <is>
          <t>MPa</t>
        </is>
      </c>
      <c r="G90" s="23" t="n"/>
    </row>
    <row r="91" ht="17" customHeight="1">
      <c r="B91" s="26" t="inlineStr">
        <is>
          <t>Table 3.1</t>
        </is>
      </c>
      <c r="C91" s="24" t="inlineStr">
        <is>
          <t>Mean tensile strength</t>
        </is>
      </c>
      <c r="D91" s="27" t="inlineStr">
        <is>
          <r>
            <rPr>
              <rFont val="Calibri"/>
              <i val="1"/>
              <color rgb="002B2B2B"/>
              <sz val="10"/>
            </rPr>
            <t>f</t>
          </r>
          <r>
            <rPr>
              <rFont val="Calibri"/>
              <i val="1"/>
              <color rgb="002B2B2B"/>
              <sz val="10"/>
              <vertAlign val="subscript"/>
            </rPr>
            <t>ctm</t>
          </r>
        </is>
      </c>
      <c r="E91" s="48">
        <f>IF(inputs_ok,IF(f_ck&lt;=50,0.3*f_ck^(2/3),2.12*LN(1+(f_ck+8)/10)),NA())</f>
        <v/>
      </c>
      <c r="F91" s="28" t="inlineStr">
        <is>
          <t>MPa</t>
        </is>
      </c>
      <c r="G91" s="23" t="n"/>
    </row>
    <row r="92" ht="17" customHeight="1">
      <c r="B92" s="26" t="inlineStr">
        <is>
          <t>(5.13N)</t>
        </is>
      </c>
      <c r="C92" s="24" t="inlineStr">
        <is>
          <t>Relative axial force  NEd / (Ac fcd)</t>
        </is>
      </c>
      <c r="D92" s="27" t="inlineStr">
        <is>
          <r>
            <rPr>
              <rFont val="Calibri"/>
              <i val="1"/>
              <color rgb="002B2B2B"/>
              <sz val="10"/>
            </rPr>
            <t>n</t>
          </r>
        </is>
      </c>
      <c r="E92" s="44">
        <f>IF(inputs_ok,el_N*1000/(el_b*el_h*alpha_cc*f_ck/gamma_c),NA())</f>
        <v/>
      </c>
      <c r="F92" s="23" t="n"/>
      <c r="G92" s="23" t="n"/>
    </row>
    <row r="93" ht="17" customHeight="1">
      <c r="B93" s="26" t="inlineStr">
        <is>
          <t>5.8.3.1(1)</t>
        </is>
      </c>
      <c r="C93" s="24" t="inlineStr">
        <is>
          <t>C = 1.7 − rm  (unbraced, imperfections or transverse load: rm = 1)</t>
        </is>
      </c>
      <c r="D93" s="27" t="inlineStr">
        <is>
          <r>
            <rPr>
              <rFont val="Calibri"/>
              <i val="1"/>
              <color rgb="002B2B2B"/>
              <sz val="10"/>
            </rPr>
            <t>C</t>
          </r>
        </is>
      </c>
      <c r="E93" s="48">
        <f>IF(inputs_ok,IF(AND(el_braced,el_mom="End moments only"),1.7-el_rm,0.7),NA())</f>
        <v/>
      </c>
      <c r="F93" s="23" t="n"/>
      <c r="G93" s="23" t="n"/>
    </row>
    <row r="94" ht="17" customHeight="1">
      <c r="B94" s="26" t="inlineStr">
        <is>
          <t>(5.13N)</t>
        </is>
      </c>
      <c r="C94" s="24" t="inlineStr">
        <is>
          <t>Limit  20 A B C / √n</t>
        </is>
      </c>
      <c r="D94" s="27" t="inlineStr">
        <is>
          <r>
            <rPr>
              <rFont val="Calibri"/>
              <i val="1"/>
              <color rgb="002B2B2B"/>
              <sz val="10"/>
            </rPr>
            <t>λ</t>
          </r>
          <r>
            <rPr>
              <rFont val="Calibri"/>
              <i val="1"/>
              <color rgb="002B2B2B"/>
              <sz val="10"/>
              <vertAlign val="subscript"/>
            </rPr>
            <t>lim</t>
          </r>
        </is>
      </c>
      <c r="E94" s="47">
        <f>IF(inputs_ok,20*el_fA*el_fB*C_el/SQRT(n_el),NA())</f>
        <v/>
      </c>
      <c r="F94" s="23" t="n"/>
      <c r="G94" s="23" t="n"/>
    </row>
    <row r="95" ht="17" customHeight="1">
      <c r="B95" s="26" t="inlineStr">
        <is>
          <t>5.8.3.1(1)</t>
        </is>
      </c>
      <c r="C95" s="24" t="inlineStr">
        <is>
          <t>λ ≤ λlim: second-order effects may be ignored</t>
        </is>
      </c>
      <c r="D95" s="23" t="n"/>
      <c r="E95" s="47">
        <f>IF(inputs_ok,lam_el,NA())</f>
        <v/>
      </c>
      <c r="F95" s="23" t="n"/>
      <c r="G95" s="32">
        <f>IF(NOT(inputs_ok),"FAIL",IF(slend_ok,"OK","FAIL"))</f>
        <v/>
      </c>
    </row>
    <row r="96" ht="29" customHeight="1">
      <c r="B96" s="49" t="inlineStr">
        <is>
          <t>For a column restrained differently about its two axes, run the sheet once for each axis with h the depth in that direction. Where a column is pinned at one end k = ∞ is represented by 10⁹.</t>
        </is>
      </c>
    </row>
    <row r="97"/>
    <row r="98" ht="29" customHeight="1">
      <c r="B98" s="49"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7">
    <mergeCell ref="B98:G98"/>
    <mergeCell ref="E5:G5"/>
    <mergeCell ref="B96:G96"/>
    <mergeCell ref="D2:G2"/>
    <mergeCell ref="E7:G7"/>
    <mergeCell ref="E6:G6"/>
    <mergeCell ref="C3:G3"/>
  </mergeCells>
  <conditionalFormatting sqref="G9:G99">
    <cfRule type="expression" priority="1" dxfId="0">
      <formula>G9="OK"</formula>
    </cfRule>
    <cfRule type="expression" priority="2" dxfId="1">
      <formula>G9="FAIL"</formula>
    </cfRule>
    <cfRule type="expression" priority="3" dxfId="2">
      <formula>LEFT(G9,1)="!"</formula>
    </cfRule>
  </conditionalFormatting>
  <dataValidations count="29">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Pick a value from the list." type="list" errorStyle="stop">
      <formula1>"Braced,Unbraced"</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Enter a number greater than 0." type="decimal" errorStyle="stop" operator="greaterThan">
      <formula1>0</formula1>
    </dataValidation>
    <dataValidation sqref="E16" showDropDown="0" showInputMessage="0" showErrorMessage="1" allowBlank="0" errorTitle="NA Engineering" error="Enter a number greater than 0." type="decimal" errorStyle="stop" operator="greaterThan">
      <formula1>0</formula1>
    </dataValidation>
    <dataValidation sqref="E17" showDropDown="0" showInputMessage="0" showErrorMessage="1" allowBlank="1" errorTitle="NA Engineering" error="Enter a number greater than 0." type="custom" errorStyle="stop">
      <formula1>IF(OR(el_top="Beams",el_bottom="Beams"),AND(ISNUMBER(E17),E17&gt;0),TRUE)</formula1>
    </dataValidation>
    <dataValidation sqref="E18 E27" showDropDown="0" showInputMessage="0" showErrorMessage="1" allowBlank="0" errorTitle="NA Engineering" error="Pick a value from the list." type="list" errorStyle="stop">
      <formula1>"Beams,Fixed  (foundation),Pinned"</formula1>
    </dataValidation>
    <dataValidation sqref="E19" showDropDown="0" showInputMessage="0" showErrorMessage="1" allowBlank="1" errorTitle="NA Engineering" error="Enter a number greater than 0." type="custom" errorStyle="stop">
      <formula1>IF(el_top="Beams",AND(ISNUMBER(E19),E19&gt;0),TRUE)</formula1>
    </dataValidation>
    <dataValidation sqref="E20" showDropDown="0" showInputMessage="0" showErrorMessage="1" allowBlank="1" errorTitle="NA Engineering" error="Enter a number greater than 0." type="custom" errorStyle="stop">
      <formula1>IF(el_top="Beams",AND(ISNUMBER(E20),E20&gt;0),TRUE)</formula1>
    </dataValidation>
    <dataValidation sqref="E21" showDropDown="0" showInputMessage="0" showErrorMessage="1" allowBlank="1" errorTitle="NA Engineering" error="Enter a number greater than 0." type="custom" errorStyle="stop">
      <formula1>IF(el_top="Beams",AND(ISNUMBER(E21),E21&gt;0),TRUE)</formula1>
    </dataValidation>
    <dataValidation sqref="E22" showDropDown="0" showInputMessage="0" showErrorMessage="1" allowBlank="1" errorTitle="NA Engineering" error="Enter a number greater than 0." type="custom" errorStyle="stop">
      <formula1>IF(el_top="Beams",AND(ISNUMBER(E22),E22&gt;0),TRUE)</formula1>
    </dataValidation>
    <dataValidation sqref="E23" showDropDown="0" showInputMessage="0" showErrorMessage="1" allowBlank="1" errorTitle="NA Engineering" error="Enter a number greater than 0." type="custom" errorStyle="stop">
      <formula1>IF(AND(el_top="Beams",el_tn&gt;=2),AND(ISNUMBER(E23),E23&gt;0),TRUE)</formula1>
    </dataValidation>
    <dataValidation sqref="E24" showDropDown="0" showInputMessage="0" showErrorMessage="1" allowBlank="1" errorTitle="NA Engineering" error="Enter a number greater than 0." type="custom" errorStyle="stop">
      <formula1>IF(AND(el_top="Beams",el_tn&gt;=2),AND(ISNUMBER(E24),E24&gt;0),TRUE)</formula1>
    </dataValidation>
    <dataValidation sqref="E25" showDropDown="0" showInputMessage="0" showErrorMessage="1" allowBlank="1" errorTitle="NA Engineering" error="Enter a number greater than 0." type="custom" errorStyle="stop">
      <formula1>IF(AND(el_top="Beams",el_tn&gt;=2),AND(ISNUMBER(E25),E25&gt;0),TRUE)</formula1>
    </dataValidation>
    <dataValidation sqref="E26" showDropDown="0" showInputMessage="0" showErrorMessage="1" allowBlank="1" errorTitle="NA Engineering" error="Enter a number ≥ 0." type="custom" errorStyle="stop">
      <formula1>IF(el_top="Beams",AND(ISNUMBER(E26),E26&gt;=0),TRUE)</formula1>
    </dataValidation>
    <dataValidation sqref="E28" showDropDown="0" showInputMessage="0" showErrorMessage="1" allowBlank="1" errorTitle="NA Engineering" error="Enter a number greater than 0." type="custom" errorStyle="stop">
      <formula1>IF(el_bottom="Beams",AND(ISNUMBER(E28),E28&gt;0),TRUE)</formula1>
    </dataValidation>
    <dataValidation sqref="E29" showDropDown="0" showInputMessage="0" showErrorMessage="1" allowBlank="1" errorTitle="NA Engineering" error="Enter a number greater than 0." type="custom" errorStyle="stop">
      <formula1>IF(el_bottom="Beams",AND(ISNUMBER(E29),E29&gt;0),TRUE)</formula1>
    </dataValidation>
    <dataValidation sqref="E30" showDropDown="0" showInputMessage="0" showErrorMessage="1" allowBlank="1" errorTitle="NA Engineering" error="Enter a number greater than 0." type="custom" errorStyle="stop">
      <formula1>IF(el_bottom="Beams",AND(ISNUMBER(E30),E30&gt;0),TRUE)</formula1>
    </dataValidation>
    <dataValidation sqref="E31" showDropDown="0" showInputMessage="0" showErrorMessage="1" allowBlank="1" errorTitle="NA Engineering" error="Enter a number greater than 0." type="custom" errorStyle="stop">
      <formula1>IF(el_bottom="Beams",AND(ISNUMBER(E31),E31&gt;0),TRUE)</formula1>
    </dataValidation>
    <dataValidation sqref="E32" showDropDown="0" showInputMessage="0" showErrorMessage="1" allowBlank="1" errorTitle="NA Engineering" error="Enter a number greater than 0." type="custom" errorStyle="stop">
      <formula1>IF(AND(el_bottom="Beams",el_bn&gt;=2),AND(ISNUMBER(E32),E32&gt;0),TRUE)</formula1>
    </dataValidation>
    <dataValidation sqref="E33" showDropDown="0" showInputMessage="0" showErrorMessage="1" allowBlank="1" errorTitle="NA Engineering" error="Enter a number greater than 0." type="custom" errorStyle="stop">
      <formula1>IF(AND(el_bottom="Beams",el_bn&gt;=2),AND(ISNUMBER(E33),E33&gt;0),TRUE)</formula1>
    </dataValidation>
    <dataValidation sqref="E34" showDropDown="0" showInputMessage="0" showErrorMessage="1" allowBlank="1" errorTitle="NA Engineering" error="Enter a number greater than 0." type="custom" errorStyle="stop">
      <formula1>IF(AND(el_bottom="Beams",el_bn&gt;=2),AND(ISNUMBER(E34),E34&gt;0),TRUE)</formula1>
    </dataValidation>
    <dataValidation sqref="E35" showDropDown="0" showInputMessage="0" showErrorMessage="1" allowBlank="1" errorTitle="NA Engineering" error="Enter a number ≥ 0." type="custom" errorStyle="stop">
      <formula1>IF(el_bottom="Beams",AND(ISNUMBER(E35),E35&gt;=0),TRUE)</formula1>
    </dataValidation>
    <dataValidation sqref="E38" showDropDown="0" showInputMessage="0" showErrorMessage="1" allowBlank="0" errorTitle="NA Engineering" error="Enter a number greater than 0." type="decimal" errorStyle="stop" operator="greaterThan">
      <formula1>0</formula1>
    </dataValidation>
    <dataValidation sqref="E39" showDropDown="0" showInputMessage="0" showErrorMessage="1" allowBlank="0" errorTitle="NA Engineering" error="Enter a number greater than 0." type="decimal" errorStyle="stop" operator="greaterThan">
      <formula1>0</formula1>
    </dataValidation>
    <dataValidation sqref="E40" showDropDown="0" showInputMessage="0" showErrorMessage="1" allowBlank="0" errorTitle="NA Engineering" error="Enter a number greater than 0." type="decimal" errorStyle="stop" operator="greaterThan">
      <formula1>0</formula1>
    </dataValidation>
    <dataValidation sqref="E41" showDropDown="0" showInputMessage="0" showErrorMessage="1" allowBlank="0" errorTitle="NA Engineering" error="Pick a value from the list." type="list" errorStyle="stop">
      <formula1>"End moments only,Imperfections or transverse load"</formula1>
    </dataValidation>
    <dataValidation sqref="E42" showDropDown="0" showInputMessage="0" showErrorMessage="1" allowBlank="1" errorTitle="NA Engineering" error="Enter a number ≥ -1." type="custom" errorStyle="stop">
      <formula1>IF(AND(el_frame="Braced",el_mom="End moments only"),AND(ISNUMBER(E42),E42&gt;=-1),TRUE)</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&amp;K8A8A8ANAE-RC-037  v1.0</oddFooter>
    <evenHeader/>
    <evenFooter/>
    <firstHeader/>
    <firstFooter/>
  </headerFooter>
  <rowBreaks count="1" manualBreakCount="1">
    <brk id="44"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BA4"/>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column</t>
        </is>
      </c>
      <c r="G2" t="inlineStr">
        <is>
          <t>top beam left</t>
        </is>
      </c>
      <c r="J2" t="inlineStr">
        <is>
          <t>top beam right</t>
        </is>
      </c>
      <c r="M2" t="inlineStr">
        <is>
          <t>top column beyond</t>
        </is>
      </c>
      <c r="P2" t="inlineStr">
        <is>
          <t>top fixed</t>
        </is>
      </c>
      <c r="S2" t="inlineStr">
        <is>
          <t>top pin</t>
        </is>
      </c>
      <c r="V2" t="inlineStr">
        <is>
          <t>bottom beam left</t>
        </is>
      </c>
      <c r="Y2" t="inlineStr">
        <is>
          <t>bottom beam right</t>
        </is>
      </c>
      <c r="AB2" t="inlineStr">
        <is>
          <t>bottom column beyond</t>
        </is>
      </c>
      <c r="AE2" t="inlineStr">
        <is>
          <t>bottom fixed</t>
        </is>
      </c>
      <c r="AH2" t="inlineStr">
        <is>
          <t>bottom pin</t>
        </is>
      </c>
      <c r="AK2" t="inlineStr">
        <is>
          <t>dim</t>
        </is>
      </c>
      <c r="AN2">
        <f>IF(inputs_ok,"l "&amp;TEXT(el_l,"0"),"")</f>
        <v/>
      </c>
      <c r="AQ2" t="inlineStr">
        <is>
          <t>dim</t>
        </is>
      </c>
      <c r="AT2">
        <f>IF(inputs_ok,"l0 "&amp;TEXT(l0_el,"0"),"")</f>
        <v/>
      </c>
      <c r="AW2">
        <f>IF(inputs_ok,"k1 "&amp;TEXT(k1_el,"0.00")&amp;" · k2 "&amp;TEXT(k2_el,"0.00")&amp;" · λ "&amp;TEXT(lam_el,"0"),"")</f>
        <v/>
      </c>
      <c r="AZ2" t="inlineStr">
        <is>
          <t>frame</t>
        </is>
      </c>
    </row>
    <row r="3">
      <c r="A3">
        <f>0</f>
        <v/>
      </c>
      <c r="B3">
        <f>0</f>
        <v/>
      </c>
      <c r="D3">
        <f>IF(inputs_ok,0,NA())</f>
        <v/>
      </c>
      <c r="E3">
        <f>0</f>
        <v/>
      </c>
      <c r="G3">
        <f>IF(inputs_ok,IF(AND(el_top="Beams",el_tn&gt;=1),0,NA()),NA())</f>
        <v/>
      </c>
      <c r="H3">
        <f>IF(AND(el_top="Beams",el_tn&gt;=1),el_l,NA())</f>
        <v/>
      </c>
      <c r="J3">
        <f>IF(inputs_ok,IF(AND(el_top="Beams",el_tn&gt;=2),0,NA()),NA())</f>
        <v/>
      </c>
      <c r="K3">
        <f>IF(AND(el_top="Beams",el_tn&gt;=2),el_l,NA())</f>
        <v/>
      </c>
      <c r="M3">
        <f>IF(inputs_ok,IF(AND(el_top="Beams",el_tadj&gt;0),0,NA()),NA())</f>
        <v/>
      </c>
      <c r="N3">
        <f>IF(AND(el_top="Beams",el_tadj&gt;0),el_l,NA())</f>
        <v/>
      </c>
      <c r="P3">
        <f>IF(inputs_ok,IF(el_top="Fixed  (foundation)",-0.12*el_l,NA()),NA())</f>
        <v/>
      </c>
      <c r="Q3">
        <f>IF(el_top="Fixed  (foundation)",el_l,NA())</f>
        <v/>
      </c>
      <c r="S3">
        <f>IF(inputs_ok,IF(el_top="Pinned",0,NA()),NA())</f>
        <v/>
      </c>
      <c r="T3">
        <f>IF(el_top="Pinned",el_l,NA())</f>
        <v/>
      </c>
      <c r="V3">
        <f>IF(inputs_ok,IF(AND(el_bottom="Beams",el_bn&gt;=1),0,NA()),NA())</f>
        <v/>
      </c>
      <c r="W3">
        <f>IF(AND(el_bottom="Beams",el_bn&gt;=1),0,NA())</f>
        <v/>
      </c>
      <c r="Y3">
        <f>IF(inputs_ok,IF(AND(el_bottom="Beams",el_bn&gt;=2),0,NA()),NA())</f>
        <v/>
      </c>
      <c r="Z3">
        <f>IF(AND(el_bottom="Beams",el_bn&gt;=2),0,NA())</f>
        <v/>
      </c>
      <c r="AB3">
        <f>IF(inputs_ok,IF(AND(el_bottom="Beams",el_badj&gt;0),0,NA()),NA())</f>
        <v/>
      </c>
      <c r="AC3">
        <f>IF(AND(el_bottom="Beams",el_badj&gt;0),0,NA())</f>
        <v/>
      </c>
      <c r="AE3">
        <f>IF(inputs_ok,IF(el_bottom="Fixed  (foundation)",-0.12*el_l,NA()),NA())</f>
        <v/>
      </c>
      <c r="AF3">
        <f>IF(el_bottom="Fixed  (foundation)",0,NA())</f>
        <v/>
      </c>
      <c r="AH3">
        <f>IF(inputs_ok,IF(el_bottom="Pinned",0,NA()),NA())</f>
        <v/>
      </c>
      <c r="AI3">
        <f>IF(el_bottom="Pinned",0,NA())</f>
        <v/>
      </c>
      <c r="AK3">
        <f>IF(inputs_ok,IF(TRUE,0.45*el_l,NA()),NA())</f>
        <v/>
      </c>
      <c r="AL3">
        <f>IF(TRUE,0,NA())</f>
        <v/>
      </c>
      <c r="AN3">
        <f>IF(inputs_ok,IF(TRUE,((0.45*el_l)+(0.45*el_l))/2,NA()),NA())</f>
        <v/>
      </c>
      <c r="AO3">
        <f>IF(TRUE,((0)+(el_l))/2,NA())</f>
        <v/>
      </c>
      <c r="AQ3">
        <f>IF(inputs_ok,IF(l0_el&lt;3*el_l,-0.45*el_l,NA()),NA())</f>
        <v/>
      </c>
      <c r="AR3">
        <f>IF(l0_el&lt;3*el_l,(el_l-l0_el)/2,NA())</f>
        <v/>
      </c>
      <c r="AT3">
        <f>IF(inputs_ok,IF(l0_el&lt;3*el_l,((-0.45*el_l)+(-0.45*el_l))/2,NA()),NA())</f>
        <v/>
      </c>
      <c r="AU3">
        <f>IF(l0_el&lt;3*el_l,(((el_l-l0_el)/2)+((el_l+l0_el)/2))/2,NA())</f>
        <v/>
      </c>
      <c r="AW3">
        <f>IF(inputs_ok,0,NA())</f>
        <v/>
      </c>
      <c r="AX3">
        <f>-0.12*el_l</f>
        <v/>
      </c>
      <c r="AZ3">
        <f>((-0.75*el_l)+(0.75*el_l))/2-MAX((1.3*el_l)-(-0.3*el_l),((0.75*el_l)-(-0.75*el_l))/1.55)*0.53*1.55</f>
        <v/>
      </c>
      <c r="BA3">
        <f>((-0.3*el_l)+(1.3*el_l))/2-MAX((1.3*el_l)-(-0.3*el_l),((0.75*el_l)-(-0.75*el_l))/1.55)*0.53</f>
        <v/>
      </c>
    </row>
    <row r="4">
      <c r="D4">
        <f>IF(inputs_ok,0,NA())</f>
        <v/>
      </c>
      <c r="E4">
        <f>el_l</f>
        <v/>
      </c>
      <c r="G4">
        <f>IF(inputs_ok,IF(AND(el_top="Beams",el_tn&gt;=1),-0.35*el_l*MIN(1,el_tL1/MAX(el_tL1,IF(el_tn&gt;=2,el_tL2,0),1)),NA()),NA())</f>
        <v/>
      </c>
      <c r="H4">
        <f>IF(AND(el_top="Beams",el_tn&gt;=1),el_l,NA())</f>
        <v/>
      </c>
      <c r="J4">
        <f>IF(inputs_ok,IF(AND(el_top="Beams",el_tn&gt;=2),0.35*el_l*MIN(1,el_tL2/MAX(el_tL1,IF(el_tn&gt;=2,el_tL2,0),1)),NA()),NA())</f>
        <v/>
      </c>
      <c r="K4">
        <f>IF(AND(el_top="Beams",el_tn&gt;=2),el_l,NA())</f>
        <v/>
      </c>
      <c r="M4">
        <f>IF(inputs_ok,IF(AND(el_top="Beams",el_tadj&gt;0),0,NA()),NA())</f>
        <v/>
      </c>
      <c r="N4">
        <f>IF(AND(el_top="Beams",el_tadj&gt;0),el_l+0.25*el_l,NA())</f>
        <v/>
      </c>
      <c r="P4">
        <f>IF(inputs_ok,IF(el_top="Fixed  (foundation)",0.12*el_l,NA()),NA())</f>
        <v/>
      </c>
      <c r="Q4">
        <f>IF(el_top="Fixed  (foundation)",el_l,NA())</f>
        <v/>
      </c>
      <c r="V4">
        <f>IF(inputs_ok,IF(AND(el_bottom="Beams",el_bn&gt;=1),-0.35*el_l*MIN(1,el_bL1/MAX(el_bL1,IF(el_bn&gt;=2,el_bL2,0),1)),NA()),NA())</f>
        <v/>
      </c>
      <c r="W4">
        <f>IF(AND(el_bottom="Beams",el_bn&gt;=1),0,NA())</f>
        <v/>
      </c>
      <c r="Y4">
        <f>IF(inputs_ok,IF(AND(el_bottom="Beams",el_bn&gt;=2),0.35*el_l*MIN(1,el_bL2/MAX(el_bL1,IF(el_bn&gt;=2,el_bL2,0),1)),NA()),NA())</f>
        <v/>
      </c>
      <c r="Z4">
        <f>IF(AND(el_bottom="Beams",el_bn&gt;=2),0,NA())</f>
        <v/>
      </c>
      <c r="AB4">
        <f>IF(inputs_ok,IF(AND(el_bottom="Beams",el_badj&gt;0),0,NA()),NA())</f>
        <v/>
      </c>
      <c r="AC4">
        <f>IF(AND(el_bottom="Beams",el_badj&gt;0),0-0.25*el_l,NA())</f>
        <v/>
      </c>
      <c r="AE4">
        <f>IF(inputs_ok,IF(el_bottom="Fixed  (foundation)",0.12*el_l,NA()),NA())</f>
        <v/>
      </c>
      <c r="AF4">
        <f>IF(el_bottom="Fixed  (foundation)",0,NA())</f>
        <v/>
      </c>
      <c r="AK4">
        <f>IF(inputs_ok,IF(TRUE,0.45*el_l,NA()),NA())</f>
        <v/>
      </c>
      <c r="AL4">
        <f>IF(TRUE,el_l,NA())</f>
        <v/>
      </c>
      <c r="AQ4">
        <f>IF(inputs_ok,IF(l0_el&lt;3*el_l,-0.45*el_l,NA()),NA())</f>
        <v/>
      </c>
      <c r="AR4">
        <f>IF(l0_el&lt;3*el_l,(el_l+l0_el)/2,NA())</f>
        <v/>
      </c>
      <c r="AZ4">
        <f>((-0.75*el_l)+(0.75*el_l))/2+MAX((1.3*el_l)-(-0.3*el_l),((0.75*el_l)-(-0.75*el_l))/1.55)*0.53*1.55</f>
        <v/>
      </c>
      <c r="BA4">
        <f>((-0.3*el_l)+(1.3*el_l))/2+MAX((1.3*el_l)-(-0.3*el_l),((0.75*el_l)-(-0.75*el_l))/1.55)*0.53</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50"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1" t="inlineStr">
        <is>
          <t>Parameter</t>
        </is>
      </c>
      <c r="C5" s="51" t="inlineStr">
        <is>
          <t>Clause</t>
        </is>
      </c>
      <c r="D5" s="51" t="inlineStr">
        <is>
          <t>UK NA</t>
        </is>
      </c>
      <c r="E5" s="51" t="inlineStr">
        <is>
          <t>PL NA</t>
        </is>
      </c>
      <c r="F5" s="51" t="inlineStr">
        <is>
          <t>Notes</t>
        </is>
      </c>
    </row>
    <row r="6">
      <c r="B6" s="52" t="inlineStr">
        <is>
          <t>Partial factor, concrete  γc</t>
        </is>
      </c>
      <c r="C6" s="53" t="inlineStr">
        <is>
          <t>2.4.2.4(1)</t>
        </is>
      </c>
      <c r="D6" s="54" t="n">
        <v>1.5</v>
      </c>
      <c r="E6" s="54" t="n">
        <v>1.4</v>
      </c>
      <c r="F6" s="53" t="inlineStr">
        <is>
          <t>Persistent &amp; transient. UK NA: recommended; PL: NA.2, Table NA.2</t>
        </is>
      </c>
    </row>
    <row r="7">
      <c r="B7" s="52" t="inlineStr">
        <is>
          <t>Partial factor, reinforcement  γs</t>
        </is>
      </c>
      <c r="C7" s="53" t="inlineStr">
        <is>
          <t>2.4.2.4(1)</t>
        </is>
      </c>
      <c r="D7" s="54" t="n">
        <v>1.15</v>
      </c>
      <c r="E7" s="54" t="n">
        <v>1.15</v>
      </c>
      <c r="F7" s="53" t="inlineStr">
        <is>
          <t>UK NA: recommended; PL: NA.2, Table NA.2</t>
        </is>
      </c>
    </row>
    <row r="8">
      <c r="B8" s="52" t="inlineStr">
        <is>
          <t>αcc  (compression in flexure / axial)</t>
        </is>
      </c>
      <c r="C8" s="53" t="inlineStr">
        <is>
          <t>3.1.6(1)</t>
        </is>
      </c>
      <c r="D8" s="54" t="n">
        <v>0.85</v>
      </c>
      <c r="E8" s="54" t="n">
        <v>1</v>
      </c>
      <c r="F8" s="53" t="inlineStr">
        <is>
          <t>UK NA: 0.85; PL: recommended (NA.9)</t>
        </is>
      </c>
    </row>
    <row r="9">
      <c r="B9" s="52" t="inlineStr">
        <is>
          <t>αcc,pl  (plain concrete, compression)</t>
        </is>
      </c>
      <c r="C9" s="53" t="inlineStr">
        <is>
          <t>12.3.1(1)</t>
        </is>
      </c>
      <c r="D9" s="54" t="n">
        <v>0.6</v>
      </c>
      <c r="E9" s="54" t="n">
        <v>0.8</v>
      </c>
      <c r="F9" s="53" t="inlineStr">
        <is>
          <t>UK NA Table NA.1: 0.6; PL: recommended (NA.9)</t>
        </is>
      </c>
    </row>
    <row r="10">
      <c r="B10" s="52" t="inlineStr">
        <is>
          <t>αcc  (shear and punching)</t>
        </is>
      </c>
      <c r="C10" s="53" t="inlineStr">
        <is>
          <t>3.1.6(1)</t>
        </is>
      </c>
      <c r="D10" s="54" t="n">
        <v>1</v>
      </c>
      <c r="E10" s="54" t="n">
        <v>1</v>
      </c>
      <c r="F10" s="53" t="inlineStr">
        <is>
          <t>UK NA: 1.0 for other phenomena; PL: recommended (NA.9)</t>
        </is>
      </c>
    </row>
    <row r="11">
      <c r="B11" s="52" t="inlineStr">
        <is>
          <t>αct  (design tensile strength)</t>
        </is>
      </c>
      <c r="C11" s="53" t="inlineStr">
        <is>
          <t>3.1.6(2)</t>
        </is>
      </c>
      <c r="D11" s="54" t="n">
        <v>1</v>
      </c>
      <c r="E11" s="54" t="n">
        <v>1</v>
      </c>
      <c r="F11" s="53" t="inlineStr">
        <is>
          <t>Recommended value in both annexes</t>
        </is>
      </c>
    </row>
    <row r="12">
      <c r="B12" s="52" t="inlineStr">
        <is>
          <t>CRd,c numerator  (CRd,c = value / γc)</t>
        </is>
      </c>
      <c r="C12" s="53" t="inlineStr">
        <is>
          <t>6.2.2(1), 6.4.4(1)</t>
        </is>
      </c>
      <c r="D12" s="54" t="n">
        <v>0.18</v>
      </c>
      <c r="E12" s="54" t="n">
        <v>0.18</v>
      </c>
      <c r="F12" s="53" t="inlineStr">
        <is>
          <t>Recommended value in both annexes</t>
        </is>
      </c>
    </row>
    <row r="13">
      <c r="B13" s="52" t="inlineStr">
        <is>
          <t>k1  (axial stress term, punching)</t>
        </is>
      </c>
      <c r="C13" s="53" t="inlineStr">
        <is>
          <t>6.4.4(1)</t>
        </is>
      </c>
      <c r="D13" s="54" t="n">
        <v>0.1</v>
      </c>
      <c r="E13" s="54" t="n">
        <v>0.1</v>
      </c>
      <c r="F13" s="53" t="inlineStr">
        <is>
          <t>Recommended value in both annexes</t>
        </is>
      </c>
    </row>
    <row r="14">
      <c r="B14" s="52" t="inlineStr">
        <is>
          <t>vRd,max factor  (vRd,max = factor · ν · fcd)</t>
        </is>
      </c>
      <c r="C14" s="53" t="inlineStr">
        <is>
          <t>6.4.5(3)</t>
        </is>
      </c>
      <c r="D14" s="54" t="n">
        <v>0.5</v>
      </c>
      <c r="E14" s="54" t="n">
        <v>0.4</v>
      </c>
      <c r="F14" s="53" t="inlineStr">
        <is>
          <t>UK NA: 0.5 ν fcd; PL: recommended value (NA.9), 0.4 ν fcd since EN 1992-1-1 AC:2010 (PN-EN 1992-1-1:2008/AC:2011)</t>
        </is>
      </c>
    </row>
    <row r="15">
      <c r="B15" s="52" t="inlineStr">
        <is>
          <t>kmax  (vEd ≤ kmax · vRd,c at u1)</t>
        </is>
      </c>
      <c r="C15" s="53" t="inlineStr">
        <is>
          <t>6.4.5</t>
        </is>
      </c>
      <c r="D15" s="54" t="n">
        <v>2</v>
      </c>
      <c r="E15" s="54" t="n">
        <v>1.5</v>
      </c>
      <c r="F15" s="53" t="inlineStr">
        <is>
          <t>UK NA 6.4.5(3): 2 vRd,c. PL: no limit in PN-EN 1992-1-1:2008; 1.5 (A1:2014 recommendation) applied conservatively</t>
        </is>
      </c>
    </row>
    <row r="16">
      <c r="B16" s="52" t="inlineStr">
        <is>
          <t>φlarge  (large bar threshold, mm)</t>
        </is>
      </c>
      <c r="C16" s="53" t="inlineStr">
        <is>
          <t>8.8(1)</t>
        </is>
      </c>
      <c r="D16" s="54" t="n">
        <v>40</v>
      </c>
      <c r="E16" s="54" t="n">
        <v>32</v>
      </c>
      <c r="F16" s="53" t="inlineStr">
        <is>
          <t>UK NA: 40 mm; PL: 32 mm recommended (NA.9)</t>
        </is>
      </c>
    </row>
    <row r="17">
      <c r="B17" s="52" t="inlineStr">
        <is>
          <t>cot θ upper limit  (variable strut)</t>
        </is>
      </c>
      <c r="C17" s="53" t="inlineStr">
        <is>
          <t>6.2.3(2)</t>
        </is>
      </c>
      <c r="D17" s="54" t="n">
        <v>2.5</v>
      </c>
      <c r="E17" s="54" t="n">
        <v>2</v>
      </c>
      <c r="F17" s="53" t="inlineStr">
        <is>
          <t>UK NA: 2.5 (1.25 with axial tension); PL: NA.4, 1 ≤ cot θ ≤ 2.0</t>
        </is>
      </c>
    </row>
    <row r="18">
      <c r="B18" s="52" t="inlineStr">
        <is>
          <t>k1  (x/d limit, δ ≥ k1 + k2 xu/d)</t>
        </is>
      </c>
      <c r="C18" s="53" t="inlineStr">
        <is>
          <t>5.5(4)</t>
        </is>
      </c>
      <c r="D18" s="54" t="n">
        <v>0.4</v>
      </c>
      <c r="E18" s="54" t="n">
        <v>0.44</v>
      </c>
      <c r="F18" s="53" t="inlineStr">
        <is>
          <t>UK NA for fyk ≤ 500 MPa; PL: recommended (NA.9)</t>
        </is>
      </c>
    </row>
    <row r="19">
      <c r="B19" s="52" t="inlineStr">
        <is>
          <t>k2  (x/d limit, εcu2 = 0.0035)</t>
        </is>
      </c>
      <c r="C19" s="53" t="inlineStr">
        <is>
          <t>5.5(4)</t>
        </is>
      </c>
      <c r="D19" s="54" t="n">
        <v>1</v>
      </c>
      <c r="E19" s="54" t="n">
        <v>1.25</v>
      </c>
      <c r="F19" s="53" t="inlineStr">
        <is>
          <t>UK NA: 0.6 + 0.0014/εcu2; PL: 1.25(0.6 + 0.0014/εcu2)</t>
        </is>
      </c>
    </row>
    <row r="20">
      <c r="B20" s="52" t="inlineStr">
        <is>
          <t>Upper limit on the (310/σs) factor  (0 = none)</t>
        </is>
      </c>
      <c r="C20" s="53" t="inlineStr">
        <is>
          <t>7.4.2(2)</t>
        </is>
      </c>
      <c r="D20" s="54" t="n">
        <v>1.5</v>
      </c>
      <c r="E20" s="54" t="n">
        <v>0</v>
      </c>
      <c r="F20" s="53" t="inlineStr">
        <is>
          <t>UK NA Table NA.5 Note 5: (310/σs) or (500/fyk)(As,prov/As,req) ≤ 1.5; PL: none</t>
        </is>
      </c>
    </row>
    <row r="21">
      <c r="B21" s="52" t="inlineStr">
        <is>
          <t>L/d not to exceed 40 K  (1 = applies)</t>
        </is>
      </c>
      <c r="C21" s="53" t="inlineStr">
        <is>
          <t>7.4.2(2)</t>
        </is>
      </c>
      <c r="D21" s="54" t="n">
        <v>1</v>
      </c>
      <c r="E21" s="54" t="n">
        <v>0</v>
      </c>
      <c r="F21" s="53" t="inlineStr">
        <is>
          <t>UK NA Table NA.5 Note 6; not in EN text</t>
        </is>
      </c>
    </row>
    <row r="22">
      <c r="B22" s="52" t="inlineStr">
        <is>
          <t>φmin  (longitudinal bars in columns, mm)</t>
        </is>
      </c>
      <c r="C22" s="53" t="inlineStr">
        <is>
          <t>9.5.2(1)</t>
        </is>
      </c>
      <c r="D22" s="54" t="n">
        <v>12</v>
      </c>
      <c r="E22" s="54" t="n">
        <v>6</v>
      </c>
      <c r="F22" s="53" t="inlineStr">
        <is>
          <t>UK NA: 12 mm; PL: NA.6, 6 mm</t>
        </is>
      </c>
    </row>
    <row r="23">
      <c r="B23" s="52" t="inlineStr">
        <is>
          <t>k3  (crack spacing)</t>
        </is>
      </c>
      <c r="C23" s="53" t="inlineStr">
        <is>
          <t>7.3.4(3)</t>
        </is>
      </c>
      <c r="D23" s="54" t="n">
        <v>3.4</v>
      </c>
      <c r="E23" s="54" t="n">
        <v>3.4</v>
      </c>
      <c r="F23" s="53" t="inlineStr">
        <is>
          <t>Recommended value in both annexes</t>
        </is>
      </c>
    </row>
    <row r="24">
      <c r="B24" s="52" t="inlineStr">
        <is>
          <t>k4  (crack spacing)</t>
        </is>
      </c>
      <c r="C24" s="53" t="inlineStr">
        <is>
          <t>7.3.4(3)</t>
        </is>
      </c>
      <c r="D24" s="54" t="n">
        <v>0.425</v>
      </c>
      <c r="E24" s="54" t="n">
        <v>0.425</v>
      </c>
      <c r="F24" s="53" t="inlineStr">
        <is>
          <t>Recommended value in both annexes</t>
        </is>
      </c>
    </row>
    <row r="25">
      <c r="B25" s="52" t="inlineStr">
        <is>
          <t>k1  (concrete stress, characteristic; XD, XF, XS)</t>
        </is>
      </c>
      <c r="C25" s="53" t="inlineStr">
        <is>
          <t>7.2(2)</t>
        </is>
      </c>
      <c r="D25" s="54" t="n">
        <v>0.6</v>
      </c>
      <c r="E25" s="54" t="n">
        <v>1</v>
      </c>
      <c r="F25" s="53" t="inlineStr">
        <is>
          <t>UK NA: recommended; PL: NA.5, k1 = 1.0</t>
        </is>
      </c>
    </row>
    <row r="26">
      <c r="B26" s="52" t="inlineStr">
        <is>
          <t>k2  (concrete stress, quasi-permanent; linear creep)</t>
        </is>
      </c>
      <c r="C26" s="53" t="inlineStr">
        <is>
          <t>7.2(3)</t>
        </is>
      </c>
      <c r="D26" s="54" t="n">
        <v>0.45</v>
      </c>
      <c r="E26" s="54" t="n">
        <v>0.45</v>
      </c>
      <c r="F26" s="53" t="inlineStr">
        <is>
          <t>Recommended value in both annexes (UK NA; PL NA.9)</t>
        </is>
      </c>
    </row>
    <row r="27">
      <c r="B27" s="52" t="inlineStr">
        <is>
          <t>k3  (steel stress, characteristic)</t>
        </is>
      </c>
      <c r="C27" s="53" t="inlineStr">
        <is>
          <t>7.2(5)</t>
        </is>
      </c>
      <c r="D27" s="54" t="n">
        <v>0.8</v>
      </c>
      <c r="E27" s="54" t="n">
        <v>0.8</v>
      </c>
      <c r="F27" s="53" t="inlineStr">
        <is>
          <t>Recommended value in both annexes (UK NA; PL NA.9)</t>
        </is>
      </c>
    </row>
    <row r="28">
      <c r="B28" s="52" t="inlineStr">
        <is>
          <t>k4  (steel stress, imposed deformation)</t>
        </is>
      </c>
      <c r="C28" s="53" t="inlineStr">
        <is>
          <t>7.2(5)</t>
        </is>
      </c>
      <c r="D28" s="54" t="n">
        <v>1</v>
      </c>
      <c r="E28" s="54" t="n">
        <v>1</v>
      </c>
      <c r="F28" s="53"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&amp;K8A8A8ANAE-RC-037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NAE-RC-037 Column effective length</dc:title>
  <dc:subject xmlns:dc="http://purl.org/dc/elements/1.1/">Effective length and slenderness of a column  ·  EN 1992-1-1 §5.8.3  ·  UK NA / PN-EN</dc:subject>
  <dcterms:created xmlns:dcterms="http://purl.org/dc/terms/" xmlns:xsi="http://www.w3.org/2001/XMLSchema-instance" xsi:type="dcterms:W3CDTF">2026-10-30T10:58:40Z</dcterms:created>
  <dcterms:modified xmlns:dcterms="http://purl.org/dc/terms/" xmlns:xsi="http://www.w3.org/2001/XMLSchema-instance" xsi:type="dcterms:W3CDTF">2026-10-30T10:58:40Z</dcterms:modified>
  <cp:lastModifiedBy>NA Engineering sp. z o.o.</cp:lastModifiedBy>
  <cp:keywords>NA Engineering; Eurocode 2; EN 1992-1-1</cp:keywords>
</cp:coreProperties>
</file>