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workbookPassword="AA0A" lockStructure="1"/>
  <bookViews>
    <workbookView visibility="visible" minimized="0" showHorizontalScroll="1" showVerticalScroll="1" showSheetTabs="1" tabRatio="600" firstSheet="0" activeTab="1" autoFilterDateGrouping="1"/>
  </bookViews>
  <sheets>
    <sheet xmlns:r="http://schemas.openxmlformats.org/officeDocument/2006/relationships" name="About" sheetId="1" state="visible" r:id="rId1"/>
    <sheet xmlns:r="http://schemas.openxmlformats.org/officeDocument/2006/relationships" name="Calculation" sheetId="2" state="visible" r:id="rId2"/>
    <sheet xmlns:r="http://schemas.openxmlformats.org/officeDocument/2006/relationships" name="Geometry" sheetId="3" state="hidden" r:id="rId3"/>
    <sheet xmlns:r="http://schemas.openxmlformats.org/officeDocument/2006/relationships" name="NDP" sheetId="4" state="visible" r:id="rId4"/>
  </sheets>
  <definedNames>
    <definedName name="NA_sel">'Calculation'!$E$11</definedName>
    <definedName name="conc_class">'Calculation'!$E$12</definedName>
    <definedName name="f_yk">'Calculation'!$E$13</definedName>
    <definedName name="rt_n0">'Calculation'!$E$14</definedName>
    <definedName name="rt_l1">'Calculation'!$E$15</definedName>
    <definedName name="rt_lr">'Calculation'!$E$16</definedName>
    <definedName name="rt_gq">'Calculation'!$E$17</definedName>
    <definedName name="rt_ls">'Calculation'!$E$18</definedName>
    <definedName name="rt_N">'Calculation'!$E$19</definedName>
    <definedName name="rt_np">'Calculation'!$E$22</definedName>
    <definedName name="rt_pp">'Calculation'!$E$23</definedName>
    <definedName name="rt_pi">'Calculation'!$E$24</definedName>
    <definedName name="rt_si">'Calculation'!$E$25</definedName>
    <definedName name="rt_nc">'Calculation'!$E$26</definedName>
    <definedName name="rt_pc">'Calculation'!$E$27</definedName>
    <definedName name="inputs_ok">IFERROR(AND(OR(NA_sel="UK NA (BS EN)",NA_sel="PL NA (PN-EN)"),OR(conc_class="C20/25",conc_class="C25/30",conc_class="C28/35",conc_class="C30/37",conc_class="C32/40",conc_class="C35/45",conc_class="C40/50",conc_class="C45/55",conc_class="C50/60"),ISNUMBER(f_yk),f_yk&gt;0,ISNUMBER(rt_n0),rt_n0&gt;0,ISNUMBER(rt_l1),rt_l1&gt;0,ISNUMBER(rt_lr),rt_lr&gt;0,ISNUMBER(rt_gq),rt_gq&gt;0,ISNUMBER(rt_ls),rt_ls&gt;0,ISNUMBER(rt_N),rt_N&gt;0,ISNUMBER(rt_np),rt_np&gt;0,OR(AND(ISNUMBER(rt_pp),rt_pp=8),AND(ISNUMBER(rt_pp),rt_pp=10),AND(ISNUMBER(rt_pp),rt_pp=12),AND(ISNUMBER(rt_pp),rt_pp=16),AND(ISNUMBER(rt_pp),rt_pp=20),AND(ISNUMBER(rt_pp),rt_pp=25),AND(ISNUMBER(rt_pp),rt_pp=32),AND(ISNUMBER(rt_pp),rt_pp=40)),OR(AND(ISNUMBER(rt_pi),rt_pi=8),AND(ISNUMBER(rt_pi),rt_pi=10),AND(ISNUMBER(rt_pi),rt_pi=12),AND(ISNUMBER(rt_pi),rt_pi=16),AND(ISNUMBER(rt_pi),rt_pi=20),AND(ISNUMBER(rt_pi),rt_pi=25),AND(ISNUMBER(rt_pi),rt_pi=32),AND(ISNUMBER(rt_pi),rt_pi=40)),ISNUMBER(rt_si),rt_si&gt;0,ISNUMBER(rt_nc),rt_nc&gt;0,OR(AND(ISNUMBER(rt_pc),rt_pc=8),AND(ISNUMBER(rt_pc),rt_pc=10),AND(ISNUMBER(rt_pc),rt_pc=12),AND(ISNUMBER(rt_pc),rt_pc=16),AND(ISNUMBER(rt_pc),rt_pc=20),AND(ISNUMBER(rt_pc),rt_pc=25),AND(ISNUMBER(rt_pc),rt_pc=32),AND(ISNUMBER(rt_pc),rt_pc=40)),AND(f_yk&gt;=400,f_yk&lt;=500,INT(rt_n0)=rt_n0,INT(rt_np)=rt_np,INT(rt_nc)=rt_nc)),FALSE)</definedName>
    <definedName name="input_status">'Calculation'!$G$28</definedName>
    <definedName name="rt_uk">NA_sel="UK NA (BS EN)"</definedName>
    <definedName name="per_ok">IFERROR(Aper_prov&gt;=Aper_req,FALSE)</definedName>
    <definedName name="int_ok">IFERROR(AND(Aint_prov&gt;=Aint_req,rt_si&lt;=simax_rt),FALSE)</definedName>
    <definedName name="col_ok">IFERROR(Acol_prov&gt;=Acol_req,FALSE)</definedName>
    <definedName name="per_status">'Calculation'!$G$31</definedName>
    <definedName name="int_status">'Calculation'!$G$32</definedName>
    <definedName name="col_status">'Calculation'!$G$33</definedName>
    <definedName name="Ft_rt">'Calculation'!$E$58</definedName>
    <definedName name="Fper_rt">'Calculation'!$E$59</definedName>
    <definedName name="Fint_rt">'Calculation'!$E$60</definedName>
    <definedName name="simax_rt">'Calculation'!$E$61</definedName>
    <definedName name="Fcol_rt">'Calculation'!$E$62</definedName>
    <definedName name="Aper_req">'Calculation'!$E$65</definedName>
    <definedName name="Aper_prov">'Calculation'!$E$66</definedName>
    <definedName name="chk_per">'Calculation'!$G$67</definedName>
    <definedName name="Aint_req">'Calculation'!$E$68</definedName>
    <definedName name="Aint_prov">'Calculation'!$E$69</definedName>
    <definedName name="chk_int">'Calculation'!$G$70</definedName>
    <definedName name="Acol_req">'Calculation'!$E$71</definedName>
    <definedName name="Acol_prov">'Calculation'!$E$72</definedName>
    <definedName name="chk_col">'Calculation'!$G$73</definedName>
    <definedName name="ndp_gamma_c">INDEX('NDP'!$D$6:$E$6,na_idx)</definedName>
    <definedName name="ndp_gamma_s">INDEX('NDP'!$D$7:$E$7,na_idx)</definedName>
    <definedName name="ndp_alpha_cc">INDEX('NDP'!$D$8:$E$8,na_idx)</definedName>
    <definedName name="ndp_alpha_cc_pl">INDEX('NDP'!$D$9:$E$9,na_idx)</definedName>
    <definedName name="ndp_alpha_cc_shear">INDEX('NDP'!$D$10:$E$10,na_idx)</definedName>
    <definedName name="ndp_alpha_ct">INDEX('NDP'!$D$11:$E$11,na_idx)</definedName>
    <definedName name="ndp_C_Rdc">INDEX('NDP'!$D$12:$E$12,na_idx)</definedName>
    <definedName name="ndp_k1_p">INDEX('NDP'!$D$13:$E$13,na_idx)</definedName>
    <definedName name="ndp_vmax">INDEX('NDP'!$D$14:$E$14,na_idx)</definedName>
    <definedName name="ndp_kmax">INDEX('NDP'!$D$15:$E$15,na_idx)</definedName>
    <definedName name="ndp_phi_large">INDEX('NDP'!$D$16:$E$16,na_idx)</definedName>
    <definedName name="ndp_cot_max">INDEX('NDP'!$D$17:$E$17,na_idx)</definedName>
    <definedName name="ndp_k1_red">INDEX('NDP'!$D$18:$E$18,na_idx)</definedName>
    <definedName name="ndp_k2_red">INDEX('NDP'!$D$19:$E$19,na_idx)</definedName>
    <definedName name="ndp_ld_mod_max">INDEX('NDP'!$D$20:$E$20,na_idx)</definedName>
    <definedName name="ndp_ld_cap_40K">INDEX('NDP'!$D$21:$E$21,na_idx)</definedName>
    <definedName name="ndp_phi_min_col">INDEX('NDP'!$D$22:$E$22,na_idx)</definedName>
    <definedName name="ndp_k3">INDEX('NDP'!$D$23:$E$23,na_idx)</definedName>
    <definedName name="ndp_k4">INDEX('NDP'!$D$24:$E$24,na_idx)</definedName>
    <definedName name="ndp_k1_sl">INDEX('NDP'!$D$25:$E$25,na_idx)</definedName>
    <definedName name="ndp_k2_sl">INDEX('NDP'!$D$26:$E$26,na_idx)</definedName>
    <definedName name="ndp_k3_sl">INDEX('NDP'!$D$27:$E$27,na_idx)</definedName>
    <definedName name="ndp_k4_sl">INDEX('NDP'!$D$28:$E$28,na_idx)</definedName>
    <definedName name="na_idx">IF(NA_sel="PL NA (PN-EN)",2,IF(NA_sel="UK NA (BS EN)",1,NA()))</definedName>
    <definedName name="_xlnm.Print_Area" localSheetId="0">'About'!$A$1:$D$39</definedName>
    <definedName name="_xlnm.Print_Area" localSheetId="1">'Calculation'!$A$1:$H$77</definedName>
    <definedName name="_xlnm.Print_Area" localSheetId="3">'NDP'!$A$1:$G$29</definedName>
  </definedNames>
  <calcPr calcId="124519" fullCalcOnLoad="1"/>
</workbook>
</file>

<file path=xl/styles.xml><?xml version="1.0" encoding="utf-8"?>
<styleSheet xmlns="http://schemas.openxmlformats.org/spreadsheetml/2006/main">
  <numFmts count="2">
    <numFmt numFmtId="164" formatCode="dd mmm yyyy"/>
    <numFmt numFmtId="165" formatCode="0.0"/>
  </numFmts>
  <fonts count="21">
    <font>
      <name val="Calibri"/>
      <family val="2"/>
      <color theme="1"/>
      <sz val="11"/>
      <scheme val="minor"/>
    </font>
    <font>
      <name val="Calibri"/>
      <color rgb="00BDBDBD"/>
      <sz val="9"/>
    </font>
    <font>
      <name val="Calibri"/>
      <b val="1"/>
      <color rgb="002B2B2B"/>
      <sz val="24"/>
    </font>
    <font>
      <name val="Calibri"/>
      <color rgb="008A8A8A"/>
      <sz val="12"/>
    </font>
    <font>
      <name val="Calibri"/>
      <color rgb="008A8A8A"/>
      <sz val="10"/>
    </font>
    <font>
      <name val="Calibri"/>
      <color rgb="002B2B2B"/>
      <sz val="10"/>
    </font>
    <font>
      <name val="Calibri"/>
      <b val="1"/>
      <color rgb="005B7F8A"/>
      <sz val="11"/>
    </font>
    <font>
      <name val="Calibri"/>
      <color rgb="005B7F8A"/>
      <sz val="10"/>
    </font>
    <font>
      <name val="Calibri"/>
      <color rgb="008A8A8A"/>
      <sz val="9"/>
    </font>
    <font>
      <name val="Calibri"/>
      <b val="1"/>
      <color rgb="00FFFFFF"/>
      <sz val="14"/>
    </font>
    <font>
      <name val="Calibri"/>
      <b val="1"/>
      <color rgb="005B7F8A"/>
      <sz val="12"/>
    </font>
    <font>
      <name val="Calibri"/>
      <i val="1"/>
      <color rgb="008A8A8A"/>
      <sz val="8"/>
    </font>
    <font>
      <name val="Calibri"/>
      <b val="1"/>
      <color rgb="002B2B2B"/>
      <sz val="10"/>
    </font>
    <font>
      <name val="Calibri"/>
      <color rgb="008A8A8A"/>
      <sz val="8"/>
    </font>
    <font>
      <name val="Calibri"/>
      <b val="1"/>
      <color rgb="002B2B2B"/>
      <sz val="9"/>
    </font>
    <font>
      <name val="Calibri"/>
      <color rgb="002B2B2B"/>
      <sz val="11"/>
    </font>
    <font>
      <name val="Calibri"/>
      <b val="1"/>
      <color rgb="002B2B2B"/>
      <sz val="15"/>
    </font>
    <font>
      <name val="Calibri"/>
      <family val="2"/>
      <i val="1"/>
      <color rgb="008A8A8A"/>
      <sz val="9"/>
      <scheme val="minor"/>
    </font>
    <font>
      <name val="Calibri"/>
      <i val="1"/>
      <color rgb="008A8A8A"/>
      <sz val="8.5"/>
    </font>
    <font>
      <name val="Calibri"/>
      <b val="1"/>
      <color rgb="002B2B2B"/>
      <sz val="16"/>
    </font>
    <font>
      <name val="Calibri"/>
      <b val="1"/>
      <color rgb="008A8A8A"/>
      <sz val="9"/>
    </font>
  </fonts>
  <fills count="5">
    <fill>
      <patternFill/>
    </fill>
    <fill>
      <patternFill patternType="gray125"/>
    </fill>
    <fill>
      <patternFill patternType="solid">
        <fgColor rgb="001F1F1F"/>
        <bgColor rgb="001F1F1F"/>
      </patternFill>
    </fill>
    <fill>
      <patternFill patternType="solid">
        <fgColor rgb="00FFF4D6"/>
        <bgColor rgb="00FFF4D6"/>
      </patternFill>
    </fill>
    <fill>
      <patternFill patternType="solid">
        <fgColor rgb="00EEF4F6"/>
        <bgColor rgb="00EEF4F6"/>
      </patternFill>
    </fill>
  </fills>
  <borders count="3">
    <border>
      <left/>
      <right/>
      <top/>
      <bottom/>
      <diagonal/>
    </border>
    <border>
      <bottom style="thin">
        <color rgb="00E3E3E3"/>
      </bottom>
    </border>
    <border>
      <bottom style="thin">
        <color rgb="005B7F8A"/>
      </bottom>
    </border>
  </borders>
  <cellStyleXfs count="1">
    <xf numFmtId="0" fontId="0" fillId="0" borderId="0"/>
  </cellStyleXfs>
  <cellXfs count="49">
    <xf numFmtId="0" fontId="0" fillId="0" borderId="0" pivotButton="0" quotePrefix="0" xfId="0"/>
    <xf numFmtId="0" fontId="0" fillId="2" borderId="0" pivotButton="0" quotePrefix="0" xfId="0"/>
    <xf numFmtId="0" fontId="1" fillId="2" borderId="0" applyAlignment="1" pivotButton="0" quotePrefix="0" xfId="0">
      <alignment horizontal="right" vertical="center"/>
    </xf>
    <xf numFmtId="0" fontId="2" fillId="0" borderId="0" pivotButton="0" quotePrefix="0" xfId="0"/>
    <xf numFmtId="0" fontId="3" fillId="0" borderId="0" pivotButton="0" quotePrefix="0" xfId="0"/>
    <xf numFmtId="0" fontId="4" fillId="0" borderId="0" applyAlignment="1" pivotButton="0" quotePrefix="0" xfId="0">
      <alignment vertical="top"/>
    </xf>
    <xf numFmtId="0" fontId="5" fillId="0" borderId="0" pivotButton="0" quotePrefix="0" xfId="0"/>
    <xf numFmtId="0" fontId="5" fillId="0" borderId="0" applyAlignment="1" pivotButton="0" quotePrefix="0" xfId="0">
      <alignment vertical="top" wrapText="1"/>
    </xf>
    <xf numFmtId="0" fontId="6" fillId="0" borderId="1" pivotButton="0" quotePrefix="0" xfId="0"/>
    <xf numFmtId="0" fontId="0" fillId="0" borderId="1" pivotButton="0" quotePrefix="0" xfId="0"/>
    <xf numFmtId="0" fontId="4" fillId="0" borderId="0" applyAlignment="1" pivotButton="0" quotePrefix="0" xfId="0">
      <alignment vertical="top" wrapText="1"/>
    </xf>
    <xf numFmtId="0" fontId="4" fillId="0" borderId="0" pivotButton="0" quotePrefix="0" xfId="0"/>
    <xf numFmtId="0" fontId="7" fillId="0" borderId="0" pivotButton="0" quotePrefix="0" xfId="0"/>
    <xf numFmtId="0" fontId="8" fillId="0" borderId="0" applyAlignment="1" pivotButton="0" quotePrefix="0" xfId="0">
      <alignment vertical="top" wrapText="1"/>
    </xf>
    <xf numFmtId="0" fontId="9" fillId="2" borderId="0" applyAlignment="1" pivotButton="0" quotePrefix="0" xfId="0">
      <alignment horizontal="right" vertical="center"/>
    </xf>
    <xf numFmtId="0" fontId="1" fillId="2" borderId="0" applyAlignment="1" pivotButton="0" quotePrefix="0" xfId="0">
      <alignment horizontal="right" vertical="top"/>
    </xf>
    <xf numFmtId="0" fontId="8" fillId="0" borderId="0" pivotButton="0" quotePrefix="0" xfId="0"/>
    <xf numFmtId="0" fontId="5" fillId="3" borderId="0" applyProtection="1" pivotButton="0" quotePrefix="0" xfId="0">
      <protection locked="0" hidden="0"/>
    </xf>
    <xf numFmtId="0" fontId="8" fillId="0" borderId="0" applyAlignment="1" pivotButton="0" quotePrefix="0" xfId="0">
      <alignment horizontal="right"/>
    </xf>
    <xf numFmtId="164" fontId="5" fillId="3" borderId="0" applyProtection="1" pivotButton="0" quotePrefix="0" xfId="0">
      <protection locked="0" hidden="0"/>
    </xf>
    <xf numFmtId="0" fontId="10" fillId="0" borderId="2" pivotButton="0" quotePrefix="0" xfId="0"/>
    <xf numFmtId="0" fontId="0" fillId="0" borderId="2" pivotButton="0" quotePrefix="0" xfId="0"/>
    <xf numFmtId="0" fontId="11" fillId="0" borderId="2" applyAlignment="1" pivotButton="0" quotePrefix="0" xfId="0">
      <alignment horizontal="right"/>
    </xf>
    <xf numFmtId="0" fontId="0" fillId="0" borderId="1" applyAlignment="1" pivotButton="0" quotePrefix="0" xfId="0">
      <alignment vertical="center"/>
    </xf>
    <xf numFmtId="0" fontId="5" fillId="0" borderId="1" applyAlignment="1" pivotButton="0" quotePrefix="0" xfId="0">
      <alignment vertical="center"/>
    </xf>
    <xf numFmtId="0" fontId="12" fillId="3" borderId="1" applyAlignment="1" applyProtection="1" pivotButton="0" quotePrefix="0" xfId="0">
      <alignment horizontal="center" vertical="center"/>
      <protection locked="0" hidden="0"/>
    </xf>
    <xf numFmtId="0" fontId="13" fillId="0" borderId="1" applyAlignment="1" pivotButton="0" quotePrefix="0" xfId="0">
      <alignment vertical="center"/>
    </xf>
    <xf numFmtId="0" fontId="0" fillId="0" borderId="1" applyAlignment="1" pivotButton="0" quotePrefix="0" xfId="0">
      <alignment horizontal="center" vertical="center"/>
    </xf>
    <xf numFmtId="0" fontId="8" fillId="0" borderId="1" applyAlignment="1" pivotButton="0" quotePrefix="0" xfId="0">
      <alignment vertical="center"/>
    </xf>
    <xf numFmtId="2" fontId="12" fillId="3" borderId="1" applyAlignment="1" applyProtection="1" pivotButton="0" quotePrefix="0" xfId="0">
      <alignment horizontal="center" vertical="center"/>
      <protection locked="0" hidden="0"/>
    </xf>
    <xf numFmtId="1" fontId="12" fillId="3" borderId="1" applyAlignment="1" applyProtection="1" pivotButton="0" quotePrefix="0" xfId="0">
      <alignment horizontal="center" vertical="center"/>
      <protection locked="0" hidden="0"/>
    </xf>
    <xf numFmtId="0" fontId="14" fillId="0" borderId="1" applyAlignment="1" pivotButton="0" quotePrefix="0" xfId="0">
      <alignment horizontal="center" vertical="center"/>
    </xf>
    <xf numFmtId="0" fontId="0" fillId="4" borderId="0" pivotButton="0" quotePrefix="0" xfId="0"/>
    <xf numFmtId="0" fontId="15" fillId="4" borderId="0" applyAlignment="1" pivotButton="0" quotePrefix="0" xfId="0">
      <alignment vertical="center"/>
    </xf>
    <xf numFmtId="2" fontId="16" fillId="4" borderId="0" applyAlignment="1" pivotButton="0" quotePrefix="0" xfId="0">
      <alignment horizontal="center" vertical="center"/>
    </xf>
    <xf numFmtId="0" fontId="4" fillId="4" borderId="0" applyAlignment="1" pivotButton="0" quotePrefix="0" xfId="0">
      <alignment vertical="center"/>
    </xf>
    <xf numFmtId="0" fontId="12" fillId="4" borderId="0" applyAlignment="1" pivotButton="0" quotePrefix="0" xfId="0">
      <alignment horizontal="center" vertical="center"/>
    </xf>
    <xf numFmtId="49" fontId="16" fillId="4" borderId="0" applyAlignment="1" pivotButton="0" quotePrefix="0" xfId="0">
      <alignment horizontal="center" vertical="center"/>
    </xf>
    <xf numFmtId="0" fontId="17" fillId="0" borderId="0" pivotButton="0" quotePrefix="0" xfId="0"/>
    <xf numFmtId="165" fontId="5" fillId="0" borderId="1" applyAlignment="1" pivotButton="0" quotePrefix="0" xfId="0">
      <alignment horizontal="center" vertical="center"/>
    </xf>
    <xf numFmtId="165" fontId="12" fillId="0" borderId="1" applyAlignment="1" pivotButton="0" quotePrefix="0" xfId="0">
      <alignment horizontal="center" vertical="center"/>
    </xf>
    <xf numFmtId="2" fontId="12" fillId="0" borderId="1" applyAlignment="1" pivotButton="0" quotePrefix="0" xfId="0">
      <alignment horizontal="center" vertical="center"/>
    </xf>
    <xf numFmtId="1" fontId="5" fillId="0" borderId="1" applyAlignment="1" pivotButton="0" quotePrefix="0" xfId="0">
      <alignment horizontal="center" vertical="center"/>
    </xf>
    <xf numFmtId="0" fontId="18" fillId="0" borderId="0" applyAlignment="1" pivotButton="0" quotePrefix="0" xfId="0">
      <alignment vertical="top" wrapText="1"/>
    </xf>
    <xf numFmtId="0" fontId="19" fillId="0" borderId="0" pivotButton="0" quotePrefix="0" xfId="0"/>
    <xf numFmtId="0" fontId="20" fillId="0" borderId="2" pivotButton="0" quotePrefix="0" xfId="0"/>
    <xf numFmtId="0" fontId="5" fillId="0" borderId="1" pivotButton="0" quotePrefix="0" xfId="0"/>
    <xf numFmtId="0" fontId="8" fillId="0" borderId="1" pivotButton="0" quotePrefix="0" xfId="0"/>
    <xf numFmtId="0" fontId="12" fillId="0" borderId="1" applyAlignment="1" pivotButton="0" quotePrefix="0" xfId="0">
      <alignment horizontal="center"/>
    </xf>
  </cellXfs>
  <cellStyles count="1">
    <cellStyle name="Normal" xfId="0" builtinId="0" hidden="0"/>
  </cellStyles>
  <dxfs count="3">
    <dxf>
      <font>
        <name val="Calibri"/>
        <b val="1"/>
        <color rgb="001E7F4F"/>
      </font>
      <fill>
        <patternFill patternType="solid">
          <fgColor rgb="00E6F4EC"/>
          <bgColor rgb="00E6F4EC"/>
        </patternFill>
      </fill>
    </dxf>
    <dxf>
      <font>
        <name val="Calibri"/>
        <b val="1"/>
        <color rgb="00B3261E"/>
      </font>
      <fill>
        <patternFill patternType="solid">
          <fgColor rgb="00FBE9E7"/>
          <bgColor rgb="00FBE9E7"/>
        </patternFill>
      </fill>
    </dxf>
    <dxf>
      <font>
        <name val="Calibri"/>
        <b val="1"/>
        <color rgb="008A5A00"/>
      </font>
      <fill>
        <patternFill patternType="solid">
          <fgColor rgb="00FFF1D6"/>
          <bgColor rgb="00FFF1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style val="1"/>
  <chart>
    <plotArea>
      <scatterChart>
        <scatterStyle val="lineMarker"/>
        <ser>
          <idx val="0"/>
          <order val="0"/>
          <tx>
            <strRef>
              <f>'Geometry'!$A$2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B3261E"/>
                    </a:solidFill>
                  </a:defRPr>
                </a:pPr>
                <a:r>
                  <a:t/>
                </a:r>
                <a:endParaRPr sz="900">
                  <a:solidFill>
                    <a:srgbClr val="B3261E"/>
                  </a:solidFill>
                </a:endParaRPr>
              </a:p>
            </txPr>
            <dLblPos val="r"/>
            <showLegendKey val="0"/>
            <showVal val="0"/>
            <showCatName val="0"/>
            <showSerName val="1"/>
            <showPercent val="0"/>
          </dLbls>
          <xVal>
            <numRef>
              <f>'Geometry'!$A$3</f>
            </numRef>
          </xVal>
          <yVal>
            <numRef>
              <f>'Geometry'!$B$3</f>
            </numRef>
          </yVal>
          <smooth val="0"/>
        </ser>
        <ser>
          <idx val="1"/>
          <order val="1"/>
          <tx>
            <v>edge</v>
          </tx>
          <spPr>
            <a:ln xmlns:a="http://schemas.openxmlformats.org/drawingml/2006/main" w="19050">
              <a:solidFill>
                <a:srgbClr val="2B2B2B"/>
              </a:solidFill>
              <a:prstDash val="solid"/>
            </a:ln>
          </spPr>
          <marker>
            <symbol val="none"/>
            <spPr>
              <a:ln xmlns:a="http://schemas.openxmlformats.org/drawingml/2006/main">
                <a:prstDash val="solid"/>
              </a:ln>
            </spPr>
          </marker>
          <xVal>
            <numRef>
              <f>'Geometry'!$D$3:$D$7</f>
            </numRef>
          </xVal>
          <yVal>
            <numRef>
              <f>'Geometry'!$E$3:$E$7</f>
            </numRef>
          </yVal>
          <smooth val="0"/>
        </ser>
        <ser>
          <idx val="2"/>
          <order val="2"/>
          <tx>
            <v>peripheral tie</v>
          </tx>
          <spPr>
            <a:ln xmlns:a="http://schemas.openxmlformats.org/drawingml/2006/main" w="25400">
              <a:solidFill>
                <a:srgbClr val="B3261E"/>
              </a:solidFill>
              <a:prstDash val="solid"/>
            </a:ln>
          </spPr>
          <marker>
            <symbol val="none"/>
            <spPr>
              <a:ln xmlns:a="http://schemas.openxmlformats.org/drawingml/2006/main">
                <a:prstDash val="solid"/>
              </a:ln>
            </spPr>
          </marker>
          <xVal>
            <numRef>
              <f>'Geometry'!$G$3:$G$7</f>
            </numRef>
          </xVal>
          <yVal>
            <numRef>
              <f>'Geometry'!$H$3:$H$7</f>
            </numRef>
          </yVal>
          <smooth val="0"/>
        </ser>
        <ser>
          <idx val="3"/>
          <order val="3"/>
          <tx>
            <v>internal tie y 0</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'Geometry'!$J$3:$J$4</f>
            </numRef>
          </xVal>
          <yVal>
            <numRef>
              <f>'Geometry'!$K$3:$K$4</f>
            </numRef>
          </yVal>
          <smooth val="0"/>
        </ser>
        <ser>
          <idx val="4"/>
          <order val="4"/>
          <tx>
            <v>internal tie x 0</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'Geometry'!$M$3:$M$4</f>
            </numRef>
          </xVal>
          <yVal>
            <numRef>
              <f>'Geometry'!$N$3:$N$4</f>
            </numRef>
          </yVal>
          <smooth val="0"/>
        </ser>
        <ser>
          <idx val="5"/>
          <order val="5"/>
          <tx>
            <v>internal tie y 1</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'Geometry'!$P$3:$P$4</f>
            </numRef>
          </xVal>
          <yVal>
            <numRef>
              <f>'Geometry'!$Q$3:$Q$4</f>
            </numRef>
          </yVal>
          <smooth val="0"/>
        </ser>
        <ser>
          <idx val="6"/>
          <order val="6"/>
          <tx>
            <v>internal tie x 1</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'Geometry'!$S$3:$S$4</f>
            </numRef>
          </xVal>
          <yVal>
            <numRef>
              <f>'Geometry'!$T$3:$T$4</f>
            </numRef>
          </yVal>
          <smooth val="0"/>
        </ser>
        <ser>
          <idx val="7"/>
          <order val="7"/>
          <tx>
            <v>internal tie y 2</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'Geometry'!$V$3:$V$4</f>
            </numRef>
          </xVal>
          <yVal>
            <numRef>
              <f>'Geometry'!$W$3:$W$4</f>
            </numRef>
          </yVal>
          <smooth val="0"/>
        </ser>
        <ser>
          <idx val="8"/>
          <order val="8"/>
          <tx>
            <v>internal tie x 2</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'Geometry'!$Y$3:$Y$4</f>
            </numRef>
          </xVal>
          <yVal>
            <numRef>
              <f>'Geometry'!$Z$3:$Z$4</f>
            </numRef>
          </yVal>
          <smooth val="0"/>
        </ser>
        <ser>
          <idx val="9"/>
          <order val="9"/>
          <tx>
            <v>internal tie y 3</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'Geometry'!$AB$3:$AB$4</f>
            </numRef>
          </xVal>
          <yVal>
            <numRef>
              <f>'Geometry'!$AC$3:$AC$4</f>
            </numRef>
          </yVal>
          <smooth val="0"/>
        </ser>
        <ser>
          <idx val="10"/>
          <order val="10"/>
          <tx>
            <v>internal tie x 3</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'Geometry'!$AE$3:$AE$4</f>
            </numRef>
          </xVal>
          <yVal>
            <numRef>
              <f>'Geometry'!$AF$3:$AF$4</f>
            </numRef>
          </yVal>
          <smooth val="0"/>
        </ser>
        <ser>
          <idx val="11"/>
          <order val="11"/>
          <tx>
            <v>internal tie y 4</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'Geometry'!$AH$3:$AH$4</f>
            </numRef>
          </xVal>
          <yVal>
            <numRef>
              <f>'Geometry'!$AI$3:$AI$4</f>
            </numRef>
          </yVal>
          <smooth val="0"/>
        </ser>
        <ser>
          <idx val="12"/>
          <order val="12"/>
          <tx>
            <v>internal tie x 4</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'Geometry'!$AK$3:$AK$4</f>
            </numRef>
          </xVal>
          <yVal>
            <numRef>
              <f>'Geometry'!$AL$3:$AL$4</f>
            </numRef>
          </yVal>
          <smooth val="0"/>
        </ser>
        <ser>
          <idx val="13"/>
          <order val="13"/>
          <tx>
            <v>internal tie y 5</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'Geometry'!$AN$3:$AN$4</f>
            </numRef>
          </xVal>
          <yVal>
            <numRef>
              <f>'Geometry'!$AO$3:$AO$4</f>
            </numRef>
          </yVal>
          <smooth val="0"/>
        </ser>
        <ser>
          <idx val="14"/>
          <order val="14"/>
          <tx>
            <v>internal tie x 5</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'Geometry'!$AQ$3:$AQ$4</f>
            </numRef>
          </xVal>
          <yVal>
            <numRef>
              <f>'Geometry'!$AR$3:$AR$4</f>
            </numRef>
          </yVal>
          <smooth val="0"/>
        </ser>
        <ser>
          <idx val="15"/>
          <order val="15"/>
          <tx>
            <v>internal tie y 6</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'Geometry'!$AT$3:$AT$4</f>
            </numRef>
          </xVal>
          <yVal>
            <numRef>
              <f>'Geometry'!$AU$3:$AU$4</f>
            </numRef>
          </yVal>
          <smooth val="0"/>
        </ser>
        <ser>
          <idx val="16"/>
          <order val="16"/>
          <tx>
            <v>internal tie x 6</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'Geometry'!$AW$3:$AW$4</f>
            </numRef>
          </xVal>
          <yVal>
            <numRef>
              <f>'Geometry'!$AX$3:$AX$4</f>
            </numRef>
          </yVal>
          <smooth val="0"/>
        </ser>
        <ser>
          <idx val="17"/>
          <order val="17"/>
          <tx>
            <v>internal tie y 7</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'Geometry'!$AZ$3:$AZ$4</f>
            </numRef>
          </xVal>
          <yVal>
            <numRef>
              <f>'Geometry'!$BA$3:$BA$4</f>
            </numRef>
          </yVal>
          <smooth val="0"/>
        </ser>
        <ser>
          <idx val="18"/>
          <order val="18"/>
          <tx>
            <v>internal tie x 7</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'Geometry'!$BC$3:$BC$4</f>
            </numRef>
          </xVal>
          <yVal>
            <numRef>
              <f>'Geometry'!$BD$3:$BD$4</f>
            </numRef>
          </yVal>
          <smooth val="0"/>
        </ser>
        <ser>
          <idx val="19"/>
          <order val="19"/>
          <tx>
            <v>internal tie y 8</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'Geometry'!$BF$3:$BF$4</f>
            </numRef>
          </xVal>
          <yVal>
            <numRef>
              <f>'Geometry'!$BG$3:$BG$4</f>
            </numRef>
          </yVal>
          <smooth val="0"/>
        </ser>
        <ser>
          <idx val="20"/>
          <order val="20"/>
          <tx>
            <v>internal tie x 8</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'Geometry'!$BI$3:$BI$4</f>
            </numRef>
          </xVal>
          <yVal>
            <numRef>
              <f>'Geometry'!$BJ$3:$BJ$4</f>
            </numRef>
          </yVal>
          <smooth val="0"/>
        </ser>
        <ser>
          <idx val="21"/>
          <order val="21"/>
          <tx>
            <v>internal tie y 9</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'Geometry'!$BL$3:$BL$4</f>
            </numRef>
          </xVal>
          <yVal>
            <numRef>
              <f>'Geometry'!$BM$3:$BM$4</f>
            </numRef>
          </yVal>
          <smooth val="0"/>
        </ser>
        <ser>
          <idx val="22"/>
          <order val="22"/>
          <tx>
            <v>internal tie x 9</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'Geometry'!$BO$3:$BO$4</f>
            </numRef>
          </xVal>
          <yVal>
            <numRef>
              <f>'Geometry'!$BP$3:$BP$4</f>
            </numRef>
          </yVal>
          <smooth val="0"/>
        </ser>
        <ser>
          <idx val="23"/>
          <order val="23"/>
          <tx>
            <v>internal tie y 10</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'Geometry'!$BR$3:$BR$4</f>
            </numRef>
          </xVal>
          <yVal>
            <numRef>
              <f>'Geometry'!$BS$3:$BS$4</f>
            </numRef>
          </yVal>
          <smooth val="0"/>
        </ser>
        <ser>
          <idx val="24"/>
          <order val="24"/>
          <tx>
            <v>internal tie x 10</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'Geometry'!$BU$3:$BU$4</f>
            </numRef>
          </xVal>
          <yVal>
            <numRef>
              <f>'Geometry'!$BV$3:$BV$4</f>
            </numRef>
          </yVal>
          <smooth val="0"/>
        </ser>
        <ser>
          <idx val="25"/>
          <order val="25"/>
          <tx>
            <v>internal tie y 11</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'Geometry'!$BX$3:$BX$4</f>
            </numRef>
          </xVal>
          <yVal>
            <numRef>
              <f>'Geometry'!$BY$3:$BY$4</f>
            </numRef>
          </yVal>
          <smooth val="0"/>
        </ser>
        <ser>
          <idx val="26"/>
          <order val="26"/>
          <tx>
            <v>internal tie x 11</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'Geometry'!$CA$3:$CA$4</f>
            </numRef>
          </xVal>
          <yVal>
            <numRef>
              <f>'Geometry'!$CB$3:$CB$4</f>
            </numRef>
          </yVal>
          <smooth val="0"/>
        </ser>
        <ser>
          <idx val="27"/>
          <order val="27"/>
          <tx>
            <v>internal tie y 12</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'Geometry'!$CD$3:$CD$4</f>
            </numRef>
          </xVal>
          <yVal>
            <numRef>
              <f>'Geometry'!$CE$3:$CE$4</f>
            </numRef>
          </yVal>
          <smooth val="0"/>
        </ser>
        <ser>
          <idx val="28"/>
          <order val="28"/>
          <tx>
            <v>internal tie x 12</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'Geometry'!$CG$3:$CG$4</f>
            </numRef>
          </xVal>
          <yVal>
            <numRef>
              <f>'Geometry'!$CH$3:$CH$4</f>
            </numRef>
          </yVal>
          <smooth val="0"/>
        </ser>
        <ser>
          <idx val="29"/>
          <order val="29"/>
          <tx>
            <v>internal tie y 13</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'Geometry'!$CJ$3:$CJ$4</f>
            </numRef>
          </xVal>
          <yVal>
            <numRef>
              <f>'Geometry'!$CK$3:$CK$4</f>
            </numRef>
          </yVal>
          <smooth val="0"/>
        </ser>
        <ser>
          <idx val="30"/>
          <order val="30"/>
          <tx>
            <v>internal tie x 13</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'Geometry'!$CM$3:$CM$4</f>
            </numRef>
          </xVal>
          <yVal>
            <numRef>
              <f>'Geometry'!$CN$3:$CN$4</f>
            </numRef>
          </yVal>
          <smooth val="0"/>
        </ser>
        <ser>
          <idx val="31"/>
          <order val="31"/>
          <tx>
            <v>internal tie y 14</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'Geometry'!$CP$3:$CP$4</f>
            </numRef>
          </xVal>
          <yVal>
            <numRef>
              <f>'Geometry'!$CQ$3:$CQ$4</f>
            </numRef>
          </yVal>
          <smooth val="0"/>
        </ser>
        <ser>
          <idx val="32"/>
          <order val="32"/>
          <tx>
            <v>internal tie x 14</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'Geometry'!$CS$3:$CS$4</f>
            </numRef>
          </xVal>
          <yVal>
            <numRef>
              <f>'Geometry'!$CT$3:$CT$4</f>
            </numRef>
          </yVal>
          <smooth val="0"/>
        </ser>
        <ser>
          <idx val="33"/>
          <order val="33"/>
          <tx>
            <v>internal tie y 15</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'Geometry'!$CV$3:$CV$4</f>
            </numRef>
          </xVal>
          <yVal>
            <numRef>
              <f>'Geometry'!$CW$3:$CW$4</f>
            </numRef>
          </yVal>
          <smooth val="0"/>
        </ser>
        <ser>
          <idx val="34"/>
          <order val="34"/>
          <tx>
            <v>internal tie x 15</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'Geometry'!$CY$3:$CY$4</f>
            </numRef>
          </xVal>
          <yVal>
            <numRef>
              <f>'Geometry'!$CZ$3:$CZ$4</f>
            </numRef>
          </yVal>
          <smooth val="0"/>
        </ser>
        <ser>
          <idx val="35"/>
          <order val="35"/>
          <tx>
            <v>internal tie y 16</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'Geometry'!$DB$3:$DB$4</f>
            </numRef>
          </xVal>
          <yVal>
            <numRef>
              <f>'Geometry'!$DC$3:$DC$4</f>
            </numRef>
          </yVal>
          <smooth val="0"/>
        </ser>
        <ser>
          <idx val="36"/>
          <order val="36"/>
          <tx>
            <v>internal tie x 16</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'Geometry'!$DE$3:$DE$4</f>
            </numRef>
          </xVal>
          <yVal>
            <numRef>
              <f>'Geometry'!$DF$3:$DF$4</f>
            </numRef>
          </yVal>
          <smooth val="0"/>
        </ser>
        <ser>
          <idx val="37"/>
          <order val="37"/>
          <tx>
            <v>internal tie y 17</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'Geometry'!$DH$3:$DH$4</f>
            </numRef>
          </xVal>
          <yVal>
            <numRef>
              <f>'Geometry'!$DI$3:$DI$4</f>
            </numRef>
          </yVal>
          <smooth val="0"/>
        </ser>
        <ser>
          <idx val="38"/>
          <order val="38"/>
          <tx>
            <v>internal tie x 17</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'Geometry'!$DK$3:$DK$4</f>
            </numRef>
          </xVal>
          <yVal>
            <numRef>
              <f>'Geometry'!$DL$3:$DL$4</f>
            </numRef>
          </yVal>
          <smooth val="0"/>
        </ser>
        <ser>
          <idx val="39"/>
          <order val="39"/>
          <tx>
            <v>internal tie y 18</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'Geometry'!$DN$3:$DN$4</f>
            </numRef>
          </xVal>
          <yVal>
            <numRef>
              <f>'Geometry'!$DO$3:$DO$4</f>
            </numRef>
          </yVal>
          <smooth val="0"/>
        </ser>
        <ser>
          <idx val="40"/>
          <order val="40"/>
          <tx>
            <v>internal tie x 18</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'Geometry'!$DQ$3:$DQ$4</f>
            </numRef>
          </xVal>
          <yVal>
            <numRef>
              <f>'Geometry'!$DR$3:$DR$4</f>
            </numRef>
          </yVal>
          <smooth val="0"/>
        </ser>
        <ser>
          <idx val="41"/>
          <order val="41"/>
          <tx>
            <v>internal tie y 19</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'Geometry'!$DT$3:$DT$4</f>
            </numRef>
          </xVal>
          <yVal>
            <numRef>
              <f>'Geometry'!$DU$3:$DU$4</f>
            </numRef>
          </yVal>
          <smooth val="0"/>
        </ser>
        <ser>
          <idx val="42"/>
          <order val="42"/>
          <tx>
            <v>internal tie x 19</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'Geometry'!$DW$3:$DW$4</f>
            </numRef>
          </xVal>
          <yVal>
            <numRef>
              <f>'Geometry'!$DX$3:$DX$4</f>
            </numRef>
          </yVal>
          <smooth val="0"/>
        </ser>
        <ser>
          <idx val="43"/>
          <order val="43"/>
          <tx>
            <v>internal tie y 20</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'Geometry'!$DZ$3:$DZ$4</f>
            </numRef>
          </xVal>
          <yVal>
            <numRef>
              <f>'Geometry'!$EA$3:$EA$4</f>
            </numRef>
          </yVal>
          <smooth val="0"/>
        </ser>
        <ser>
          <idx val="44"/>
          <order val="44"/>
          <tx>
            <v>internal tie x 20</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'Geometry'!$EC$3:$EC$4</f>
            </numRef>
          </xVal>
          <yVal>
            <numRef>
              <f>'Geometry'!$ED$3:$ED$4</f>
            </numRef>
          </yVal>
          <smooth val="0"/>
        </ser>
        <ser>
          <idx val="45"/>
          <order val="45"/>
          <tx>
            <v>internal tie y 21</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'Geometry'!$EF$3:$EF$4</f>
            </numRef>
          </xVal>
          <yVal>
            <numRef>
              <f>'Geometry'!$EG$3:$EG$4</f>
            </numRef>
          </yVal>
          <smooth val="0"/>
        </ser>
        <ser>
          <idx val="46"/>
          <order val="46"/>
          <tx>
            <v>internal tie x 21</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'Geometry'!$EI$3:$EI$4</f>
            </numRef>
          </xVal>
          <yVal>
            <numRef>
              <f>'Geometry'!$EJ$3:$EJ$4</f>
            </numRef>
          </yVal>
          <smooth val="0"/>
        </ser>
        <ser>
          <idx val="47"/>
          <order val="47"/>
          <tx>
            <v>internal tie y 22</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'Geometry'!$EL$3:$EL$4</f>
            </numRef>
          </xVal>
          <yVal>
            <numRef>
              <f>'Geometry'!$EM$3:$EM$4</f>
            </numRef>
          </yVal>
          <smooth val="0"/>
        </ser>
        <ser>
          <idx val="48"/>
          <order val="48"/>
          <tx>
            <v>internal tie x 22</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'Geometry'!$EO$3:$EO$4</f>
            </numRef>
          </xVal>
          <yVal>
            <numRef>
              <f>'Geometry'!$EP$3:$EP$4</f>
            </numRef>
          </yVal>
          <smooth val="0"/>
        </ser>
        <ser>
          <idx val="49"/>
          <order val="49"/>
          <tx>
            <v>internal tie y 23</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'Geometry'!$ER$3:$ER$4</f>
            </numRef>
          </xVal>
          <yVal>
            <numRef>
              <f>'Geometry'!$ES$3:$ES$4</f>
            </numRef>
          </yVal>
          <smooth val="0"/>
        </ser>
        <ser>
          <idx val="50"/>
          <order val="50"/>
          <tx>
            <v>internal tie x 23</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'Geometry'!$EU$3:$EU$4</f>
            </numRef>
          </xVal>
          <yVal>
            <numRef>
              <f>'Geometry'!$EV$3:$EV$4</f>
            </numRef>
          </yVal>
          <smooth val="0"/>
        </ser>
        <ser>
          <idx val="51"/>
          <order val="51"/>
          <tx>
            <v>internal tie y 24</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'Geometry'!$EX$3:$EX$4</f>
            </numRef>
          </xVal>
          <yVal>
            <numRef>
              <f>'Geometry'!$EY$3:$EY$4</f>
            </numRef>
          </yVal>
          <smooth val="0"/>
        </ser>
        <ser>
          <idx val="52"/>
          <order val="52"/>
          <tx>
            <v>internal tie x 24</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'Geometry'!$FA$3:$FA$4</f>
            </numRef>
          </xVal>
          <yVal>
            <numRef>
              <f>'Geometry'!$FB$3:$FB$4</f>
            </numRef>
          </yVal>
          <smooth val="0"/>
        </ser>
        <ser>
          <idx val="53"/>
          <order val="53"/>
          <tx>
            <v>internal tie y 25</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'Geometry'!$FD$3:$FD$4</f>
            </numRef>
          </xVal>
          <yVal>
            <numRef>
              <f>'Geometry'!$FE$3:$FE$4</f>
            </numRef>
          </yVal>
          <smooth val="0"/>
        </ser>
        <ser>
          <idx val="54"/>
          <order val="54"/>
          <tx>
            <v>internal tie x 25</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'Geometry'!$FG$3:$FG$4</f>
            </numRef>
          </xVal>
          <yVal>
            <numRef>
              <f>'Geometry'!$FH$3:$FH$4</f>
            </numRef>
          </yVal>
          <smooth val="0"/>
        </ser>
        <ser>
          <idx val="55"/>
          <order val="55"/>
          <tx>
            <v>internal tie y 26</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'Geometry'!$FJ$3:$FJ$4</f>
            </numRef>
          </xVal>
          <yVal>
            <numRef>
              <f>'Geometry'!$FK$3:$FK$4</f>
            </numRef>
          </yVal>
          <smooth val="0"/>
        </ser>
        <ser>
          <idx val="56"/>
          <order val="56"/>
          <tx>
            <v>internal tie x 26</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'Geometry'!$FM$3:$FM$4</f>
            </numRef>
          </xVal>
          <yVal>
            <numRef>
              <f>'Geometry'!$FN$3:$FN$4</f>
            </numRef>
          </yVal>
          <smooth val="0"/>
        </ser>
        <ser>
          <idx val="57"/>
          <order val="57"/>
          <tx>
            <v>internal tie y 27</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'Geometry'!$FP$3:$FP$4</f>
            </numRef>
          </xVal>
          <yVal>
            <numRef>
              <f>'Geometry'!$FQ$3:$FQ$4</f>
            </numRef>
          </yVal>
          <smooth val="0"/>
        </ser>
        <ser>
          <idx val="58"/>
          <order val="58"/>
          <tx>
            <v>internal tie x 27</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'Geometry'!$FS$3:$FS$4</f>
            </numRef>
          </xVal>
          <yVal>
            <numRef>
              <f>'Geometry'!$FT$3:$FT$4</f>
            </numRef>
          </yVal>
          <smooth val="0"/>
        </ser>
        <ser>
          <idx val="59"/>
          <order val="59"/>
          <tx>
            <v>internal tie y 28</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'Geometry'!$FV$3:$FV$4</f>
            </numRef>
          </xVal>
          <yVal>
            <numRef>
              <f>'Geometry'!$FW$3:$FW$4</f>
            </numRef>
          </yVal>
          <smooth val="0"/>
        </ser>
        <ser>
          <idx val="60"/>
          <order val="60"/>
          <tx>
            <v>internal tie x 28</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'Geometry'!$FY$3:$FY$4</f>
            </numRef>
          </xVal>
          <yVal>
            <numRef>
              <f>'Geometry'!$FZ$3:$FZ$4</f>
            </numRef>
          </yVal>
          <smooth val="0"/>
        </ser>
        <ser>
          <idx val="61"/>
          <order val="61"/>
          <tx>
            <v>internal tie y 29</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'Geometry'!$GB$3:$GB$4</f>
            </numRef>
          </xVal>
          <yVal>
            <numRef>
              <f>'Geometry'!$GC$3:$GC$4</f>
            </numRef>
          </yVal>
          <smooth val="0"/>
        </ser>
        <ser>
          <idx val="62"/>
          <order val="62"/>
          <tx>
            <v>internal tie x 29</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'Geometry'!$GE$3:$GE$4</f>
            </numRef>
          </xVal>
          <yVal>
            <numRef>
              <f>'Geometry'!$GF$3:$GF$4</f>
            </numRef>
          </yVal>
          <smooth val="0"/>
        </ser>
        <ser>
          <idx val="63"/>
          <order val="63"/>
          <tx>
            <v>internal tie y 30</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'Geometry'!$GH$3:$GH$4</f>
            </numRef>
          </xVal>
          <yVal>
            <numRef>
              <f>'Geometry'!$GI$3:$GI$4</f>
            </numRef>
          </yVal>
          <smooth val="0"/>
        </ser>
        <ser>
          <idx val="64"/>
          <order val="64"/>
          <tx>
            <v>internal tie x 30</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'Geometry'!$GK$3:$GK$4</f>
            </numRef>
          </xVal>
          <yVal>
            <numRef>
              <f>'Geometry'!$GL$3:$GL$4</f>
            </numRef>
          </yVal>
          <smooth val="0"/>
        </ser>
        <ser>
          <idx val="65"/>
          <order val="65"/>
          <tx>
            <v>internal tie y 31</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'Geometry'!$GN$3:$GN$4</f>
            </numRef>
          </xVal>
          <yVal>
            <numRef>
              <f>'Geometry'!$GO$3:$GO$4</f>
            </numRef>
          </yVal>
          <smooth val="0"/>
        </ser>
        <ser>
          <idx val="66"/>
          <order val="66"/>
          <tx>
            <v>internal tie x 31</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'Geometry'!$GQ$3:$GQ$4</f>
            </numRef>
          </xVal>
          <yVal>
            <numRef>
              <f>'Geometry'!$GR$3:$GR$4</f>
            </numRef>
          </yVal>
          <smooth val="0"/>
        </ser>
        <ser>
          <idx val="67"/>
          <order val="67"/>
          <tx>
            <v>internal tie y 32</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'Geometry'!$GT$3:$GT$4</f>
            </numRef>
          </xVal>
          <yVal>
            <numRef>
              <f>'Geometry'!$GU$3:$GU$4</f>
            </numRef>
          </yVal>
          <smooth val="0"/>
        </ser>
        <ser>
          <idx val="68"/>
          <order val="68"/>
          <tx>
            <v>internal tie x 32</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'Geometry'!$GW$3:$GW$4</f>
            </numRef>
          </xVal>
          <yVal>
            <numRef>
              <f>'Geometry'!$GX$3:$GX$4</f>
            </numRef>
          </yVal>
          <smooth val="0"/>
        </ser>
        <ser>
          <idx val="69"/>
          <order val="69"/>
          <tx>
            <v>internal tie y 33</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'Geometry'!$GZ$3:$GZ$4</f>
            </numRef>
          </xVal>
          <yVal>
            <numRef>
              <f>'Geometry'!$HA$3:$HA$4</f>
            </numRef>
          </yVal>
          <smooth val="0"/>
        </ser>
        <ser>
          <idx val="70"/>
          <order val="70"/>
          <tx>
            <v>internal tie x 33</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'Geometry'!$HC$3:$HC$4</f>
            </numRef>
          </xVal>
          <yVal>
            <numRef>
              <f>'Geometry'!$HD$3:$HD$4</f>
            </numRef>
          </yVal>
          <smooth val="0"/>
        </ser>
        <ser>
          <idx val="71"/>
          <order val="71"/>
          <tx>
            <v>internal tie y 34</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'Geometry'!$HF$3:$HF$4</f>
            </numRef>
          </xVal>
          <yVal>
            <numRef>
              <f>'Geometry'!$HG$3:$HG$4</f>
            </numRef>
          </yVal>
          <smooth val="0"/>
        </ser>
        <ser>
          <idx val="72"/>
          <order val="72"/>
          <tx>
            <v>internal tie x 34</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'Geometry'!$HI$3:$HI$4</f>
            </numRef>
          </xVal>
          <yVal>
            <numRef>
              <f>'Geometry'!$HJ$3:$HJ$4</f>
            </numRef>
          </yVal>
          <smooth val="0"/>
        </ser>
        <ser>
          <idx val="73"/>
          <order val="73"/>
          <tx>
            <v>internal tie y 35</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'Geometry'!$HL$3:$HL$4</f>
            </numRef>
          </xVal>
          <yVal>
            <numRef>
              <f>'Geometry'!$HM$3:$HM$4</f>
            </numRef>
          </yVal>
          <smooth val="0"/>
        </ser>
        <ser>
          <idx val="74"/>
          <order val="74"/>
          <tx>
            <v>internal tie x 35</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'Geometry'!$HO$3:$HO$4</f>
            </numRef>
          </xVal>
          <yVal>
            <numRef>
              <f>'Geometry'!$HP$3:$HP$4</f>
            </numRef>
          </yVal>
          <smooth val="0"/>
        </ser>
        <ser>
          <idx val="75"/>
          <order val="75"/>
          <tx>
            <v>internal tie y 36</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'Geometry'!$HR$3:$HR$4</f>
            </numRef>
          </xVal>
          <yVal>
            <numRef>
              <f>'Geometry'!$HS$3:$HS$4</f>
            </numRef>
          </yVal>
          <smooth val="0"/>
        </ser>
        <ser>
          <idx val="76"/>
          <order val="76"/>
          <tx>
            <v>internal tie x 36</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'Geometry'!$HU$3:$HU$4</f>
            </numRef>
          </xVal>
          <yVal>
            <numRef>
              <f>'Geometry'!$HV$3:$HV$4</f>
            </numRef>
          </yVal>
          <smooth val="0"/>
        </ser>
        <ser>
          <idx val="77"/>
          <order val="77"/>
          <tx>
            <v>internal tie y 37</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'Geometry'!$HX$3:$HX$4</f>
            </numRef>
          </xVal>
          <yVal>
            <numRef>
              <f>'Geometry'!$HY$3:$HY$4</f>
            </numRef>
          </yVal>
          <smooth val="0"/>
        </ser>
        <ser>
          <idx val="78"/>
          <order val="78"/>
          <tx>
            <v>internal tie x 37</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'Geometry'!$IA$3:$IA$4</f>
            </numRef>
          </xVal>
          <yVal>
            <numRef>
              <f>'Geometry'!$IB$3:$IB$4</f>
            </numRef>
          </yVal>
          <smooth val="0"/>
        </ser>
        <ser>
          <idx val="79"/>
          <order val="79"/>
          <tx>
            <v>internal tie y 38</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'Geometry'!$ID$3:$ID$4</f>
            </numRef>
          </xVal>
          <yVal>
            <numRef>
              <f>'Geometry'!$IE$3:$IE$4</f>
            </numRef>
          </yVal>
          <smooth val="0"/>
        </ser>
        <ser>
          <idx val="80"/>
          <order val="80"/>
          <tx>
            <v>internal tie x 38</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'Geometry'!$IG$3:$IG$4</f>
            </numRef>
          </xVal>
          <yVal>
            <numRef>
              <f>'Geometry'!$IH$3:$IH$4</f>
            </numRef>
          </yVal>
          <smooth val="0"/>
        </ser>
        <ser>
          <idx val="81"/>
          <order val="81"/>
          <tx>
            <v>internal tie y 39</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'Geometry'!$IJ$3:$IJ$4</f>
            </numRef>
          </xVal>
          <yVal>
            <numRef>
              <f>'Geometry'!$IK$3:$IK$4</f>
            </numRef>
          </yVal>
          <smooth val="0"/>
        </ser>
        <ser>
          <idx val="82"/>
          <order val="82"/>
          <tx>
            <v>internal tie x 39</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'Geometry'!$IM$3:$IM$4</f>
            </numRef>
          </xVal>
          <yVal>
            <numRef>
              <f>'Geometry'!$IN$3:$IN$4</f>
            </numRef>
          </yVal>
          <smooth val="0"/>
        </ser>
        <ser>
          <idx val="83"/>
          <order val="83"/>
          <tx>
            <v>internal tie y 40</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'Geometry'!$IP$3:$IP$4</f>
            </numRef>
          </xVal>
          <yVal>
            <numRef>
              <f>'Geometry'!$IQ$3:$IQ$4</f>
            </numRef>
          </yVal>
          <smooth val="0"/>
        </ser>
        <ser>
          <idx val="84"/>
          <order val="84"/>
          <tx>
            <v>internal tie x 40</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'Geometry'!$IS$3:$IS$4</f>
            </numRef>
          </xVal>
          <yVal>
            <numRef>
              <f>'Geometry'!$IT$3:$IT$4</f>
            </numRef>
          </yVal>
          <smooth val="0"/>
        </ser>
        <ser>
          <idx val="85"/>
          <order val="85"/>
          <tx>
            <v>internal tie y 41</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'Geometry'!$IV$3:$IV$4</f>
            </numRef>
          </xVal>
          <yVal>
            <numRef>
              <f>'Geometry'!$IW$3:$IW$4</f>
            </numRef>
          </yVal>
          <smooth val="0"/>
        </ser>
        <ser>
          <idx val="86"/>
          <order val="86"/>
          <tx>
            <v>internal tie x 41</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'Geometry'!$IY$3:$IY$4</f>
            </numRef>
          </xVal>
          <yVal>
            <numRef>
              <f>'Geometry'!$IZ$3:$IZ$4</f>
            </numRef>
          </yVal>
          <smooth val="0"/>
        </ser>
        <ser>
          <idx val="87"/>
          <order val="87"/>
          <tx>
            <v>internal tie y 42</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'Geometry'!$JB$3:$JB$4</f>
            </numRef>
          </xVal>
          <yVal>
            <numRef>
              <f>'Geometry'!$JC$3:$JC$4</f>
            </numRef>
          </yVal>
          <smooth val="0"/>
        </ser>
        <ser>
          <idx val="88"/>
          <order val="88"/>
          <tx>
            <v>internal tie x 42</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'Geometry'!$JE$3:$JE$4</f>
            </numRef>
          </xVal>
          <yVal>
            <numRef>
              <f>'Geometry'!$JF$3:$JF$4</f>
            </numRef>
          </yVal>
          <smooth val="0"/>
        </ser>
        <ser>
          <idx val="89"/>
          <order val="89"/>
          <tx>
            <v>internal tie y 43</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'Geometry'!$JH$3:$JH$4</f>
            </numRef>
          </xVal>
          <yVal>
            <numRef>
              <f>'Geometry'!$JI$3:$JI$4</f>
            </numRef>
          </yVal>
          <smooth val="0"/>
        </ser>
        <ser>
          <idx val="90"/>
          <order val="90"/>
          <tx>
            <v>internal tie x 43</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'Geometry'!$JK$3:$JK$4</f>
            </numRef>
          </xVal>
          <yVal>
            <numRef>
              <f>'Geometry'!$JL$3:$JL$4</f>
            </numRef>
          </yVal>
          <smooth val="0"/>
        </ser>
        <ser>
          <idx val="91"/>
          <order val="91"/>
          <tx>
            <v>internal tie y 44</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'Geometry'!$JN$3:$JN$4</f>
            </numRef>
          </xVal>
          <yVal>
            <numRef>
              <f>'Geometry'!$JO$3:$JO$4</f>
            </numRef>
          </yVal>
          <smooth val="0"/>
        </ser>
        <ser>
          <idx val="92"/>
          <order val="92"/>
          <tx>
            <v>internal tie x 44</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'Geometry'!$JQ$3:$JQ$4</f>
            </numRef>
          </xVal>
          <yVal>
            <numRef>
              <f>'Geometry'!$JR$3:$JR$4</f>
            </numRef>
          </yVal>
          <smooth val="0"/>
        </ser>
        <ser>
          <idx val="93"/>
          <order val="93"/>
          <tx>
            <v>internal tie y 45</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'Geometry'!$JT$3:$JT$4</f>
            </numRef>
          </xVal>
          <yVal>
            <numRef>
              <f>'Geometry'!$JU$3:$JU$4</f>
            </numRef>
          </yVal>
          <smooth val="0"/>
        </ser>
        <ser>
          <idx val="94"/>
          <order val="94"/>
          <tx>
            <v>internal tie x 45</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'Geometry'!$JW$3:$JW$4</f>
            </numRef>
          </xVal>
          <yVal>
            <numRef>
              <f>'Geometry'!$JX$3:$JX$4</f>
            </numRef>
          </yVal>
          <smooth val="0"/>
        </ser>
        <ser>
          <idx val="95"/>
          <order val="95"/>
          <tx>
            <v>internal tie y 46</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'Geometry'!$JZ$3:$JZ$4</f>
            </numRef>
          </xVal>
          <yVal>
            <numRef>
              <f>'Geometry'!$KA$3:$KA$4</f>
            </numRef>
          </yVal>
          <smooth val="0"/>
        </ser>
        <ser>
          <idx val="96"/>
          <order val="96"/>
          <tx>
            <v>internal tie x 46</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'Geometry'!$KC$3:$KC$4</f>
            </numRef>
          </xVal>
          <yVal>
            <numRef>
              <f>'Geometry'!$KD$3:$KD$4</f>
            </numRef>
          </yVal>
          <smooth val="0"/>
        </ser>
        <ser>
          <idx val="97"/>
          <order val="97"/>
          <tx>
            <v>internal tie y 47</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'Geometry'!$KF$3:$KF$4</f>
            </numRef>
          </xVal>
          <yVal>
            <numRef>
              <f>'Geometry'!$KG$3:$KG$4</f>
            </numRef>
          </yVal>
          <smooth val="0"/>
        </ser>
        <ser>
          <idx val="98"/>
          <order val="98"/>
          <tx>
            <v>internal tie x 47</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'Geometry'!$KI$3:$KI$4</f>
            </numRef>
          </xVal>
          <yVal>
            <numRef>
              <f>'Geometry'!$KJ$3:$KJ$4</f>
            </numRef>
          </yVal>
          <smooth val="0"/>
        </ser>
        <ser>
          <idx val="99"/>
          <order val="99"/>
          <tx>
            <v>internal tie y 48</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'Geometry'!$KL$3:$KL$4</f>
            </numRef>
          </xVal>
          <yVal>
            <numRef>
              <f>'Geometry'!$KM$3:$KM$4</f>
            </numRef>
          </yVal>
          <smooth val="0"/>
        </ser>
        <ser>
          <idx val="100"/>
          <order val="100"/>
          <tx>
            <v>internal tie x 48</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'Geometry'!$KO$3:$KO$4</f>
            </numRef>
          </xVal>
          <yVal>
            <numRef>
              <f>'Geometry'!$KP$3:$KP$4</f>
            </numRef>
          </yVal>
          <smooth val="0"/>
        </ser>
        <ser>
          <idx val="101"/>
          <order val="101"/>
          <tx>
            <v>internal tie y 49</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'Geometry'!$KR$3:$KR$4</f>
            </numRef>
          </xVal>
          <yVal>
            <numRef>
              <f>'Geometry'!$KS$3:$KS$4</f>
            </numRef>
          </yVal>
          <smooth val="0"/>
        </ser>
        <ser>
          <idx val="102"/>
          <order val="102"/>
          <tx>
            <v>internal tie x 49</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'Geometry'!$KU$3:$KU$4</f>
            </numRef>
          </xVal>
          <yVal>
            <numRef>
              <f>'Geometry'!$KV$3:$KV$4</f>
            </numRef>
          </yVal>
          <smooth val="0"/>
        </ser>
        <ser>
          <idx val="103"/>
          <order val="103"/>
          <tx>
            <v>internal tie y 50</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'Geometry'!$KX$3:$KX$4</f>
            </numRef>
          </xVal>
          <yVal>
            <numRef>
              <f>'Geometry'!$KY$3:$KY$4</f>
            </numRef>
          </yVal>
          <smooth val="0"/>
        </ser>
        <ser>
          <idx val="104"/>
          <order val="104"/>
          <tx>
            <v>internal tie x 50</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'Geometry'!$LA$3:$LA$4</f>
            </numRef>
          </xVal>
          <yVal>
            <numRef>
              <f>'Geometry'!$LB$3:$LB$4</f>
            </numRef>
          </yVal>
          <smooth val="0"/>
        </ser>
        <ser>
          <idx val="105"/>
          <order val="105"/>
          <tx>
            <v>internal tie y 51</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'Geometry'!$LD$3:$LD$4</f>
            </numRef>
          </xVal>
          <yVal>
            <numRef>
              <f>'Geometry'!$LE$3:$LE$4</f>
            </numRef>
          </yVal>
          <smooth val="0"/>
        </ser>
        <ser>
          <idx val="106"/>
          <order val="106"/>
          <tx>
            <v>internal tie x 51</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'Geometry'!$LG$3:$LG$4</f>
            </numRef>
          </xVal>
          <yVal>
            <numRef>
              <f>'Geometry'!$LH$3:$LH$4</f>
            </numRef>
          </yVal>
          <smooth val="0"/>
        </ser>
        <ser>
          <idx val="107"/>
          <order val="107"/>
          <tx>
            <v>internal tie y 52</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'Geometry'!$LJ$3:$LJ$4</f>
            </numRef>
          </xVal>
          <yVal>
            <numRef>
              <f>'Geometry'!$LK$3:$LK$4</f>
            </numRef>
          </yVal>
          <smooth val="0"/>
        </ser>
        <ser>
          <idx val="108"/>
          <order val="108"/>
          <tx>
            <v>internal tie x 52</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'Geometry'!$LM$3:$LM$4</f>
            </numRef>
          </xVal>
          <yVal>
            <numRef>
              <f>'Geometry'!$LN$3:$LN$4</f>
            </numRef>
          </yVal>
          <smooth val="0"/>
        </ser>
        <ser>
          <idx val="109"/>
          <order val="109"/>
          <tx>
            <v>internal tie y 53</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'Geometry'!$LP$3:$LP$4</f>
            </numRef>
          </xVal>
          <yVal>
            <numRef>
              <f>'Geometry'!$LQ$3:$LQ$4</f>
            </numRef>
          </yVal>
          <smooth val="0"/>
        </ser>
        <ser>
          <idx val="110"/>
          <order val="110"/>
          <tx>
            <v>internal tie x 53</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'Geometry'!$LS$3:$LS$4</f>
            </numRef>
          </xVal>
          <yVal>
            <numRef>
              <f>'Geometry'!$LT$3:$LT$4</f>
            </numRef>
          </yVal>
          <smooth val="0"/>
        </ser>
        <ser>
          <idx val="111"/>
          <order val="111"/>
          <tx>
            <v>internal tie y 54</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'Geometry'!$LV$3:$LV$4</f>
            </numRef>
          </xVal>
          <yVal>
            <numRef>
              <f>'Geometry'!$LW$3:$LW$4</f>
            </numRef>
          </yVal>
          <smooth val="0"/>
        </ser>
        <ser>
          <idx val="112"/>
          <order val="112"/>
          <tx>
            <v>internal tie x 54</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'Geometry'!$LY$3:$LY$4</f>
            </numRef>
          </xVal>
          <yVal>
            <numRef>
              <f>'Geometry'!$LZ$3:$LZ$4</f>
            </numRef>
          </yVal>
          <smooth val="0"/>
        </ser>
        <ser>
          <idx val="113"/>
          <order val="113"/>
          <tx>
            <v>internal tie y 55</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'Geometry'!$MB$3:$MB$4</f>
            </numRef>
          </xVal>
          <yVal>
            <numRef>
              <f>'Geometry'!$MC$3:$MC$4</f>
            </numRef>
          </yVal>
          <smooth val="0"/>
        </ser>
        <ser>
          <idx val="114"/>
          <order val="114"/>
          <tx>
            <v>internal tie x 55</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'Geometry'!$ME$3:$ME$4</f>
            </numRef>
          </xVal>
          <yVal>
            <numRef>
              <f>'Geometry'!$MF$3:$MF$4</f>
            </numRef>
          </yVal>
          <smooth val="0"/>
        </ser>
        <ser>
          <idx val="115"/>
          <order val="115"/>
          <tx>
            <v>internal tie y 56</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'Geometry'!$MH$3:$MH$4</f>
            </numRef>
          </xVal>
          <yVal>
            <numRef>
              <f>'Geometry'!$MI$3:$MI$4</f>
            </numRef>
          </yVal>
          <smooth val="0"/>
        </ser>
        <ser>
          <idx val="116"/>
          <order val="116"/>
          <tx>
            <v>internal tie x 56</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'Geometry'!$MK$3:$MK$4</f>
            </numRef>
          </xVal>
          <yVal>
            <numRef>
              <f>'Geometry'!$ML$3:$ML$4</f>
            </numRef>
          </yVal>
          <smooth val="0"/>
        </ser>
        <ser>
          <idx val="117"/>
          <order val="117"/>
          <tx>
            <v>internal tie y 57</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'Geometry'!$MN$3:$MN$4</f>
            </numRef>
          </xVal>
          <yVal>
            <numRef>
              <f>'Geometry'!$MO$3:$MO$4</f>
            </numRef>
          </yVal>
          <smooth val="0"/>
        </ser>
        <ser>
          <idx val="118"/>
          <order val="118"/>
          <tx>
            <v>internal tie x 57</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'Geometry'!$MQ$3:$MQ$4</f>
            </numRef>
          </xVal>
          <yVal>
            <numRef>
              <f>'Geometry'!$MR$3:$MR$4</f>
            </numRef>
          </yVal>
          <smooth val="0"/>
        </ser>
        <ser>
          <idx val="119"/>
          <order val="119"/>
          <tx>
            <v>internal tie y 58</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'Geometry'!$MT$3:$MT$4</f>
            </numRef>
          </xVal>
          <yVal>
            <numRef>
              <f>'Geometry'!$MU$3:$MU$4</f>
            </numRef>
          </yVal>
          <smooth val="0"/>
        </ser>
        <ser>
          <idx val="120"/>
          <order val="120"/>
          <tx>
            <v>internal tie x 58</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'Geometry'!$MW$3:$MW$4</f>
            </numRef>
          </xVal>
          <yVal>
            <numRef>
              <f>'Geometry'!$MX$3:$MX$4</f>
            </numRef>
          </yVal>
          <smooth val="0"/>
        </ser>
        <ser>
          <idx val="121"/>
          <order val="121"/>
          <tx>
            <v>internal tie y 59</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'Geometry'!$MZ$3:$MZ$4</f>
            </numRef>
          </xVal>
          <yVal>
            <numRef>
              <f>'Geometry'!$NA$3:$NA$4</f>
            </numRef>
          </yVal>
          <smooth val="0"/>
        </ser>
        <ser>
          <idx val="122"/>
          <order val="122"/>
          <tx>
            <v>internal tie x 59</v>
          </tx>
          <spPr>
            <a:ln xmlns:a="http://schemas.openxmlformats.org/drawingml/2006/main" w="9525">
              <a:solidFill>
                <a:srgbClr val="5B7F8A"/>
              </a:solidFill>
              <a:prstDash val="solid"/>
            </a:ln>
          </spPr>
          <marker>
            <symbol val="none"/>
            <spPr>
              <a:ln xmlns:a="http://schemas.openxmlformats.org/drawingml/2006/main">
                <a:prstDash val="solid"/>
              </a:ln>
            </spPr>
          </marker>
          <xVal>
            <numRef>
              <f>'Geometry'!$NC$3:$NC$4</f>
            </numRef>
          </xVal>
          <yVal>
            <numRef>
              <f>'Geometry'!$ND$3:$ND$4</f>
            </numRef>
          </yVal>
          <smooth val="0"/>
        </ser>
        <ser>
          <idx val="123"/>
          <order val="123"/>
          <tx>
            <v>columns</v>
          </tx>
          <spPr>
            <a:ln xmlns:a="http://schemas.openxmlformats.org/drawingml/2006/main">
              <a:noFill/>
              <a:prstDash val="solid"/>
            </a:ln>
          </spPr>
          <marker>
            <symbol val="circle"/>
            <size val="7"/>
            <spPr>
              <a:solidFill xmlns:a="http://schemas.openxmlformats.org/drawingml/2006/main">
                <a:srgbClr val="2B2B2B"/>
              </a:solidFill>
              <a:ln xmlns:a="http://schemas.openxmlformats.org/drawingml/2006/main">
                <a:solidFill>
                  <a:srgbClr val="2B2B2B"/>
                </a:solidFill>
                <a:prstDash val="solid"/>
              </a:ln>
            </spPr>
          </marker>
          <xVal>
            <numRef>
              <f>'Geometry'!$NF$3:$NF$14</f>
            </numRef>
          </xVal>
          <yVal>
            <numRef>
              <f>'Geometry'!$NG$3:$NG$14</f>
            </numRef>
          </yVal>
          <smooth val="0"/>
        </ser>
        <ser>
          <idx val="124"/>
          <order val="124"/>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'Geometry'!$NI$3:$NI$4</f>
            </numRef>
          </xVal>
          <yVal>
            <numRef>
              <f>'Geometry'!$NJ$3:$NJ$4</f>
            </numRef>
          </yVal>
          <smooth val="0"/>
        </ser>
        <ser>
          <idx val="125"/>
          <order val="125"/>
          <tx>
            <strRef>
              <f>'Geometry'!$NL$2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t"/>
            <showLegendKey val="0"/>
            <showVal val="0"/>
            <showCatName val="0"/>
            <showSerName val="1"/>
            <showPercent val="0"/>
          </dLbls>
          <xVal>
            <numRef>
              <f>'Geometry'!$NL$3</f>
            </numRef>
          </xVal>
          <yVal>
            <numRef>
              <f>'Geometry'!$NM$3</f>
            </numRef>
          </yVal>
          <smooth val="0"/>
        </ser>
        <ser>
          <idx val="126"/>
          <order val="126"/>
          <tx>
            <strRef>
              <f>'Geometry'!$NO$2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B3261E"/>
                    </a:solidFill>
                  </a:defRPr>
                </a:pPr>
                <a:r>
                  <a:t/>
                </a:r>
                <a:endParaRPr sz="800">
                  <a:solidFill>
                    <a:srgbClr val="B3261E"/>
                  </a:solidFill>
                </a:endParaRPr>
              </a:p>
            </txPr>
            <dLblPos val="b"/>
            <showLegendKey val="0"/>
            <showVal val="0"/>
            <showCatName val="0"/>
            <showSerName val="1"/>
            <showPercent val="0"/>
          </dLbls>
          <xVal>
            <numRef>
              <f>'Geometry'!$NO$3</f>
            </numRef>
          </xVal>
          <yVal>
            <numRef>
              <f>'Geometry'!$NP$3</f>
            </numRef>
          </yVal>
          <smooth val="0"/>
        </ser>
        <ser>
          <idx val="127"/>
          <order val="127"/>
          <tx>
            <strRef>
              <f>'Geometry'!$NR$2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5B7F8A"/>
                    </a:solidFill>
                  </a:defRPr>
                </a:pPr>
                <a:r>
                  <a:t/>
                </a:r>
                <a:endParaRPr sz="800">
                  <a:solidFill>
                    <a:srgbClr val="5B7F8A"/>
                  </a:solidFill>
                </a:endParaRPr>
              </a:p>
            </txPr>
            <dLblPos val="r"/>
            <showLegendKey val="0"/>
            <showVal val="0"/>
            <showCatName val="0"/>
            <showSerName val="1"/>
            <showPercent val="0"/>
          </dLbls>
          <xVal>
            <numRef>
              <f>'Geometry'!$NR$3</f>
            </numRef>
          </xVal>
          <yVal>
            <numRef>
              <f>'Geometry'!$NS$3</f>
            </numRef>
          </yVal>
          <smooth val="0"/>
        </ser>
        <ser>
          <idx val="128"/>
          <order val="128"/>
          <tx>
            <v>frame</v>
          </tx>
          <spPr>
            <a:ln xmlns:a="http://schemas.openxmlformats.org/drawingml/2006/main">
              <a:noFill/>
              <a:prstDash val="solid"/>
            </a:ln>
          </spPr>
          <marker>
            <symbol val="none"/>
            <spPr>
              <a:ln xmlns:a="http://schemas.openxmlformats.org/drawingml/2006/main">
                <a:prstDash val="solid"/>
              </a:ln>
            </spPr>
          </marker>
          <xVal>
            <numRef>
              <f>'Geometry'!$NU$3:$NU$4</f>
            </numRef>
          </xVal>
          <yVal>
            <numRef>
              <f>'Geometry'!$NV$3:$NV$4</f>
            </numRef>
          </yVal>
          <smooth val="0"/>
        </ser>
        <axId val="10"/>
        <axId val="20"/>
      </scatterChart>
      <valAx>
        <axId val="10"/>
        <scaling>
          <orientation val="minMax"/>
        </scaling>
        <delete val="1"/>
        <axPos val="l"/>
        <majorTickMark val="none"/>
        <minorTickMark val="none"/>
        <crossAx val="20"/>
      </valAx>
      <valAx>
        <axId val="20"/>
        <scaling>
          <orientation val="minMax"/>
        </scaling>
        <delete val="1"/>
        <axPos val="l"/>
        <majorTickMark val="none"/>
        <minorTickMark val="none"/>
        <crossAx val="10"/>
      </valAx>
    </plotArea>
    <plotVisOnly val="1"/>
    <dispBlanksAs val="gap"/>
  </chart>
  <spPr>
    <a:ln xmlns:a="http://schemas.openxmlformats.org/drawingml/2006/main">
      <a:noFill/>
      <a:prstDash val="solid"/>
    </a:ln>
  </spPr>
</chartSpace>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chart" Target="/xl/charts/chart1.xml" Id="rId1"/><Relationship Type="http://schemas.openxmlformats.org/officeDocument/2006/relationships/image" Target="/xl/media/image2.png" Id="rId2"/></Relationships>
</file>

<file path=xl/drawings/drawing1.xml><?xml version="1.0" encoding="utf-8"?>
<wsDr xmlns="http://schemas.openxmlformats.org/drawingml/2006/spreadsheetDrawing">
  <oneCellAnchor>
    <from>
      <col>1</col>
      <colOff>0</colOff>
      <row>1</row>
      <rowOff>0</rowOff>
    </from>
    <ext cx="2847975" cy="6096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2</col>
      <colOff>0</colOff>
      <row>36</row>
      <rowOff>0</rowOff>
    </from>
    <ext cx="6138000" cy="396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1</col>
      <colOff>0</colOff>
      <row>1</row>
      <rowOff>0</rowOff>
    </from>
    <ext cx="1514475" cy="3238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naengineering.uk" TargetMode="External" Id="rId1"/><Relationship Type="http://schemas.openxmlformats.org/officeDocument/2006/relationships/hyperlink" Target="mailto:adrian@naengineering.uk" TargetMode="External" Id="rId2"/><Relationship Type="http://schemas.openxmlformats.org/officeDocument/2006/relationships/hyperlink" Target="https://www.linkedin.com/company/naengineering" TargetMode="External" Id="rId3"/><Relationship Type="http://schemas.openxmlformats.org/officeDocument/2006/relationships/drawing" Target="/xl/drawings/drawing1.xml" Id="rId4"/></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outlinePr summaryBelow="1" summaryRight="1"/>
    <pageSetUpPr fitToPage="1"/>
  </sheetPr>
  <dimension ref="A1:D38"/>
  <sheetViews>
    <sheetView showGridLines="0" tabSelected="0" workbookViewId="0">
      <selection activeCell="A1" sqref="A1"/>
    </sheetView>
  </sheetViews>
  <sheetFormatPr baseColWidth="8" defaultRowHeight="15"/>
  <cols>
    <col width="4" customWidth="1" min="1" max="1"/>
    <col width="24" customWidth="1" min="2" max="2"/>
    <col width="78" customWidth="1" min="3" max="3"/>
    <col width="4" customWidth="1" min="4" max="4"/>
  </cols>
  <sheetData>
    <row r="1" ht="14" customHeight="1">
      <c r="A1" s="1" t="n"/>
      <c r="B1" s="1" t="n"/>
      <c r="C1" s="1" t="n"/>
      <c r="D1" s="1" t="n"/>
    </row>
    <row r="2" ht="50" customHeight="1">
      <c r="A2" s="1" t="n"/>
      <c r="B2" s="1" t="n"/>
      <c r="C2" s="1" t="n"/>
      <c r="D2" s="1" t="n"/>
    </row>
    <row r="3" ht="14" customHeight="1">
      <c r="A3" s="1" t="n"/>
      <c r="B3" s="1" t="n"/>
      <c r="C3" s="1" t="n"/>
      <c r="D3" s="1" t="n"/>
    </row>
    <row r="4" ht="18" customHeight="1">
      <c r="A4" s="1" t="n"/>
      <c r="B4" s="1" t="n"/>
      <c r="C4" s="2" t="inlineStr">
        <is>
          <t>Structural design  ·  RC modelling &amp; detailing  ·  Steel detailing</t>
        </is>
      </c>
      <c r="D4" s="1" t="n"/>
    </row>
    <row r="5" ht="10" customHeight="1">
      <c r="A5" s="1" t="n"/>
      <c r="B5" s="1" t="n"/>
      <c r="C5" s="1" t="n"/>
      <c r="D5" s="1" t="n"/>
    </row>
    <row r="7" ht="36" customHeight="1">
      <c r="B7" s="3" t="inlineStr">
        <is>
          <t>Robustness ties</t>
        </is>
      </c>
    </row>
    <row r="8" ht="20" customHeight="1">
      <c r="B8" s="4" t="inlineStr">
        <is>
          <t>Tying systems for accidental situations  ·  EN 1992-1-1 §9.10  ·  UK NA / PN-EN</t>
        </is>
      </c>
    </row>
    <row r="10">
      <c r="B10" s="5" t="inlineStr">
        <is>
          <t>Reference</t>
        </is>
      </c>
      <c r="C10" s="6" t="inlineStr">
        <is>
          <t>NAE-RC-036  ·  version 1.0</t>
        </is>
      </c>
    </row>
    <row r="11" ht="31" customHeight="1">
      <c r="B11" s="5" t="inlineStr">
        <is>
          <t>Standards</t>
        </is>
      </c>
      <c r="C11" s="7" t="inlineStr">
        <is>
          <t>BS EN 1992-1-1:2004 with UK NA  ·  PN-EN 1992-1-1:2008 with Polish NA (NDP sources listed on the NDP sheet)</t>
        </is>
      </c>
    </row>
    <row r="12">
      <c r="B12" s="5" t="inlineStr">
        <is>
          <t>National Annex</t>
        </is>
      </c>
      <c r="C12" s="6" t="inlineStr">
        <is>
          <t>Selectable: UK NA to BS EN 1992-1-1 or Polish NA to PN-EN 1992-1-1</t>
        </is>
      </c>
    </row>
    <row r="13">
      <c r="B13" s="5" t="inlineStr">
        <is>
          <t>Issued</t>
        </is>
      </c>
      <c r="C13" s="6" t="inlineStr">
        <is>
          <t>30 October 2026</t>
        </is>
      </c>
    </row>
    <row r="15" ht="20" customHeight="1">
      <c r="B15" s="8" t="inlineStr">
        <is>
          <t>What it does</t>
        </is>
      </c>
      <c r="C15" s="9" t="n"/>
    </row>
    <row r="16" ht="47.5" customHeight="1">
      <c r="B16" s="7" t="inlineStr">
        <is>
          <t>Tie forces for the robustness of a framed concrete building (9.10.2): the peripheral tie at each floor, the internal ties spread in two directions and the horizontal ties to the external columns, with the steel needed and a check of the bars entered.</t>
        </is>
      </c>
    </row>
    <row r="18" ht="20" customHeight="1">
      <c r="B18" s="8" t="inlineStr">
        <is>
          <t>How to use</t>
        </is>
      </c>
      <c r="C18" s="9" t="n"/>
    </row>
    <row r="19" ht="47.5" customHeight="1">
      <c r="B19" s="7" t="inlineStr">
        <is>
          <t>1.  Open the Calculation sheet and select the National Annex.
2.  Fill in the shaded input cells. Everything else is calculated.
3.  Read the Results block; every step below it quotes its clause. Print or save as PDF for your calculation package.</t>
        </is>
      </c>
    </row>
    <row r="21" ht="20" customHeight="1">
      <c r="B21" s="8" t="inlineStr">
        <is>
          <t>Scope and limitations</t>
        </is>
      </c>
      <c r="C21" s="9" t="n"/>
    </row>
    <row r="22" ht="178" customHeight="1">
      <c r="B22" s="7" t="inlineStr">
        <is>
          <t>Tying systems of EN 1992-1-1 9.10.2 with the values of the National Annex. UK NA: Ft = 20 + 4 n0 ≤ 60 kN; peripheral tie (9.15) as corrected by AC:2010, Ftie,per = l1 q1 ≥ Q2, with q1 = (20 + 4 n0) kN/m and Q2 = 60 kN: the larger of the two, taken literally (much larger than the force Ft ≤ 60 kN of BS 8110 practice; check the reading your project adopts); internal ties Ftie,int = [(gk + qk) / 7.5] (lr / 5) Ft ≥ Ft kN/m, spread evenly in the slab, at most 1.5 lr apart; ties to external columns the greater of 2 Ft ≤ (ls / 2.5) Ft and 3 % of the design vertical load at that level, kN per column. PL NA (recommended values, NA.9): Ftie,per = 10 l1 ≥ 70 kN, Ftie,int = 20 kN/m, Ftie,col = 150 kN. Internal ties grouped at beams, floors without screeds (9.10.2.3(4)) and ties to walls (Ftie,fac per metre) are not covered. Ties carry their force at the characteristic strength, γs = 1.0 for the accidental situation (2.4.2.4, Table 2.1N); steel provided for other purposes may be counted (9.10.1(4)). Ties must be continuous, lapped and anchored (9.10.1(5), 9.10.2.3(2)). Vertical ties of panel buildings (9.10.2.5), the key elements and the class of the building to EN 1991-1-7 and the national regulations (e.g. PD 6687, Approved Document A) are not covered. fyk 400 – 500 MPa.
The second-generation EN 1992-1-1:2023 is not yet implemented.</t>
        </is>
      </c>
    </row>
    <row r="24" ht="20" customHeight="1">
      <c r="B24" s="8" t="inlineStr">
        <is>
          <t>Further reading and independent cross-check</t>
        </is>
      </c>
      <c r="C24" s="9" t="n"/>
    </row>
    <row r="25" ht="62" customHeight="1">
      <c r="B25" s="10" t="inlineStr">
        <is>
          <t>•  The Concrete Centre, How to design concrete structures using Eurocode 2: Detailing (tying).
•  The Concrete Centre, Concise Eurocode 2, 11.6 (tying systems).
NA Engineering is not affiliated with The Concrete Centre or CIRIA; their publications are referenced for information only.</t>
        </is>
      </c>
    </row>
    <row r="27" ht="20" customHeight="1">
      <c r="B27" s="8" t="inlineStr">
        <is>
          <t>About NA Engineering</t>
        </is>
      </c>
      <c r="C27" s="9" t="n"/>
    </row>
    <row r="28" ht="62" customHeight="1">
      <c r="B28" s="7" t="inlineStr">
        <is>
          <t>NA Engineering is a structural engineering consultancy delivering structural design, reinforced concrete modelling and detailing, and steel detailing for residential, commercial, infrastructure, energy and refurbishment projects. We share tools like this one because good engineering should be transparent: every formula here is visible and referenced. If you need a design, a check or a full detailing package, talk to us.</t>
        </is>
      </c>
    </row>
    <row r="29">
      <c r="B29" s="11" t="inlineStr">
        <is>
          <t>Website</t>
        </is>
      </c>
      <c r="C29" s="12" t="inlineStr">
        <is>
          <t>naengineering.uk</t>
        </is>
      </c>
    </row>
    <row r="30">
      <c r="B30" s="11" t="inlineStr">
        <is>
          <t>Email</t>
        </is>
      </c>
      <c r="C30" s="12" t="inlineStr">
        <is>
          <t>adrian@naengineering.uk</t>
        </is>
      </c>
    </row>
    <row r="31">
      <c r="B31" s="11" t="inlineStr">
        <is>
          <t>Phone</t>
        </is>
      </c>
      <c r="C31" s="6" t="inlineStr">
        <is>
          <t>+48 505 844 422</t>
        </is>
      </c>
    </row>
    <row r="32">
      <c r="B32" s="11" t="inlineStr">
        <is>
          <t>LinkedIn</t>
        </is>
      </c>
      <c r="C32" s="12" t="inlineStr">
        <is>
          <t>linkedin.com/company/naengineering</t>
        </is>
      </c>
    </row>
    <row r="34" ht="20" customHeight="1">
      <c r="B34" s="8" t="inlineStr">
        <is>
          <t>Disclaimer</t>
        </is>
      </c>
      <c r="C34" s="9" t="n"/>
    </row>
    <row r="35" ht="76.5" customHeight="1">
      <c r="B35" s="13" t="inlineStr">
        <is>
          <t>This spreadsheet is provided free of charge, as is, for use by competent engineers. It does not replace engineering judgement. The user is responsible for the input, for checking that the method suits the element being designed and for verifying the results. NA Engineering accepts no liability for any loss arising from its use. Sheets are password-protected and the workbook structure is locked so that the formulas and the NA Engineering details cannot be changed; only the shaded input cells can be edited.</t>
        </is>
      </c>
    </row>
    <row r="37" ht="20" customHeight="1">
      <c r="B37" s="8" t="inlineStr">
        <is>
          <t>Revision history</t>
        </is>
      </c>
      <c r="C37" s="9" t="n"/>
    </row>
    <row r="38">
      <c r="B38" s="5" t="inlineStr">
        <is>
          <t>v1.0</t>
        </is>
      </c>
      <c r="C38" s="6" t="inlineStr">
        <is>
          <t>30 Oct 2026  ·  First issue</t>
        </is>
      </c>
    </row>
  </sheetData>
  <sheetProtection selectLockedCells="0" selectUnlockedCells="0" sheet="1" objects="1" insertRows="1" insertHyperlinks="1" autoFilter="1" scenarios="0" formatColumns="1" deleteColumns="1" insertColumns="1" pivotTables="1" deleteRows="1" formatCells="1" formatRows="1" sort="1" password="AA0A"/>
  <mergeCells count="6">
    <mergeCell ref="B16:C16"/>
    <mergeCell ref="B25:C25"/>
    <mergeCell ref="B19:C19"/>
    <mergeCell ref="B28:C28"/>
    <mergeCell ref="B22:C22"/>
    <mergeCell ref="B35:C35"/>
  </mergeCells>
  <hyperlinks>
    <hyperlink xmlns:r="http://schemas.openxmlformats.org/officeDocument/2006/relationships" ref="C29" r:id="rId1"/>
    <hyperlink xmlns:r="http://schemas.openxmlformats.org/officeDocument/2006/relationships" ref="C30" r:id="rId2"/>
    <hyperlink xmlns:r="http://schemas.openxmlformats.org/officeDocument/2006/relationships" ref="C32" r:id="rId3"/>
  </hyperlinks>
  <printOptions horizontalCentered="1"/>
  <pageMargins left="0.4" right="0.4" top="0.4" bottom="0.6" header="0.5" footer="0.5"/>
  <pageSetup orientation="portrait" paperSize="9" fitToHeight="1" fitToWidth="1"/>
  <headerFooter>
    <oddHeader/>
    <oddFooter>&amp;L&amp;7 &amp;K8A8A8ANA Engineering sp. z o.o.  ·  naengineering.uk  ·  adrian@naengineering.uk  ·  +48 505 844 422&amp;C&amp;7 &amp;K8A8A8A&amp;P / &amp;N&amp;R&amp;7 &amp;K8A8A8ANAE-RC-036  v1.0</oddFooter>
    <evenHeader/>
    <evenFooter/>
    <firstHeader/>
    <firstFooter/>
  </headerFooter>
  <drawing xmlns:r="http://schemas.openxmlformats.org/officeDocument/2006/relationships" r:id="rId4"/>
</worksheet>
</file>

<file path=xl/worksheets/sheet2.xml><?xml version="1.0" encoding="utf-8"?>
<worksheet xmlns="http://schemas.openxmlformats.org/spreadsheetml/2006/main">
  <sheetPr>
    <outlinePr summaryBelow="1" summaryRight="1"/>
    <pageSetUpPr fitToPage="1"/>
  </sheetPr>
  <dimension ref="A1:H76"/>
  <sheetViews>
    <sheetView showGridLines="0" tabSelected="1" workbookViewId="0">
      <selection activeCell="A1" sqref="A1"/>
    </sheetView>
  </sheetViews>
  <sheetFormatPr baseColWidth="8" defaultRowHeight="15"/>
  <cols>
    <col width="2.5" customWidth="1" min="1" max="1"/>
    <col width="11" customWidth="1" min="2" max="2"/>
    <col width="46" customWidth="1" min="3" max="3"/>
    <col width="10" customWidth="1" min="4" max="4"/>
    <col width="13" customWidth="1" min="5" max="5"/>
    <col width="8" customWidth="1" min="6" max="6"/>
    <col width="22" customWidth="1" min="7" max="7"/>
    <col width="2.5" customWidth="1" min="8" max="8"/>
  </cols>
  <sheetData>
    <row r="1" ht="8" customHeight="1">
      <c r="A1" s="1" t="n"/>
      <c r="B1" s="1" t="n"/>
      <c r="C1" s="1" t="n"/>
      <c r="D1" s="1" t="n"/>
      <c r="E1" s="1" t="n"/>
      <c r="F1" s="1" t="n"/>
      <c r="G1" s="1" t="n"/>
      <c r="H1" s="1" t="n"/>
    </row>
    <row r="2" ht="30" customHeight="1">
      <c r="A2" s="1" t="n"/>
      <c r="B2" s="1" t="n"/>
      <c r="C2" s="1" t="n"/>
      <c r="D2" s="14" t="inlineStr">
        <is>
          <t>Robustness ties</t>
        </is>
      </c>
      <c r="H2" s="1" t="n"/>
    </row>
    <row r="3" ht="16" customHeight="1">
      <c r="A3" s="1" t="n"/>
      <c r="B3" s="1" t="n"/>
      <c r="C3" s="15" t="inlineStr">
        <is>
          <t>NAE-RC-036 v1.0  ·  naengineering.uk  ·  adrian@naengineering.uk  ·  +48 505 844 422</t>
        </is>
      </c>
      <c r="H3" s="1" t="n"/>
    </row>
    <row r="5">
      <c r="B5" s="16" t="inlineStr">
        <is>
          <t>Project</t>
        </is>
      </c>
      <c r="C5" s="17" t="n"/>
      <c r="D5" s="18" t="inlineStr">
        <is>
          <t>Job no.</t>
        </is>
      </c>
      <c r="E5" s="17" t="n"/>
    </row>
    <row r="6">
      <c r="B6" s="16" t="inlineStr">
        <is>
          <t>Element</t>
        </is>
      </c>
      <c r="C6" s="17" t="n"/>
      <c r="D6" s="18" t="inlineStr">
        <is>
          <t>Made by</t>
        </is>
      </c>
      <c r="E6" s="17" t="n"/>
    </row>
    <row r="7">
      <c r="B7" s="16" t="inlineStr">
        <is>
          <t>Date</t>
        </is>
      </c>
      <c r="C7" s="19" t="n"/>
      <c r="D7" s="18" t="inlineStr">
        <is>
          <t>Checked</t>
        </is>
      </c>
      <c r="E7" s="17" t="n"/>
    </row>
    <row r="10" ht="22" customHeight="1">
      <c r="B10" s="20" t="inlineStr">
        <is>
          <t>Inputs  ·  building and floor</t>
        </is>
      </c>
      <c r="C10" s="21" t="n"/>
      <c r="D10" s="21" t="n"/>
      <c r="E10" s="21" t="n"/>
      <c r="F10" s="21" t="n"/>
      <c r="G10" s="22" t="inlineStr">
        <is>
          <t>Shaded cells only</t>
        </is>
      </c>
    </row>
    <row r="11" ht="17" customHeight="1">
      <c r="B11" s="23" t="n"/>
      <c r="C11" s="24" t="inlineStr">
        <is>
          <t>National Annex</t>
        </is>
      </c>
      <c r="D11" s="23" t="n"/>
      <c r="E11" s="25" t="inlineStr">
        <is>
          <t>UK NA (BS EN)</t>
        </is>
      </c>
      <c r="F11" s="23" t="n"/>
      <c r="G11" s="23" t="n"/>
    </row>
    <row r="12" ht="17" customHeight="1">
      <c r="B12" s="26" t="inlineStr">
        <is>
          <t>Table 3.1</t>
        </is>
      </c>
      <c r="C12" s="24" t="inlineStr">
        <is>
          <t>Concrete strength class</t>
        </is>
      </c>
      <c r="D12" s="23" t="n"/>
      <c r="E12" s="25" t="inlineStr">
        <is>
          <t>C32/40</t>
        </is>
      </c>
      <c r="F12" s="23" t="n"/>
      <c r="G12" s="23" t="n"/>
    </row>
    <row r="13" ht="17" customHeight="1">
      <c r="B13" s="26" t="inlineStr">
        <is>
          <t>3.2.2</t>
        </is>
      </c>
      <c r="C13" s="24" t="inlineStr">
        <is>
          <t>Reinforcement characteristic yield strength  (≤ 500 MPa)</t>
        </is>
      </c>
      <c r="D13" s="27" t="inlineStr">
        <is>
          <r>
            <rPr>
              <rFont val="Calibri"/>
              <i val="1"/>
              <color rgb="002B2B2B"/>
              <sz val="10"/>
            </rPr>
            <t>f</t>
          </r>
          <r>
            <rPr>
              <rFont val="Calibri"/>
              <i val="1"/>
              <color rgb="002B2B2B"/>
              <sz val="10"/>
              <vertAlign val="subscript"/>
            </rPr>
            <t>yk</t>
          </r>
        </is>
      </c>
      <c r="E13" s="25" t="n">
        <v>500</v>
      </c>
      <c r="F13" s="28" t="inlineStr">
        <is>
          <t>MPa</t>
        </is>
      </c>
      <c r="G13" s="23" t="n"/>
    </row>
    <row r="14" ht="17" customHeight="1">
      <c r="B14" s="26" t="inlineStr">
        <is>
          <t>UK NA 9.10.2</t>
        </is>
      </c>
      <c r="C14" s="24" t="inlineStr">
        <is>
          <t>Number of storeys</t>
        </is>
      </c>
      <c r="D14" s="27" t="inlineStr">
        <is>
          <r>
            <rPr>
              <rFont val="Calibri"/>
              <i val="1"/>
              <color rgb="002B2B2B"/>
              <sz val="10"/>
            </rPr>
            <t>n</t>
          </r>
          <r>
            <rPr>
              <rFont val="Calibri"/>
              <i val="1"/>
              <color rgb="002B2B2B"/>
              <sz val="10"/>
              <vertAlign val="subscript"/>
            </rPr>
            <t>0</t>
          </r>
        </is>
      </c>
      <c r="E14" s="25" t="n">
        <v>6</v>
      </c>
      <c r="F14" s="23" t="n"/>
      <c r="G14" s="23" t="n"/>
    </row>
    <row r="15" ht="17" customHeight="1">
      <c r="B15" s="26" t="inlineStr">
        <is>
          <t>9.10.2.2(2)</t>
        </is>
      </c>
      <c r="C15" s="24" t="inlineStr">
        <is>
          <t>Length of the end span  (peripheral tie)</t>
        </is>
      </c>
      <c r="D15" s="27" t="inlineStr">
        <is>
          <r>
            <rPr>
              <rFont val="Calibri"/>
              <i val="1"/>
              <color rgb="002B2B2B"/>
              <sz val="10"/>
            </rPr>
            <t>l</t>
          </r>
          <r>
            <rPr>
              <rFont val="Calibri"/>
              <i val="1"/>
              <color rgb="002B2B2B"/>
              <sz val="10"/>
              <vertAlign val="subscript"/>
            </rPr>
            <t>1</t>
          </r>
        </is>
      </c>
      <c r="E15" s="29" t="n">
        <v>7.5</v>
      </c>
      <c r="F15" s="28" t="inlineStr">
        <is>
          <t>m</t>
        </is>
      </c>
      <c r="G15" s="23" t="n"/>
    </row>
    <row r="16" ht="17" customHeight="1">
      <c r="B16" s="26" t="inlineStr">
        <is>
          <t>9.10.2.3</t>
        </is>
      </c>
      <c r="C16" s="24" t="inlineStr">
        <is>
          <t>Greater span between supports in the tie direction</t>
        </is>
      </c>
      <c r="D16" s="27" t="inlineStr">
        <is>
          <r>
            <rPr>
              <rFont val="Calibri"/>
              <i val="1"/>
              <color rgb="002B2B2B"/>
              <sz val="10"/>
            </rPr>
            <t>l</t>
          </r>
          <r>
            <rPr>
              <rFont val="Calibri"/>
              <i val="1"/>
              <color rgb="002B2B2B"/>
              <sz val="10"/>
              <vertAlign val="subscript"/>
            </rPr>
            <t>r</t>
          </r>
        </is>
      </c>
      <c r="E16" s="29" t="n">
        <v>7.5</v>
      </c>
      <c r="F16" s="28" t="inlineStr">
        <is>
          <t>m</t>
        </is>
      </c>
      <c r="G16" s="23" t="n"/>
    </row>
    <row r="17" ht="17" customHeight="1">
      <c r="B17" s="26" t="inlineStr">
        <is>
          <t>UK NA 9.10.2.3(3)</t>
        </is>
      </c>
      <c r="C17" s="24" t="inlineStr">
        <is>
          <t>Floor loads  gk + qk  (average)</t>
        </is>
      </c>
      <c r="D17" s="27" t="inlineStr">
        <is>
          <r>
            <rPr>
              <rFont val="Calibri"/>
              <i val="1"/>
              <color rgb="002B2B2B"/>
              <sz val="10"/>
            </rPr>
            <t>g</t>
          </r>
          <r>
            <rPr>
              <rFont val="Calibri"/>
              <i val="1"/>
              <color rgb="002B2B2B"/>
              <sz val="10"/>
              <vertAlign val="subscript"/>
            </rPr>
            <t>k+q_k</t>
          </r>
        </is>
      </c>
      <c r="E17" s="29" t="n">
        <v>9</v>
      </c>
      <c r="F17" s="28" t="inlineStr">
        <is>
          <t>kN/m²</t>
        </is>
      </c>
      <c r="G17" s="23" t="n"/>
    </row>
    <row r="18" ht="17" customHeight="1">
      <c r="B18" s="26" t="inlineStr">
        <is>
          <t>UK NA 9.10.2.4(2)</t>
        </is>
      </c>
      <c r="C18" s="24" t="inlineStr">
        <is>
          <t>Floor to ceiling height</t>
        </is>
      </c>
      <c r="D18" s="27" t="inlineStr">
        <is>
          <r>
            <rPr>
              <rFont val="Calibri"/>
              <i val="1"/>
              <color rgb="002B2B2B"/>
              <sz val="10"/>
            </rPr>
            <t>l</t>
          </r>
          <r>
            <rPr>
              <rFont val="Calibri"/>
              <i val="1"/>
              <color rgb="002B2B2B"/>
              <sz val="10"/>
              <vertAlign val="subscript"/>
            </rPr>
            <t>s</t>
          </r>
        </is>
      </c>
      <c r="E18" s="29" t="n">
        <v>3</v>
      </c>
      <c r="F18" s="28" t="inlineStr">
        <is>
          <t>m</t>
        </is>
      </c>
      <c r="G18" s="23" t="n"/>
    </row>
    <row r="19" ht="17" customHeight="1">
      <c r="B19" s="26" t="inlineStr">
        <is>
          <t>UK NA 9.10.2.4(2)</t>
        </is>
      </c>
      <c r="C19" s="24" t="inlineStr">
        <is>
          <t>Design vertical load in the external column at that level</t>
        </is>
      </c>
      <c r="D19" s="27" t="inlineStr">
        <is>
          <r>
            <rPr>
              <rFont val="Calibri"/>
              <i val="1"/>
              <color rgb="002B2B2B"/>
              <sz val="10"/>
            </rPr>
            <t>N</t>
          </r>
          <r>
            <rPr>
              <rFont val="Calibri"/>
              <i val="1"/>
              <color rgb="002B2B2B"/>
              <sz val="10"/>
              <vertAlign val="subscript"/>
            </rPr>
            <t>Ed</t>
          </r>
        </is>
      </c>
      <c r="E19" s="30" t="n">
        <v>2500</v>
      </c>
      <c r="F19" s="28" t="inlineStr">
        <is>
          <t>kN</t>
        </is>
      </c>
      <c r="G19" s="23" t="n"/>
    </row>
    <row r="21" ht="22" customHeight="1">
      <c r="B21" s="20" t="inlineStr">
        <is>
          <t>Inputs  ·  ties provided</t>
        </is>
      </c>
      <c r="C21" s="21" t="n"/>
      <c r="D21" s="21" t="n"/>
      <c r="E21" s="21" t="n"/>
      <c r="F21" s="21" t="n"/>
      <c r="G21" s="22" t="inlineStr">
        <is>
          <t>Bars counted at fyk</t>
        </is>
      </c>
    </row>
    <row r="22" ht="17" customHeight="1">
      <c r="B22" s="26" t="inlineStr">
        <is>
          <t>9.10.2.2</t>
        </is>
      </c>
      <c r="C22" s="24" t="inlineStr">
        <is>
          <t>Peripheral tie: bars</t>
        </is>
      </c>
      <c r="D22" s="27" t="inlineStr">
        <is>
          <r>
            <rPr>
              <rFont val="Calibri"/>
              <i val="1"/>
              <color rgb="002B2B2B"/>
              <sz val="10"/>
            </rPr>
            <t>n</t>
          </r>
          <r>
            <rPr>
              <rFont val="Calibri"/>
              <i val="1"/>
              <color rgb="002B2B2B"/>
              <sz val="10"/>
              <vertAlign val="subscript"/>
            </rPr>
            <t>p</t>
          </r>
        </is>
      </c>
      <c r="E22" s="25" t="n">
        <v>4</v>
      </c>
      <c r="F22" s="23" t="n"/>
      <c r="G22" s="23" t="n"/>
    </row>
    <row r="23" ht="17" customHeight="1">
      <c r="B23" s="23" t="n"/>
      <c r="C23" s="24" t="inlineStr">
        <is>
          <t>Diameter</t>
        </is>
      </c>
      <c r="D23" s="27" t="inlineStr">
        <is>
          <r>
            <rPr>
              <rFont val="Calibri"/>
              <i val="1"/>
              <color rgb="002B2B2B"/>
              <sz val="10"/>
            </rPr>
            <t>φ</t>
          </r>
          <r>
            <rPr>
              <rFont val="Calibri"/>
              <i val="1"/>
              <color rgb="002B2B2B"/>
              <sz val="10"/>
              <vertAlign val="subscript"/>
            </rPr>
            <t>p</t>
          </r>
        </is>
      </c>
      <c r="E23" s="25" t="n">
        <v>20</v>
      </c>
      <c r="F23" s="28" t="inlineStr">
        <is>
          <t>mm</t>
        </is>
      </c>
      <c r="G23" s="23" t="n"/>
    </row>
    <row r="24" ht="17" customHeight="1">
      <c r="B24" s="26" t="inlineStr">
        <is>
          <t>9.10.2.3</t>
        </is>
      </c>
      <c r="C24" s="24" t="inlineStr">
        <is>
          <t>Internal ties: diameter</t>
        </is>
      </c>
      <c r="D24" s="27" t="inlineStr">
        <is>
          <r>
            <rPr>
              <rFont val="Calibri"/>
              <i val="1"/>
              <color rgb="002B2B2B"/>
              <sz val="10"/>
            </rPr>
            <t>φ</t>
          </r>
          <r>
            <rPr>
              <rFont val="Calibri"/>
              <i val="1"/>
              <color rgb="002B2B2B"/>
              <sz val="10"/>
              <vertAlign val="subscript"/>
            </rPr>
            <t>i</t>
          </r>
        </is>
      </c>
      <c r="E24" s="25" t="n">
        <v>12</v>
      </c>
      <c r="F24" s="28" t="inlineStr">
        <is>
          <t>mm</t>
        </is>
      </c>
      <c r="G24" s="23" t="n"/>
    </row>
    <row r="25" ht="17" customHeight="1">
      <c r="B25" s="23" t="n"/>
      <c r="C25" s="24" t="inlineStr">
        <is>
          <t>Spacing</t>
        </is>
      </c>
      <c r="D25" s="27" t="inlineStr">
        <is>
          <r>
            <rPr>
              <rFont val="Calibri"/>
              <i val="1"/>
              <color rgb="002B2B2B"/>
              <sz val="10"/>
            </rPr>
            <t>s</t>
          </r>
          <r>
            <rPr>
              <rFont val="Calibri"/>
              <i val="1"/>
              <color rgb="002B2B2B"/>
              <sz val="10"/>
              <vertAlign val="subscript"/>
            </rPr>
            <t>i</t>
          </r>
        </is>
      </c>
      <c r="E25" s="25" t="n">
        <v>300</v>
      </c>
      <c r="F25" s="28" t="inlineStr">
        <is>
          <t>mm</t>
        </is>
      </c>
      <c r="G25" s="23" t="n"/>
    </row>
    <row r="26" ht="17" customHeight="1">
      <c r="B26" s="26" t="inlineStr">
        <is>
          <t>9.10.2.4</t>
        </is>
      </c>
      <c r="C26" s="24" t="inlineStr">
        <is>
          <t>Column tie: bars</t>
        </is>
      </c>
      <c r="D26" s="27" t="inlineStr">
        <is>
          <r>
            <rPr>
              <rFont val="Calibri"/>
              <i val="1"/>
              <color rgb="002B2B2B"/>
              <sz val="10"/>
            </rPr>
            <t>n</t>
          </r>
          <r>
            <rPr>
              <rFont val="Calibri"/>
              <i val="1"/>
              <color rgb="002B2B2B"/>
              <sz val="10"/>
              <vertAlign val="subscript"/>
            </rPr>
            <t>c</t>
          </r>
        </is>
      </c>
      <c r="E26" s="25" t="n">
        <v>2</v>
      </c>
      <c r="F26" s="23" t="n"/>
      <c r="G26" s="23" t="n"/>
    </row>
    <row r="27" ht="17" customHeight="1">
      <c r="B27" s="23" t="n"/>
      <c r="C27" s="24" t="inlineStr">
        <is>
          <t>Diameter</t>
        </is>
      </c>
      <c r="D27" s="27" t="inlineStr">
        <is>
          <r>
            <rPr>
              <rFont val="Calibri"/>
              <i val="1"/>
              <color rgb="002B2B2B"/>
              <sz val="10"/>
            </rPr>
            <t>φ</t>
          </r>
          <r>
            <rPr>
              <rFont val="Calibri"/>
              <i val="1"/>
              <color rgb="002B2B2B"/>
              <sz val="10"/>
              <vertAlign val="subscript"/>
            </rPr>
            <t>c</t>
          </r>
        </is>
      </c>
      <c r="E27" s="25" t="n">
        <v>16</v>
      </c>
      <c r="F27" s="28" t="inlineStr">
        <is>
          <t>mm</t>
        </is>
      </c>
      <c r="G27" s="23" t="n"/>
    </row>
    <row r="28" ht="17" customHeight="1">
      <c r="B28" s="23" t="n"/>
      <c r="C28" s="24" t="inlineStr">
        <is>
          <t>Inputs valid and consistent</t>
        </is>
      </c>
      <c r="D28" s="23" t="n"/>
      <c r="E28" s="9" t="n"/>
      <c r="F28" s="23" t="n"/>
      <c r="G28" s="31">
        <f>IF(inputs_ok,"OK","FAIL")</f>
        <v/>
      </c>
    </row>
    <row r="30" ht="22" customHeight="1">
      <c r="B30" s="20" t="inlineStr">
        <is>
          <t>Results</t>
        </is>
      </c>
      <c r="C30" s="21" t="n"/>
      <c r="D30" s="21" t="n"/>
      <c r="E30" s="21" t="n"/>
      <c r="F30" s="21" t="n"/>
      <c r="G30" s="21" t="n"/>
    </row>
    <row r="31" ht="26" customHeight="1">
      <c r="B31" s="32" t="n"/>
      <c r="C31" s="33" t="inlineStr">
        <is>
          <t>Peripheral tie  need / provided</t>
        </is>
      </c>
      <c r="D31" s="32" t="n"/>
      <c r="E31" s="34">
        <f>IF(inputs_ok,Aper_req/Aper_prov,"–")</f>
        <v/>
      </c>
      <c r="F31" s="35" t="inlineStr"/>
      <c r="G31" s="36">
        <f>IF(NOT(inputs_ok),"FAIL",IF(per_ok,"OK","FAIL"))</f>
        <v/>
      </c>
    </row>
    <row r="32" ht="26" customHeight="1">
      <c r="B32" s="32" t="n"/>
      <c r="C32" s="33" t="inlineStr">
        <is>
          <t>Internal ties  need / provided  (and spacing)</t>
        </is>
      </c>
      <c r="D32" s="32" t="n"/>
      <c r="E32" s="34">
        <f>IF(inputs_ok,MAX(Aint_req/Aint_prov,rt_si/simax_rt),"–")</f>
        <v/>
      </c>
      <c r="F32" s="35" t="inlineStr"/>
      <c r="G32" s="36">
        <f>IF(NOT(inputs_ok),"FAIL",IF(int_ok,"OK","FAIL"))</f>
        <v/>
      </c>
    </row>
    <row r="33" ht="26" customHeight="1">
      <c r="B33" s="32" t="n"/>
      <c r="C33" s="33" t="inlineStr">
        <is>
          <t>Tie to an external column  need / provided</t>
        </is>
      </c>
      <c r="D33" s="32" t="n"/>
      <c r="E33" s="34">
        <f>IF(inputs_ok,Acol_req/Acol_prov,"–")</f>
        <v/>
      </c>
      <c r="F33" s="35" t="inlineStr"/>
      <c r="G33" s="36">
        <f>IF(NOT(inputs_ok),"FAIL",IF(col_ok,"OK","FAIL"))</f>
        <v/>
      </c>
    </row>
    <row r="34" ht="26" customHeight="1">
      <c r="B34" s="32" t="n"/>
      <c r="C34" s="33" t="inlineStr">
        <is>
          <t>Tie forces  peripheral / internal / column</t>
        </is>
      </c>
      <c r="D34" s="32" t="n"/>
      <c r="E34" s="37">
        <f>IF(inputs_ok,TEXT(Fper_rt,"0")&amp;" kN / "&amp;TEXT(Fint_rt,"0.0")&amp;" kN/m / "&amp;TEXT(Fcol_rt,"0")&amp;" kN","–")</f>
        <v/>
      </c>
      <c r="F34" s="35" t="inlineStr"/>
      <c r="G34" s="32" t="n"/>
    </row>
    <row r="35"/>
    <row r="36">
      <c r="B36" s="38" t="inlineStr">
        <is>
          <t>Your floor, plan  ·  peripheral tie (red), internal ties spread at their spacing in both directions (blue, first bay only), columns; bays of lr</t>
        </is>
      </c>
    </row>
    <row r="37"/>
    <row r="38"/>
    <row r="39"/>
    <row r="40"/>
    <row r="41"/>
    <row r="42"/>
    <row r="43"/>
    <row r="44"/>
    <row r="45"/>
    <row r="46"/>
    <row r="47"/>
    <row r="48"/>
    <row r="49"/>
    <row r="50"/>
    <row r="51"/>
    <row r="52"/>
    <row r="53"/>
    <row r="54"/>
    <row r="55"/>
    <row r="56"/>
    <row r="57" ht="22" customHeight="1">
      <c r="B57" s="20" t="inlineStr">
        <is>
          <t>Calculation  ·  tie forces</t>
        </is>
      </c>
      <c r="C57" s="21" t="n"/>
      <c r="D57" s="21" t="n"/>
      <c r="E57" s="21" t="n"/>
      <c r="F57" s="21" t="n"/>
      <c r="G57" s="21" t="n"/>
    </row>
    <row r="58" ht="17" customHeight="1">
      <c r="B58" s="26" t="inlineStr">
        <is>
          <t>UK NA 9.10.2</t>
        </is>
      </c>
      <c r="C58" s="24" t="inlineStr">
        <is>
          <t>Ft = 20 + 4 n0 ≤ 60  (UK)</t>
        </is>
      </c>
      <c r="D58" s="27" t="inlineStr">
        <is>
          <r>
            <rPr>
              <rFont val="Calibri"/>
              <i val="1"/>
              <color rgb="002B2B2B"/>
              <sz val="10"/>
            </rPr>
            <t>F</t>
          </r>
          <r>
            <rPr>
              <rFont val="Calibri"/>
              <i val="1"/>
              <color rgb="002B2B2B"/>
              <sz val="10"/>
              <vertAlign val="subscript"/>
            </rPr>
            <t>t</t>
          </r>
        </is>
      </c>
      <c r="E58" s="39">
        <f>IF(inputs_ok,MIN(60,20+4*rt_n0),NA())</f>
        <v/>
      </c>
      <c r="F58" s="28" t="inlineStr">
        <is>
          <t>kN</t>
        </is>
      </c>
      <c r="G58" s="23" t="n"/>
    </row>
    <row r="59" ht="17" customHeight="1">
      <c r="B59" s="26" t="inlineStr">
        <is>
          <t>(9.15) AC:2010</t>
        </is>
      </c>
      <c r="C59" s="24" t="inlineStr">
        <is>
          <t>Peripheral  l1 q1 ≥ Q2:  UK max((20 + 4 n0) l1; 60);  PL max(10 l1; 70)</t>
        </is>
      </c>
      <c r="D59" s="27" t="inlineStr">
        <is>
          <r>
            <rPr>
              <rFont val="Calibri"/>
              <i val="1"/>
              <color rgb="002B2B2B"/>
              <sz val="10"/>
            </rPr>
            <t>F</t>
          </r>
          <r>
            <rPr>
              <rFont val="Calibri"/>
              <i val="1"/>
              <color rgb="002B2B2B"/>
              <sz val="10"/>
              <vertAlign val="subscript"/>
            </rPr>
            <t>tie,per</t>
          </r>
        </is>
      </c>
      <c r="E59" s="40">
        <f>IF(inputs_ok,IF(rt_uk,MAX((20+4*rt_n0)*rt_l1,60),MAX(10*rt_l1,70)),NA())</f>
        <v/>
      </c>
      <c r="F59" s="28" t="inlineStr">
        <is>
          <t>kN</t>
        </is>
      </c>
      <c r="G59" s="23" t="n"/>
    </row>
    <row r="60" ht="17" customHeight="1">
      <c r="B60" s="26" t="inlineStr">
        <is>
          <t>9.10.2.3(3)</t>
        </is>
      </c>
      <c r="C60" s="24" t="inlineStr">
        <is>
          <t>Internal  UK max([(gk + qk)/7.5](lr/5) Ft; Ft);  PL 20</t>
        </is>
      </c>
      <c r="D60" s="27" t="inlineStr">
        <is>
          <r>
            <rPr>
              <rFont val="Calibri"/>
              <i val="1"/>
              <color rgb="002B2B2B"/>
              <sz val="10"/>
            </rPr>
            <t>F</t>
          </r>
          <r>
            <rPr>
              <rFont val="Calibri"/>
              <i val="1"/>
              <color rgb="002B2B2B"/>
              <sz val="10"/>
              <vertAlign val="subscript"/>
            </rPr>
            <t>tie,int</t>
          </r>
        </is>
      </c>
      <c r="E60" s="41">
        <f>IF(inputs_ok,IF(rt_uk,MAX(rt_gq/7.5*rt_lr/5*Ft_rt,Ft_rt),20),NA())</f>
        <v/>
      </c>
      <c r="F60" s="28" t="inlineStr">
        <is>
          <t>kN/m</t>
        </is>
      </c>
      <c r="G60" s="23" t="n"/>
    </row>
    <row r="61" ht="17" customHeight="1">
      <c r="B61" s="26" t="inlineStr">
        <is>
          <t>9.10.2.3</t>
        </is>
      </c>
      <c r="C61" s="24" t="inlineStr">
        <is>
          <t>Largest spacing of internal ties  (UK 1.5 lr)</t>
        </is>
      </c>
      <c r="D61" s="27" t="inlineStr">
        <is>
          <r>
            <rPr>
              <rFont val="Calibri"/>
              <i val="1"/>
              <color rgb="002B2B2B"/>
              <sz val="10"/>
            </rPr>
            <t>s</t>
          </r>
          <r>
            <rPr>
              <rFont val="Calibri"/>
              <i val="1"/>
              <color rgb="002B2B2B"/>
              <sz val="10"/>
              <vertAlign val="subscript"/>
            </rPr>
            <t>max</t>
          </r>
        </is>
      </c>
      <c r="E61" s="42">
        <f>IF(inputs_ok,IF(rt_uk,1500*rt_lr,1E9),NA())</f>
        <v/>
      </c>
      <c r="F61" s="28" t="inlineStr">
        <is>
          <t>mm</t>
        </is>
      </c>
      <c r="G61" s="23" t="n"/>
    </row>
    <row r="62" ht="17" customHeight="1">
      <c r="B62" s="26" t="inlineStr">
        <is>
          <t>9.10.2.4(2)</t>
        </is>
      </c>
      <c r="C62" s="24" t="inlineStr">
        <is>
          <t>Column  UK max(min(2 Ft; (ls/2.5) Ft); 0.03 NEd);  PL 150</t>
        </is>
      </c>
      <c r="D62" s="27" t="inlineStr">
        <is>
          <r>
            <rPr>
              <rFont val="Calibri"/>
              <i val="1"/>
              <color rgb="002B2B2B"/>
              <sz val="10"/>
            </rPr>
            <t>F</t>
          </r>
          <r>
            <rPr>
              <rFont val="Calibri"/>
              <i val="1"/>
              <color rgb="002B2B2B"/>
              <sz val="10"/>
              <vertAlign val="subscript"/>
            </rPr>
            <t>tie,col</t>
          </r>
        </is>
      </c>
      <c r="E62" s="40">
        <f>IF(inputs_ok,IF(rt_uk,MAX(MIN(2*Ft_rt,rt_ls/2.5*Ft_rt),0.03*rt_N),150),NA())</f>
        <v/>
      </c>
      <c r="F62" s="28" t="inlineStr">
        <is>
          <t>kN</t>
        </is>
      </c>
      <c r="G62" s="23" t="n"/>
    </row>
    <row r="63"/>
    <row r="64" ht="22" customHeight="1">
      <c r="B64" s="20" t="inlineStr">
        <is>
          <t>Calculation  ·  steel at fyk  (accidental, γs = 1.0)</t>
        </is>
      </c>
      <c r="C64" s="21" t="n"/>
      <c r="D64" s="21" t="n"/>
      <c r="E64" s="21" t="n"/>
      <c r="F64" s="21" t="n"/>
      <c r="G64" s="21" t="n"/>
    </row>
    <row r="65" ht="17" customHeight="1">
      <c r="B65" s="23" t="n"/>
      <c r="C65" s="24" t="inlineStr">
        <is>
          <t>Peripheral  F / fyk</t>
        </is>
      </c>
      <c r="D65" s="27" t="inlineStr">
        <is>
          <r>
            <rPr>
              <rFont val="Calibri"/>
              <i val="1"/>
              <color rgb="002B2B2B"/>
              <sz val="10"/>
            </rPr>
            <t>A</t>
          </r>
          <r>
            <rPr>
              <rFont val="Calibri"/>
              <i val="1"/>
              <color rgb="002B2B2B"/>
              <sz val="10"/>
              <vertAlign val="subscript"/>
            </rPr>
            <t>per</t>
          </r>
        </is>
      </c>
      <c r="E65" s="42">
        <f>IF(inputs_ok,Fper_rt*1000/f_yk,NA())</f>
        <v/>
      </c>
      <c r="F65" s="28" t="inlineStr">
        <is>
          <t>mm²</t>
        </is>
      </c>
      <c r="G65" s="23" t="n"/>
    </row>
    <row r="66" ht="17" customHeight="1">
      <c r="B66" s="23" t="n"/>
      <c r="C66" s="24" t="inlineStr">
        <is>
          <t>Provided  np π φp² / 4</t>
        </is>
      </c>
      <c r="D66" s="27" t="inlineStr">
        <is>
          <r>
            <rPr>
              <rFont val="Calibri"/>
              <i val="1"/>
              <color rgb="002B2B2B"/>
              <sz val="10"/>
            </rPr>
            <t>A</t>
          </r>
          <r>
            <rPr>
              <rFont val="Calibri"/>
              <i val="1"/>
              <color rgb="002B2B2B"/>
              <sz val="10"/>
              <vertAlign val="subscript"/>
            </rPr>
            <t>per,prov</t>
          </r>
        </is>
      </c>
      <c r="E66" s="42">
        <f>IF(inputs_ok,rt_np*PI()*rt_pp^2/4,NA())</f>
        <v/>
      </c>
      <c r="F66" s="28" t="inlineStr">
        <is>
          <t>mm²</t>
        </is>
      </c>
      <c r="G66" s="23" t="n"/>
    </row>
    <row r="67" ht="17" customHeight="1">
      <c r="B67" s="26" t="inlineStr">
        <is>
          <t>9.10.2.2</t>
        </is>
      </c>
      <c r="C67" s="24" t="inlineStr">
        <is>
          <t>Peripheral tie</t>
        </is>
      </c>
      <c r="D67" s="23" t="n"/>
      <c r="E67" s="42">
        <f>IF(inputs_ok,Aper_prov,NA())</f>
        <v/>
      </c>
      <c r="F67" s="28" t="inlineStr">
        <is>
          <t>mm²</t>
        </is>
      </c>
      <c r="G67" s="31">
        <f>IF(NOT(inputs_ok),"FAIL",IF(per_ok,"OK","FAIL"))</f>
        <v/>
      </c>
    </row>
    <row r="68" ht="17" customHeight="1">
      <c r="B68" s="23" t="n"/>
      <c r="C68" s="24" t="inlineStr">
        <is>
          <t>Internal  F / fyk  per metre</t>
        </is>
      </c>
      <c r="D68" s="27" t="inlineStr">
        <is>
          <r>
            <rPr>
              <rFont val="Calibri"/>
              <i val="1"/>
              <color rgb="002B2B2B"/>
              <sz val="10"/>
            </rPr>
            <t>A</t>
          </r>
          <r>
            <rPr>
              <rFont val="Calibri"/>
              <i val="1"/>
              <color rgb="002B2B2B"/>
              <sz val="10"/>
              <vertAlign val="subscript"/>
            </rPr>
            <t>int</t>
          </r>
        </is>
      </c>
      <c r="E68" s="42">
        <f>IF(inputs_ok,Fint_rt*1000/f_yk,NA())</f>
        <v/>
      </c>
      <c r="F68" s="28" t="inlineStr">
        <is>
          <t>mm²/m</t>
        </is>
      </c>
      <c r="G68" s="23" t="n"/>
    </row>
    <row r="69" ht="17" customHeight="1">
      <c r="B69" s="23" t="n"/>
      <c r="C69" s="24" t="inlineStr">
        <is>
          <t>Provided  π φi² / 4 · 1000 / si</t>
        </is>
      </c>
      <c r="D69" s="27" t="inlineStr">
        <is>
          <r>
            <rPr>
              <rFont val="Calibri"/>
              <i val="1"/>
              <color rgb="002B2B2B"/>
              <sz val="10"/>
            </rPr>
            <t>A</t>
          </r>
          <r>
            <rPr>
              <rFont val="Calibri"/>
              <i val="1"/>
              <color rgb="002B2B2B"/>
              <sz val="10"/>
              <vertAlign val="subscript"/>
            </rPr>
            <t>int,prov</t>
          </r>
        </is>
      </c>
      <c r="E69" s="42">
        <f>IF(inputs_ok,PI()*rt_pi^2/4*1000/rt_si,NA())</f>
        <v/>
      </c>
      <c r="F69" s="28" t="inlineStr">
        <is>
          <t>mm²/m</t>
        </is>
      </c>
      <c r="G69" s="23" t="n"/>
    </row>
    <row r="70" ht="17" customHeight="1">
      <c r="B70" s="26" t="inlineStr">
        <is>
          <t>9.10.2.3</t>
        </is>
      </c>
      <c r="C70" s="24" t="inlineStr">
        <is>
          <t>Internal ties and their spacing</t>
        </is>
      </c>
      <c r="D70" s="23" t="n"/>
      <c r="E70" s="42">
        <f>IF(inputs_ok,Aint_prov,NA())</f>
        <v/>
      </c>
      <c r="F70" s="28" t="inlineStr">
        <is>
          <t>mm²/m</t>
        </is>
      </c>
      <c r="G70" s="31">
        <f>IF(NOT(inputs_ok),"FAIL",IF(int_ok,"OK","FAIL"))</f>
        <v/>
      </c>
    </row>
    <row r="71" ht="17" customHeight="1">
      <c r="B71" s="23" t="n"/>
      <c r="C71" s="24" t="inlineStr">
        <is>
          <t>Column  F / fyk</t>
        </is>
      </c>
      <c r="D71" s="27" t="inlineStr">
        <is>
          <r>
            <rPr>
              <rFont val="Calibri"/>
              <i val="1"/>
              <color rgb="002B2B2B"/>
              <sz val="10"/>
            </rPr>
            <t>A</t>
          </r>
          <r>
            <rPr>
              <rFont val="Calibri"/>
              <i val="1"/>
              <color rgb="002B2B2B"/>
              <sz val="10"/>
              <vertAlign val="subscript"/>
            </rPr>
            <t>col</t>
          </r>
        </is>
      </c>
      <c r="E71" s="42">
        <f>IF(inputs_ok,Fcol_rt*1000/f_yk,NA())</f>
        <v/>
      </c>
      <c r="F71" s="28" t="inlineStr">
        <is>
          <t>mm²</t>
        </is>
      </c>
      <c r="G71" s="23" t="n"/>
    </row>
    <row r="72" ht="17" customHeight="1">
      <c r="B72" s="23" t="n"/>
      <c r="C72" s="24" t="inlineStr">
        <is>
          <t>Provided  nc π φc² / 4</t>
        </is>
      </c>
      <c r="D72" s="27" t="inlineStr">
        <is>
          <r>
            <rPr>
              <rFont val="Calibri"/>
              <i val="1"/>
              <color rgb="002B2B2B"/>
              <sz val="10"/>
            </rPr>
            <t>A</t>
          </r>
          <r>
            <rPr>
              <rFont val="Calibri"/>
              <i val="1"/>
              <color rgb="002B2B2B"/>
              <sz val="10"/>
              <vertAlign val="subscript"/>
            </rPr>
            <t>col,prov</t>
          </r>
        </is>
      </c>
      <c r="E72" s="42">
        <f>IF(inputs_ok,rt_nc*PI()*rt_pc^2/4,NA())</f>
        <v/>
      </c>
      <c r="F72" s="28" t="inlineStr">
        <is>
          <t>mm²</t>
        </is>
      </c>
      <c r="G72" s="23" t="n"/>
    </row>
    <row r="73" ht="17" customHeight="1">
      <c r="B73" s="26" t="inlineStr">
        <is>
          <t>9.10.2.4</t>
        </is>
      </c>
      <c r="C73" s="24" t="inlineStr">
        <is>
          <t>Tie to the column</t>
        </is>
      </c>
      <c r="D73" s="23" t="n"/>
      <c r="E73" s="42">
        <f>IF(inputs_ok,Acol_prov,NA())</f>
        <v/>
      </c>
      <c r="F73" s="28" t="inlineStr">
        <is>
          <t>mm²</t>
        </is>
      </c>
      <c r="G73" s="31">
        <f>IF(NOT(inputs_ok),"FAIL",IF(col_ok,"OK","FAIL"))</f>
        <v/>
      </c>
    </row>
    <row r="74" ht="29" customHeight="1">
      <c r="B74" s="43" t="inlineStr">
        <is>
          <t>Internal ties here are spread evenly in the slab at the spacing entered; ties grouped at beams need the force of their tributary width and are not checked. Corner columns are tied in both directions.</t>
        </is>
      </c>
    </row>
    <row r="75"/>
    <row r="76" ht="29" customHeight="1">
      <c r="B76" s="43" t="inlineStr">
        <is>
          <t>Prepared with NA Engineering calculation tools  ·  naengineering.uk  ·  adrian@naengineering.uk. Free for use by competent engineers; see the About sheet for scope and disclaimer.</t>
        </is>
      </c>
    </row>
  </sheetData>
  <sheetProtection selectLockedCells="0" selectUnlockedCells="0" sheet="1" objects="1" insertRows="1" insertHyperlinks="1" autoFilter="1" scenarios="0" formatColumns="0" deleteColumns="1" insertColumns="1" pivotTables="1" deleteRows="1" formatCells="1" formatRows="0" sort="1" password="AA0A"/>
  <mergeCells count="7">
    <mergeCell ref="E5:G5"/>
    <mergeCell ref="B76:G76"/>
    <mergeCell ref="B74:G74"/>
    <mergeCell ref="D2:G2"/>
    <mergeCell ref="E7:G7"/>
    <mergeCell ref="E6:G6"/>
    <mergeCell ref="C3:G3"/>
  </mergeCells>
  <conditionalFormatting sqref="G9:G77">
    <cfRule type="expression" priority="1" dxfId="0">
      <formula>G9="OK"</formula>
    </cfRule>
    <cfRule type="expression" priority="2" dxfId="1">
      <formula>G9="FAIL"</formula>
    </cfRule>
    <cfRule type="expression" priority="3" dxfId="2">
      <formula>LEFT(G9,1)="!"</formula>
    </cfRule>
  </conditionalFormatting>
  <dataValidations count="13">
    <dataValidation sqref="E11" showDropDown="0" showInputMessage="0" showErrorMessage="1" allowBlank="0" errorTitle="NA Engineering" error="Pick a value from the list." type="list" errorStyle="stop">
      <formula1>"UK NA (BS EN),PL NA (PN-EN)"</formula1>
    </dataValidation>
    <dataValidation sqref="E12" showDropDown="0" showInputMessage="0" showErrorMessage="1" allowBlank="0" errorTitle="NA Engineering" error="Pick a value from the list." type="list" errorStyle="stop">
      <formula1>"C20/25,C25/30,C28/35,C30/37,C32/40,C35/45,C40/50,C45/55,C50/60"</formula1>
    </dataValidation>
    <dataValidation sqref="E13" showDropDown="0" showInputMessage="0" showErrorMessage="1" allowBlank="0" errorTitle="NA Engineering" error="Enter a number greater than 0." type="decimal" errorStyle="stop" operator="greaterThan">
      <formula1>0</formula1>
    </dataValidation>
    <dataValidation sqref="E14" showDropDown="0" showInputMessage="0" showErrorMessage="1" allowBlank="0" errorTitle="NA Engineering" error="Enter a number greater than 0." type="decimal" errorStyle="stop" operator="greaterThan">
      <formula1>0</formula1>
    </dataValidation>
    <dataValidation sqref="E15" showDropDown="0" showInputMessage="0" showErrorMessage="1" allowBlank="0" errorTitle="NA Engineering" error="Enter a number greater than 0." type="decimal" errorStyle="stop" operator="greaterThan">
      <formula1>0</formula1>
    </dataValidation>
    <dataValidation sqref="E16" showDropDown="0" showInputMessage="0" showErrorMessage="1" allowBlank="0" errorTitle="NA Engineering" error="Enter a number greater than 0." type="decimal" errorStyle="stop" operator="greaterThan">
      <formula1>0</formula1>
    </dataValidation>
    <dataValidation sqref="E17" showDropDown="0" showInputMessage="0" showErrorMessage="1" allowBlank="0" errorTitle="NA Engineering" error="Enter a number greater than 0." type="decimal" errorStyle="stop" operator="greaterThan">
      <formula1>0</formula1>
    </dataValidation>
    <dataValidation sqref="E18" showDropDown="0" showInputMessage="0" showErrorMessage="1" allowBlank="0" errorTitle="NA Engineering" error="Enter a number greater than 0." type="decimal" errorStyle="stop" operator="greaterThan">
      <formula1>0</formula1>
    </dataValidation>
    <dataValidation sqref="E19" showDropDown="0" showInputMessage="0" showErrorMessage="1" allowBlank="0" errorTitle="NA Engineering" error="Enter a number greater than 0." type="decimal" errorStyle="stop" operator="greaterThan">
      <formula1>0</formula1>
    </dataValidation>
    <dataValidation sqref="E22" showDropDown="0" showInputMessage="0" showErrorMessage="1" allowBlank="0" errorTitle="NA Engineering" error="Enter a number greater than 0." type="decimal" errorStyle="stop" operator="greaterThan">
      <formula1>0</formula1>
    </dataValidation>
    <dataValidation sqref="E23 E24 E27" showDropDown="0" showInputMessage="0" showErrorMessage="1" allowBlank="0" errorTitle="NA Engineering" error="Pick a value from the list." type="list" errorStyle="stop">
      <formula1>"8,10,12,16,20,25,32,40"</formula1>
    </dataValidation>
    <dataValidation sqref="E25" showDropDown="0" showInputMessage="0" showErrorMessage="1" allowBlank="0" errorTitle="NA Engineering" error="Enter a number greater than 0." type="decimal" errorStyle="stop" operator="greaterThan">
      <formula1>0</formula1>
    </dataValidation>
    <dataValidation sqref="E26" showDropDown="0" showInputMessage="0" showErrorMessage="1" allowBlank="0" errorTitle="NA Engineering" error="Enter a number greater than 0." type="decimal" errorStyle="stop" operator="greaterThan">
      <formula1>0</formula1>
    </dataValidation>
  </dataValidations>
  <printOptions horizontalCentered="1"/>
  <pageMargins left="0.4" right="0.4" top="0.4" bottom="0.6" header="0.5" footer="0.5"/>
  <pageSetup orientation="portrait" paperSize="9" fitToHeight="0" fitToWidth="1"/>
  <headerFooter>
    <oddHeader/>
    <oddFooter>&amp;L&amp;7 &amp;K8A8A8ANA Engineering sp. z o.o.  ·  naengineering.uk  ·  adrian@naengineering.uk  ·  +48 505 844 422&amp;C&amp;7 &amp;K8A8A8A&amp;P / &amp;N&amp;R&amp;7 &amp;K8A8A8ANAE-RC-036  v1.0</oddFooter>
    <evenHeader/>
    <evenFooter/>
    <firstHeader/>
    <firstFooter/>
  </headerFooter>
  <rowBreaks count="1" manualBreakCount="1">
    <brk id="29" min="0" max="16383" man="1"/>
  </rowBreaks>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NV14"/>
  <sheetViews>
    <sheetView tabSelected="0" workbookViewId="0">
      <selection activeCell="A1" sqref="A1"/>
    </sheetView>
  </sheetViews>
  <sheetFormatPr baseColWidth="8" defaultRowHeight="15"/>
  <sheetData>
    <row r="1">
      <c r="A1" t="inlineStr">
        <is>
          <t>Coordinates for the live drawings (mm). Generated - do not edit.</t>
        </is>
      </c>
    </row>
    <row r="2">
      <c r="A2">
        <f>IF(inputs_ok,"","check the inputs")</f>
        <v/>
      </c>
      <c r="D2" t="inlineStr">
        <is>
          <t>edge</t>
        </is>
      </c>
      <c r="G2" t="inlineStr">
        <is>
          <t>peripheral tie</t>
        </is>
      </c>
      <c r="J2" t="inlineStr">
        <is>
          <t>internal tie y 0</t>
        </is>
      </c>
      <c r="M2" t="inlineStr">
        <is>
          <t>internal tie x 0</t>
        </is>
      </c>
      <c r="P2" t="inlineStr">
        <is>
          <t>internal tie y 1</t>
        </is>
      </c>
      <c r="S2" t="inlineStr">
        <is>
          <t>internal tie x 1</t>
        </is>
      </c>
      <c r="V2" t="inlineStr">
        <is>
          <t>internal tie y 2</t>
        </is>
      </c>
      <c r="Y2" t="inlineStr">
        <is>
          <t>internal tie x 2</t>
        </is>
      </c>
      <c r="AB2" t="inlineStr">
        <is>
          <t>internal tie y 3</t>
        </is>
      </c>
      <c r="AE2" t="inlineStr">
        <is>
          <t>internal tie x 3</t>
        </is>
      </c>
      <c r="AH2" t="inlineStr">
        <is>
          <t>internal tie y 4</t>
        </is>
      </c>
      <c r="AK2" t="inlineStr">
        <is>
          <t>internal tie x 4</t>
        </is>
      </c>
      <c r="AN2" t="inlineStr">
        <is>
          <t>internal tie y 5</t>
        </is>
      </c>
      <c r="AQ2" t="inlineStr">
        <is>
          <t>internal tie x 5</t>
        </is>
      </c>
      <c r="AT2" t="inlineStr">
        <is>
          <t>internal tie y 6</t>
        </is>
      </c>
      <c r="AW2" t="inlineStr">
        <is>
          <t>internal tie x 6</t>
        </is>
      </c>
      <c r="AZ2" t="inlineStr">
        <is>
          <t>internal tie y 7</t>
        </is>
      </c>
      <c r="BC2" t="inlineStr">
        <is>
          <t>internal tie x 7</t>
        </is>
      </c>
      <c r="BF2" t="inlineStr">
        <is>
          <t>internal tie y 8</t>
        </is>
      </c>
      <c r="BI2" t="inlineStr">
        <is>
          <t>internal tie x 8</t>
        </is>
      </c>
      <c r="BL2" t="inlineStr">
        <is>
          <t>internal tie y 9</t>
        </is>
      </c>
      <c r="BO2" t="inlineStr">
        <is>
          <t>internal tie x 9</t>
        </is>
      </c>
      <c r="BR2" t="inlineStr">
        <is>
          <t>internal tie y 10</t>
        </is>
      </c>
      <c r="BU2" t="inlineStr">
        <is>
          <t>internal tie x 10</t>
        </is>
      </c>
      <c r="BX2" t="inlineStr">
        <is>
          <t>internal tie y 11</t>
        </is>
      </c>
      <c r="CA2" t="inlineStr">
        <is>
          <t>internal tie x 11</t>
        </is>
      </c>
      <c r="CD2" t="inlineStr">
        <is>
          <t>internal tie y 12</t>
        </is>
      </c>
      <c r="CG2" t="inlineStr">
        <is>
          <t>internal tie x 12</t>
        </is>
      </c>
      <c r="CJ2" t="inlineStr">
        <is>
          <t>internal tie y 13</t>
        </is>
      </c>
      <c r="CM2" t="inlineStr">
        <is>
          <t>internal tie x 13</t>
        </is>
      </c>
      <c r="CP2" t="inlineStr">
        <is>
          <t>internal tie y 14</t>
        </is>
      </c>
      <c r="CS2" t="inlineStr">
        <is>
          <t>internal tie x 14</t>
        </is>
      </c>
      <c r="CV2" t="inlineStr">
        <is>
          <t>internal tie y 15</t>
        </is>
      </c>
      <c r="CY2" t="inlineStr">
        <is>
          <t>internal tie x 15</t>
        </is>
      </c>
      <c r="DB2" t="inlineStr">
        <is>
          <t>internal tie y 16</t>
        </is>
      </c>
      <c r="DE2" t="inlineStr">
        <is>
          <t>internal tie x 16</t>
        </is>
      </c>
      <c r="DH2" t="inlineStr">
        <is>
          <t>internal tie y 17</t>
        </is>
      </c>
      <c r="DK2" t="inlineStr">
        <is>
          <t>internal tie x 17</t>
        </is>
      </c>
      <c r="DN2" t="inlineStr">
        <is>
          <t>internal tie y 18</t>
        </is>
      </c>
      <c r="DQ2" t="inlineStr">
        <is>
          <t>internal tie x 18</t>
        </is>
      </c>
      <c r="DT2" t="inlineStr">
        <is>
          <t>internal tie y 19</t>
        </is>
      </c>
      <c r="DW2" t="inlineStr">
        <is>
          <t>internal tie x 19</t>
        </is>
      </c>
      <c r="DZ2" t="inlineStr">
        <is>
          <t>internal tie y 20</t>
        </is>
      </c>
      <c r="EC2" t="inlineStr">
        <is>
          <t>internal tie x 20</t>
        </is>
      </c>
      <c r="EF2" t="inlineStr">
        <is>
          <t>internal tie y 21</t>
        </is>
      </c>
      <c r="EI2" t="inlineStr">
        <is>
          <t>internal tie x 21</t>
        </is>
      </c>
      <c r="EL2" t="inlineStr">
        <is>
          <t>internal tie y 22</t>
        </is>
      </c>
      <c r="EO2" t="inlineStr">
        <is>
          <t>internal tie x 22</t>
        </is>
      </c>
      <c r="ER2" t="inlineStr">
        <is>
          <t>internal tie y 23</t>
        </is>
      </c>
      <c r="EU2" t="inlineStr">
        <is>
          <t>internal tie x 23</t>
        </is>
      </c>
      <c r="EX2" t="inlineStr">
        <is>
          <t>internal tie y 24</t>
        </is>
      </c>
      <c r="FA2" t="inlineStr">
        <is>
          <t>internal tie x 24</t>
        </is>
      </c>
      <c r="FD2" t="inlineStr">
        <is>
          <t>internal tie y 25</t>
        </is>
      </c>
      <c r="FG2" t="inlineStr">
        <is>
          <t>internal tie x 25</t>
        </is>
      </c>
      <c r="FJ2" t="inlineStr">
        <is>
          <t>internal tie y 26</t>
        </is>
      </c>
      <c r="FM2" t="inlineStr">
        <is>
          <t>internal tie x 26</t>
        </is>
      </c>
      <c r="FP2" t="inlineStr">
        <is>
          <t>internal tie y 27</t>
        </is>
      </c>
      <c r="FS2" t="inlineStr">
        <is>
          <t>internal tie x 27</t>
        </is>
      </c>
      <c r="FV2" t="inlineStr">
        <is>
          <t>internal tie y 28</t>
        </is>
      </c>
      <c r="FY2" t="inlineStr">
        <is>
          <t>internal tie x 28</t>
        </is>
      </c>
      <c r="GB2" t="inlineStr">
        <is>
          <t>internal tie y 29</t>
        </is>
      </c>
      <c r="GE2" t="inlineStr">
        <is>
          <t>internal tie x 29</t>
        </is>
      </c>
      <c r="GH2" t="inlineStr">
        <is>
          <t>internal tie y 30</t>
        </is>
      </c>
      <c r="GK2" t="inlineStr">
        <is>
          <t>internal tie x 30</t>
        </is>
      </c>
      <c r="GN2" t="inlineStr">
        <is>
          <t>internal tie y 31</t>
        </is>
      </c>
      <c r="GQ2" t="inlineStr">
        <is>
          <t>internal tie x 31</t>
        </is>
      </c>
      <c r="GT2" t="inlineStr">
        <is>
          <t>internal tie y 32</t>
        </is>
      </c>
      <c r="GW2" t="inlineStr">
        <is>
          <t>internal tie x 32</t>
        </is>
      </c>
      <c r="GZ2" t="inlineStr">
        <is>
          <t>internal tie y 33</t>
        </is>
      </c>
      <c r="HC2" t="inlineStr">
        <is>
          <t>internal tie x 33</t>
        </is>
      </c>
      <c r="HF2" t="inlineStr">
        <is>
          <t>internal tie y 34</t>
        </is>
      </c>
      <c r="HI2" t="inlineStr">
        <is>
          <t>internal tie x 34</t>
        </is>
      </c>
      <c r="HL2" t="inlineStr">
        <is>
          <t>internal tie y 35</t>
        </is>
      </c>
      <c r="HO2" t="inlineStr">
        <is>
          <t>internal tie x 35</t>
        </is>
      </c>
      <c r="HR2" t="inlineStr">
        <is>
          <t>internal tie y 36</t>
        </is>
      </c>
      <c r="HU2" t="inlineStr">
        <is>
          <t>internal tie x 36</t>
        </is>
      </c>
      <c r="HX2" t="inlineStr">
        <is>
          <t>internal tie y 37</t>
        </is>
      </c>
      <c r="IA2" t="inlineStr">
        <is>
          <t>internal tie x 37</t>
        </is>
      </c>
      <c r="ID2" t="inlineStr">
        <is>
          <t>internal tie y 38</t>
        </is>
      </c>
      <c r="IG2" t="inlineStr">
        <is>
          <t>internal tie x 38</t>
        </is>
      </c>
      <c r="IJ2" t="inlineStr">
        <is>
          <t>internal tie y 39</t>
        </is>
      </c>
      <c r="IM2" t="inlineStr">
        <is>
          <t>internal tie x 39</t>
        </is>
      </c>
      <c r="IP2" t="inlineStr">
        <is>
          <t>internal tie y 40</t>
        </is>
      </c>
      <c r="IS2" t="inlineStr">
        <is>
          <t>internal tie x 40</t>
        </is>
      </c>
      <c r="IV2" t="inlineStr">
        <is>
          <t>internal tie y 41</t>
        </is>
      </c>
      <c r="IY2" t="inlineStr">
        <is>
          <t>internal tie x 41</t>
        </is>
      </c>
      <c r="JB2" t="inlineStr">
        <is>
          <t>internal tie y 42</t>
        </is>
      </c>
      <c r="JE2" t="inlineStr">
        <is>
          <t>internal tie x 42</t>
        </is>
      </c>
      <c r="JH2" t="inlineStr">
        <is>
          <t>internal tie y 43</t>
        </is>
      </c>
      <c r="JK2" t="inlineStr">
        <is>
          <t>internal tie x 43</t>
        </is>
      </c>
      <c r="JN2" t="inlineStr">
        <is>
          <t>internal tie y 44</t>
        </is>
      </c>
      <c r="JQ2" t="inlineStr">
        <is>
          <t>internal tie x 44</t>
        </is>
      </c>
      <c r="JT2" t="inlineStr">
        <is>
          <t>internal tie y 45</t>
        </is>
      </c>
      <c r="JW2" t="inlineStr">
        <is>
          <t>internal tie x 45</t>
        </is>
      </c>
      <c r="JZ2" t="inlineStr">
        <is>
          <t>internal tie y 46</t>
        </is>
      </c>
      <c r="KC2" t="inlineStr">
        <is>
          <t>internal tie x 46</t>
        </is>
      </c>
      <c r="KF2" t="inlineStr">
        <is>
          <t>internal tie y 47</t>
        </is>
      </c>
      <c r="KI2" t="inlineStr">
        <is>
          <t>internal tie x 47</t>
        </is>
      </c>
      <c r="KL2" t="inlineStr">
        <is>
          <t>internal tie y 48</t>
        </is>
      </c>
      <c r="KO2" t="inlineStr">
        <is>
          <t>internal tie x 48</t>
        </is>
      </c>
      <c r="KR2" t="inlineStr">
        <is>
          <t>internal tie y 49</t>
        </is>
      </c>
      <c r="KU2" t="inlineStr">
        <is>
          <t>internal tie x 49</t>
        </is>
      </c>
      <c r="KX2" t="inlineStr">
        <is>
          <t>internal tie y 50</t>
        </is>
      </c>
      <c r="LA2" t="inlineStr">
        <is>
          <t>internal tie x 50</t>
        </is>
      </c>
      <c r="LD2" t="inlineStr">
        <is>
          <t>internal tie y 51</t>
        </is>
      </c>
      <c r="LG2" t="inlineStr">
        <is>
          <t>internal tie x 51</t>
        </is>
      </c>
      <c r="LJ2" t="inlineStr">
        <is>
          <t>internal tie y 52</t>
        </is>
      </c>
      <c r="LM2" t="inlineStr">
        <is>
          <t>internal tie x 52</t>
        </is>
      </c>
      <c r="LP2" t="inlineStr">
        <is>
          <t>internal tie y 53</t>
        </is>
      </c>
      <c r="LS2" t="inlineStr">
        <is>
          <t>internal tie x 53</t>
        </is>
      </c>
      <c r="LV2" t="inlineStr">
        <is>
          <t>internal tie y 54</t>
        </is>
      </c>
      <c r="LY2" t="inlineStr">
        <is>
          <t>internal tie x 54</t>
        </is>
      </c>
      <c r="MB2" t="inlineStr">
        <is>
          <t>internal tie y 55</t>
        </is>
      </c>
      <c r="ME2" t="inlineStr">
        <is>
          <t>internal tie x 55</t>
        </is>
      </c>
      <c r="MH2" t="inlineStr">
        <is>
          <t>internal tie y 56</t>
        </is>
      </c>
      <c r="MK2" t="inlineStr">
        <is>
          <t>internal tie x 56</t>
        </is>
      </c>
      <c r="MN2" t="inlineStr">
        <is>
          <t>internal tie y 57</t>
        </is>
      </c>
      <c r="MQ2" t="inlineStr">
        <is>
          <t>internal tie x 57</t>
        </is>
      </c>
      <c r="MT2" t="inlineStr">
        <is>
          <t>internal tie y 58</t>
        </is>
      </c>
      <c r="MW2" t="inlineStr">
        <is>
          <t>internal tie x 58</t>
        </is>
      </c>
      <c r="MZ2" t="inlineStr">
        <is>
          <t>internal tie y 59</t>
        </is>
      </c>
      <c r="NC2" t="inlineStr">
        <is>
          <t>internal tie x 59</t>
        </is>
      </c>
      <c r="NF2" t="inlineStr">
        <is>
          <t>columns</t>
        </is>
      </c>
      <c r="NI2" t="inlineStr">
        <is>
          <t>dim</t>
        </is>
      </c>
      <c r="NL2">
        <f>IF(inputs_ok,"l_r "&amp;TEXT(rt_lr,"0"),"")</f>
        <v/>
      </c>
      <c r="NO2">
        <f>IF(inputs_ok,"peripheral "&amp;TEXT(Fper_rt,"0")&amp;" kN","")</f>
        <v/>
      </c>
      <c r="NR2">
        <f>IF(inputs_ok,"internal "&amp;TEXT(Fint_rt,"0")&amp;" kN/m","")</f>
        <v/>
      </c>
      <c r="NU2" t="inlineStr">
        <is>
          <t>frame</t>
        </is>
      </c>
    </row>
    <row r="3">
      <c r="A3">
        <f>0</f>
        <v/>
      </c>
      <c r="B3">
        <f>0</f>
        <v/>
      </c>
      <c r="D3">
        <f>IF(inputs_ok,-0.06*rt_lr,NA())</f>
        <v/>
      </c>
      <c r="E3">
        <f>-0.06*rt_lr</f>
        <v/>
      </c>
      <c r="G3">
        <f>IF(inputs_ok,-0.03*rt_lr,NA())</f>
        <v/>
      </c>
      <c r="H3">
        <f>-0.03*rt_lr</f>
        <v/>
      </c>
      <c r="J3">
        <f>IF(inputs_ok,IF((0+0.5)*rt_si/1000&lt;rt_lr,(0+0.5)*rt_si/1000,NA()),NA())</f>
        <v/>
      </c>
      <c r="K3">
        <f>IF((0+0.5)*rt_si/1000&lt;rt_lr,-0.03*rt_lr,NA())</f>
        <v/>
      </c>
      <c r="M3">
        <f>IF(inputs_ok,IF((0+0.5)*rt_si/1000&lt;rt_lr,-0.03*rt_lr,NA()),NA())</f>
        <v/>
      </c>
      <c r="N3">
        <f>IF((0+0.5)*rt_si/1000&lt;rt_lr,(0+0.5)*rt_si/1000,NA())</f>
        <v/>
      </c>
      <c r="P3">
        <f>IF(inputs_ok,IF((1+0.5)*rt_si/1000&lt;rt_lr,(1+0.5)*rt_si/1000,NA()),NA())</f>
        <v/>
      </c>
      <c r="Q3">
        <f>IF((1+0.5)*rt_si/1000&lt;rt_lr,-0.03*rt_lr,NA())</f>
        <v/>
      </c>
      <c r="S3">
        <f>IF(inputs_ok,IF((1+0.5)*rt_si/1000&lt;rt_lr,-0.03*rt_lr,NA()),NA())</f>
        <v/>
      </c>
      <c r="T3">
        <f>IF((1+0.5)*rt_si/1000&lt;rt_lr,(1+0.5)*rt_si/1000,NA())</f>
        <v/>
      </c>
      <c r="V3">
        <f>IF(inputs_ok,IF((2+0.5)*rt_si/1000&lt;rt_lr,(2+0.5)*rt_si/1000,NA()),NA())</f>
        <v/>
      </c>
      <c r="W3">
        <f>IF((2+0.5)*rt_si/1000&lt;rt_lr,-0.03*rt_lr,NA())</f>
        <v/>
      </c>
      <c r="Y3">
        <f>IF(inputs_ok,IF((2+0.5)*rt_si/1000&lt;rt_lr,-0.03*rt_lr,NA()),NA())</f>
        <v/>
      </c>
      <c r="Z3">
        <f>IF((2+0.5)*rt_si/1000&lt;rt_lr,(2+0.5)*rt_si/1000,NA())</f>
        <v/>
      </c>
      <c r="AB3">
        <f>IF(inputs_ok,IF((3+0.5)*rt_si/1000&lt;rt_lr,(3+0.5)*rt_si/1000,NA()),NA())</f>
        <v/>
      </c>
      <c r="AC3">
        <f>IF((3+0.5)*rt_si/1000&lt;rt_lr,-0.03*rt_lr,NA())</f>
        <v/>
      </c>
      <c r="AE3">
        <f>IF(inputs_ok,IF((3+0.5)*rt_si/1000&lt;rt_lr,-0.03*rt_lr,NA()),NA())</f>
        <v/>
      </c>
      <c r="AF3">
        <f>IF((3+0.5)*rt_si/1000&lt;rt_lr,(3+0.5)*rt_si/1000,NA())</f>
        <v/>
      </c>
      <c r="AH3">
        <f>IF(inputs_ok,IF((4+0.5)*rt_si/1000&lt;rt_lr,(4+0.5)*rt_si/1000,NA()),NA())</f>
        <v/>
      </c>
      <c r="AI3">
        <f>IF((4+0.5)*rt_si/1000&lt;rt_lr,-0.03*rt_lr,NA())</f>
        <v/>
      </c>
      <c r="AK3">
        <f>IF(inputs_ok,IF((4+0.5)*rt_si/1000&lt;rt_lr,-0.03*rt_lr,NA()),NA())</f>
        <v/>
      </c>
      <c r="AL3">
        <f>IF((4+0.5)*rt_si/1000&lt;rt_lr,(4+0.5)*rt_si/1000,NA())</f>
        <v/>
      </c>
      <c r="AN3">
        <f>IF(inputs_ok,IF((5+0.5)*rt_si/1000&lt;rt_lr,(5+0.5)*rt_si/1000,NA()),NA())</f>
        <v/>
      </c>
      <c r="AO3">
        <f>IF((5+0.5)*rt_si/1000&lt;rt_lr,-0.03*rt_lr,NA())</f>
        <v/>
      </c>
      <c r="AQ3">
        <f>IF(inputs_ok,IF((5+0.5)*rt_si/1000&lt;rt_lr,-0.03*rt_lr,NA()),NA())</f>
        <v/>
      </c>
      <c r="AR3">
        <f>IF((5+0.5)*rt_si/1000&lt;rt_lr,(5+0.5)*rt_si/1000,NA())</f>
        <v/>
      </c>
      <c r="AT3">
        <f>IF(inputs_ok,IF((6+0.5)*rt_si/1000&lt;rt_lr,(6+0.5)*rt_si/1000,NA()),NA())</f>
        <v/>
      </c>
      <c r="AU3">
        <f>IF((6+0.5)*rt_si/1000&lt;rt_lr,-0.03*rt_lr,NA())</f>
        <v/>
      </c>
      <c r="AW3">
        <f>IF(inputs_ok,IF((6+0.5)*rt_si/1000&lt;rt_lr,-0.03*rt_lr,NA()),NA())</f>
        <v/>
      </c>
      <c r="AX3">
        <f>IF((6+0.5)*rt_si/1000&lt;rt_lr,(6+0.5)*rt_si/1000,NA())</f>
        <v/>
      </c>
      <c r="AZ3">
        <f>IF(inputs_ok,IF((7+0.5)*rt_si/1000&lt;rt_lr,(7+0.5)*rt_si/1000,NA()),NA())</f>
        <v/>
      </c>
      <c r="BA3">
        <f>IF((7+0.5)*rt_si/1000&lt;rt_lr,-0.03*rt_lr,NA())</f>
        <v/>
      </c>
      <c r="BC3">
        <f>IF(inputs_ok,IF((7+0.5)*rt_si/1000&lt;rt_lr,-0.03*rt_lr,NA()),NA())</f>
        <v/>
      </c>
      <c r="BD3">
        <f>IF((7+0.5)*rt_si/1000&lt;rt_lr,(7+0.5)*rt_si/1000,NA())</f>
        <v/>
      </c>
      <c r="BF3">
        <f>IF(inputs_ok,IF((8+0.5)*rt_si/1000&lt;rt_lr,(8+0.5)*rt_si/1000,NA()),NA())</f>
        <v/>
      </c>
      <c r="BG3">
        <f>IF((8+0.5)*rt_si/1000&lt;rt_lr,-0.03*rt_lr,NA())</f>
        <v/>
      </c>
      <c r="BI3">
        <f>IF(inputs_ok,IF((8+0.5)*rt_si/1000&lt;rt_lr,-0.03*rt_lr,NA()),NA())</f>
        <v/>
      </c>
      <c r="BJ3">
        <f>IF((8+0.5)*rt_si/1000&lt;rt_lr,(8+0.5)*rt_si/1000,NA())</f>
        <v/>
      </c>
      <c r="BL3">
        <f>IF(inputs_ok,IF((9+0.5)*rt_si/1000&lt;rt_lr,(9+0.5)*rt_si/1000,NA()),NA())</f>
        <v/>
      </c>
      <c r="BM3">
        <f>IF((9+0.5)*rt_si/1000&lt;rt_lr,-0.03*rt_lr,NA())</f>
        <v/>
      </c>
      <c r="BO3">
        <f>IF(inputs_ok,IF((9+0.5)*rt_si/1000&lt;rt_lr,-0.03*rt_lr,NA()),NA())</f>
        <v/>
      </c>
      <c r="BP3">
        <f>IF((9+0.5)*rt_si/1000&lt;rt_lr,(9+0.5)*rt_si/1000,NA())</f>
        <v/>
      </c>
      <c r="BR3">
        <f>IF(inputs_ok,IF((10+0.5)*rt_si/1000&lt;rt_lr,(10+0.5)*rt_si/1000,NA()),NA())</f>
        <v/>
      </c>
      <c r="BS3">
        <f>IF((10+0.5)*rt_si/1000&lt;rt_lr,-0.03*rt_lr,NA())</f>
        <v/>
      </c>
      <c r="BU3">
        <f>IF(inputs_ok,IF((10+0.5)*rt_si/1000&lt;rt_lr,-0.03*rt_lr,NA()),NA())</f>
        <v/>
      </c>
      <c r="BV3">
        <f>IF((10+0.5)*rt_si/1000&lt;rt_lr,(10+0.5)*rt_si/1000,NA())</f>
        <v/>
      </c>
      <c r="BX3">
        <f>IF(inputs_ok,IF((11+0.5)*rt_si/1000&lt;rt_lr,(11+0.5)*rt_si/1000,NA()),NA())</f>
        <v/>
      </c>
      <c r="BY3">
        <f>IF((11+0.5)*rt_si/1000&lt;rt_lr,-0.03*rt_lr,NA())</f>
        <v/>
      </c>
      <c r="CA3">
        <f>IF(inputs_ok,IF((11+0.5)*rt_si/1000&lt;rt_lr,-0.03*rt_lr,NA()),NA())</f>
        <v/>
      </c>
      <c r="CB3">
        <f>IF((11+0.5)*rt_si/1000&lt;rt_lr,(11+0.5)*rt_si/1000,NA())</f>
        <v/>
      </c>
      <c r="CD3">
        <f>IF(inputs_ok,IF((12+0.5)*rt_si/1000&lt;rt_lr,(12+0.5)*rt_si/1000,NA()),NA())</f>
        <v/>
      </c>
      <c r="CE3">
        <f>IF((12+0.5)*rt_si/1000&lt;rt_lr,-0.03*rt_lr,NA())</f>
        <v/>
      </c>
      <c r="CG3">
        <f>IF(inputs_ok,IF((12+0.5)*rt_si/1000&lt;rt_lr,-0.03*rt_lr,NA()),NA())</f>
        <v/>
      </c>
      <c r="CH3">
        <f>IF((12+0.5)*rt_si/1000&lt;rt_lr,(12+0.5)*rt_si/1000,NA())</f>
        <v/>
      </c>
      <c r="CJ3">
        <f>IF(inputs_ok,IF((13+0.5)*rt_si/1000&lt;rt_lr,(13+0.5)*rt_si/1000,NA()),NA())</f>
        <v/>
      </c>
      <c r="CK3">
        <f>IF((13+0.5)*rt_si/1000&lt;rt_lr,-0.03*rt_lr,NA())</f>
        <v/>
      </c>
      <c r="CM3">
        <f>IF(inputs_ok,IF((13+0.5)*rt_si/1000&lt;rt_lr,-0.03*rt_lr,NA()),NA())</f>
        <v/>
      </c>
      <c r="CN3">
        <f>IF((13+0.5)*rt_si/1000&lt;rt_lr,(13+0.5)*rt_si/1000,NA())</f>
        <v/>
      </c>
      <c r="CP3">
        <f>IF(inputs_ok,IF((14+0.5)*rt_si/1000&lt;rt_lr,(14+0.5)*rt_si/1000,NA()),NA())</f>
        <v/>
      </c>
      <c r="CQ3">
        <f>IF((14+0.5)*rt_si/1000&lt;rt_lr,-0.03*rt_lr,NA())</f>
        <v/>
      </c>
      <c r="CS3">
        <f>IF(inputs_ok,IF((14+0.5)*rt_si/1000&lt;rt_lr,-0.03*rt_lr,NA()),NA())</f>
        <v/>
      </c>
      <c r="CT3">
        <f>IF((14+0.5)*rt_si/1000&lt;rt_lr,(14+0.5)*rt_si/1000,NA())</f>
        <v/>
      </c>
      <c r="CV3">
        <f>IF(inputs_ok,IF((15+0.5)*rt_si/1000&lt;rt_lr,(15+0.5)*rt_si/1000,NA()),NA())</f>
        <v/>
      </c>
      <c r="CW3">
        <f>IF((15+0.5)*rt_si/1000&lt;rt_lr,-0.03*rt_lr,NA())</f>
        <v/>
      </c>
      <c r="CY3">
        <f>IF(inputs_ok,IF((15+0.5)*rt_si/1000&lt;rt_lr,-0.03*rt_lr,NA()),NA())</f>
        <v/>
      </c>
      <c r="CZ3">
        <f>IF((15+0.5)*rt_si/1000&lt;rt_lr,(15+0.5)*rt_si/1000,NA())</f>
        <v/>
      </c>
      <c r="DB3">
        <f>IF(inputs_ok,IF((16+0.5)*rt_si/1000&lt;rt_lr,(16+0.5)*rt_si/1000,NA()),NA())</f>
        <v/>
      </c>
      <c r="DC3">
        <f>IF((16+0.5)*rt_si/1000&lt;rt_lr,-0.03*rt_lr,NA())</f>
        <v/>
      </c>
      <c r="DE3">
        <f>IF(inputs_ok,IF((16+0.5)*rt_si/1000&lt;rt_lr,-0.03*rt_lr,NA()),NA())</f>
        <v/>
      </c>
      <c r="DF3">
        <f>IF((16+0.5)*rt_si/1000&lt;rt_lr,(16+0.5)*rt_si/1000,NA())</f>
        <v/>
      </c>
      <c r="DH3">
        <f>IF(inputs_ok,IF((17+0.5)*rt_si/1000&lt;rt_lr,(17+0.5)*rt_si/1000,NA()),NA())</f>
        <v/>
      </c>
      <c r="DI3">
        <f>IF((17+0.5)*rt_si/1000&lt;rt_lr,-0.03*rt_lr,NA())</f>
        <v/>
      </c>
      <c r="DK3">
        <f>IF(inputs_ok,IF((17+0.5)*rt_si/1000&lt;rt_lr,-0.03*rt_lr,NA()),NA())</f>
        <v/>
      </c>
      <c r="DL3">
        <f>IF((17+0.5)*rt_si/1000&lt;rt_lr,(17+0.5)*rt_si/1000,NA())</f>
        <v/>
      </c>
      <c r="DN3">
        <f>IF(inputs_ok,IF((18+0.5)*rt_si/1000&lt;rt_lr,(18+0.5)*rt_si/1000,NA()),NA())</f>
        <v/>
      </c>
      <c r="DO3">
        <f>IF((18+0.5)*rt_si/1000&lt;rt_lr,-0.03*rt_lr,NA())</f>
        <v/>
      </c>
      <c r="DQ3">
        <f>IF(inputs_ok,IF((18+0.5)*rt_si/1000&lt;rt_lr,-0.03*rt_lr,NA()),NA())</f>
        <v/>
      </c>
      <c r="DR3">
        <f>IF((18+0.5)*rt_si/1000&lt;rt_lr,(18+0.5)*rt_si/1000,NA())</f>
        <v/>
      </c>
      <c r="DT3">
        <f>IF(inputs_ok,IF((19+0.5)*rt_si/1000&lt;rt_lr,(19+0.5)*rt_si/1000,NA()),NA())</f>
        <v/>
      </c>
      <c r="DU3">
        <f>IF((19+0.5)*rt_si/1000&lt;rt_lr,-0.03*rt_lr,NA())</f>
        <v/>
      </c>
      <c r="DW3">
        <f>IF(inputs_ok,IF((19+0.5)*rt_si/1000&lt;rt_lr,-0.03*rt_lr,NA()),NA())</f>
        <v/>
      </c>
      <c r="DX3">
        <f>IF((19+0.5)*rt_si/1000&lt;rt_lr,(19+0.5)*rt_si/1000,NA())</f>
        <v/>
      </c>
      <c r="DZ3">
        <f>IF(inputs_ok,IF((20+0.5)*rt_si/1000&lt;rt_lr,(20+0.5)*rt_si/1000,NA()),NA())</f>
        <v/>
      </c>
      <c r="EA3">
        <f>IF((20+0.5)*rt_si/1000&lt;rt_lr,-0.03*rt_lr,NA())</f>
        <v/>
      </c>
      <c r="EC3">
        <f>IF(inputs_ok,IF((20+0.5)*rt_si/1000&lt;rt_lr,-0.03*rt_lr,NA()),NA())</f>
        <v/>
      </c>
      <c r="ED3">
        <f>IF((20+0.5)*rt_si/1000&lt;rt_lr,(20+0.5)*rt_si/1000,NA())</f>
        <v/>
      </c>
      <c r="EF3">
        <f>IF(inputs_ok,IF((21+0.5)*rt_si/1000&lt;rt_lr,(21+0.5)*rt_si/1000,NA()),NA())</f>
        <v/>
      </c>
      <c r="EG3">
        <f>IF((21+0.5)*rt_si/1000&lt;rt_lr,-0.03*rt_lr,NA())</f>
        <v/>
      </c>
      <c r="EI3">
        <f>IF(inputs_ok,IF((21+0.5)*rt_si/1000&lt;rt_lr,-0.03*rt_lr,NA()),NA())</f>
        <v/>
      </c>
      <c r="EJ3">
        <f>IF((21+0.5)*rt_si/1000&lt;rt_lr,(21+0.5)*rt_si/1000,NA())</f>
        <v/>
      </c>
      <c r="EL3">
        <f>IF(inputs_ok,IF((22+0.5)*rt_si/1000&lt;rt_lr,(22+0.5)*rt_si/1000,NA()),NA())</f>
        <v/>
      </c>
      <c r="EM3">
        <f>IF((22+0.5)*rt_si/1000&lt;rt_lr,-0.03*rt_lr,NA())</f>
        <v/>
      </c>
      <c r="EO3">
        <f>IF(inputs_ok,IF((22+0.5)*rt_si/1000&lt;rt_lr,-0.03*rt_lr,NA()),NA())</f>
        <v/>
      </c>
      <c r="EP3">
        <f>IF((22+0.5)*rt_si/1000&lt;rt_lr,(22+0.5)*rt_si/1000,NA())</f>
        <v/>
      </c>
      <c r="ER3">
        <f>IF(inputs_ok,IF((23+0.5)*rt_si/1000&lt;rt_lr,(23+0.5)*rt_si/1000,NA()),NA())</f>
        <v/>
      </c>
      <c r="ES3">
        <f>IF((23+0.5)*rt_si/1000&lt;rt_lr,-0.03*rt_lr,NA())</f>
        <v/>
      </c>
      <c r="EU3">
        <f>IF(inputs_ok,IF((23+0.5)*rt_si/1000&lt;rt_lr,-0.03*rt_lr,NA()),NA())</f>
        <v/>
      </c>
      <c r="EV3">
        <f>IF((23+0.5)*rt_si/1000&lt;rt_lr,(23+0.5)*rt_si/1000,NA())</f>
        <v/>
      </c>
      <c r="EX3">
        <f>IF(inputs_ok,IF((24+0.5)*rt_si/1000&lt;rt_lr,(24+0.5)*rt_si/1000,NA()),NA())</f>
        <v/>
      </c>
      <c r="EY3">
        <f>IF((24+0.5)*rt_si/1000&lt;rt_lr,-0.03*rt_lr,NA())</f>
        <v/>
      </c>
      <c r="FA3">
        <f>IF(inputs_ok,IF((24+0.5)*rt_si/1000&lt;rt_lr,-0.03*rt_lr,NA()),NA())</f>
        <v/>
      </c>
      <c r="FB3">
        <f>IF((24+0.5)*rt_si/1000&lt;rt_lr,(24+0.5)*rt_si/1000,NA())</f>
        <v/>
      </c>
      <c r="FD3">
        <f>IF(inputs_ok,IF((25+0.5)*rt_si/1000&lt;rt_lr,(25+0.5)*rt_si/1000,NA()),NA())</f>
        <v/>
      </c>
      <c r="FE3">
        <f>IF((25+0.5)*rt_si/1000&lt;rt_lr,-0.03*rt_lr,NA())</f>
        <v/>
      </c>
      <c r="FG3">
        <f>IF(inputs_ok,IF((25+0.5)*rt_si/1000&lt;rt_lr,-0.03*rt_lr,NA()),NA())</f>
        <v/>
      </c>
      <c r="FH3">
        <f>IF((25+0.5)*rt_si/1000&lt;rt_lr,(25+0.5)*rt_si/1000,NA())</f>
        <v/>
      </c>
      <c r="FJ3">
        <f>IF(inputs_ok,IF((26+0.5)*rt_si/1000&lt;rt_lr,(26+0.5)*rt_si/1000,NA()),NA())</f>
        <v/>
      </c>
      <c r="FK3">
        <f>IF((26+0.5)*rt_si/1000&lt;rt_lr,-0.03*rt_lr,NA())</f>
        <v/>
      </c>
      <c r="FM3">
        <f>IF(inputs_ok,IF((26+0.5)*rt_si/1000&lt;rt_lr,-0.03*rt_lr,NA()),NA())</f>
        <v/>
      </c>
      <c r="FN3">
        <f>IF((26+0.5)*rt_si/1000&lt;rt_lr,(26+0.5)*rt_si/1000,NA())</f>
        <v/>
      </c>
      <c r="FP3">
        <f>IF(inputs_ok,IF((27+0.5)*rt_si/1000&lt;rt_lr,(27+0.5)*rt_si/1000,NA()),NA())</f>
        <v/>
      </c>
      <c r="FQ3">
        <f>IF((27+0.5)*rt_si/1000&lt;rt_lr,-0.03*rt_lr,NA())</f>
        <v/>
      </c>
      <c r="FS3">
        <f>IF(inputs_ok,IF((27+0.5)*rt_si/1000&lt;rt_lr,-0.03*rt_lr,NA()),NA())</f>
        <v/>
      </c>
      <c r="FT3">
        <f>IF((27+0.5)*rt_si/1000&lt;rt_lr,(27+0.5)*rt_si/1000,NA())</f>
        <v/>
      </c>
      <c r="FV3">
        <f>IF(inputs_ok,IF((28+0.5)*rt_si/1000&lt;rt_lr,(28+0.5)*rt_si/1000,NA()),NA())</f>
        <v/>
      </c>
      <c r="FW3">
        <f>IF((28+0.5)*rt_si/1000&lt;rt_lr,-0.03*rt_lr,NA())</f>
        <v/>
      </c>
      <c r="FY3">
        <f>IF(inputs_ok,IF((28+0.5)*rt_si/1000&lt;rt_lr,-0.03*rt_lr,NA()),NA())</f>
        <v/>
      </c>
      <c r="FZ3">
        <f>IF((28+0.5)*rt_si/1000&lt;rt_lr,(28+0.5)*rt_si/1000,NA())</f>
        <v/>
      </c>
      <c r="GB3">
        <f>IF(inputs_ok,IF((29+0.5)*rt_si/1000&lt;rt_lr,(29+0.5)*rt_si/1000,NA()),NA())</f>
        <v/>
      </c>
      <c r="GC3">
        <f>IF((29+0.5)*rt_si/1000&lt;rt_lr,-0.03*rt_lr,NA())</f>
        <v/>
      </c>
      <c r="GE3">
        <f>IF(inputs_ok,IF((29+0.5)*rt_si/1000&lt;rt_lr,-0.03*rt_lr,NA()),NA())</f>
        <v/>
      </c>
      <c r="GF3">
        <f>IF((29+0.5)*rt_si/1000&lt;rt_lr,(29+0.5)*rt_si/1000,NA())</f>
        <v/>
      </c>
      <c r="GH3">
        <f>IF(inputs_ok,IF((30+0.5)*rt_si/1000&lt;rt_lr,(30+0.5)*rt_si/1000,NA()),NA())</f>
        <v/>
      </c>
      <c r="GI3">
        <f>IF((30+0.5)*rt_si/1000&lt;rt_lr,-0.03*rt_lr,NA())</f>
        <v/>
      </c>
      <c r="GK3">
        <f>IF(inputs_ok,IF((30+0.5)*rt_si/1000&lt;rt_lr,-0.03*rt_lr,NA()),NA())</f>
        <v/>
      </c>
      <c r="GL3">
        <f>IF((30+0.5)*rt_si/1000&lt;rt_lr,(30+0.5)*rt_si/1000,NA())</f>
        <v/>
      </c>
      <c r="GN3">
        <f>IF(inputs_ok,IF((31+0.5)*rt_si/1000&lt;rt_lr,(31+0.5)*rt_si/1000,NA()),NA())</f>
        <v/>
      </c>
      <c r="GO3">
        <f>IF((31+0.5)*rt_si/1000&lt;rt_lr,-0.03*rt_lr,NA())</f>
        <v/>
      </c>
      <c r="GQ3">
        <f>IF(inputs_ok,IF((31+0.5)*rt_si/1000&lt;rt_lr,-0.03*rt_lr,NA()),NA())</f>
        <v/>
      </c>
      <c r="GR3">
        <f>IF((31+0.5)*rt_si/1000&lt;rt_lr,(31+0.5)*rt_si/1000,NA())</f>
        <v/>
      </c>
      <c r="GT3">
        <f>IF(inputs_ok,IF((32+0.5)*rt_si/1000&lt;rt_lr,(32+0.5)*rt_si/1000,NA()),NA())</f>
        <v/>
      </c>
      <c r="GU3">
        <f>IF((32+0.5)*rt_si/1000&lt;rt_lr,-0.03*rt_lr,NA())</f>
        <v/>
      </c>
      <c r="GW3">
        <f>IF(inputs_ok,IF((32+0.5)*rt_si/1000&lt;rt_lr,-0.03*rt_lr,NA()),NA())</f>
        <v/>
      </c>
      <c r="GX3">
        <f>IF((32+0.5)*rt_si/1000&lt;rt_lr,(32+0.5)*rt_si/1000,NA())</f>
        <v/>
      </c>
      <c r="GZ3">
        <f>IF(inputs_ok,IF((33+0.5)*rt_si/1000&lt;rt_lr,(33+0.5)*rt_si/1000,NA()),NA())</f>
        <v/>
      </c>
      <c r="HA3">
        <f>IF((33+0.5)*rt_si/1000&lt;rt_lr,-0.03*rt_lr,NA())</f>
        <v/>
      </c>
      <c r="HC3">
        <f>IF(inputs_ok,IF((33+0.5)*rt_si/1000&lt;rt_lr,-0.03*rt_lr,NA()),NA())</f>
        <v/>
      </c>
      <c r="HD3">
        <f>IF((33+0.5)*rt_si/1000&lt;rt_lr,(33+0.5)*rt_si/1000,NA())</f>
        <v/>
      </c>
      <c r="HF3">
        <f>IF(inputs_ok,IF((34+0.5)*rt_si/1000&lt;rt_lr,(34+0.5)*rt_si/1000,NA()),NA())</f>
        <v/>
      </c>
      <c r="HG3">
        <f>IF((34+0.5)*rt_si/1000&lt;rt_lr,-0.03*rt_lr,NA())</f>
        <v/>
      </c>
      <c r="HI3">
        <f>IF(inputs_ok,IF((34+0.5)*rt_si/1000&lt;rt_lr,-0.03*rt_lr,NA()),NA())</f>
        <v/>
      </c>
      <c r="HJ3">
        <f>IF((34+0.5)*rt_si/1000&lt;rt_lr,(34+0.5)*rt_si/1000,NA())</f>
        <v/>
      </c>
      <c r="HL3">
        <f>IF(inputs_ok,IF((35+0.5)*rt_si/1000&lt;rt_lr,(35+0.5)*rt_si/1000,NA()),NA())</f>
        <v/>
      </c>
      <c r="HM3">
        <f>IF((35+0.5)*rt_si/1000&lt;rt_lr,-0.03*rt_lr,NA())</f>
        <v/>
      </c>
      <c r="HO3">
        <f>IF(inputs_ok,IF((35+0.5)*rt_si/1000&lt;rt_lr,-0.03*rt_lr,NA()),NA())</f>
        <v/>
      </c>
      <c r="HP3">
        <f>IF((35+0.5)*rt_si/1000&lt;rt_lr,(35+0.5)*rt_si/1000,NA())</f>
        <v/>
      </c>
      <c r="HR3">
        <f>IF(inputs_ok,IF((36+0.5)*rt_si/1000&lt;rt_lr,(36+0.5)*rt_si/1000,NA()),NA())</f>
        <v/>
      </c>
      <c r="HS3">
        <f>IF((36+0.5)*rt_si/1000&lt;rt_lr,-0.03*rt_lr,NA())</f>
        <v/>
      </c>
      <c r="HU3">
        <f>IF(inputs_ok,IF((36+0.5)*rt_si/1000&lt;rt_lr,-0.03*rt_lr,NA()),NA())</f>
        <v/>
      </c>
      <c r="HV3">
        <f>IF((36+0.5)*rt_si/1000&lt;rt_lr,(36+0.5)*rt_si/1000,NA())</f>
        <v/>
      </c>
      <c r="HX3">
        <f>IF(inputs_ok,IF((37+0.5)*rt_si/1000&lt;rt_lr,(37+0.5)*rt_si/1000,NA()),NA())</f>
        <v/>
      </c>
      <c r="HY3">
        <f>IF((37+0.5)*rt_si/1000&lt;rt_lr,-0.03*rt_lr,NA())</f>
        <v/>
      </c>
      <c r="IA3">
        <f>IF(inputs_ok,IF((37+0.5)*rt_si/1000&lt;rt_lr,-0.03*rt_lr,NA()),NA())</f>
        <v/>
      </c>
      <c r="IB3">
        <f>IF((37+0.5)*rt_si/1000&lt;rt_lr,(37+0.5)*rt_si/1000,NA())</f>
        <v/>
      </c>
      <c r="ID3">
        <f>IF(inputs_ok,IF((38+0.5)*rt_si/1000&lt;rt_lr,(38+0.5)*rt_si/1000,NA()),NA())</f>
        <v/>
      </c>
      <c r="IE3">
        <f>IF((38+0.5)*rt_si/1000&lt;rt_lr,-0.03*rt_lr,NA())</f>
        <v/>
      </c>
      <c r="IG3">
        <f>IF(inputs_ok,IF((38+0.5)*rt_si/1000&lt;rt_lr,-0.03*rt_lr,NA()),NA())</f>
        <v/>
      </c>
      <c r="IH3">
        <f>IF((38+0.5)*rt_si/1000&lt;rt_lr,(38+0.5)*rt_si/1000,NA())</f>
        <v/>
      </c>
      <c r="IJ3">
        <f>IF(inputs_ok,IF((39+0.5)*rt_si/1000&lt;rt_lr,(39+0.5)*rt_si/1000,NA()),NA())</f>
        <v/>
      </c>
      <c r="IK3">
        <f>IF((39+0.5)*rt_si/1000&lt;rt_lr,-0.03*rt_lr,NA())</f>
        <v/>
      </c>
      <c r="IM3">
        <f>IF(inputs_ok,IF((39+0.5)*rt_si/1000&lt;rt_lr,-0.03*rt_lr,NA()),NA())</f>
        <v/>
      </c>
      <c r="IN3">
        <f>IF((39+0.5)*rt_si/1000&lt;rt_lr,(39+0.5)*rt_si/1000,NA())</f>
        <v/>
      </c>
      <c r="IP3">
        <f>IF(inputs_ok,IF((40+0.5)*rt_si/1000&lt;rt_lr,(40+0.5)*rt_si/1000,NA()),NA())</f>
        <v/>
      </c>
      <c r="IQ3">
        <f>IF((40+0.5)*rt_si/1000&lt;rt_lr,-0.03*rt_lr,NA())</f>
        <v/>
      </c>
      <c r="IS3">
        <f>IF(inputs_ok,IF((40+0.5)*rt_si/1000&lt;rt_lr,-0.03*rt_lr,NA()),NA())</f>
        <v/>
      </c>
      <c r="IT3">
        <f>IF((40+0.5)*rt_si/1000&lt;rt_lr,(40+0.5)*rt_si/1000,NA())</f>
        <v/>
      </c>
      <c r="IV3">
        <f>IF(inputs_ok,IF((41+0.5)*rt_si/1000&lt;rt_lr,(41+0.5)*rt_si/1000,NA()),NA())</f>
        <v/>
      </c>
      <c r="IW3">
        <f>IF((41+0.5)*rt_si/1000&lt;rt_lr,-0.03*rt_lr,NA())</f>
        <v/>
      </c>
      <c r="IY3">
        <f>IF(inputs_ok,IF((41+0.5)*rt_si/1000&lt;rt_lr,-0.03*rt_lr,NA()),NA())</f>
        <v/>
      </c>
      <c r="IZ3">
        <f>IF((41+0.5)*rt_si/1000&lt;rt_lr,(41+0.5)*rt_si/1000,NA())</f>
        <v/>
      </c>
      <c r="JB3">
        <f>IF(inputs_ok,IF((42+0.5)*rt_si/1000&lt;rt_lr,(42+0.5)*rt_si/1000,NA()),NA())</f>
        <v/>
      </c>
      <c r="JC3">
        <f>IF((42+0.5)*rt_si/1000&lt;rt_lr,-0.03*rt_lr,NA())</f>
        <v/>
      </c>
      <c r="JE3">
        <f>IF(inputs_ok,IF((42+0.5)*rt_si/1000&lt;rt_lr,-0.03*rt_lr,NA()),NA())</f>
        <v/>
      </c>
      <c r="JF3">
        <f>IF((42+0.5)*rt_si/1000&lt;rt_lr,(42+0.5)*rt_si/1000,NA())</f>
        <v/>
      </c>
      <c r="JH3">
        <f>IF(inputs_ok,IF((43+0.5)*rt_si/1000&lt;rt_lr,(43+0.5)*rt_si/1000,NA()),NA())</f>
        <v/>
      </c>
      <c r="JI3">
        <f>IF((43+0.5)*rt_si/1000&lt;rt_lr,-0.03*rt_lr,NA())</f>
        <v/>
      </c>
      <c r="JK3">
        <f>IF(inputs_ok,IF((43+0.5)*rt_si/1000&lt;rt_lr,-0.03*rt_lr,NA()),NA())</f>
        <v/>
      </c>
      <c r="JL3">
        <f>IF((43+0.5)*rt_si/1000&lt;rt_lr,(43+0.5)*rt_si/1000,NA())</f>
        <v/>
      </c>
      <c r="JN3">
        <f>IF(inputs_ok,IF((44+0.5)*rt_si/1000&lt;rt_lr,(44+0.5)*rt_si/1000,NA()),NA())</f>
        <v/>
      </c>
      <c r="JO3">
        <f>IF((44+0.5)*rt_si/1000&lt;rt_lr,-0.03*rt_lr,NA())</f>
        <v/>
      </c>
      <c r="JQ3">
        <f>IF(inputs_ok,IF((44+0.5)*rt_si/1000&lt;rt_lr,-0.03*rt_lr,NA()),NA())</f>
        <v/>
      </c>
      <c r="JR3">
        <f>IF((44+0.5)*rt_si/1000&lt;rt_lr,(44+0.5)*rt_si/1000,NA())</f>
        <v/>
      </c>
      <c r="JT3">
        <f>IF(inputs_ok,IF((45+0.5)*rt_si/1000&lt;rt_lr,(45+0.5)*rt_si/1000,NA()),NA())</f>
        <v/>
      </c>
      <c r="JU3">
        <f>IF((45+0.5)*rt_si/1000&lt;rt_lr,-0.03*rt_lr,NA())</f>
        <v/>
      </c>
      <c r="JW3">
        <f>IF(inputs_ok,IF((45+0.5)*rt_si/1000&lt;rt_lr,-0.03*rt_lr,NA()),NA())</f>
        <v/>
      </c>
      <c r="JX3">
        <f>IF((45+0.5)*rt_si/1000&lt;rt_lr,(45+0.5)*rt_si/1000,NA())</f>
        <v/>
      </c>
      <c r="JZ3">
        <f>IF(inputs_ok,IF((46+0.5)*rt_si/1000&lt;rt_lr,(46+0.5)*rt_si/1000,NA()),NA())</f>
        <v/>
      </c>
      <c r="KA3">
        <f>IF((46+0.5)*rt_si/1000&lt;rt_lr,-0.03*rt_lr,NA())</f>
        <v/>
      </c>
      <c r="KC3">
        <f>IF(inputs_ok,IF((46+0.5)*rt_si/1000&lt;rt_lr,-0.03*rt_lr,NA()),NA())</f>
        <v/>
      </c>
      <c r="KD3">
        <f>IF((46+0.5)*rt_si/1000&lt;rt_lr,(46+0.5)*rt_si/1000,NA())</f>
        <v/>
      </c>
      <c r="KF3">
        <f>IF(inputs_ok,IF((47+0.5)*rt_si/1000&lt;rt_lr,(47+0.5)*rt_si/1000,NA()),NA())</f>
        <v/>
      </c>
      <c r="KG3">
        <f>IF((47+0.5)*rt_si/1000&lt;rt_lr,-0.03*rt_lr,NA())</f>
        <v/>
      </c>
      <c r="KI3">
        <f>IF(inputs_ok,IF((47+0.5)*rt_si/1000&lt;rt_lr,-0.03*rt_lr,NA()),NA())</f>
        <v/>
      </c>
      <c r="KJ3">
        <f>IF((47+0.5)*rt_si/1000&lt;rt_lr,(47+0.5)*rt_si/1000,NA())</f>
        <v/>
      </c>
      <c r="KL3">
        <f>IF(inputs_ok,IF((48+0.5)*rt_si/1000&lt;rt_lr,(48+0.5)*rt_si/1000,NA()),NA())</f>
        <v/>
      </c>
      <c r="KM3">
        <f>IF((48+0.5)*rt_si/1000&lt;rt_lr,-0.03*rt_lr,NA())</f>
        <v/>
      </c>
      <c r="KO3">
        <f>IF(inputs_ok,IF((48+0.5)*rt_si/1000&lt;rt_lr,-0.03*rt_lr,NA()),NA())</f>
        <v/>
      </c>
      <c r="KP3">
        <f>IF((48+0.5)*rt_si/1000&lt;rt_lr,(48+0.5)*rt_si/1000,NA())</f>
        <v/>
      </c>
      <c r="KR3">
        <f>IF(inputs_ok,IF((49+0.5)*rt_si/1000&lt;rt_lr,(49+0.5)*rt_si/1000,NA()),NA())</f>
        <v/>
      </c>
      <c r="KS3">
        <f>IF((49+0.5)*rt_si/1000&lt;rt_lr,-0.03*rt_lr,NA())</f>
        <v/>
      </c>
      <c r="KU3">
        <f>IF(inputs_ok,IF((49+0.5)*rt_si/1000&lt;rt_lr,-0.03*rt_lr,NA()),NA())</f>
        <v/>
      </c>
      <c r="KV3">
        <f>IF((49+0.5)*rt_si/1000&lt;rt_lr,(49+0.5)*rt_si/1000,NA())</f>
        <v/>
      </c>
      <c r="KX3">
        <f>IF(inputs_ok,IF((50+0.5)*rt_si/1000&lt;rt_lr,(50+0.5)*rt_si/1000,NA()),NA())</f>
        <v/>
      </c>
      <c r="KY3">
        <f>IF((50+0.5)*rt_si/1000&lt;rt_lr,-0.03*rt_lr,NA())</f>
        <v/>
      </c>
      <c r="LA3">
        <f>IF(inputs_ok,IF((50+0.5)*rt_si/1000&lt;rt_lr,-0.03*rt_lr,NA()),NA())</f>
        <v/>
      </c>
      <c r="LB3">
        <f>IF((50+0.5)*rt_si/1000&lt;rt_lr,(50+0.5)*rt_si/1000,NA())</f>
        <v/>
      </c>
      <c r="LD3">
        <f>IF(inputs_ok,IF((51+0.5)*rt_si/1000&lt;rt_lr,(51+0.5)*rt_si/1000,NA()),NA())</f>
        <v/>
      </c>
      <c r="LE3">
        <f>IF((51+0.5)*rt_si/1000&lt;rt_lr,-0.03*rt_lr,NA())</f>
        <v/>
      </c>
      <c r="LG3">
        <f>IF(inputs_ok,IF((51+0.5)*rt_si/1000&lt;rt_lr,-0.03*rt_lr,NA()),NA())</f>
        <v/>
      </c>
      <c r="LH3">
        <f>IF((51+0.5)*rt_si/1000&lt;rt_lr,(51+0.5)*rt_si/1000,NA())</f>
        <v/>
      </c>
      <c r="LJ3">
        <f>IF(inputs_ok,IF((52+0.5)*rt_si/1000&lt;rt_lr,(52+0.5)*rt_si/1000,NA()),NA())</f>
        <v/>
      </c>
      <c r="LK3">
        <f>IF((52+0.5)*rt_si/1000&lt;rt_lr,-0.03*rt_lr,NA())</f>
        <v/>
      </c>
      <c r="LM3">
        <f>IF(inputs_ok,IF((52+0.5)*rt_si/1000&lt;rt_lr,-0.03*rt_lr,NA()),NA())</f>
        <v/>
      </c>
      <c r="LN3">
        <f>IF((52+0.5)*rt_si/1000&lt;rt_lr,(52+0.5)*rt_si/1000,NA())</f>
        <v/>
      </c>
      <c r="LP3">
        <f>IF(inputs_ok,IF((53+0.5)*rt_si/1000&lt;rt_lr,(53+0.5)*rt_si/1000,NA()),NA())</f>
        <v/>
      </c>
      <c r="LQ3">
        <f>IF((53+0.5)*rt_si/1000&lt;rt_lr,-0.03*rt_lr,NA())</f>
        <v/>
      </c>
      <c r="LS3">
        <f>IF(inputs_ok,IF((53+0.5)*rt_si/1000&lt;rt_lr,-0.03*rt_lr,NA()),NA())</f>
        <v/>
      </c>
      <c r="LT3">
        <f>IF((53+0.5)*rt_si/1000&lt;rt_lr,(53+0.5)*rt_si/1000,NA())</f>
        <v/>
      </c>
      <c r="LV3">
        <f>IF(inputs_ok,IF((54+0.5)*rt_si/1000&lt;rt_lr,(54+0.5)*rt_si/1000,NA()),NA())</f>
        <v/>
      </c>
      <c r="LW3">
        <f>IF((54+0.5)*rt_si/1000&lt;rt_lr,-0.03*rt_lr,NA())</f>
        <v/>
      </c>
      <c r="LY3">
        <f>IF(inputs_ok,IF((54+0.5)*rt_si/1000&lt;rt_lr,-0.03*rt_lr,NA()),NA())</f>
        <v/>
      </c>
      <c r="LZ3">
        <f>IF((54+0.5)*rt_si/1000&lt;rt_lr,(54+0.5)*rt_si/1000,NA())</f>
        <v/>
      </c>
      <c r="MB3">
        <f>IF(inputs_ok,IF((55+0.5)*rt_si/1000&lt;rt_lr,(55+0.5)*rt_si/1000,NA()),NA())</f>
        <v/>
      </c>
      <c r="MC3">
        <f>IF((55+0.5)*rt_si/1000&lt;rt_lr,-0.03*rt_lr,NA())</f>
        <v/>
      </c>
      <c r="ME3">
        <f>IF(inputs_ok,IF((55+0.5)*rt_si/1000&lt;rt_lr,-0.03*rt_lr,NA()),NA())</f>
        <v/>
      </c>
      <c r="MF3">
        <f>IF((55+0.5)*rt_si/1000&lt;rt_lr,(55+0.5)*rt_si/1000,NA())</f>
        <v/>
      </c>
      <c r="MH3">
        <f>IF(inputs_ok,IF((56+0.5)*rt_si/1000&lt;rt_lr,(56+0.5)*rt_si/1000,NA()),NA())</f>
        <v/>
      </c>
      <c r="MI3">
        <f>IF((56+0.5)*rt_si/1000&lt;rt_lr,-0.03*rt_lr,NA())</f>
        <v/>
      </c>
      <c r="MK3">
        <f>IF(inputs_ok,IF((56+0.5)*rt_si/1000&lt;rt_lr,-0.03*rt_lr,NA()),NA())</f>
        <v/>
      </c>
      <c r="ML3">
        <f>IF((56+0.5)*rt_si/1000&lt;rt_lr,(56+0.5)*rt_si/1000,NA())</f>
        <v/>
      </c>
      <c r="MN3">
        <f>IF(inputs_ok,IF((57+0.5)*rt_si/1000&lt;rt_lr,(57+0.5)*rt_si/1000,NA()),NA())</f>
        <v/>
      </c>
      <c r="MO3">
        <f>IF((57+0.5)*rt_si/1000&lt;rt_lr,-0.03*rt_lr,NA())</f>
        <v/>
      </c>
      <c r="MQ3">
        <f>IF(inputs_ok,IF((57+0.5)*rt_si/1000&lt;rt_lr,-0.03*rt_lr,NA()),NA())</f>
        <v/>
      </c>
      <c r="MR3">
        <f>IF((57+0.5)*rt_si/1000&lt;rt_lr,(57+0.5)*rt_si/1000,NA())</f>
        <v/>
      </c>
      <c r="MT3">
        <f>IF(inputs_ok,IF((58+0.5)*rt_si/1000&lt;rt_lr,(58+0.5)*rt_si/1000,NA()),NA())</f>
        <v/>
      </c>
      <c r="MU3">
        <f>IF((58+0.5)*rt_si/1000&lt;rt_lr,-0.03*rt_lr,NA())</f>
        <v/>
      </c>
      <c r="MW3">
        <f>IF(inputs_ok,IF((58+0.5)*rt_si/1000&lt;rt_lr,-0.03*rt_lr,NA()),NA())</f>
        <v/>
      </c>
      <c r="MX3">
        <f>IF((58+0.5)*rt_si/1000&lt;rt_lr,(58+0.5)*rt_si/1000,NA())</f>
        <v/>
      </c>
      <c r="MZ3">
        <f>IF(inputs_ok,IF((59+0.5)*rt_si/1000&lt;rt_lr,(59+0.5)*rt_si/1000,NA()),NA())</f>
        <v/>
      </c>
      <c r="NA3">
        <f>IF((59+0.5)*rt_si/1000&lt;rt_lr,-0.03*rt_lr,NA())</f>
        <v/>
      </c>
      <c r="NC3">
        <f>IF(inputs_ok,IF((59+0.5)*rt_si/1000&lt;rt_lr,-0.03*rt_lr,NA()),NA())</f>
        <v/>
      </c>
      <c r="ND3">
        <f>IF((59+0.5)*rt_si/1000&lt;rt_lr,(59+0.5)*rt_si/1000,NA())</f>
        <v/>
      </c>
      <c r="NF3">
        <f>IF(inputs_ok,0*rt_lr,NA())</f>
        <v/>
      </c>
      <c r="NG3">
        <f>0*rt_lr</f>
        <v/>
      </c>
      <c r="NI3">
        <f>IF(inputs_ok,IF(TRUE,0,NA()),NA())</f>
        <v/>
      </c>
      <c r="NJ3">
        <f>IF(TRUE,2*rt_lr+0.2*rt_lr,NA())</f>
        <v/>
      </c>
      <c r="NL3">
        <f>IF(inputs_ok,IF(TRUE,((0)+(rt_lr))/2,NA()),NA())</f>
        <v/>
      </c>
      <c r="NM3">
        <f>IF(TRUE,((2*rt_lr+0.2*rt_lr)+(2*rt_lr+0.2*rt_lr))/2,NA())</f>
        <v/>
      </c>
      <c r="NO3">
        <f>IF(inputs_ok,3*rt_lr/2,NA())</f>
        <v/>
      </c>
      <c r="NP3">
        <f>-0.1*rt_lr</f>
        <v/>
      </c>
      <c r="NR3">
        <f>IF(inputs_ok,rt_lr,NA())</f>
        <v/>
      </c>
      <c r="NS3">
        <f>2*rt_lr/2</f>
        <v/>
      </c>
      <c r="NU3">
        <f>((-0.3*rt_lr)+(3*rt_lr+0.3*rt_lr))/2-MAX((2*rt_lr+0.45*rt_lr)-(-0.45*rt_lr),((3*rt_lr+0.3*rt_lr)-(-0.3*rt_lr))/1.55)*0.53*1.55</f>
        <v/>
      </c>
      <c r="NV3">
        <f>((-0.45*rt_lr)+(2*rt_lr+0.45*rt_lr))/2-MAX((2*rt_lr+0.45*rt_lr)-(-0.45*rt_lr),((3*rt_lr+0.3*rt_lr)-(-0.3*rt_lr))/1.55)*0.53</f>
        <v/>
      </c>
    </row>
    <row r="4">
      <c r="D4">
        <f>IF(inputs_ok,3*rt_lr+0.06*rt_lr,NA())</f>
        <v/>
      </c>
      <c r="E4">
        <f>-0.06*rt_lr</f>
        <v/>
      </c>
      <c r="G4">
        <f>IF(inputs_ok,3*rt_lr+0.03*rt_lr,NA())</f>
        <v/>
      </c>
      <c r="H4">
        <f>-0.03*rt_lr</f>
        <v/>
      </c>
      <c r="J4">
        <f>IF(inputs_ok,IF((0+0.5)*rt_si/1000&lt;rt_lr,(0+0.5)*rt_si/1000,NA()),NA())</f>
        <v/>
      </c>
      <c r="K4">
        <f>IF((0+0.5)*rt_si/1000&lt;rt_lr,2*rt_lr+0.03*rt_lr,NA())</f>
        <v/>
      </c>
      <c r="M4">
        <f>IF(inputs_ok,IF((0+0.5)*rt_si/1000&lt;rt_lr,3*rt_lr+0.03*rt_lr,NA()),NA())</f>
        <v/>
      </c>
      <c r="N4">
        <f>IF((0+0.5)*rt_si/1000&lt;rt_lr,(0+0.5)*rt_si/1000,NA())</f>
        <v/>
      </c>
      <c r="P4">
        <f>IF(inputs_ok,IF((1+0.5)*rt_si/1000&lt;rt_lr,(1+0.5)*rt_si/1000,NA()),NA())</f>
        <v/>
      </c>
      <c r="Q4">
        <f>IF((1+0.5)*rt_si/1000&lt;rt_lr,2*rt_lr+0.03*rt_lr,NA())</f>
        <v/>
      </c>
      <c r="S4">
        <f>IF(inputs_ok,IF((1+0.5)*rt_si/1000&lt;rt_lr,3*rt_lr+0.03*rt_lr,NA()),NA())</f>
        <v/>
      </c>
      <c r="T4">
        <f>IF((1+0.5)*rt_si/1000&lt;rt_lr,(1+0.5)*rt_si/1000,NA())</f>
        <v/>
      </c>
      <c r="V4">
        <f>IF(inputs_ok,IF((2+0.5)*rt_si/1000&lt;rt_lr,(2+0.5)*rt_si/1000,NA()),NA())</f>
        <v/>
      </c>
      <c r="W4">
        <f>IF((2+0.5)*rt_si/1000&lt;rt_lr,2*rt_lr+0.03*rt_lr,NA())</f>
        <v/>
      </c>
      <c r="Y4">
        <f>IF(inputs_ok,IF((2+0.5)*rt_si/1000&lt;rt_lr,3*rt_lr+0.03*rt_lr,NA()),NA())</f>
        <v/>
      </c>
      <c r="Z4">
        <f>IF((2+0.5)*rt_si/1000&lt;rt_lr,(2+0.5)*rt_si/1000,NA())</f>
        <v/>
      </c>
      <c r="AB4">
        <f>IF(inputs_ok,IF((3+0.5)*rt_si/1000&lt;rt_lr,(3+0.5)*rt_si/1000,NA()),NA())</f>
        <v/>
      </c>
      <c r="AC4">
        <f>IF((3+0.5)*rt_si/1000&lt;rt_lr,2*rt_lr+0.03*rt_lr,NA())</f>
        <v/>
      </c>
      <c r="AE4">
        <f>IF(inputs_ok,IF((3+0.5)*rt_si/1000&lt;rt_lr,3*rt_lr+0.03*rt_lr,NA()),NA())</f>
        <v/>
      </c>
      <c r="AF4">
        <f>IF((3+0.5)*rt_si/1000&lt;rt_lr,(3+0.5)*rt_si/1000,NA())</f>
        <v/>
      </c>
      <c r="AH4">
        <f>IF(inputs_ok,IF((4+0.5)*rt_si/1000&lt;rt_lr,(4+0.5)*rt_si/1000,NA()),NA())</f>
        <v/>
      </c>
      <c r="AI4">
        <f>IF((4+0.5)*rt_si/1000&lt;rt_lr,2*rt_lr+0.03*rt_lr,NA())</f>
        <v/>
      </c>
      <c r="AK4">
        <f>IF(inputs_ok,IF((4+0.5)*rt_si/1000&lt;rt_lr,3*rt_lr+0.03*rt_lr,NA()),NA())</f>
        <v/>
      </c>
      <c r="AL4">
        <f>IF((4+0.5)*rt_si/1000&lt;rt_lr,(4+0.5)*rt_si/1000,NA())</f>
        <v/>
      </c>
      <c r="AN4">
        <f>IF(inputs_ok,IF((5+0.5)*rt_si/1000&lt;rt_lr,(5+0.5)*rt_si/1000,NA()),NA())</f>
        <v/>
      </c>
      <c r="AO4">
        <f>IF((5+0.5)*rt_si/1000&lt;rt_lr,2*rt_lr+0.03*rt_lr,NA())</f>
        <v/>
      </c>
      <c r="AQ4">
        <f>IF(inputs_ok,IF((5+0.5)*rt_si/1000&lt;rt_lr,3*rt_lr+0.03*rt_lr,NA()),NA())</f>
        <v/>
      </c>
      <c r="AR4">
        <f>IF((5+0.5)*rt_si/1000&lt;rt_lr,(5+0.5)*rt_si/1000,NA())</f>
        <v/>
      </c>
      <c r="AT4">
        <f>IF(inputs_ok,IF((6+0.5)*rt_si/1000&lt;rt_lr,(6+0.5)*rt_si/1000,NA()),NA())</f>
        <v/>
      </c>
      <c r="AU4">
        <f>IF((6+0.5)*rt_si/1000&lt;rt_lr,2*rt_lr+0.03*rt_lr,NA())</f>
        <v/>
      </c>
      <c r="AW4">
        <f>IF(inputs_ok,IF((6+0.5)*rt_si/1000&lt;rt_lr,3*rt_lr+0.03*rt_lr,NA()),NA())</f>
        <v/>
      </c>
      <c r="AX4">
        <f>IF((6+0.5)*rt_si/1000&lt;rt_lr,(6+0.5)*rt_si/1000,NA())</f>
        <v/>
      </c>
      <c r="AZ4">
        <f>IF(inputs_ok,IF((7+0.5)*rt_si/1000&lt;rt_lr,(7+0.5)*rt_si/1000,NA()),NA())</f>
        <v/>
      </c>
      <c r="BA4">
        <f>IF((7+0.5)*rt_si/1000&lt;rt_lr,2*rt_lr+0.03*rt_lr,NA())</f>
        <v/>
      </c>
      <c r="BC4">
        <f>IF(inputs_ok,IF((7+0.5)*rt_si/1000&lt;rt_lr,3*rt_lr+0.03*rt_lr,NA()),NA())</f>
        <v/>
      </c>
      <c r="BD4">
        <f>IF((7+0.5)*rt_si/1000&lt;rt_lr,(7+0.5)*rt_si/1000,NA())</f>
        <v/>
      </c>
      <c r="BF4">
        <f>IF(inputs_ok,IF((8+0.5)*rt_si/1000&lt;rt_lr,(8+0.5)*rt_si/1000,NA()),NA())</f>
        <v/>
      </c>
      <c r="BG4">
        <f>IF((8+0.5)*rt_si/1000&lt;rt_lr,2*rt_lr+0.03*rt_lr,NA())</f>
        <v/>
      </c>
      <c r="BI4">
        <f>IF(inputs_ok,IF((8+0.5)*rt_si/1000&lt;rt_lr,3*rt_lr+0.03*rt_lr,NA()),NA())</f>
        <v/>
      </c>
      <c r="BJ4">
        <f>IF((8+0.5)*rt_si/1000&lt;rt_lr,(8+0.5)*rt_si/1000,NA())</f>
        <v/>
      </c>
      <c r="BL4">
        <f>IF(inputs_ok,IF((9+0.5)*rt_si/1000&lt;rt_lr,(9+0.5)*rt_si/1000,NA()),NA())</f>
        <v/>
      </c>
      <c r="BM4">
        <f>IF((9+0.5)*rt_si/1000&lt;rt_lr,2*rt_lr+0.03*rt_lr,NA())</f>
        <v/>
      </c>
      <c r="BO4">
        <f>IF(inputs_ok,IF((9+0.5)*rt_si/1000&lt;rt_lr,3*rt_lr+0.03*rt_lr,NA()),NA())</f>
        <v/>
      </c>
      <c r="BP4">
        <f>IF((9+0.5)*rt_si/1000&lt;rt_lr,(9+0.5)*rt_si/1000,NA())</f>
        <v/>
      </c>
      <c r="BR4">
        <f>IF(inputs_ok,IF((10+0.5)*rt_si/1000&lt;rt_lr,(10+0.5)*rt_si/1000,NA()),NA())</f>
        <v/>
      </c>
      <c r="BS4">
        <f>IF((10+0.5)*rt_si/1000&lt;rt_lr,2*rt_lr+0.03*rt_lr,NA())</f>
        <v/>
      </c>
      <c r="BU4">
        <f>IF(inputs_ok,IF((10+0.5)*rt_si/1000&lt;rt_lr,3*rt_lr+0.03*rt_lr,NA()),NA())</f>
        <v/>
      </c>
      <c r="BV4">
        <f>IF((10+0.5)*rt_si/1000&lt;rt_lr,(10+0.5)*rt_si/1000,NA())</f>
        <v/>
      </c>
      <c r="BX4">
        <f>IF(inputs_ok,IF((11+0.5)*rt_si/1000&lt;rt_lr,(11+0.5)*rt_si/1000,NA()),NA())</f>
        <v/>
      </c>
      <c r="BY4">
        <f>IF((11+0.5)*rt_si/1000&lt;rt_lr,2*rt_lr+0.03*rt_lr,NA())</f>
        <v/>
      </c>
      <c r="CA4">
        <f>IF(inputs_ok,IF((11+0.5)*rt_si/1000&lt;rt_lr,3*rt_lr+0.03*rt_lr,NA()),NA())</f>
        <v/>
      </c>
      <c r="CB4">
        <f>IF((11+0.5)*rt_si/1000&lt;rt_lr,(11+0.5)*rt_si/1000,NA())</f>
        <v/>
      </c>
      <c r="CD4">
        <f>IF(inputs_ok,IF((12+0.5)*rt_si/1000&lt;rt_lr,(12+0.5)*rt_si/1000,NA()),NA())</f>
        <v/>
      </c>
      <c r="CE4">
        <f>IF((12+0.5)*rt_si/1000&lt;rt_lr,2*rt_lr+0.03*rt_lr,NA())</f>
        <v/>
      </c>
      <c r="CG4">
        <f>IF(inputs_ok,IF((12+0.5)*rt_si/1000&lt;rt_lr,3*rt_lr+0.03*rt_lr,NA()),NA())</f>
        <v/>
      </c>
      <c r="CH4">
        <f>IF((12+0.5)*rt_si/1000&lt;rt_lr,(12+0.5)*rt_si/1000,NA())</f>
        <v/>
      </c>
      <c r="CJ4">
        <f>IF(inputs_ok,IF((13+0.5)*rt_si/1000&lt;rt_lr,(13+0.5)*rt_si/1000,NA()),NA())</f>
        <v/>
      </c>
      <c r="CK4">
        <f>IF((13+0.5)*rt_si/1000&lt;rt_lr,2*rt_lr+0.03*rt_lr,NA())</f>
        <v/>
      </c>
      <c r="CM4">
        <f>IF(inputs_ok,IF((13+0.5)*rt_si/1000&lt;rt_lr,3*rt_lr+0.03*rt_lr,NA()),NA())</f>
        <v/>
      </c>
      <c r="CN4">
        <f>IF((13+0.5)*rt_si/1000&lt;rt_lr,(13+0.5)*rt_si/1000,NA())</f>
        <v/>
      </c>
      <c r="CP4">
        <f>IF(inputs_ok,IF((14+0.5)*rt_si/1000&lt;rt_lr,(14+0.5)*rt_si/1000,NA()),NA())</f>
        <v/>
      </c>
      <c r="CQ4">
        <f>IF((14+0.5)*rt_si/1000&lt;rt_lr,2*rt_lr+0.03*rt_lr,NA())</f>
        <v/>
      </c>
      <c r="CS4">
        <f>IF(inputs_ok,IF((14+0.5)*rt_si/1000&lt;rt_lr,3*rt_lr+0.03*rt_lr,NA()),NA())</f>
        <v/>
      </c>
      <c r="CT4">
        <f>IF((14+0.5)*rt_si/1000&lt;rt_lr,(14+0.5)*rt_si/1000,NA())</f>
        <v/>
      </c>
      <c r="CV4">
        <f>IF(inputs_ok,IF((15+0.5)*rt_si/1000&lt;rt_lr,(15+0.5)*rt_si/1000,NA()),NA())</f>
        <v/>
      </c>
      <c r="CW4">
        <f>IF((15+0.5)*rt_si/1000&lt;rt_lr,2*rt_lr+0.03*rt_lr,NA())</f>
        <v/>
      </c>
      <c r="CY4">
        <f>IF(inputs_ok,IF((15+0.5)*rt_si/1000&lt;rt_lr,3*rt_lr+0.03*rt_lr,NA()),NA())</f>
        <v/>
      </c>
      <c r="CZ4">
        <f>IF((15+0.5)*rt_si/1000&lt;rt_lr,(15+0.5)*rt_si/1000,NA())</f>
        <v/>
      </c>
      <c r="DB4">
        <f>IF(inputs_ok,IF((16+0.5)*rt_si/1000&lt;rt_lr,(16+0.5)*rt_si/1000,NA()),NA())</f>
        <v/>
      </c>
      <c r="DC4">
        <f>IF((16+0.5)*rt_si/1000&lt;rt_lr,2*rt_lr+0.03*rt_lr,NA())</f>
        <v/>
      </c>
      <c r="DE4">
        <f>IF(inputs_ok,IF((16+0.5)*rt_si/1000&lt;rt_lr,3*rt_lr+0.03*rt_lr,NA()),NA())</f>
        <v/>
      </c>
      <c r="DF4">
        <f>IF((16+0.5)*rt_si/1000&lt;rt_lr,(16+0.5)*rt_si/1000,NA())</f>
        <v/>
      </c>
      <c r="DH4">
        <f>IF(inputs_ok,IF((17+0.5)*rt_si/1000&lt;rt_lr,(17+0.5)*rt_si/1000,NA()),NA())</f>
        <v/>
      </c>
      <c r="DI4">
        <f>IF((17+0.5)*rt_si/1000&lt;rt_lr,2*rt_lr+0.03*rt_lr,NA())</f>
        <v/>
      </c>
      <c r="DK4">
        <f>IF(inputs_ok,IF((17+0.5)*rt_si/1000&lt;rt_lr,3*rt_lr+0.03*rt_lr,NA()),NA())</f>
        <v/>
      </c>
      <c r="DL4">
        <f>IF((17+0.5)*rt_si/1000&lt;rt_lr,(17+0.5)*rt_si/1000,NA())</f>
        <v/>
      </c>
      <c r="DN4">
        <f>IF(inputs_ok,IF((18+0.5)*rt_si/1000&lt;rt_lr,(18+0.5)*rt_si/1000,NA()),NA())</f>
        <v/>
      </c>
      <c r="DO4">
        <f>IF((18+0.5)*rt_si/1000&lt;rt_lr,2*rt_lr+0.03*rt_lr,NA())</f>
        <v/>
      </c>
      <c r="DQ4">
        <f>IF(inputs_ok,IF((18+0.5)*rt_si/1000&lt;rt_lr,3*rt_lr+0.03*rt_lr,NA()),NA())</f>
        <v/>
      </c>
      <c r="DR4">
        <f>IF((18+0.5)*rt_si/1000&lt;rt_lr,(18+0.5)*rt_si/1000,NA())</f>
        <v/>
      </c>
      <c r="DT4">
        <f>IF(inputs_ok,IF((19+0.5)*rt_si/1000&lt;rt_lr,(19+0.5)*rt_si/1000,NA()),NA())</f>
        <v/>
      </c>
      <c r="DU4">
        <f>IF((19+0.5)*rt_si/1000&lt;rt_lr,2*rt_lr+0.03*rt_lr,NA())</f>
        <v/>
      </c>
      <c r="DW4">
        <f>IF(inputs_ok,IF((19+0.5)*rt_si/1000&lt;rt_lr,3*rt_lr+0.03*rt_lr,NA()),NA())</f>
        <v/>
      </c>
      <c r="DX4">
        <f>IF((19+0.5)*rt_si/1000&lt;rt_lr,(19+0.5)*rt_si/1000,NA())</f>
        <v/>
      </c>
      <c r="DZ4">
        <f>IF(inputs_ok,IF((20+0.5)*rt_si/1000&lt;rt_lr,(20+0.5)*rt_si/1000,NA()),NA())</f>
        <v/>
      </c>
      <c r="EA4">
        <f>IF((20+0.5)*rt_si/1000&lt;rt_lr,2*rt_lr+0.03*rt_lr,NA())</f>
        <v/>
      </c>
      <c r="EC4">
        <f>IF(inputs_ok,IF((20+0.5)*rt_si/1000&lt;rt_lr,3*rt_lr+0.03*rt_lr,NA()),NA())</f>
        <v/>
      </c>
      <c r="ED4">
        <f>IF((20+0.5)*rt_si/1000&lt;rt_lr,(20+0.5)*rt_si/1000,NA())</f>
        <v/>
      </c>
      <c r="EF4">
        <f>IF(inputs_ok,IF((21+0.5)*rt_si/1000&lt;rt_lr,(21+0.5)*rt_si/1000,NA()),NA())</f>
        <v/>
      </c>
      <c r="EG4">
        <f>IF((21+0.5)*rt_si/1000&lt;rt_lr,2*rt_lr+0.03*rt_lr,NA())</f>
        <v/>
      </c>
      <c r="EI4">
        <f>IF(inputs_ok,IF((21+0.5)*rt_si/1000&lt;rt_lr,3*rt_lr+0.03*rt_lr,NA()),NA())</f>
        <v/>
      </c>
      <c r="EJ4">
        <f>IF((21+0.5)*rt_si/1000&lt;rt_lr,(21+0.5)*rt_si/1000,NA())</f>
        <v/>
      </c>
      <c r="EL4">
        <f>IF(inputs_ok,IF((22+0.5)*rt_si/1000&lt;rt_lr,(22+0.5)*rt_si/1000,NA()),NA())</f>
        <v/>
      </c>
      <c r="EM4">
        <f>IF((22+0.5)*rt_si/1000&lt;rt_lr,2*rt_lr+0.03*rt_lr,NA())</f>
        <v/>
      </c>
      <c r="EO4">
        <f>IF(inputs_ok,IF((22+0.5)*rt_si/1000&lt;rt_lr,3*rt_lr+0.03*rt_lr,NA()),NA())</f>
        <v/>
      </c>
      <c r="EP4">
        <f>IF((22+0.5)*rt_si/1000&lt;rt_lr,(22+0.5)*rt_si/1000,NA())</f>
        <v/>
      </c>
      <c r="ER4">
        <f>IF(inputs_ok,IF((23+0.5)*rt_si/1000&lt;rt_lr,(23+0.5)*rt_si/1000,NA()),NA())</f>
        <v/>
      </c>
      <c r="ES4">
        <f>IF((23+0.5)*rt_si/1000&lt;rt_lr,2*rt_lr+0.03*rt_lr,NA())</f>
        <v/>
      </c>
      <c r="EU4">
        <f>IF(inputs_ok,IF((23+0.5)*rt_si/1000&lt;rt_lr,3*rt_lr+0.03*rt_lr,NA()),NA())</f>
        <v/>
      </c>
      <c r="EV4">
        <f>IF((23+0.5)*rt_si/1000&lt;rt_lr,(23+0.5)*rt_si/1000,NA())</f>
        <v/>
      </c>
      <c r="EX4">
        <f>IF(inputs_ok,IF((24+0.5)*rt_si/1000&lt;rt_lr,(24+0.5)*rt_si/1000,NA()),NA())</f>
        <v/>
      </c>
      <c r="EY4">
        <f>IF((24+0.5)*rt_si/1000&lt;rt_lr,2*rt_lr+0.03*rt_lr,NA())</f>
        <v/>
      </c>
      <c r="FA4">
        <f>IF(inputs_ok,IF((24+0.5)*rt_si/1000&lt;rt_lr,3*rt_lr+0.03*rt_lr,NA()),NA())</f>
        <v/>
      </c>
      <c r="FB4">
        <f>IF((24+0.5)*rt_si/1000&lt;rt_lr,(24+0.5)*rt_si/1000,NA())</f>
        <v/>
      </c>
      <c r="FD4">
        <f>IF(inputs_ok,IF((25+0.5)*rt_si/1000&lt;rt_lr,(25+0.5)*rt_si/1000,NA()),NA())</f>
        <v/>
      </c>
      <c r="FE4">
        <f>IF((25+0.5)*rt_si/1000&lt;rt_lr,2*rt_lr+0.03*rt_lr,NA())</f>
        <v/>
      </c>
      <c r="FG4">
        <f>IF(inputs_ok,IF((25+0.5)*rt_si/1000&lt;rt_lr,3*rt_lr+0.03*rt_lr,NA()),NA())</f>
        <v/>
      </c>
      <c r="FH4">
        <f>IF((25+0.5)*rt_si/1000&lt;rt_lr,(25+0.5)*rt_si/1000,NA())</f>
        <v/>
      </c>
      <c r="FJ4">
        <f>IF(inputs_ok,IF((26+0.5)*rt_si/1000&lt;rt_lr,(26+0.5)*rt_si/1000,NA()),NA())</f>
        <v/>
      </c>
      <c r="FK4">
        <f>IF((26+0.5)*rt_si/1000&lt;rt_lr,2*rt_lr+0.03*rt_lr,NA())</f>
        <v/>
      </c>
      <c r="FM4">
        <f>IF(inputs_ok,IF((26+0.5)*rt_si/1000&lt;rt_lr,3*rt_lr+0.03*rt_lr,NA()),NA())</f>
        <v/>
      </c>
      <c r="FN4">
        <f>IF((26+0.5)*rt_si/1000&lt;rt_lr,(26+0.5)*rt_si/1000,NA())</f>
        <v/>
      </c>
      <c r="FP4">
        <f>IF(inputs_ok,IF((27+0.5)*rt_si/1000&lt;rt_lr,(27+0.5)*rt_si/1000,NA()),NA())</f>
        <v/>
      </c>
      <c r="FQ4">
        <f>IF((27+0.5)*rt_si/1000&lt;rt_lr,2*rt_lr+0.03*rt_lr,NA())</f>
        <v/>
      </c>
      <c r="FS4">
        <f>IF(inputs_ok,IF((27+0.5)*rt_si/1000&lt;rt_lr,3*rt_lr+0.03*rt_lr,NA()),NA())</f>
        <v/>
      </c>
      <c r="FT4">
        <f>IF((27+0.5)*rt_si/1000&lt;rt_lr,(27+0.5)*rt_si/1000,NA())</f>
        <v/>
      </c>
      <c r="FV4">
        <f>IF(inputs_ok,IF((28+0.5)*rt_si/1000&lt;rt_lr,(28+0.5)*rt_si/1000,NA()),NA())</f>
        <v/>
      </c>
      <c r="FW4">
        <f>IF((28+0.5)*rt_si/1000&lt;rt_lr,2*rt_lr+0.03*rt_lr,NA())</f>
        <v/>
      </c>
      <c r="FY4">
        <f>IF(inputs_ok,IF((28+0.5)*rt_si/1000&lt;rt_lr,3*rt_lr+0.03*rt_lr,NA()),NA())</f>
        <v/>
      </c>
      <c r="FZ4">
        <f>IF((28+0.5)*rt_si/1000&lt;rt_lr,(28+0.5)*rt_si/1000,NA())</f>
        <v/>
      </c>
      <c r="GB4">
        <f>IF(inputs_ok,IF((29+0.5)*rt_si/1000&lt;rt_lr,(29+0.5)*rt_si/1000,NA()),NA())</f>
        <v/>
      </c>
      <c r="GC4">
        <f>IF((29+0.5)*rt_si/1000&lt;rt_lr,2*rt_lr+0.03*rt_lr,NA())</f>
        <v/>
      </c>
      <c r="GE4">
        <f>IF(inputs_ok,IF((29+0.5)*rt_si/1000&lt;rt_lr,3*rt_lr+0.03*rt_lr,NA()),NA())</f>
        <v/>
      </c>
      <c r="GF4">
        <f>IF((29+0.5)*rt_si/1000&lt;rt_lr,(29+0.5)*rt_si/1000,NA())</f>
        <v/>
      </c>
      <c r="GH4">
        <f>IF(inputs_ok,IF((30+0.5)*rt_si/1000&lt;rt_lr,(30+0.5)*rt_si/1000,NA()),NA())</f>
        <v/>
      </c>
      <c r="GI4">
        <f>IF((30+0.5)*rt_si/1000&lt;rt_lr,2*rt_lr+0.03*rt_lr,NA())</f>
        <v/>
      </c>
      <c r="GK4">
        <f>IF(inputs_ok,IF((30+0.5)*rt_si/1000&lt;rt_lr,3*rt_lr+0.03*rt_lr,NA()),NA())</f>
        <v/>
      </c>
      <c r="GL4">
        <f>IF((30+0.5)*rt_si/1000&lt;rt_lr,(30+0.5)*rt_si/1000,NA())</f>
        <v/>
      </c>
      <c r="GN4">
        <f>IF(inputs_ok,IF((31+0.5)*rt_si/1000&lt;rt_lr,(31+0.5)*rt_si/1000,NA()),NA())</f>
        <v/>
      </c>
      <c r="GO4">
        <f>IF((31+0.5)*rt_si/1000&lt;rt_lr,2*rt_lr+0.03*rt_lr,NA())</f>
        <v/>
      </c>
      <c r="GQ4">
        <f>IF(inputs_ok,IF((31+0.5)*rt_si/1000&lt;rt_lr,3*rt_lr+0.03*rt_lr,NA()),NA())</f>
        <v/>
      </c>
      <c r="GR4">
        <f>IF((31+0.5)*rt_si/1000&lt;rt_lr,(31+0.5)*rt_si/1000,NA())</f>
        <v/>
      </c>
      <c r="GT4">
        <f>IF(inputs_ok,IF((32+0.5)*rt_si/1000&lt;rt_lr,(32+0.5)*rt_si/1000,NA()),NA())</f>
        <v/>
      </c>
      <c r="GU4">
        <f>IF((32+0.5)*rt_si/1000&lt;rt_lr,2*rt_lr+0.03*rt_lr,NA())</f>
        <v/>
      </c>
      <c r="GW4">
        <f>IF(inputs_ok,IF((32+0.5)*rt_si/1000&lt;rt_lr,3*rt_lr+0.03*rt_lr,NA()),NA())</f>
        <v/>
      </c>
      <c r="GX4">
        <f>IF((32+0.5)*rt_si/1000&lt;rt_lr,(32+0.5)*rt_si/1000,NA())</f>
        <v/>
      </c>
      <c r="GZ4">
        <f>IF(inputs_ok,IF((33+0.5)*rt_si/1000&lt;rt_lr,(33+0.5)*rt_si/1000,NA()),NA())</f>
        <v/>
      </c>
      <c r="HA4">
        <f>IF((33+0.5)*rt_si/1000&lt;rt_lr,2*rt_lr+0.03*rt_lr,NA())</f>
        <v/>
      </c>
      <c r="HC4">
        <f>IF(inputs_ok,IF((33+0.5)*rt_si/1000&lt;rt_lr,3*rt_lr+0.03*rt_lr,NA()),NA())</f>
        <v/>
      </c>
      <c r="HD4">
        <f>IF((33+0.5)*rt_si/1000&lt;rt_lr,(33+0.5)*rt_si/1000,NA())</f>
        <v/>
      </c>
      <c r="HF4">
        <f>IF(inputs_ok,IF((34+0.5)*rt_si/1000&lt;rt_lr,(34+0.5)*rt_si/1000,NA()),NA())</f>
        <v/>
      </c>
      <c r="HG4">
        <f>IF((34+0.5)*rt_si/1000&lt;rt_lr,2*rt_lr+0.03*rt_lr,NA())</f>
        <v/>
      </c>
      <c r="HI4">
        <f>IF(inputs_ok,IF((34+0.5)*rt_si/1000&lt;rt_lr,3*rt_lr+0.03*rt_lr,NA()),NA())</f>
        <v/>
      </c>
      <c r="HJ4">
        <f>IF((34+0.5)*rt_si/1000&lt;rt_lr,(34+0.5)*rt_si/1000,NA())</f>
        <v/>
      </c>
      <c r="HL4">
        <f>IF(inputs_ok,IF((35+0.5)*rt_si/1000&lt;rt_lr,(35+0.5)*rt_si/1000,NA()),NA())</f>
        <v/>
      </c>
      <c r="HM4">
        <f>IF((35+0.5)*rt_si/1000&lt;rt_lr,2*rt_lr+0.03*rt_lr,NA())</f>
        <v/>
      </c>
      <c r="HO4">
        <f>IF(inputs_ok,IF((35+0.5)*rt_si/1000&lt;rt_lr,3*rt_lr+0.03*rt_lr,NA()),NA())</f>
        <v/>
      </c>
      <c r="HP4">
        <f>IF((35+0.5)*rt_si/1000&lt;rt_lr,(35+0.5)*rt_si/1000,NA())</f>
        <v/>
      </c>
      <c r="HR4">
        <f>IF(inputs_ok,IF((36+0.5)*rt_si/1000&lt;rt_lr,(36+0.5)*rt_si/1000,NA()),NA())</f>
        <v/>
      </c>
      <c r="HS4">
        <f>IF((36+0.5)*rt_si/1000&lt;rt_lr,2*rt_lr+0.03*rt_lr,NA())</f>
        <v/>
      </c>
      <c r="HU4">
        <f>IF(inputs_ok,IF((36+0.5)*rt_si/1000&lt;rt_lr,3*rt_lr+0.03*rt_lr,NA()),NA())</f>
        <v/>
      </c>
      <c r="HV4">
        <f>IF((36+0.5)*rt_si/1000&lt;rt_lr,(36+0.5)*rt_si/1000,NA())</f>
        <v/>
      </c>
      <c r="HX4">
        <f>IF(inputs_ok,IF((37+0.5)*rt_si/1000&lt;rt_lr,(37+0.5)*rt_si/1000,NA()),NA())</f>
        <v/>
      </c>
      <c r="HY4">
        <f>IF((37+0.5)*rt_si/1000&lt;rt_lr,2*rt_lr+0.03*rt_lr,NA())</f>
        <v/>
      </c>
      <c r="IA4">
        <f>IF(inputs_ok,IF((37+0.5)*rt_si/1000&lt;rt_lr,3*rt_lr+0.03*rt_lr,NA()),NA())</f>
        <v/>
      </c>
      <c r="IB4">
        <f>IF((37+0.5)*rt_si/1000&lt;rt_lr,(37+0.5)*rt_si/1000,NA())</f>
        <v/>
      </c>
      <c r="ID4">
        <f>IF(inputs_ok,IF((38+0.5)*rt_si/1000&lt;rt_lr,(38+0.5)*rt_si/1000,NA()),NA())</f>
        <v/>
      </c>
      <c r="IE4">
        <f>IF((38+0.5)*rt_si/1000&lt;rt_lr,2*rt_lr+0.03*rt_lr,NA())</f>
        <v/>
      </c>
      <c r="IG4">
        <f>IF(inputs_ok,IF((38+0.5)*rt_si/1000&lt;rt_lr,3*rt_lr+0.03*rt_lr,NA()),NA())</f>
        <v/>
      </c>
      <c r="IH4">
        <f>IF((38+0.5)*rt_si/1000&lt;rt_lr,(38+0.5)*rt_si/1000,NA())</f>
        <v/>
      </c>
      <c r="IJ4">
        <f>IF(inputs_ok,IF((39+0.5)*rt_si/1000&lt;rt_lr,(39+0.5)*rt_si/1000,NA()),NA())</f>
        <v/>
      </c>
      <c r="IK4">
        <f>IF((39+0.5)*rt_si/1000&lt;rt_lr,2*rt_lr+0.03*rt_lr,NA())</f>
        <v/>
      </c>
      <c r="IM4">
        <f>IF(inputs_ok,IF((39+0.5)*rt_si/1000&lt;rt_lr,3*rt_lr+0.03*rt_lr,NA()),NA())</f>
        <v/>
      </c>
      <c r="IN4">
        <f>IF((39+0.5)*rt_si/1000&lt;rt_lr,(39+0.5)*rt_si/1000,NA())</f>
        <v/>
      </c>
      <c r="IP4">
        <f>IF(inputs_ok,IF((40+0.5)*rt_si/1000&lt;rt_lr,(40+0.5)*rt_si/1000,NA()),NA())</f>
        <v/>
      </c>
      <c r="IQ4">
        <f>IF((40+0.5)*rt_si/1000&lt;rt_lr,2*rt_lr+0.03*rt_lr,NA())</f>
        <v/>
      </c>
      <c r="IS4">
        <f>IF(inputs_ok,IF((40+0.5)*rt_si/1000&lt;rt_lr,3*rt_lr+0.03*rt_lr,NA()),NA())</f>
        <v/>
      </c>
      <c r="IT4">
        <f>IF((40+0.5)*rt_si/1000&lt;rt_lr,(40+0.5)*rt_si/1000,NA())</f>
        <v/>
      </c>
      <c r="IV4">
        <f>IF(inputs_ok,IF((41+0.5)*rt_si/1000&lt;rt_lr,(41+0.5)*rt_si/1000,NA()),NA())</f>
        <v/>
      </c>
      <c r="IW4">
        <f>IF((41+0.5)*rt_si/1000&lt;rt_lr,2*rt_lr+0.03*rt_lr,NA())</f>
        <v/>
      </c>
      <c r="IY4">
        <f>IF(inputs_ok,IF((41+0.5)*rt_si/1000&lt;rt_lr,3*rt_lr+0.03*rt_lr,NA()),NA())</f>
        <v/>
      </c>
      <c r="IZ4">
        <f>IF((41+0.5)*rt_si/1000&lt;rt_lr,(41+0.5)*rt_si/1000,NA())</f>
        <v/>
      </c>
      <c r="JB4">
        <f>IF(inputs_ok,IF((42+0.5)*rt_si/1000&lt;rt_lr,(42+0.5)*rt_si/1000,NA()),NA())</f>
        <v/>
      </c>
      <c r="JC4">
        <f>IF((42+0.5)*rt_si/1000&lt;rt_lr,2*rt_lr+0.03*rt_lr,NA())</f>
        <v/>
      </c>
      <c r="JE4">
        <f>IF(inputs_ok,IF((42+0.5)*rt_si/1000&lt;rt_lr,3*rt_lr+0.03*rt_lr,NA()),NA())</f>
        <v/>
      </c>
      <c r="JF4">
        <f>IF((42+0.5)*rt_si/1000&lt;rt_lr,(42+0.5)*rt_si/1000,NA())</f>
        <v/>
      </c>
      <c r="JH4">
        <f>IF(inputs_ok,IF((43+0.5)*rt_si/1000&lt;rt_lr,(43+0.5)*rt_si/1000,NA()),NA())</f>
        <v/>
      </c>
      <c r="JI4">
        <f>IF((43+0.5)*rt_si/1000&lt;rt_lr,2*rt_lr+0.03*rt_lr,NA())</f>
        <v/>
      </c>
      <c r="JK4">
        <f>IF(inputs_ok,IF((43+0.5)*rt_si/1000&lt;rt_lr,3*rt_lr+0.03*rt_lr,NA()),NA())</f>
        <v/>
      </c>
      <c r="JL4">
        <f>IF((43+0.5)*rt_si/1000&lt;rt_lr,(43+0.5)*rt_si/1000,NA())</f>
        <v/>
      </c>
      <c r="JN4">
        <f>IF(inputs_ok,IF((44+0.5)*rt_si/1000&lt;rt_lr,(44+0.5)*rt_si/1000,NA()),NA())</f>
        <v/>
      </c>
      <c r="JO4">
        <f>IF((44+0.5)*rt_si/1000&lt;rt_lr,2*rt_lr+0.03*rt_lr,NA())</f>
        <v/>
      </c>
      <c r="JQ4">
        <f>IF(inputs_ok,IF((44+0.5)*rt_si/1000&lt;rt_lr,3*rt_lr+0.03*rt_lr,NA()),NA())</f>
        <v/>
      </c>
      <c r="JR4">
        <f>IF((44+0.5)*rt_si/1000&lt;rt_lr,(44+0.5)*rt_si/1000,NA())</f>
        <v/>
      </c>
      <c r="JT4">
        <f>IF(inputs_ok,IF((45+0.5)*rt_si/1000&lt;rt_lr,(45+0.5)*rt_si/1000,NA()),NA())</f>
        <v/>
      </c>
      <c r="JU4">
        <f>IF((45+0.5)*rt_si/1000&lt;rt_lr,2*rt_lr+0.03*rt_lr,NA())</f>
        <v/>
      </c>
      <c r="JW4">
        <f>IF(inputs_ok,IF((45+0.5)*rt_si/1000&lt;rt_lr,3*rt_lr+0.03*rt_lr,NA()),NA())</f>
        <v/>
      </c>
      <c r="JX4">
        <f>IF((45+0.5)*rt_si/1000&lt;rt_lr,(45+0.5)*rt_si/1000,NA())</f>
        <v/>
      </c>
      <c r="JZ4">
        <f>IF(inputs_ok,IF((46+0.5)*rt_si/1000&lt;rt_lr,(46+0.5)*rt_si/1000,NA()),NA())</f>
        <v/>
      </c>
      <c r="KA4">
        <f>IF((46+0.5)*rt_si/1000&lt;rt_lr,2*rt_lr+0.03*rt_lr,NA())</f>
        <v/>
      </c>
      <c r="KC4">
        <f>IF(inputs_ok,IF((46+0.5)*rt_si/1000&lt;rt_lr,3*rt_lr+0.03*rt_lr,NA()),NA())</f>
        <v/>
      </c>
      <c r="KD4">
        <f>IF((46+0.5)*rt_si/1000&lt;rt_lr,(46+0.5)*rt_si/1000,NA())</f>
        <v/>
      </c>
      <c r="KF4">
        <f>IF(inputs_ok,IF((47+0.5)*rt_si/1000&lt;rt_lr,(47+0.5)*rt_si/1000,NA()),NA())</f>
        <v/>
      </c>
      <c r="KG4">
        <f>IF((47+0.5)*rt_si/1000&lt;rt_lr,2*rt_lr+0.03*rt_lr,NA())</f>
        <v/>
      </c>
      <c r="KI4">
        <f>IF(inputs_ok,IF((47+0.5)*rt_si/1000&lt;rt_lr,3*rt_lr+0.03*rt_lr,NA()),NA())</f>
        <v/>
      </c>
      <c r="KJ4">
        <f>IF((47+0.5)*rt_si/1000&lt;rt_lr,(47+0.5)*rt_si/1000,NA())</f>
        <v/>
      </c>
      <c r="KL4">
        <f>IF(inputs_ok,IF((48+0.5)*rt_si/1000&lt;rt_lr,(48+0.5)*rt_si/1000,NA()),NA())</f>
        <v/>
      </c>
      <c r="KM4">
        <f>IF((48+0.5)*rt_si/1000&lt;rt_lr,2*rt_lr+0.03*rt_lr,NA())</f>
        <v/>
      </c>
      <c r="KO4">
        <f>IF(inputs_ok,IF((48+0.5)*rt_si/1000&lt;rt_lr,3*rt_lr+0.03*rt_lr,NA()),NA())</f>
        <v/>
      </c>
      <c r="KP4">
        <f>IF((48+0.5)*rt_si/1000&lt;rt_lr,(48+0.5)*rt_si/1000,NA())</f>
        <v/>
      </c>
      <c r="KR4">
        <f>IF(inputs_ok,IF((49+0.5)*rt_si/1000&lt;rt_lr,(49+0.5)*rt_si/1000,NA()),NA())</f>
        <v/>
      </c>
      <c r="KS4">
        <f>IF((49+0.5)*rt_si/1000&lt;rt_lr,2*rt_lr+0.03*rt_lr,NA())</f>
        <v/>
      </c>
      <c r="KU4">
        <f>IF(inputs_ok,IF((49+0.5)*rt_si/1000&lt;rt_lr,3*rt_lr+0.03*rt_lr,NA()),NA())</f>
        <v/>
      </c>
      <c r="KV4">
        <f>IF((49+0.5)*rt_si/1000&lt;rt_lr,(49+0.5)*rt_si/1000,NA())</f>
        <v/>
      </c>
      <c r="KX4">
        <f>IF(inputs_ok,IF((50+0.5)*rt_si/1000&lt;rt_lr,(50+0.5)*rt_si/1000,NA()),NA())</f>
        <v/>
      </c>
      <c r="KY4">
        <f>IF((50+0.5)*rt_si/1000&lt;rt_lr,2*rt_lr+0.03*rt_lr,NA())</f>
        <v/>
      </c>
      <c r="LA4">
        <f>IF(inputs_ok,IF((50+0.5)*rt_si/1000&lt;rt_lr,3*rt_lr+0.03*rt_lr,NA()),NA())</f>
        <v/>
      </c>
      <c r="LB4">
        <f>IF((50+0.5)*rt_si/1000&lt;rt_lr,(50+0.5)*rt_si/1000,NA())</f>
        <v/>
      </c>
      <c r="LD4">
        <f>IF(inputs_ok,IF((51+0.5)*rt_si/1000&lt;rt_lr,(51+0.5)*rt_si/1000,NA()),NA())</f>
        <v/>
      </c>
      <c r="LE4">
        <f>IF((51+0.5)*rt_si/1000&lt;rt_lr,2*rt_lr+0.03*rt_lr,NA())</f>
        <v/>
      </c>
      <c r="LG4">
        <f>IF(inputs_ok,IF((51+0.5)*rt_si/1000&lt;rt_lr,3*rt_lr+0.03*rt_lr,NA()),NA())</f>
        <v/>
      </c>
      <c r="LH4">
        <f>IF((51+0.5)*rt_si/1000&lt;rt_lr,(51+0.5)*rt_si/1000,NA())</f>
        <v/>
      </c>
      <c r="LJ4">
        <f>IF(inputs_ok,IF((52+0.5)*rt_si/1000&lt;rt_lr,(52+0.5)*rt_si/1000,NA()),NA())</f>
        <v/>
      </c>
      <c r="LK4">
        <f>IF((52+0.5)*rt_si/1000&lt;rt_lr,2*rt_lr+0.03*rt_lr,NA())</f>
        <v/>
      </c>
      <c r="LM4">
        <f>IF(inputs_ok,IF((52+0.5)*rt_si/1000&lt;rt_lr,3*rt_lr+0.03*rt_lr,NA()),NA())</f>
        <v/>
      </c>
      <c r="LN4">
        <f>IF((52+0.5)*rt_si/1000&lt;rt_lr,(52+0.5)*rt_si/1000,NA())</f>
        <v/>
      </c>
      <c r="LP4">
        <f>IF(inputs_ok,IF((53+0.5)*rt_si/1000&lt;rt_lr,(53+0.5)*rt_si/1000,NA()),NA())</f>
        <v/>
      </c>
      <c r="LQ4">
        <f>IF((53+0.5)*rt_si/1000&lt;rt_lr,2*rt_lr+0.03*rt_lr,NA())</f>
        <v/>
      </c>
      <c r="LS4">
        <f>IF(inputs_ok,IF((53+0.5)*rt_si/1000&lt;rt_lr,3*rt_lr+0.03*rt_lr,NA()),NA())</f>
        <v/>
      </c>
      <c r="LT4">
        <f>IF((53+0.5)*rt_si/1000&lt;rt_lr,(53+0.5)*rt_si/1000,NA())</f>
        <v/>
      </c>
      <c r="LV4">
        <f>IF(inputs_ok,IF((54+0.5)*rt_si/1000&lt;rt_lr,(54+0.5)*rt_si/1000,NA()),NA())</f>
        <v/>
      </c>
      <c r="LW4">
        <f>IF((54+0.5)*rt_si/1000&lt;rt_lr,2*rt_lr+0.03*rt_lr,NA())</f>
        <v/>
      </c>
      <c r="LY4">
        <f>IF(inputs_ok,IF((54+0.5)*rt_si/1000&lt;rt_lr,3*rt_lr+0.03*rt_lr,NA()),NA())</f>
        <v/>
      </c>
      <c r="LZ4">
        <f>IF((54+0.5)*rt_si/1000&lt;rt_lr,(54+0.5)*rt_si/1000,NA())</f>
        <v/>
      </c>
      <c r="MB4">
        <f>IF(inputs_ok,IF((55+0.5)*rt_si/1000&lt;rt_lr,(55+0.5)*rt_si/1000,NA()),NA())</f>
        <v/>
      </c>
      <c r="MC4">
        <f>IF((55+0.5)*rt_si/1000&lt;rt_lr,2*rt_lr+0.03*rt_lr,NA())</f>
        <v/>
      </c>
      <c r="ME4">
        <f>IF(inputs_ok,IF((55+0.5)*rt_si/1000&lt;rt_lr,3*rt_lr+0.03*rt_lr,NA()),NA())</f>
        <v/>
      </c>
      <c r="MF4">
        <f>IF((55+0.5)*rt_si/1000&lt;rt_lr,(55+0.5)*rt_si/1000,NA())</f>
        <v/>
      </c>
      <c r="MH4">
        <f>IF(inputs_ok,IF((56+0.5)*rt_si/1000&lt;rt_lr,(56+0.5)*rt_si/1000,NA()),NA())</f>
        <v/>
      </c>
      <c r="MI4">
        <f>IF((56+0.5)*rt_si/1000&lt;rt_lr,2*rt_lr+0.03*rt_lr,NA())</f>
        <v/>
      </c>
      <c r="MK4">
        <f>IF(inputs_ok,IF((56+0.5)*rt_si/1000&lt;rt_lr,3*rt_lr+0.03*rt_lr,NA()),NA())</f>
        <v/>
      </c>
      <c r="ML4">
        <f>IF((56+0.5)*rt_si/1000&lt;rt_lr,(56+0.5)*rt_si/1000,NA())</f>
        <v/>
      </c>
      <c r="MN4">
        <f>IF(inputs_ok,IF((57+0.5)*rt_si/1000&lt;rt_lr,(57+0.5)*rt_si/1000,NA()),NA())</f>
        <v/>
      </c>
      <c r="MO4">
        <f>IF((57+0.5)*rt_si/1000&lt;rt_lr,2*rt_lr+0.03*rt_lr,NA())</f>
        <v/>
      </c>
      <c r="MQ4">
        <f>IF(inputs_ok,IF((57+0.5)*rt_si/1000&lt;rt_lr,3*rt_lr+0.03*rt_lr,NA()),NA())</f>
        <v/>
      </c>
      <c r="MR4">
        <f>IF((57+0.5)*rt_si/1000&lt;rt_lr,(57+0.5)*rt_si/1000,NA())</f>
        <v/>
      </c>
      <c r="MT4">
        <f>IF(inputs_ok,IF((58+0.5)*rt_si/1000&lt;rt_lr,(58+0.5)*rt_si/1000,NA()),NA())</f>
        <v/>
      </c>
      <c r="MU4">
        <f>IF((58+0.5)*rt_si/1000&lt;rt_lr,2*rt_lr+0.03*rt_lr,NA())</f>
        <v/>
      </c>
      <c r="MW4">
        <f>IF(inputs_ok,IF((58+0.5)*rt_si/1000&lt;rt_lr,3*rt_lr+0.03*rt_lr,NA()),NA())</f>
        <v/>
      </c>
      <c r="MX4">
        <f>IF((58+0.5)*rt_si/1000&lt;rt_lr,(58+0.5)*rt_si/1000,NA())</f>
        <v/>
      </c>
      <c r="MZ4">
        <f>IF(inputs_ok,IF((59+0.5)*rt_si/1000&lt;rt_lr,(59+0.5)*rt_si/1000,NA()),NA())</f>
        <v/>
      </c>
      <c r="NA4">
        <f>IF((59+0.5)*rt_si/1000&lt;rt_lr,2*rt_lr+0.03*rt_lr,NA())</f>
        <v/>
      </c>
      <c r="NC4">
        <f>IF(inputs_ok,IF((59+0.5)*rt_si/1000&lt;rt_lr,3*rt_lr+0.03*rt_lr,NA()),NA())</f>
        <v/>
      </c>
      <c r="ND4">
        <f>IF((59+0.5)*rt_si/1000&lt;rt_lr,(59+0.5)*rt_si/1000,NA())</f>
        <v/>
      </c>
      <c r="NF4">
        <f>IF(inputs_ok,0*rt_lr,NA())</f>
        <v/>
      </c>
      <c r="NG4">
        <f>1*rt_lr</f>
        <v/>
      </c>
      <c r="NI4">
        <f>IF(inputs_ok,IF(TRUE,rt_lr,NA()),NA())</f>
        <v/>
      </c>
      <c r="NJ4">
        <f>IF(TRUE,2*rt_lr+0.2*rt_lr,NA())</f>
        <v/>
      </c>
      <c r="NU4">
        <f>((-0.3*rt_lr)+(3*rt_lr+0.3*rt_lr))/2+MAX((2*rt_lr+0.45*rt_lr)-(-0.45*rt_lr),((3*rt_lr+0.3*rt_lr)-(-0.3*rt_lr))/1.55)*0.53*1.55</f>
        <v/>
      </c>
      <c r="NV4">
        <f>((-0.45*rt_lr)+(2*rt_lr+0.45*rt_lr))/2+MAX((2*rt_lr+0.45*rt_lr)-(-0.45*rt_lr),((3*rt_lr+0.3*rt_lr)-(-0.3*rt_lr))/1.55)*0.53</f>
        <v/>
      </c>
    </row>
    <row r="5">
      <c r="D5">
        <f>IF(inputs_ok,3*rt_lr+0.06*rt_lr,NA())</f>
        <v/>
      </c>
      <c r="E5">
        <f>2*rt_lr+0.06*rt_lr</f>
        <v/>
      </c>
      <c r="G5">
        <f>IF(inputs_ok,3*rt_lr+0.03*rt_lr,NA())</f>
        <v/>
      </c>
      <c r="H5">
        <f>2*rt_lr+0.03*rt_lr</f>
        <v/>
      </c>
      <c r="NF5">
        <f>IF(inputs_ok,0*rt_lr,NA())</f>
        <v/>
      </c>
      <c r="NG5">
        <f>2*rt_lr</f>
        <v/>
      </c>
    </row>
    <row r="6">
      <c r="D6">
        <f>IF(inputs_ok,-0.06*rt_lr,NA())</f>
        <v/>
      </c>
      <c r="E6">
        <f>2*rt_lr+0.06*rt_lr</f>
        <v/>
      </c>
      <c r="G6">
        <f>IF(inputs_ok,-0.03*rt_lr,NA())</f>
        <v/>
      </c>
      <c r="H6">
        <f>2*rt_lr+0.03*rt_lr</f>
        <v/>
      </c>
      <c r="NF6">
        <f>IF(inputs_ok,1*rt_lr,NA())</f>
        <v/>
      </c>
      <c r="NG6">
        <f>0*rt_lr</f>
        <v/>
      </c>
    </row>
    <row r="7">
      <c r="D7">
        <f>IF(inputs_ok,-0.06*rt_lr,NA())</f>
        <v/>
      </c>
      <c r="E7">
        <f>-0.06*rt_lr</f>
        <v/>
      </c>
      <c r="G7">
        <f>IF(inputs_ok,-0.03*rt_lr,NA())</f>
        <v/>
      </c>
      <c r="H7">
        <f>-0.03*rt_lr</f>
        <v/>
      </c>
      <c r="NF7">
        <f>IF(inputs_ok,1*rt_lr,NA())</f>
        <v/>
      </c>
      <c r="NG7">
        <f>1*rt_lr</f>
        <v/>
      </c>
    </row>
    <row r="8">
      <c r="NF8">
        <f>IF(inputs_ok,1*rt_lr,NA())</f>
        <v/>
      </c>
      <c r="NG8">
        <f>2*rt_lr</f>
        <v/>
      </c>
    </row>
    <row r="9">
      <c r="NF9">
        <f>IF(inputs_ok,2*rt_lr,NA())</f>
        <v/>
      </c>
      <c r="NG9">
        <f>0*rt_lr</f>
        <v/>
      </c>
    </row>
    <row r="10">
      <c r="NF10">
        <f>IF(inputs_ok,2*rt_lr,NA())</f>
        <v/>
      </c>
      <c r="NG10">
        <f>1*rt_lr</f>
        <v/>
      </c>
    </row>
    <row r="11">
      <c r="NF11">
        <f>IF(inputs_ok,2*rt_lr,NA())</f>
        <v/>
      </c>
      <c r="NG11">
        <f>2*rt_lr</f>
        <v/>
      </c>
    </row>
    <row r="12">
      <c r="NF12">
        <f>IF(inputs_ok,3*rt_lr,NA())</f>
        <v/>
      </c>
      <c r="NG12">
        <f>0*rt_lr</f>
        <v/>
      </c>
    </row>
    <row r="13">
      <c r="NF13">
        <f>IF(inputs_ok,3*rt_lr,NA())</f>
        <v/>
      </c>
      <c r="NG13">
        <f>1*rt_lr</f>
        <v/>
      </c>
    </row>
    <row r="14">
      <c r="NF14">
        <f>IF(inputs_ok,3*rt_lr,NA())</f>
        <v/>
      </c>
      <c r="NG14">
        <f>2*rt_lr</f>
        <v/>
      </c>
    </row>
  </sheetData>
  <sheetProtection selectLockedCells="0" selectUnlockedCells="0" sheet="1" objects="1" insertRows="1" insertHyperlinks="1" autoFilter="1" scenarios="0" formatColumns="1" deleteColumns="1" insertColumns="1" pivotTables="1" deleteRows="1" formatCells="1" formatRows="1" sort="1" password="AA0A"/>
  <pageMargins left="0.75" right="0.75" top="1" bottom="1" header="0.5" footer="0.5"/>
</worksheet>
</file>

<file path=xl/worksheets/sheet4.xml><?xml version="1.0" encoding="utf-8"?>
<worksheet xmlns="http://schemas.openxmlformats.org/spreadsheetml/2006/main">
  <sheetPr>
    <outlinePr summaryBelow="1" summaryRight="1"/>
    <pageSetUpPr fitToPage="1"/>
  </sheetPr>
  <dimension ref="B2:F28"/>
  <sheetViews>
    <sheetView showGridLines="0" tabSelected="0" workbookViewId="0">
      <selection activeCell="A1" sqref="A1"/>
    </sheetView>
  </sheetViews>
  <sheetFormatPr baseColWidth="8" defaultRowHeight="15"/>
  <cols>
    <col width="2.5" customWidth="1" min="1" max="1"/>
    <col width="34" customWidth="1" min="2" max="2"/>
    <col width="16" customWidth="1" min="3" max="3"/>
    <col width="12" customWidth="1" min="4" max="4"/>
    <col width="12" customWidth="1" min="5" max="5"/>
    <col width="60" customWidth="1" min="6" max="6"/>
  </cols>
  <sheetData>
    <row r="2">
      <c r="B2" s="44" t="inlineStr">
        <is>
          <t>Nationally Determined Parameters</t>
        </is>
      </c>
    </row>
    <row r="3">
      <c r="B3" s="16" t="inlineStr">
        <is>
          <t>Values used by the Calculation sheet for the selected National Annex. Sources: UK NA to BS EN 1992-1-1:2004, Table NA.1; PN-EN 1992-1-1:2008, Załącznik krajowy NA. Edit only if your project specifies different values.</t>
        </is>
      </c>
    </row>
    <row r="5">
      <c r="B5" s="45" t="inlineStr">
        <is>
          <t>Parameter</t>
        </is>
      </c>
      <c r="C5" s="45" t="inlineStr">
        <is>
          <t>Clause</t>
        </is>
      </c>
      <c r="D5" s="45" t="inlineStr">
        <is>
          <t>UK NA</t>
        </is>
      </c>
      <c r="E5" s="45" t="inlineStr">
        <is>
          <t>PL NA</t>
        </is>
      </c>
      <c r="F5" s="45" t="inlineStr">
        <is>
          <t>Notes</t>
        </is>
      </c>
    </row>
    <row r="6">
      <c r="B6" s="46" t="inlineStr">
        <is>
          <t>Partial factor, concrete  γc</t>
        </is>
      </c>
      <c r="C6" s="47" t="inlineStr">
        <is>
          <t>2.4.2.4(1)</t>
        </is>
      </c>
      <c r="D6" s="48" t="n">
        <v>1.5</v>
      </c>
      <c r="E6" s="48" t="n">
        <v>1.4</v>
      </c>
      <c r="F6" s="47" t="inlineStr">
        <is>
          <t>Persistent &amp; transient. UK NA: recommended; PL: NA.2, Table NA.2</t>
        </is>
      </c>
    </row>
    <row r="7">
      <c r="B7" s="46" t="inlineStr">
        <is>
          <t>Partial factor, reinforcement  γs</t>
        </is>
      </c>
      <c r="C7" s="47" t="inlineStr">
        <is>
          <t>2.4.2.4(1)</t>
        </is>
      </c>
      <c r="D7" s="48" t="n">
        <v>1.15</v>
      </c>
      <c r="E7" s="48" t="n">
        <v>1.15</v>
      </c>
      <c r="F7" s="47" t="inlineStr">
        <is>
          <t>UK NA: recommended; PL: NA.2, Table NA.2</t>
        </is>
      </c>
    </row>
    <row r="8">
      <c r="B8" s="46" t="inlineStr">
        <is>
          <t>αcc  (compression in flexure / axial)</t>
        </is>
      </c>
      <c r="C8" s="47" t="inlineStr">
        <is>
          <t>3.1.6(1)</t>
        </is>
      </c>
      <c r="D8" s="48" t="n">
        <v>0.85</v>
      </c>
      <c r="E8" s="48" t="n">
        <v>1</v>
      </c>
      <c r="F8" s="47" t="inlineStr">
        <is>
          <t>UK NA: 0.85; PL: recommended (NA.9)</t>
        </is>
      </c>
    </row>
    <row r="9">
      <c r="B9" s="46" t="inlineStr">
        <is>
          <t>αcc,pl  (plain concrete, compression)</t>
        </is>
      </c>
      <c r="C9" s="47" t="inlineStr">
        <is>
          <t>12.3.1(1)</t>
        </is>
      </c>
      <c r="D9" s="48" t="n">
        <v>0.6</v>
      </c>
      <c r="E9" s="48" t="n">
        <v>0.8</v>
      </c>
      <c r="F9" s="47" t="inlineStr">
        <is>
          <t>UK NA Table NA.1: 0.6; PL: recommended (NA.9)</t>
        </is>
      </c>
    </row>
    <row r="10">
      <c r="B10" s="46" t="inlineStr">
        <is>
          <t>αcc  (shear and punching)</t>
        </is>
      </c>
      <c r="C10" s="47" t="inlineStr">
        <is>
          <t>3.1.6(1)</t>
        </is>
      </c>
      <c r="D10" s="48" t="n">
        <v>1</v>
      </c>
      <c r="E10" s="48" t="n">
        <v>1</v>
      </c>
      <c r="F10" s="47" t="inlineStr">
        <is>
          <t>UK NA: 1.0 for other phenomena; PL: recommended (NA.9)</t>
        </is>
      </c>
    </row>
    <row r="11">
      <c r="B11" s="46" t="inlineStr">
        <is>
          <t>αct  (design tensile strength)</t>
        </is>
      </c>
      <c r="C11" s="47" t="inlineStr">
        <is>
          <t>3.1.6(2)</t>
        </is>
      </c>
      <c r="D11" s="48" t="n">
        <v>1</v>
      </c>
      <c r="E11" s="48" t="n">
        <v>1</v>
      </c>
      <c r="F11" s="47" t="inlineStr">
        <is>
          <t>Recommended value in both annexes</t>
        </is>
      </c>
    </row>
    <row r="12">
      <c r="B12" s="46" t="inlineStr">
        <is>
          <t>CRd,c numerator  (CRd,c = value / γc)</t>
        </is>
      </c>
      <c r="C12" s="47" t="inlineStr">
        <is>
          <t>6.2.2(1), 6.4.4(1)</t>
        </is>
      </c>
      <c r="D12" s="48" t="n">
        <v>0.18</v>
      </c>
      <c r="E12" s="48" t="n">
        <v>0.18</v>
      </c>
      <c r="F12" s="47" t="inlineStr">
        <is>
          <t>Recommended value in both annexes</t>
        </is>
      </c>
    </row>
    <row r="13">
      <c r="B13" s="46" t="inlineStr">
        <is>
          <t>k1  (axial stress term, punching)</t>
        </is>
      </c>
      <c r="C13" s="47" t="inlineStr">
        <is>
          <t>6.4.4(1)</t>
        </is>
      </c>
      <c r="D13" s="48" t="n">
        <v>0.1</v>
      </c>
      <c r="E13" s="48" t="n">
        <v>0.1</v>
      </c>
      <c r="F13" s="47" t="inlineStr">
        <is>
          <t>Recommended value in both annexes</t>
        </is>
      </c>
    </row>
    <row r="14">
      <c r="B14" s="46" t="inlineStr">
        <is>
          <t>vRd,max factor  (vRd,max = factor · ν · fcd)</t>
        </is>
      </c>
      <c r="C14" s="47" t="inlineStr">
        <is>
          <t>6.4.5(3)</t>
        </is>
      </c>
      <c r="D14" s="48" t="n">
        <v>0.5</v>
      </c>
      <c r="E14" s="48" t="n">
        <v>0.4</v>
      </c>
      <c r="F14" s="47" t="inlineStr">
        <is>
          <t>UK NA: 0.5 ν fcd; PL: recommended value (NA.9), 0.4 ν fcd since EN 1992-1-1 AC:2010 (PN-EN 1992-1-1:2008/AC:2011)</t>
        </is>
      </c>
    </row>
    <row r="15">
      <c r="B15" s="46" t="inlineStr">
        <is>
          <t>kmax  (vEd ≤ kmax · vRd,c at u1)</t>
        </is>
      </c>
      <c r="C15" s="47" t="inlineStr">
        <is>
          <t>6.4.5</t>
        </is>
      </c>
      <c r="D15" s="48" t="n">
        <v>2</v>
      </c>
      <c r="E15" s="48" t="n">
        <v>1.5</v>
      </c>
      <c r="F15" s="47" t="inlineStr">
        <is>
          <t>UK NA 6.4.5(3): 2 vRd,c. PL: no limit in PN-EN 1992-1-1:2008; 1.5 (A1:2014 recommendation) applied conservatively</t>
        </is>
      </c>
    </row>
    <row r="16">
      <c r="B16" s="46" t="inlineStr">
        <is>
          <t>φlarge  (large bar threshold, mm)</t>
        </is>
      </c>
      <c r="C16" s="47" t="inlineStr">
        <is>
          <t>8.8(1)</t>
        </is>
      </c>
      <c r="D16" s="48" t="n">
        <v>40</v>
      </c>
      <c r="E16" s="48" t="n">
        <v>32</v>
      </c>
      <c r="F16" s="47" t="inlineStr">
        <is>
          <t>UK NA: 40 mm; PL: 32 mm recommended (NA.9)</t>
        </is>
      </c>
    </row>
    <row r="17">
      <c r="B17" s="46" t="inlineStr">
        <is>
          <t>cot θ upper limit  (variable strut)</t>
        </is>
      </c>
      <c r="C17" s="47" t="inlineStr">
        <is>
          <t>6.2.3(2)</t>
        </is>
      </c>
      <c r="D17" s="48" t="n">
        <v>2.5</v>
      </c>
      <c r="E17" s="48" t="n">
        <v>2</v>
      </c>
      <c r="F17" s="47" t="inlineStr">
        <is>
          <t>UK NA: 2.5 (1.25 with axial tension); PL: NA.4, 1 ≤ cot θ ≤ 2.0</t>
        </is>
      </c>
    </row>
    <row r="18">
      <c r="B18" s="46" t="inlineStr">
        <is>
          <t>k1  (x/d limit, δ ≥ k1 + k2 xu/d)</t>
        </is>
      </c>
      <c r="C18" s="47" t="inlineStr">
        <is>
          <t>5.5(4)</t>
        </is>
      </c>
      <c r="D18" s="48" t="n">
        <v>0.4</v>
      </c>
      <c r="E18" s="48" t="n">
        <v>0.44</v>
      </c>
      <c r="F18" s="47" t="inlineStr">
        <is>
          <t>UK NA for fyk ≤ 500 MPa; PL: recommended (NA.9)</t>
        </is>
      </c>
    </row>
    <row r="19">
      <c r="B19" s="46" t="inlineStr">
        <is>
          <t>k2  (x/d limit, εcu2 = 0.0035)</t>
        </is>
      </c>
      <c r="C19" s="47" t="inlineStr">
        <is>
          <t>5.5(4)</t>
        </is>
      </c>
      <c r="D19" s="48" t="n">
        <v>1</v>
      </c>
      <c r="E19" s="48" t="n">
        <v>1.25</v>
      </c>
      <c r="F19" s="47" t="inlineStr">
        <is>
          <t>UK NA: 0.6 + 0.0014/εcu2; PL: 1.25(0.6 + 0.0014/εcu2)</t>
        </is>
      </c>
    </row>
    <row r="20">
      <c r="B20" s="46" t="inlineStr">
        <is>
          <t>Upper limit on the (310/σs) factor  (0 = none)</t>
        </is>
      </c>
      <c r="C20" s="47" t="inlineStr">
        <is>
          <t>7.4.2(2)</t>
        </is>
      </c>
      <c r="D20" s="48" t="n">
        <v>1.5</v>
      </c>
      <c r="E20" s="48" t="n">
        <v>0</v>
      </c>
      <c r="F20" s="47" t="inlineStr">
        <is>
          <t>UK NA Table NA.5 Note 5: (310/σs) or (500/fyk)(As,prov/As,req) ≤ 1.5; PL: none</t>
        </is>
      </c>
    </row>
    <row r="21">
      <c r="B21" s="46" t="inlineStr">
        <is>
          <t>L/d not to exceed 40 K  (1 = applies)</t>
        </is>
      </c>
      <c r="C21" s="47" t="inlineStr">
        <is>
          <t>7.4.2(2)</t>
        </is>
      </c>
      <c r="D21" s="48" t="n">
        <v>1</v>
      </c>
      <c r="E21" s="48" t="n">
        <v>0</v>
      </c>
      <c r="F21" s="47" t="inlineStr">
        <is>
          <t>UK NA Table NA.5 Note 6; not in EN text</t>
        </is>
      </c>
    </row>
    <row r="22">
      <c r="B22" s="46" t="inlineStr">
        <is>
          <t>φmin  (longitudinal bars in columns, mm)</t>
        </is>
      </c>
      <c r="C22" s="47" t="inlineStr">
        <is>
          <t>9.5.2(1)</t>
        </is>
      </c>
      <c r="D22" s="48" t="n">
        <v>12</v>
      </c>
      <c r="E22" s="48" t="n">
        <v>6</v>
      </c>
      <c r="F22" s="47" t="inlineStr">
        <is>
          <t>UK NA: 12 mm; PL: NA.6, 6 mm</t>
        </is>
      </c>
    </row>
    <row r="23">
      <c r="B23" s="46" t="inlineStr">
        <is>
          <t>k3  (crack spacing)</t>
        </is>
      </c>
      <c r="C23" s="47" t="inlineStr">
        <is>
          <t>7.3.4(3)</t>
        </is>
      </c>
      <c r="D23" s="48" t="n">
        <v>3.4</v>
      </c>
      <c r="E23" s="48" t="n">
        <v>3.4</v>
      </c>
      <c r="F23" s="47" t="inlineStr">
        <is>
          <t>Recommended value in both annexes</t>
        </is>
      </c>
    </row>
    <row r="24">
      <c r="B24" s="46" t="inlineStr">
        <is>
          <t>k4  (crack spacing)</t>
        </is>
      </c>
      <c r="C24" s="47" t="inlineStr">
        <is>
          <t>7.3.4(3)</t>
        </is>
      </c>
      <c r="D24" s="48" t="n">
        <v>0.425</v>
      </c>
      <c r="E24" s="48" t="n">
        <v>0.425</v>
      </c>
      <c r="F24" s="47" t="inlineStr">
        <is>
          <t>Recommended value in both annexes</t>
        </is>
      </c>
    </row>
    <row r="25">
      <c r="B25" s="46" t="inlineStr">
        <is>
          <t>k1  (concrete stress, characteristic; XD, XF, XS)</t>
        </is>
      </c>
      <c r="C25" s="47" t="inlineStr">
        <is>
          <t>7.2(2)</t>
        </is>
      </c>
      <c r="D25" s="48" t="n">
        <v>0.6</v>
      </c>
      <c r="E25" s="48" t="n">
        <v>1</v>
      </c>
      <c r="F25" s="47" t="inlineStr">
        <is>
          <t>UK NA: recommended; PL: NA.5, k1 = 1.0</t>
        </is>
      </c>
    </row>
    <row r="26">
      <c r="B26" s="46" t="inlineStr">
        <is>
          <t>k2  (concrete stress, quasi-permanent; linear creep)</t>
        </is>
      </c>
      <c r="C26" s="47" t="inlineStr">
        <is>
          <t>7.2(3)</t>
        </is>
      </c>
      <c r="D26" s="48" t="n">
        <v>0.45</v>
      </c>
      <c r="E26" s="48" t="n">
        <v>0.45</v>
      </c>
      <c r="F26" s="47" t="inlineStr">
        <is>
          <t>Recommended value in both annexes (UK NA; PL NA.9)</t>
        </is>
      </c>
    </row>
    <row r="27">
      <c r="B27" s="46" t="inlineStr">
        <is>
          <t>k3  (steel stress, characteristic)</t>
        </is>
      </c>
      <c r="C27" s="47" t="inlineStr">
        <is>
          <t>7.2(5)</t>
        </is>
      </c>
      <c r="D27" s="48" t="n">
        <v>0.8</v>
      </c>
      <c r="E27" s="48" t="n">
        <v>0.8</v>
      </c>
      <c r="F27" s="47" t="inlineStr">
        <is>
          <t>Recommended value in both annexes (UK NA; PL NA.9)</t>
        </is>
      </c>
    </row>
    <row r="28">
      <c r="B28" s="46" t="inlineStr">
        <is>
          <t>k4  (steel stress, imposed deformation)</t>
        </is>
      </c>
      <c r="C28" s="47" t="inlineStr">
        <is>
          <t>7.2(5)</t>
        </is>
      </c>
      <c r="D28" s="48" t="n">
        <v>1</v>
      </c>
      <c r="E28" s="48" t="n">
        <v>1</v>
      </c>
      <c r="F28" s="47" t="inlineStr">
        <is>
          <t>Recommended value in both annexes (UK NA; PL NA.9)</t>
        </is>
      </c>
    </row>
  </sheetData>
  <sheetProtection selectLockedCells="0" selectUnlockedCells="0" sheet="1" objects="1" insertRows="1" insertHyperlinks="1" autoFilter="1" scenarios="0" formatColumns="1" deleteColumns="1" insertColumns="1" pivotTables="1" deleteRows="1" formatCells="1" formatRows="1" sort="1" password="AA0A"/>
  <printOptions horizontalCentered="1"/>
  <pageMargins left="0.4" right="0.4" top="0.4" bottom="0.6" header="0.5" footer="0.5"/>
  <pageSetup orientation="landscape" paperSize="9" fitToHeight="0" fitToWidth="1"/>
  <headerFooter>
    <oddHeader/>
    <oddFooter>&amp;L&amp;7 &amp;K8A8A8ANA Engineering sp. z o.o.  ·  naengineering.uk  ·  adrian@naengineering.uk  ·  +48 505 844 422&amp;C&amp;7 &amp;K8A8A8A&amp;P / &amp;N&amp;R&amp;7 &amp;K8A8A8ANAE-RC-036  v1.0</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NA Engineering sp. z o.o.</dc:creator>
  <dc:title xmlns:dc="http://purl.org/dc/elements/1.1/">NAE-RC-036 Robustness ties</dc:title>
  <dc:subject xmlns:dc="http://purl.org/dc/elements/1.1/">Tying systems for accidental situations  ·  EN 1992-1-1 §9.10  ·  UK NA / PN-EN</dc:subject>
  <dcterms:created xmlns:dcterms="http://purl.org/dc/terms/" xmlns:xsi="http://www.w3.org/2001/XMLSchema-instance" xsi:type="dcterms:W3CDTF">2026-10-30T10:58:39Z</dcterms:created>
  <dcterms:modified xmlns:dcterms="http://purl.org/dc/terms/" xmlns:xsi="http://www.w3.org/2001/XMLSchema-instance" xsi:type="dcterms:W3CDTF">2026-10-30T10:58:39Z</dcterms:modified>
  <cp:lastModifiedBy>NA Engineering sp. z o.o.</cp:lastModifiedBy>
  <cp:keywords>NA Engineering; Eurocode 2; EN 1992-1-1</cp:keywords>
</cp:coreProperties>
</file>