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ea_sup">'Calculation'!$E$14</definedName>
    <definedName name="ea_ts">'Calculation'!$E$15</definedName>
    <definedName name="ea_cend">'Calculation'!$E$16</definedName>
    <definedName name="ea_h">'Calculation'!$E$17</definedName>
    <definedName name="ea_d">'Calculation'!$E$18</definedName>
    <definedName name="ea_c">'Calculation'!$E$19</definedName>
    <definedName name="ea_n">'Calculation'!$E$20</definedName>
    <definedName name="ea_phi">'Calculation'!$E$21</definedName>
    <definedName name="ea_gap">'Calculation'!$E$22</definedName>
    <definedName name="ea_form">'Calculation'!$E$23</definedName>
    <definedName name="ea_Asp">'Calculation'!$E$24</definedName>
    <definedName name="ea_links">'Calculation'!$E$25</definedName>
    <definedName name="ea_cot">'Calculation'!$E$26</definedName>
    <definedName name="ea_V">'Calculation'!$E$29</definedName>
    <definedName name="ea_Nt">'Calculation'!$E$30</definedName>
    <definedName name="inputs_ok">IFERROR(AND(OR(NA_sel="UK NA (BS EN)",NA_sel="PL NA (PN-EN)"),OR(conc_class="C20/25",conc_class="C25/30",conc_class="C28/35",conc_class="C30/37",conc_class="C32/40",conc_class="C35/45",conc_class="C40/50",conc_class="C45/55",conc_class="C50/60"),ISNUMBER(f_yk),f_yk&gt;0,OR(ea_sup="End support  (direct)",ea_sup="End support  (indirect)",ea_sup="Intermediate support"),ISNUMBER(ea_ts),ea_ts&gt;0,ISNUMBER(ea_cend),ea_cend&gt;0,ISNUMBER(ea_h),ea_h&gt;0,ISNUMBER(ea_d),ea_d&gt;0,ISNUMBER(ea_c),ea_c&gt;0,ISNUMBER(ea_n),ea_n&gt;0,OR(AND(ISNUMBER(ea_phi),ea_phi=8),AND(ISNUMBER(ea_phi),ea_phi=10),AND(ISNUMBER(ea_phi),ea_phi=12),AND(ISNUMBER(ea_phi),ea_phi=16),AND(ISNUMBER(ea_phi),ea_phi=20),AND(ISNUMBER(ea_phi),ea_phi=25),AND(ISNUMBER(ea_phi),ea_phi=32),AND(ISNUMBER(ea_phi),ea_phi=40)),ISNUMBER(ea_gap),ea_gap&gt;0,OR(ea_form="Straight",ea_form="Bend or hook"),ISNUMBER(ea_Asp),ea_Asp&gt;0,OR(ea_links="Yes",ea_links="No"),IF(ea_links="Yes",IF(ISNUMBER(ea_cot),ea_cot&gt;0,FALSE),TRUE),ISNUMBER(ea_V),ea_V&gt;=-1e+300,ISNUMBER(ea_Nt),ea_Nt&gt;=0,AND(f_yk&gt;=400,f_yk&lt;=500,ea_d&lt;ea_h,ea_cend&lt;ea_ts,INT(ea_n)=ea_n,ea_n&gt;=1,ea_h-ea_d&gt;=ea_c+ea_phi/2,IF(ea_sup="Intermediate support",ea_form="Straight",TRUE),IF(ea_links="Yes",AND(ea_cot&gt;=1,ea_cot&lt;=ea_cotmax),TRUE))),FALSE)</definedName>
    <definedName name="input_status">'Calculation'!$G$31</definedName>
    <definedName name="ea_end">ea_sup&lt;&gt;"Intermediate support"</definedName>
    <definedName name="ea_cotmax">IF(NA_sel="UK NA (BS EN)",2.5,2)</definedName>
    <definedName name="steel_ok">IFERROR(Asv_ea&gt;=Asneed_ea,FALSE)</definedName>
    <definedName name="anch_ok">IFERROR(lav_ea&gt;=lreq_ea,FALSE)</definedName>
    <definedName name="steel_status">'Calculation'!$G$34</definedName>
    <definedName name="anch_status">'Calculation'!$G$35</definedName>
    <definedName name="gamma_c">'Calculation'!$E$59</definedName>
    <definedName name="gamma_s">'Calculation'!$E$60</definedName>
    <definedName name="alpha_ct">'Calculation'!$E$61</definedName>
    <definedName name="f_ck">'Calculation'!$E$62</definedName>
    <definedName name="f_ctm">'Calculation'!$E$63</definedName>
    <definedName name="fyd_ea">'Calculation'!$E$64</definedName>
    <definedName name="z_ea">'Calculation'!$E$65</definedName>
    <definedName name="al_ea">'Calculation'!$E$66</definedName>
    <definedName name="FEd_ea">'Calculation'!$E$67</definedName>
    <definedName name="Asmin_ea">'Calculation'!$E$68</definedName>
    <definedName name="Asneed_ea">'Calculation'!$E$69</definedName>
    <definedName name="Asv_ea">'Calculation'!$E$70</definedName>
    <definedName name="chk_steel">'Calculation'!$G$71</definedName>
    <definedName name="fctd_ea">'Calculation'!$E$74</definedName>
    <definedName name="eta1_ea">'Calculation'!$E$75</definedName>
    <definedName name="fbd_ea">'Calculation'!$E$76</definedName>
    <definedName name="sig_ea">'Calculation'!$E$77</definedName>
    <definedName name="lbr_ea">'Calculation'!$E$78</definedName>
    <definedName name="cd_ea">'Calculation'!$E$79</definedName>
    <definedName name="a1_ea">'Calculation'!$E$80</definedName>
    <definedName name="a2_ea">'Calculation'!$E$81</definedName>
    <definedName name="lbmin_ea">'Calculation'!$E$82</definedName>
    <definedName name="lbd_ea">'Calculation'!$E$83</definedName>
    <definedName name="lreq_ea">'Calculation'!$E$84</definedName>
    <definedName name="lav_ea">'Calculation'!$E$85</definedName>
    <definedName name="chk_anch">'Calculation'!$G$86</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'Calculation'!$A$1:$H$90</definedName>
    <definedName name="_xlnm.Print_Area" localSheetId="3">'NDP'!$A$1:$G$29</definedName>
  </definedNames>
  <calcPr calcId="124519" fullCalcOnLoad="1"/>
</workbook>
</file>

<file path=xl/styles.xml><?xml version="1.0" encoding="utf-8"?>
<styleSheet xmlns="http://schemas.openxmlformats.org/spreadsheetml/2006/main">
  <numFmts count="3">
    <numFmt numFmtId="164" formatCode="dd mmm yyyy"/>
    <numFmt numFmtId="165" formatCode="0.0"/>
    <numFmt numFmtId="166" formatCode="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3">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2" fontId="12" fillId="3" borderId="1" applyAlignment="1" applyProtection="1" pivotButton="0" quotePrefix="0" xfId="0">
      <alignment horizontal="center" vertical="center"/>
      <protection locked="0" hidden="0"/>
    </xf>
    <xf numFmtId="165"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2"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0" fillId="4" borderId="0" applyAlignment="1" pivotButton="0" quotePrefix="0" xfId="0">
      <alignment horizontal="center" vertical="center"/>
    </xf>
    <xf numFmtId="165" fontId="16" fillId="4" borderId="0" applyAlignment="1" pivotButton="0" quotePrefix="0" xfId="0">
      <alignment horizontal="center" vertical="center"/>
    </xf>
    <xf numFmtId="1" fontId="16" fillId="4" borderId="0" applyAlignment="1" pivotButton="0" quotePrefix="0" xfId="0">
      <alignment horizontal="center" vertical="center"/>
    </xf>
    <xf numFmtId="0" fontId="17" fillId="0" borderId="0" pivotButton="0" quotePrefix="0" xfId="0"/>
    <xf numFmtId="2" fontId="5" fillId="0" borderId="1" applyAlignment="1" pivotButton="0" quotePrefix="0" xfId="0">
      <alignment horizontal="center" vertical="center"/>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165" fontId="12" fillId="0" borderId="1" applyAlignment="1" pivotButton="0" quotePrefix="0" xfId="0">
      <alignment horizontal="center" vertical="center"/>
    </xf>
    <xf numFmtId="166" fontId="5" fillId="0" borderId="1" applyAlignment="1" pivotButton="0" quotePrefix="0" xfId="0">
      <alignment horizontal="center" vertical="center"/>
    </xf>
    <xf numFmtId="1" fontId="12" fillId="0" borderId="1" applyAlignment="1" pivotButton="0" quotePrefix="0" xfId="0">
      <alignment horizontal="center" vertical="center"/>
    </xf>
    <xf numFmtId="0" fontId="18" fillId="0" borderId="0" applyAlignment="1" pivotButton="0" quotePrefix="0" xfId="0">
      <alignment vertical="top" wrapText="1"/>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support</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'Geometry'!$D$3:$D$6</f>
            </numRef>
          </xVal>
          <yVal>
            <numRef>
              <f>'Geometry'!$E$3:$E$6</f>
            </numRef>
          </yVal>
          <smooth val="0"/>
        </ser>
        <ser>
          <idx val="2"/>
          <order val="2"/>
          <tx>
            <v>beam</v>
          </tx>
          <spPr>
            <a:ln xmlns:a="http://schemas.openxmlformats.org/drawingml/2006/main" w="19050">
              <a:solidFill>
                <a:srgbClr val="5B7F8A"/>
              </a:solidFill>
              <a:prstDash val="dash"/>
            </a:ln>
          </spPr>
          <marker>
            <symbol val="none"/>
            <spPr>
              <a:ln xmlns:a="http://schemas.openxmlformats.org/drawingml/2006/main">
                <a:prstDash val="solid"/>
              </a:ln>
            </spPr>
          </marker>
          <xVal>
            <numRef>
              <f>'Geometry'!$G$3:$G$6</f>
            </numRef>
          </xVal>
          <yVal>
            <numRef>
              <f>'Geometry'!$H$3:$H$6</f>
            </numRef>
          </yVal>
          <smooth val="0"/>
        </ser>
        <ser>
          <idx val="3"/>
          <order val="3"/>
          <tx>
            <v>bottom bar</v>
          </tx>
          <spPr>
            <a:ln xmlns:a="http://schemas.openxmlformats.org/drawingml/2006/main" w="31750">
              <a:solidFill>
                <a:srgbClr val="2B2B2B"/>
              </a:solidFill>
              <a:prstDash val="solid"/>
            </a:ln>
          </spPr>
          <marker>
            <symbol val="none"/>
            <spPr>
              <a:ln xmlns:a="http://schemas.openxmlformats.org/drawingml/2006/main">
                <a:prstDash val="solid"/>
              </a:ln>
            </spPr>
          </marker>
          <xVal>
            <numRef>
              <f>'Geometry'!$J$3:$J$4</f>
            </numRef>
          </xVal>
          <yVal>
            <numRef>
              <f>'Geometry'!$K$3:$K$4</f>
            </numRef>
          </yVal>
          <smooth val="0"/>
        </ser>
        <ser>
          <idx val="4"/>
          <order val="4"/>
          <tx>
            <v>bend</v>
          </tx>
          <spPr>
            <a:ln xmlns:a="http://schemas.openxmlformats.org/drawingml/2006/main" w="31750">
              <a:solidFill>
                <a:srgbClr val="2B2B2B"/>
              </a:solidFill>
              <a:prstDash val="solid"/>
            </a:ln>
          </spPr>
          <marker>
            <symbol val="none"/>
            <spPr>
              <a:ln xmlns:a="http://schemas.openxmlformats.org/drawingml/2006/main">
                <a:prstDash val="solid"/>
              </a:ln>
            </spPr>
          </marker>
          <xVal>
            <numRef>
              <f>'Geometry'!$M$3:$M$4</f>
            </numRef>
          </xVal>
          <yVal>
            <numRef>
              <f>'Geometry'!$N$3:$N$4</f>
            </numRef>
          </yVal>
          <smooth val="0"/>
        </ser>
        <ser>
          <idx val="5"/>
          <order val="5"/>
          <tx>
            <v>anchorage needed</v>
          </tx>
          <spPr>
            <a:ln xmlns:a="http://schemas.openxmlformats.org/drawingml/2006/main" w="38100">
              <a:solidFill>
                <a:srgbClr val="B3261E"/>
              </a:solidFill>
              <a:prstDash val="solid"/>
            </a:ln>
          </spPr>
          <marker>
            <symbol val="none"/>
            <spPr>
              <a:ln xmlns:a="http://schemas.openxmlformats.org/drawingml/2006/main">
                <a:prstDash val="solid"/>
              </a:ln>
            </spPr>
          </marker>
          <xVal>
            <numRef>
              <f>'Geometry'!$P$3:$P$4</f>
            </numRef>
          </xVal>
          <yVal>
            <numRef>
              <f>'Geometry'!$Q$3:$Q$4</f>
            </numRef>
          </yVal>
          <smooth val="0"/>
        </ser>
        <ser>
          <idx val="6"/>
          <order val="6"/>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'Geometry'!$S$3:$S$4</f>
            </numRef>
          </xVal>
          <yVal>
            <numRef>
              <f>'Geometry'!$T$3:$T$4</f>
            </numRef>
          </yVal>
          <smooth val="0"/>
        </ser>
        <ser>
          <idx val="7"/>
          <order val="7"/>
          <tx>
            <strRef>
              <f>'Geometry'!$V$2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'Geometry'!$V$3</f>
            </numRef>
          </xVal>
          <yVal>
            <numRef>
              <f>'Geometry'!$W$3</f>
            </numRef>
          </yVal>
          <smooth val="0"/>
        </ser>
        <ser>
          <idx val="8"/>
          <order val="8"/>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'Geometry'!$Y$3:$Y$4</f>
            </numRef>
          </xVal>
          <yVal>
            <numRef>
              <f>'Geometry'!$Z$3:$Z$4</f>
            </numRef>
          </yVal>
          <smooth val="0"/>
        </ser>
        <ser>
          <idx val="9"/>
          <order val="9"/>
          <tx>
            <strRef>
              <f>'Geometry'!$AB$2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'Geometry'!$AB$3</f>
            </numRef>
          </xVal>
          <yVal>
            <numRef>
              <f>'Geometry'!$AC$3</f>
            </numRef>
          </yVal>
          <smooth val="0"/>
        </ser>
        <ser>
          <idx val="10"/>
          <order val="10"/>
          <tx>
            <strRef>
              <f>'Geometry'!$AE$2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ctr"/>
            <showLegendKey val="0"/>
            <showVal val="0"/>
            <showCatName val="0"/>
            <showSerName val="1"/>
            <showPercent val="0"/>
          </dLbls>
          <xVal>
            <numRef>
              <f>'Geometry'!$AE$3</f>
            </numRef>
          </xVal>
          <yVal>
            <numRef>
              <f>'Geometry'!$AF$3</f>
            </numRef>
          </yVal>
          <smooth val="0"/>
        </ser>
        <ser>
          <idx val="11"/>
          <order val="11"/>
          <tx>
            <v>frame</v>
          </tx>
          <spPr>
            <a:ln xmlns:a="http://schemas.openxmlformats.org/drawingml/2006/main">
              <a:noFill/>
              <a:prstDash val="solid"/>
            </a:ln>
          </spPr>
          <marker>
            <symbol val="none"/>
            <spPr>
              <a:ln xmlns:a="http://schemas.openxmlformats.org/drawingml/2006/main">
                <a:prstDash val="solid"/>
              </a:ln>
            </spPr>
          </marker>
          <xVal>
            <numRef>
              <f>'Geometry'!$AH$3:$AH$4</f>
            </numRef>
          </xVal>
          <yVal>
            <numRef>
              <f>'Geometry'!$AI$3:$AI$4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39</row>
      <rowOff>0</rowOff>
    </from>
    <ext cx="6138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End anchorage</t>
        </is>
      </c>
    </row>
    <row r="8" ht="20" customHeight="1">
      <c r="B8" s="4" t="inlineStr">
        <is>
          <t>Bottom reinforcement at supports  ·  EN 1992-1-1 §9.2.1.3 – 9.2.1.5, §8.4  ·  UK NA / PN-EN</t>
        </is>
      </c>
    </row>
    <row r="10">
      <c r="B10" s="5" t="inlineStr">
        <is>
          <t>Reference</t>
        </is>
      </c>
      <c r="C10" s="6" t="inlineStr">
        <is>
          <t>NAE-RC-035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Bottom bars of a beam at a support: the tensile force to be anchored from the shifted moment curve, the area to take into the support (with the minimum share of the span steel) and the anchorage length from the face of the support against the length available.</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221.5" customHeight="1">
      <c r="B22" s="7" t="inlineStr">
        <is>
          <t>Beam with bottom bars running into the support. Force to anchor FEd = |VEd| al / z + NEd (9.3, 9.2.1.4(2)), z = 0.9 d, al = z cot θ / 2 with vertical links (9.2.1.3(2), α = 90°) or al = d without shear reinforcement; NEd the axial tension to be added (0 if none). Area at the support at least FEd / fyd and β2 As,span (9.2.1.4(1), 9.2.1.5(1), β2 = 0.25 recommended, kept by the UK NA and the PL NA). Anchorage to 8.4 with the stress σsd = FEd / As in the bars, η1 by Figure 8.2, η2 for φ &gt; 32, α1 and α2 from Table 8.2 for straight bars or bends and hooks, α3 = α4 = α5 = 1 (no credit for links or transverse pressure, conservative), lbd ≥ lb,min (8.6). End supports: lbd measured from the face of the support (Figure 9.3) within its width less the end cover (9.2.1.4(3): from the line of contact with the support). Intermediate supports: straight bars only, continuing at least 10 φ beyond the face (9.2.1.5(2); bends and hooks there need their mandrel rule, not covered), and continuous where the support may see sagging (9.2.1.5(3)). Bottom bars in one layer at the bottom (h − d at least c + φ/2), member cast horizontally: η1 = 1 (good bond) when h ≤ 250 mm, when the bar centre is within 250 mm of the bottom for h ≤ 600 mm, or at least 300 mm below the top for h &gt; 600 mm (Figure 8.2); η1 = 0.7 otherwise (8.4.2(2)). Indirect supports need suspension reinforcement as well (9.2.5), not covered. β2 = 0.25 is the recommended value, kept by the UK NA and by the PL NA (NA.9). VEd may be entered with either sign, its magnitude is used. fyk 400 – 500 MPa.
The second-generation EN 1992-1-1:2023 is not yet implemented.</t>
        </is>
      </c>
    </row>
    <row r="24" ht="20" customHeight="1">
      <c r="B24" s="8" t="inlineStr">
        <is>
          <t>Further reading and independent cross-check</t>
        </is>
      </c>
      <c r="C24" s="9" t="n"/>
    </row>
    <row r="25" ht="62" customHeight="1">
      <c r="B25" s="10" t="inlineStr">
        <is>
          <t>•  The Concrete Centre, How to design concrete structures using Eurocode 2: Detailing.
•  The Concrete Centre, Concise Eurocode 2, 11 (detailing).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&amp;K8A8A8ANAE-RC-035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89"/>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End anchorage</t>
        </is>
      </c>
      <c r="H2" s="1" t="n"/>
    </row>
    <row r="3" ht="16" customHeight="1">
      <c r="A3" s="1" t="n"/>
      <c r="B3" s="1" t="n"/>
      <c r="C3" s="15" t="inlineStr">
        <is>
          <t>NAE-RC-035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beam, bars and support</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9.2.1.4, 9.2.1.5</t>
        </is>
      </c>
      <c r="C14" s="24" t="inlineStr">
        <is>
          <t>Support</t>
        </is>
      </c>
      <c r="D14" s="23" t="n"/>
      <c r="E14" s="25" t="inlineStr">
        <is>
          <t>End support  (direct)</t>
        </is>
      </c>
      <c r="F14" s="23" t="n"/>
      <c r="G14" s="23" t="n"/>
    </row>
    <row r="15" ht="17" customHeight="1">
      <c r="B15" s="23" t="n"/>
      <c r="C15" s="24" t="inlineStr">
        <is>
          <t>Width of the support  (in the span direction)</t>
        </is>
      </c>
      <c r="D15" s="27" t="inlineStr">
        <is>
          <r>
            <rPr>
              <rFont val="Calibri"/>
              <i val="1"/>
              <color rgb="002B2B2B"/>
              <sz val="10"/>
            </rPr>
            <t>t</t>
          </r>
        </is>
      </c>
      <c r="E15" s="25" t="n">
        <v>450</v>
      </c>
      <c r="F15" s="28" t="inlineStr">
        <is>
          <t>mm</t>
        </is>
      </c>
      <c r="G15" s="23" t="n"/>
    </row>
    <row r="16" ht="17" customHeight="1">
      <c r="B16" s="26" t="inlineStr">
        <is>
          <t>4.4.1</t>
        </is>
      </c>
      <c r="C16" s="24" t="inlineStr">
        <is>
          <t>End cover beyond the bar ends</t>
        </is>
      </c>
      <c r="D16" s="27" t="inlineStr">
        <is>
          <r>
            <rPr>
              <rFont val="Calibri"/>
              <i val="1"/>
              <color rgb="002B2B2B"/>
              <sz val="10"/>
            </rPr>
            <t>c</t>
          </r>
          <r>
            <rPr>
              <rFont val="Calibri"/>
              <i val="1"/>
              <color rgb="002B2B2B"/>
              <sz val="10"/>
              <vertAlign val="subscript"/>
            </rPr>
            <t>end</t>
          </r>
        </is>
      </c>
      <c r="E16" s="25" t="n">
        <v>40</v>
      </c>
      <c r="F16" s="28" t="inlineStr">
        <is>
          <t>mm</t>
        </is>
      </c>
      <c r="G16" s="23" t="n"/>
    </row>
    <row r="17" ht="17" customHeight="1">
      <c r="B17" s="23" t="n"/>
      <c r="C17" s="24" t="inlineStr">
        <is>
          <t>Overall depth of the beam</t>
        </is>
      </c>
      <c r="D17" s="27" t="inlineStr">
        <is>
          <r>
            <rPr>
              <rFont val="Calibri"/>
              <i val="1"/>
              <color rgb="002B2B2B"/>
              <sz val="10"/>
            </rPr>
            <t>h</t>
          </r>
        </is>
      </c>
      <c r="E17" s="25" t="n">
        <v>500</v>
      </c>
      <c r="F17" s="28" t="inlineStr">
        <is>
          <t>mm</t>
        </is>
      </c>
      <c r="G17" s="23" t="n"/>
    </row>
    <row r="18" ht="17" customHeight="1">
      <c r="B18" s="23" t="n"/>
      <c r="C18" s="24" t="inlineStr">
        <is>
          <t>Effective depth</t>
        </is>
      </c>
      <c r="D18" s="27" t="inlineStr">
        <is>
          <r>
            <rPr>
              <rFont val="Calibri"/>
              <i val="1"/>
              <color rgb="002B2B2B"/>
              <sz val="10"/>
            </rPr>
            <t>d</t>
          </r>
        </is>
      </c>
      <c r="E18" s="25" t="n">
        <v>450</v>
      </c>
      <c r="F18" s="28" t="inlineStr">
        <is>
          <t>mm</t>
        </is>
      </c>
      <c r="G18" s="23" t="n"/>
    </row>
    <row r="19" ht="17" customHeight="1">
      <c r="B19" s="23" t="n"/>
      <c r="C19" s="24" t="inlineStr">
        <is>
          <t>Cover to the bottom bars  (side and bottom)</t>
        </is>
      </c>
      <c r="D19" s="27" t="inlineStr">
        <is>
          <r>
            <rPr>
              <rFont val="Calibri"/>
              <i val="1"/>
              <color rgb="002B2B2B"/>
              <sz val="10"/>
            </rPr>
            <t>c</t>
          </r>
        </is>
      </c>
      <c r="E19" s="25" t="n">
        <v>35</v>
      </c>
      <c r="F19" s="28" t="inlineStr">
        <is>
          <t>mm</t>
        </is>
      </c>
      <c r="G19" s="23" t="n"/>
    </row>
    <row r="20" ht="17" customHeight="1">
      <c r="B20" s="23" t="n"/>
      <c r="C20" s="24" t="inlineStr">
        <is>
          <t>Bottom bars taken into the support: number</t>
        </is>
      </c>
      <c r="D20" s="27" t="inlineStr">
        <is>
          <r>
            <rPr>
              <rFont val="Calibri"/>
              <i val="1"/>
              <color rgb="002B2B2B"/>
              <sz val="10"/>
            </rPr>
            <t>n</t>
          </r>
        </is>
      </c>
      <c r="E20" s="25" t="n">
        <v>4</v>
      </c>
      <c r="F20" s="23" t="n"/>
      <c r="G20" s="23" t="n"/>
    </row>
    <row r="21" ht="17" customHeight="1">
      <c r="B21" s="23" t="n"/>
      <c r="C21" s="24" t="inlineStr">
        <is>
          <t>Diameter</t>
        </is>
      </c>
      <c r="D21" s="27" t="inlineStr">
        <is>
          <r>
            <rPr>
              <rFont val="Calibri"/>
              <i val="1"/>
              <color rgb="002B2B2B"/>
              <sz val="10"/>
            </rPr>
            <t>φ</t>
          </r>
        </is>
      </c>
      <c r="E21" s="25" t="n">
        <v>16</v>
      </c>
      <c r="F21" s="28" t="inlineStr">
        <is>
          <t>mm</t>
        </is>
      </c>
      <c r="G21" s="23" t="n"/>
    </row>
    <row r="22" ht="17" customHeight="1">
      <c r="B22" s="26" t="inlineStr">
        <is>
          <t>Figure 8.3</t>
        </is>
      </c>
      <c r="C22" s="24" t="inlineStr">
        <is>
          <t>Clear gap between those bars</t>
        </is>
      </c>
      <c r="D22" s="27" t="inlineStr">
        <is>
          <r>
            <rPr>
              <rFont val="Calibri"/>
              <i val="1"/>
              <color rgb="002B2B2B"/>
              <sz val="10"/>
            </rPr>
            <t>a</t>
          </r>
        </is>
      </c>
      <c r="E22" s="25" t="n">
        <v>60</v>
      </c>
      <c r="F22" s="28" t="inlineStr">
        <is>
          <t>mm</t>
        </is>
      </c>
      <c r="G22" s="23" t="n"/>
    </row>
    <row r="23" ht="17" customHeight="1">
      <c r="B23" s="26" t="inlineStr">
        <is>
          <t>Table 8.2</t>
        </is>
      </c>
      <c r="C23" s="24" t="inlineStr">
        <is>
          <t>Anchorage form</t>
        </is>
      </c>
      <c r="D23" s="23" t="n"/>
      <c r="E23" s="25" t="inlineStr">
        <is>
          <t>Bend or hook</t>
        </is>
      </c>
      <c r="F23" s="23" t="n"/>
      <c r="G23" s="23" t="n"/>
    </row>
    <row r="24" ht="17" customHeight="1">
      <c r="B24" s="26" t="inlineStr">
        <is>
          <t>9.2.1.4(1)</t>
        </is>
      </c>
      <c r="C24" s="24" t="inlineStr">
        <is>
          <t>Bottom steel in the span</t>
        </is>
      </c>
      <c r="D24" s="27" t="inlineStr">
        <is>
          <r>
            <rPr>
              <rFont val="Calibri"/>
              <i val="1"/>
              <color rgb="002B2B2B"/>
              <sz val="10"/>
            </rPr>
            <t>A</t>
          </r>
          <r>
            <rPr>
              <rFont val="Calibri"/>
              <i val="1"/>
              <color rgb="002B2B2B"/>
              <sz val="10"/>
              <vertAlign val="subscript"/>
            </rPr>
            <t>s,span</t>
          </r>
        </is>
      </c>
      <c r="E24" s="25" t="n">
        <v>1473</v>
      </c>
      <c r="F24" s="28" t="inlineStr">
        <is>
          <t>mm²</t>
        </is>
      </c>
      <c r="G24" s="23" t="n"/>
    </row>
    <row r="25" ht="17" customHeight="1">
      <c r="B25" s="26" t="inlineStr">
        <is>
          <t>9.2.1.3(2)</t>
        </is>
      </c>
      <c r="C25" s="24" t="inlineStr">
        <is>
          <t>Links in the beam</t>
        </is>
      </c>
      <c r="D25" s="23" t="n"/>
      <c r="E25" s="25" t="inlineStr">
        <is>
          <t>Yes</t>
        </is>
      </c>
      <c r="F25" s="23" t="n"/>
      <c r="G25" s="23" t="n"/>
    </row>
    <row r="26" ht="17" customHeight="1">
      <c r="B26" s="26" t="inlineStr">
        <is>
          <t>6.2.3(2)</t>
        </is>
      </c>
      <c r="C26" s="24" t="inlineStr">
        <is>
          <t>Strut inclination used for shear  cot θ</t>
        </is>
      </c>
      <c r="D26" s="27" t="inlineStr">
        <is>
          <r>
            <rPr>
              <rFont val="Calibri"/>
              <i val="1"/>
              <color rgb="002B2B2B"/>
              <sz val="10"/>
            </rPr>
            <t>cot θ</t>
          </r>
        </is>
      </c>
      <c r="E26" s="29" t="n">
        <v>2.5</v>
      </c>
      <c r="F26" s="23" t="n"/>
      <c r="G26" s="23" t="n"/>
    </row>
    <row r="28" ht="22" customHeight="1">
      <c r="B28" s="20" t="inlineStr">
        <is>
          <t>Inputs  ·  design actions</t>
        </is>
      </c>
      <c r="C28" s="21" t="n"/>
      <c r="D28" s="21" t="n"/>
      <c r="E28" s="21" t="n"/>
      <c r="F28" s="21" t="n"/>
      <c r="G28" s="22" t="inlineStr">
        <is>
          <t>Ultimate limit state, at the support</t>
        </is>
      </c>
    </row>
    <row r="29" ht="17" customHeight="1">
      <c r="B29" s="23" t="n"/>
      <c r="C29" s="24" t="inlineStr">
        <is>
          <t>Shear force at the support  (either sign)</t>
        </is>
      </c>
      <c r="D29" s="27" t="inlineStr">
        <is>
          <r>
            <rPr>
              <rFont val="Calibri"/>
              <i val="1"/>
              <color rgb="002B2B2B"/>
              <sz val="10"/>
            </rPr>
            <t>V</t>
          </r>
          <r>
            <rPr>
              <rFont val="Calibri"/>
              <i val="1"/>
              <color rgb="002B2B2B"/>
              <sz val="10"/>
              <vertAlign val="subscript"/>
            </rPr>
            <t>Ed</t>
          </r>
        </is>
      </c>
      <c r="E29" s="30" t="n">
        <v>150</v>
      </c>
      <c r="F29" s="28" t="inlineStr">
        <is>
          <t>kN</t>
        </is>
      </c>
      <c r="G29" s="23" t="n"/>
    </row>
    <row r="30" ht="17" customHeight="1">
      <c r="B30" s="23" t="n"/>
      <c r="C30" s="24" t="inlineStr">
        <is>
          <t>Axial tension to add  (0 = none)</t>
        </is>
      </c>
      <c r="D30" s="27" t="inlineStr">
        <is>
          <r>
            <rPr>
              <rFont val="Calibri"/>
              <i val="1"/>
              <color rgb="002B2B2B"/>
              <sz val="10"/>
            </rPr>
            <t>N</t>
          </r>
          <r>
            <rPr>
              <rFont val="Calibri"/>
              <i val="1"/>
              <color rgb="002B2B2B"/>
              <sz val="10"/>
              <vertAlign val="subscript"/>
            </rPr>
            <t>Ed</t>
          </r>
        </is>
      </c>
      <c r="E30" s="30" t="n">
        <v>0</v>
      </c>
      <c r="F30" s="28" t="inlineStr">
        <is>
          <t>kN</t>
        </is>
      </c>
      <c r="G30" s="23" t="n"/>
    </row>
    <row r="31" ht="17" customHeight="1">
      <c r="B31" s="23" t="n"/>
      <c r="C31" s="24" t="inlineStr">
        <is>
          <t>Inputs valid and consistent</t>
        </is>
      </c>
      <c r="D31" s="23" t="n"/>
      <c r="E31" s="9" t="n"/>
      <c r="F31" s="23" t="n"/>
      <c r="G31" s="31">
        <f>IF(inputs_ok,"OK","FAIL")</f>
        <v/>
      </c>
    </row>
    <row r="33" ht="22" customHeight="1">
      <c r="B33" s="20" t="inlineStr">
        <is>
          <t>Results</t>
        </is>
      </c>
      <c r="C33" s="21" t="n"/>
      <c r="D33" s="21" t="n"/>
      <c r="E33" s="21" t="n"/>
      <c r="F33" s="21" t="n"/>
      <c r="G33" s="21" t="n"/>
    </row>
    <row r="34" ht="26" customHeight="1">
      <c r="B34" s="32" t="n"/>
      <c r="C34" s="33" t="inlineStr">
        <is>
          <t>Steel at the support  need / provided</t>
        </is>
      </c>
      <c r="D34" s="32" t="n"/>
      <c r="E34" s="34">
        <f>IF(inputs_ok,Asneed_ea/Asv_ea,"–")</f>
        <v/>
      </c>
      <c r="F34" s="35" t="inlineStr"/>
      <c r="G34" s="36">
        <f>IF(NOT(inputs_ok),"FAIL",IF(steel_ok,"OK","FAIL"))</f>
        <v/>
      </c>
    </row>
    <row r="35" ht="26" customHeight="1">
      <c r="B35" s="32" t="n"/>
      <c r="C35" s="33" t="inlineStr">
        <is>
          <t>Anchorage  needed / available</t>
        </is>
      </c>
      <c r="D35" s="32" t="n"/>
      <c r="E35" s="34">
        <f>IF(inputs_ok,lreq_ea/lav_ea,"–")</f>
        <v/>
      </c>
      <c r="F35" s="35" t="inlineStr"/>
      <c r="G35" s="36">
        <f>IF(NOT(inputs_ok),"FAIL",IF(anch_ok,"OK","FAIL"))</f>
        <v/>
      </c>
    </row>
    <row r="36" ht="26" customHeight="1">
      <c r="B36" s="32" t="n"/>
      <c r="C36" s="33" t="inlineStr">
        <is>
          <t>Force to anchor</t>
        </is>
      </c>
      <c r="D36" s="37" t="inlineStr">
        <is>
          <r>
            <rPr>
              <rFont val="Calibri"/>
              <i val="1"/>
              <color rgb="002B2B2B"/>
              <sz val="11"/>
            </rPr>
            <t>F</t>
          </r>
          <r>
            <rPr>
              <rFont val="Calibri"/>
              <i val="1"/>
              <color rgb="002B2B2B"/>
              <sz val="11"/>
              <vertAlign val="subscript"/>
            </rPr>
            <t>Ed</t>
          </r>
        </is>
      </c>
      <c r="E36" s="38">
        <f>IF(inputs_ok,FEd_ea,"–")</f>
        <v/>
      </c>
      <c r="F36" s="35" t="inlineStr">
        <is>
          <t>kN</t>
        </is>
      </c>
      <c r="G36" s="32" t="n"/>
    </row>
    <row r="37" ht="26" customHeight="1">
      <c r="B37" s="32" t="n"/>
      <c r="C37" s="33" t="inlineStr">
        <is>
          <t>Anchorage length needed from the face</t>
        </is>
      </c>
      <c r="D37" s="37" t="inlineStr">
        <is>
          <r>
            <rPr>
              <rFont val="Calibri"/>
              <i val="1"/>
              <color rgb="002B2B2B"/>
              <sz val="11"/>
            </rPr>
            <t>l</t>
          </r>
        </is>
      </c>
      <c r="E37" s="39">
        <f>IF(inputs_ok,lreq_ea,"–")</f>
        <v/>
      </c>
      <c r="F37" s="35" t="inlineStr">
        <is>
          <t>mm</t>
        </is>
      </c>
      <c r="G37" s="32" t="n"/>
    </row>
    <row r="38"/>
    <row r="39">
      <c r="B39" s="40" t="inlineStr">
        <is>
          <t>Your support, elevation  ·  the bottom bars running into the support, the length needed from its face (red: lbd at an end support, 10 φ at an intermediate one) and the length available; the support outline and a bend drawn schematically, the same for every support type</t>
        </is>
      </c>
    </row>
    <row r="40"/>
    <row r="41"/>
    <row r="42"/>
    <row r="43"/>
    <row r="44"/>
    <row r="45"/>
    <row r="46"/>
    <row r="47"/>
    <row r="48"/>
    <row r="49"/>
    <row r="50"/>
    <row r="51"/>
    <row r="52"/>
    <row r="53"/>
    <row r="54"/>
    <row r="55"/>
    <row r="56"/>
    <row r="57"/>
    <row r="58" ht="22" customHeight="1">
      <c r="B58" s="20" t="inlineStr">
        <is>
          <t>Calculation  ·  force and area</t>
        </is>
      </c>
      <c r="C58" s="21" t="n"/>
      <c r="D58" s="21" t="n"/>
      <c r="E58" s="21" t="n"/>
      <c r="F58" s="21" t="n"/>
      <c r="G58" s="21" t="n"/>
    </row>
    <row r="59" ht="17" customHeight="1">
      <c r="B59" s="26" t="inlineStr">
        <is>
          <t>2.4.2.4(1)</t>
        </is>
      </c>
      <c r="C59" s="24" t="inlineStr">
        <is>
          <t>Partial factor, concrete</t>
        </is>
      </c>
      <c r="D59" s="27" t="inlineStr">
        <is>
          <r>
            <rPr>
              <rFont val="Calibri"/>
              <i val="1"/>
              <color rgb="002B2B2B"/>
              <sz val="10"/>
            </rPr>
            <t>γ</t>
          </r>
          <r>
            <rPr>
              <rFont val="Calibri"/>
              <i val="1"/>
              <color rgb="002B2B2B"/>
              <sz val="10"/>
              <vertAlign val="subscript"/>
            </rPr>
            <t>c</t>
          </r>
        </is>
      </c>
      <c r="E59" s="41">
        <f>IF(inputs_ok,ndp_gamma_c,NA())</f>
        <v/>
      </c>
      <c r="F59" s="23" t="n"/>
      <c r="G59" s="26" t="inlineStr">
        <is>
          <t>NDP sheet</t>
        </is>
      </c>
    </row>
    <row r="60" ht="17" customHeight="1">
      <c r="B60" s="26" t="inlineStr">
        <is>
          <t>2.4.2.4(1)</t>
        </is>
      </c>
      <c r="C60" s="24" t="inlineStr">
        <is>
          <t>Partial factor, reinforcement</t>
        </is>
      </c>
      <c r="D60" s="27" t="inlineStr">
        <is>
          <r>
            <rPr>
              <rFont val="Calibri"/>
              <i val="1"/>
              <color rgb="002B2B2B"/>
              <sz val="10"/>
            </rPr>
            <t>γ</t>
          </r>
          <r>
            <rPr>
              <rFont val="Calibri"/>
              <i val="1"/>
              <color rgb="002B2B2B"/>
              <sz val="10"/>
              <vertAlign val="subscript"/>
            </rPr>
            <t>s</t>
          </r>
        </is>
      </c>
      <c r="E60" s="41">
        <f>IF(inputs_ok,ndp_gamma_s,NA())</f>
        <v/>
      </c>
      <c r="F60" s="23" t="n"/>
      <c r="G60" s="26" t="inlineStr">
        <is>
          <t>NDP sheet</t>
        </is>
      </c>
    </row>
    <row r="61" ht="17" customHeight="1">
      <c r="B61" s="26" t="inlineStr">
        <is>
          <t>3.1.6(2)</t>
        </is>
      </c>
      <c r="C61" s="24" t="inlineStr">
        <is>
          <t>Coefficient on tensile strength</t>
        </is>
      </c>
      <c r="D61" s="27" t="inlineStr">
        <is>
          <r>
            <rPr>
              <rFont val="Calibri"/>
              <i val="1"/>
              <color rgb="002B2B2B"/>
              <sz val="10"/>
            </rPr>
            <t>α</t>
          </r>
          <r>
            <rPr>
              <rFont val="Calibri"/>
              <i val="1"/>
              <color rgb="002B2B2B"/>
              <sz val="10"/>
              <vertAlign val="subscript"/>
            </rPr>
            <t>ct</t>
          </r>
        </is>
      </c>
      <c r="E61" s="41">
        <f>IF(inputs_ok,ndp_alpha_ct,NA())</f>
        <v/>
      </c>
      <c r="F61" s="23" t="n"/>
      <c r="G61" s="26" t="inlineStr">
        <is>
          <t>NDP sheet</t>
        </is>
      </c>
    </row>
    <row r="62" ht="17" customHeight="1">
      <c r="B62" s="26" t="inlineStr">
        <is>
          <t>Table 3.1</t>
        </is>
      </c>
      <c r="C62" s="24" t="inlineStr">
        <is>
          <t>Characteristic cylinder strength</t>
        </is>
      </c>
      <c r="D62" s="27" t="inlineStr">
        <is>
          <r>
            <rPr>
              <rFont val="Calibri"/>
              <i val="1"/>
              <color rgb="002B2B2B"/>
              <sz val="10"/>
            </rPr>
            <t>f</t>
          </r>
          <r>
            <rPr>
              <rFont val="Calibri"/>
              <i val="1"/>
              <color rgb="002B2B2B"/>
              <sz val="10"/>
              <vertAlign val="subscript"/>
            </rPr>
            <t>ck</t>
          </r>
        </is>
      </c>
      <c r="E62" s="42">
        <f>IF(inputs_ok,VALUE(MID(conc_class,2,FIND("/",conc_class)-2)),NA())</f>
        <v/>
      </c>
      <c r="F62" s="28" t="inlineStr">
        <is>
          <t>MPa</t>
        </is>
      </c>
      <c r="G62" s="23" t="n"/>
    </row>
    <row r="63" ht="17" customHeight="1">
      <c r="B63" s="26" t="inlineStr">
        <is>
          <t>Table 3.1</t>
        </is>
      </c>
      <c r="C63" s="24" t="inlineStr">
        <is>
          <t>Mean tensile strength</t>
        </is>
      </c>
      <c r="D63" s="27" t="inlineStr">
        <is>
          <r>
            <rPr>
              <rFont val="Calibri"/>
              <i val="1"/>
              <color rgb="002B2B2B"/>
              <sz val="10"/>
            </rPr>
            <t>f</t>
          </r>
          <r>
            <rPr>
              <rFont val="Calibri"/>
              <i val="1"/>
              <color rgb="002B2B2B"/>
              <sz val="10"/>
              <vertAlign val="subscript"/>
            </rPr>
            <t>ctm</t>
          </r>
        </is>
      </c>
      <c r="E63" s="41">
        <f>IF(inputs_ok,IF(f_ck&lt;=50,0.3*f_ck^(2/3),2.12*LN(1+(f_ck+8)/10)),NA())</f>
        <v/>
      </c>
      <c r="F63" s="28" t="inlineStr">
        <is>
          <t>MPa</t>
        </is>
      </c>
      <c r="G63" s="23" t="n"/>
    </row>
    <row r="64" ht="17" customHeight="1">
      <c r="B64" s="26" t="inlineStr">
        <is>
          <t>3.2.7</t>
        </is>
      </c>
      <c r="C64" s="24" t="inlineStr">
        <is>
          <t>Design yield strength</t>
        </is>
      </c>
      <c r="D64" s="27" t="inlineStr">
        <is>
          <r>
            <rPr>
              <rFont val="Calibri"/>
              <i val="1"/>
              <color rgb="002B2B2B"/>
              <sz val="10"/>
            </rPr>
            <t>f</t>
          </r>
          <r>
            <rPr>
              <rFont val="Calibri"/>
              <i val="1"/>
              <color rgb="002B2B2B"/>
              <sz val="10"/>
              <vertAlign val="subscript"/>
            </rPr>
            <t>yd</t>
          </r>
        </is>
      </c>
      <c r="E64" s="43">
        <f>IF(inputs_ok,f_yk/gamma_s,NA())</f>
        <v/>
      </c>
      <c r="F64" s="28" t="inlineStr">
        <is>
          <t>MPa</t>
        </is>
      </c>
      <c r="G64" s="23" t="n"/>
    </row>
    <row r="65" ht="17" customHeight="1">
      <c r="B65" s="26" t="inlineStr">
        <is>
          <t>6.2.3(1)</t>
        </is>
      </c>
      <c r="C65" s="24" t="inlineStr">
        <is>
          <t>Lever arm  0.9 d</t>
        </is>
      </c>
      <c r="D65" s="27" t="inlineStr">
        <is>
          <r>
            <rPr>
              <rFont val="Calibri"/>
              <i val="1"/>
              <color rgb="002B2B2B"/>
              <sz val="10"/>
            </rPr>
            <t>z</t>
          </r>
        </is>
      </c>
      <c r="E65" s="42">
        <f>IF(inputs_ok,0.9*ea_d,NA())</f>
        <v/>
      </c>
      <c r="F65" s="28" t="inlineStr">
        <is>
          <t>mm</t>
        </is>
      </c>
      <c r="G65" s="23" t="n"/>
    </row>
    <row r="66" ht="17" customHeight="1">
      <c r="B66" s="26" t="inlineStr">
        <is>
          <t>9.2.1.3(2)</t>
        </is>
      </c>
      <c r="C66" s="24" t="inlineStr">
        <is>
          <t>Shift  al = z cot θ / 2 with links, d without</t>
        </is>
      </c>
      <c r="D66" s="27" t="inlineStr">
        <is>
          <r>
            <rPr>
              <rFont val="Calibri"/>
              <i val="1"/>
              <color rgb="002B2B2B"/>
              <sz val="10"/>
            </rPr>
            <t>a</t>
          </r>
          <r>
            <rPr>
              <rFont val="Calibri"/>
              <i val="1"/>
              <color rgb="002B2B2B"/>
              <sz val="10"/>
              <vertAlign val="subscript"/>
            </rPr>
            <t>l</t>
          </r>
        </is>
      </c>
      <c r="E66" s="42">
        <f>IF(inputs_ok,IF(ea_links="Yes",z_ea*ea_cot/2,ea_d),NA())</f>
        <v/>
      </c>
      <c r="F66" s="28" t="inlineStr">
        <is>
          <t>mm</t>
        </is>
      </c>
      <c r="G66" s="23" t="n"/>
    </row>
    <row r="67" ht="17" customHeight="1">
      <c r="B67" s="26" t="inlineStr">
        <is>
          <t>(9.3)</t>
        </is>
      </c>
      <c r="C67" s="24" t="inlineStr">
        <is>
          <t>Force to anchor  |VEd| al / z + NEd</t>
        </is>
      </c>
      <c r="D67" s="27" t="inlineStr">
        <is>
          <r>
            <rPr>
              <rFont val="Calibri"/>
              <i val="1"/>
              <color rgb="002B2B2B"/>
              <sz val="10"/>
            </rPr>
            <t>F</t>
          </r>
          <r>
            <rPr>
              <rFont val="Calibri"/>
              <i val="1"/>
              <color rgb="002B2B2B"/>
              <sz val="10"/>
              <vertAlign val="subscript"/>
            </rPr>
            <t>Ed</t>
          </r>
        </is>
      </c>
      <c r="E67" s="44">
        <f>IF(inputs_ok,ABS(ea_V)*al_ea/z_ea+ea_Nt,NA())</f>
        <v/>
      </c>
      <c r="F67" s="28" t="inlineStr">
        <is>
          <t>kN</t>
        </is>
      </c>
      <c r="G67" s="23" t="n"/>
    </row>
    <row r="68" ht="17" customHeight="1">
      <c r="B68" s="26" t="inlineStr">
        <is>
          <t>9.2.1.4(1)</t>
        </is>
      </c>
      <c r="C68" s="24" t="inlineStr">
        <is>
          <t>Minimum share of the span steel  β2 As,span,  β2 = 0.25</t>
        </is>
      </c>
      <c r="D68" s="27" t="inlineStr">
        <is>
          <r>
            <rPr>
              <rFont val="Calibri"/>
              <i val="1"/>
              <color rgb="002B2B2B"/>
              <sz val="10"/>
            </rPr>
            <t>β2 A</t>
          </r>
          <r>
            <rPr>
              <rFont val="Calibri"/>
              <i val="1"/>
              <color rgb="002B2B2B"/>
              <sz val="10"/>
              <vertAlign val="subscript"/>
            </rPr>
            <t>s</t>
          </r>
        </is>
      </c>
      <c r="E68" s="42">
        <f>IF(inputs_ok,0.25*ea_Asp,NA())</f>
        <v/>
      </c>
      <c r="F68" s="28" t="inlineStr">
        <is>
          <t>mm²</t>
        </is>
      </c>
      <c r="G68" s="23" t="n"/>
    </row>
    <row r="69" ht="17" customHeight="1">
      <c r="B69" s="23" t="n"/>
      <c r="C69" s="24" t="inlineStr">
        <is>
          <t>Needed at the support  max(FEd / fyd; β2 As,span)</t>
        </is>
      </c>
      <c r="D69" s="27" t="inlineStr">
        <is>
          <r>
            <rPr>
              <rFont val="Calibri"/>
              <i val="1"/>
              <color rgb="002B2B2B"/>
              <sz val="10"/>
            </rPr>
            <t>A</t>
          </r>
          <r>
            <rPr>
              <rFont val="Calibri"/>
              <i val="1"/>
              <color rgb="002B2B2B"/>
              <sz val="10"/>
              <vertAlign val="subscript"/>
            </rPr>
            <t>s,req</t>
          </r>
        </is>
      </c>
      <c r="E69" s="42">
        <f>IF(inputs_ok,MAX(FEd_ea*1000/fyd_ea,Asmin_ea),NA())</f>
        <v/>
      </c>
      <c r="F69" s="28" t="inlineStr">
        <is>
          <t>mm²</t>
        </is>
      </c>
      <c r="G69" s="23" t="n"/>
    </row>
    <row r="70" ht="17" customHeight="1">
      <c r="B70" s="23" t="n"/>
      <c r="C70" s="24" t="inlineStr">
        <is>
          <t>Provided  n π φ² / 4</t>
        </is>
      </c>
      <c r="D70" s="27" t="inlineStr">
        <is>
          <r>
            <rPr>
              <rFont val="Calibri"/>
              <i val="1"/>
              <color rgb="002B2B2B"/>
              <sz val="10"/>
            </rPr>
            <t>A</t>
          </r>
          <r>
            <rPr>
              <rFont val="Calibri"/>
              <i val="1"/>
              <color rgb="002B2B2B"/>
              <sz val="10"/>
              <vertAlign val="subscript"/>
            </rPr>
            <t>s,prov</t>
          </r>
        </is>
      </c>
      <c r="E70" s="42">
        <f>IF(inputs_ok,ea_n*PI()*ea_phi^2/4,NA())</f>
        <v/>
      </c>
      <c r="F70" s="28" t="inlineStr">
        <is>
          <t>mm²</t>
        </is>
      </c>
      <c r="G70" s="23" t="n"/>
    </row>
    <row r="71" ht="17" customHeight="1">
      <c r="B71" s="26" t="inlineStr">
        <is>
          <t>9.2.1.4</t>
        </is>
      </c>
      <c r="C71" s="24" t="inlineStr">
        <is>
          <t>Provided ≥ needed</t>
        </is>
      </c>
      <c r="D71" s="23" t="n"/>
      <c r="E71" s="42">
        <f>IF(inputs_ok,Asv_ea,NA())</f>
        <v/>
      </c>
      <c r="F71" s="28" t="inlineStr">
        <is>
          <t>mm²</t>
        </is>
      </c>
      <c r="G71" s="31">
        <f>IF(NOT(inputs_ok),"FAIL",IF(steel_ok,"OK","FAIL"))</f>
        <v/>
      </c>
    </row>
    <row r="72"/>
    <row r="73" ht="22" customHeight="1">
      <c r="B73" s="20" t="inlineStr">
        <is>
          <t>Calculation  ·  anchorage, 8.4</t>
        </is>
      </c>
      <c r="C73" s="21" t="n"/>
      <c r="D73" s="21" t="n"/>
      <c r="E73" s="21" t="n"/>
      <c r="F73" s="21" t="n"/>
      <c r="G73" s="21" t="n"/>
    </row>
    <row r="74" ht="17" customHeight="1">
      <c r="B74" s="26" t="inlineStr">
        <is>
          <t>3.1.6(2), 8.4.2(2)</t>
        </is>
      </c>
      <c r="C74" s="24" t="inlineStr">
        <is>
          <t>fctd  (fctk,0.05 not above the C60/75 value)</t>
        </is>
      </c>
      <c r="D74" s="27" t="inlineStr">
        <is>
          <r>
            <rPr>
              <rFont val="Calibri"/>
              <i val="1"/>
              <color rgb="002B2B2B"/>
              <sz val="10"/>
            </rPr>
            <t>f</t>
          </r>
          <r>
            <rPr>
              <rFont val="Calibri"/>
              <i val="1"/>
              <color rgb="002B2B2B"/>
              <sz val="10"/>
              <vertAlign val="subscript"/>
            </rPr>
            <t>ctd</t>
          </r>
        </is>
      </c>
      <c r="E74" s="41">
        <f>IF(inputs_ok,alpha_ct*MIN(0.7*f_ctm,0.7*2.12*LN(1+68/10))/gamma_c,NA())</f>
        <v/>
      </c>
      <c r="F74" s="28" t="inlineStr">
        <is>
          <t>MPa</t>
        </is>
      </c>
      <c r="G74" s="23" t="n"/>
    </row>
    <row r="75" ht="17" customHeight="1">
      <c r="B75" s="26" t="inlineStr">
        <is>
          <t>Figure 8.2</t>
        </is>
      </c>
      <c r="C75" s="24" t="inlineStr">
        <is>
          <t>η1: 1 if h ≤ 250, bar ≤ 250 from the bottom (h ≤ 600) or ≥ 300 below the top (h &gt; 600); else 0.7</t>
        </is>
      </c>
      <c r="D75" s="27" t="inlineStr">
        <is>
          <r>
            <rPr>
              <rFont val="Calibri"/>
              <i val="1"/>
              <color rgb="002B2B2B"/>
              <sz val="10"/>
            </rPr>
            <t>η</t>
          </r>
          <r>
            <rPr>
              <rFont val="Calibri"/>
              <i val="1"/>
              <color rgb="002B2B2B"/>
              <sz val="10"/>
              <vertAlign val="subscript"/>
            </rPr>
            <t>1</t>
          </r>
        </is>
      </c>
      <c r="E75" s="43">
        <f>IF(inputs_ok,IF(OR(ea_h&lt;=250,IF(ea_h&lt;=600,ea_h-ea_d&lt;=250,ea_d&gt;=300)),1,0.7),NA())</f>
        <v/>
      </c>
      <c r="F75" s="23" t="n"/>
      <c r="G75" s="23" t="n"/>
    </row>
    <row r="76" ht="17" customHeight="1">
      <c r="B76" s="26" t="inlineStr">
        <is>
          <t>(8.2)</t>
        </is>
      </c>
      <c r="C76" s="24" t="inlineStr">
        <is>
          <t>Bond stress  2.25 η1 η2 fctd</t>
        </is>
      </c>
      <c r="D76" s="27" t="inlineStr">
        <is>
          <r>
            <rPr>
              <rFont val="Calibri"/>
              <i val="1"/>
              <color rgb="002B2B2B"/>
              <sz val="10"/>
            </rPr>
            <t>f</t>
          </r>
          <r>
            <rPr>
              <rFont val="Calibri"/>
              <i val="1"/>
              <color rgb="002B2B2B"/>
              <sz val="10"/>
              <vertAlign val="subscript"/>
            </rPr>
            <t>bd</t>
          </r>
        </is>
      </c>
      <c r="E76" s="41">
        <f>IF(inputs_ok,2.25*eta1_ea*IF(ea_phi&lt;=32,1,(132-ea_phi)/100)*fctd_ea,NA())</f>
        <v/>
      </c>
      <c r="F76" s="28" t="inlineStr">
        <is>
          <t>MPa</t>
        </is>
      </c>
      <c r="G76" s="23" t="n"/>
    </row>
    <row r="77" ht="17" customHeight="1">
      <c r="B77" s="26" t="inlineStr">
        <is>
          <t>8.4.3(2)</t>
        </is>
      </c>
      <c r="C77" s="24" t="inlineStr">
        <is>
          <t>Stress in the bars  FEd / As,prov  (≤ fyd)</t>
        </is>
      </c>
      <c r="D77" s="27" t="inlineStr">
        <is>
          <r>
            <rPr>
              <rFont val="Calibri"/>
              <i val="1"/>
              <color rgb="002B2B2B"/>
              <sz val="10"/>
            </rPr>
            <t>σ</t>
          </r>
          <r>
            <rPr>
              <rFont val="Calibri"/>
              <i val="1"/>
              <color rgb="002B2B2B"/>
              <sz val="10"/>
              <vertAlign val="subscript"/>
            </rPr>
            <t>sd</t>
          </r>
        </is>
      </c>
      <c r="E77" s="43">
        <f>IF(inputs_ok,MIN(fyd_ea,FEd_ea*1000/Asv_ea),NA())</f>
        <v/>
      </c>
      <c r="F77" s="28" t="inlineStr">
        <is>
          <t>MPa</t>
        </is>
      </c>
      <c r="G77" s="23" t="n"/>
    </row>
    <row r="78" ht="17" customHeight="1">
      <c r="B78" s="26" t="inlineStr">
        <is>
          <t>(8.3)</t>
        </is>
      </c>
      <c r="C78" s="24" t="inlineStr">
        <is>
          <t>Basic length  φ σsd / (4 fbd)</t>
        </is>
      </c>
      <c r="D78" s="27" t="inlineStr">
        <is>
          <r>
            <rPr>
              <rFont val="Calibri"/>
              <i val="1"/>
              <color rgb="002B2B2B"/>
              <sz val="10"/>
            </rPr>
            <t>l</t>
          </r>
          <r>
            <rPr>
              <rFont val="Calibri"/>
              <i val="1"/>
              <color rgb="002B2B2B"/>
              <sz val="10"/>
              <vertAlign val="subscript"/>
            </rPr>
            <t>b,rqd</t>
          </r>
        </is>
      </c>
      <c r="E78" s="42">
        <f>IF(inputs_ok,ea_phi/4*sig_ea/fbd_ea,NA())</f>
        <v/>
      </c>
      <c r="F78" s="28" t="inlineStr">
        <is>
          <t>mm</t>
        </is>
      </c>
      <c r="G78" s="23" t="n"/>
    </row>
    <row r="79" ht="17" customHeight="1">
      <c r="B79" s="26" t="inlineStr">
        <is>
          <t>Figure 8.3</t>
        </is>
      </c>
      <c r="C79" s="24" t="inlineStr">
        <is>
          <t>Cover dimension  straight min(a/2; c); bend min(a/2; c)</t>
        </is>
      </c>
      <c r="D79" s="27" t="inlineStr">
        <is>
          <r>
            <rPr>
              <rFont val="Calibri"/>
              <i val="1"/>
              <color rgb="002B2B2B"/>
              <sz val="10"/>
            </rPr>
            <t>c</t>
          </r>
          <r>
            <rPr>
              <rFont val="Calibri"/>
              <i val="1"/>
              <color rgb="002B2B2B"/>
              <sz val="10"/>
              <vertAlign val="subscript"/>
            </rPr>
            <t>d</t>
          </r>
        </is>
      </c>
      <c r="E79" s="42">
        <f>IF(inputs_ok,MIN(ea_gap/2,ea_c),NA())</f>
        <v/>
      </c>
      <c r="F79" s="28" t="inlineStr">
        <is>
          <t>mm</t>
        </is>
      </c>
      <c r="G79" s="23" t="n"/>
    </row>
    <row r="80" ht="17" customHeight="1">
      <c r="B80" s="26" t="inlineStr">
        <is>
          <t>Table 8.2</t>
        </is>
      </c>
      <c r="C80" s="24" t="inlineStr">
        <is>
          <t>α1  (bend or hook with cd &gt; 3 φ: 0.7)</t>
        </is>
      </c>
      <c r="D80" s="27" t="inlineStr">
        <is>
          <r>
            <rPr>
              <rFont val="Calibri"/>
              <i val="1"/>
              <color rgb="002B2B2B"/>
              <sz val="10"/>
            </rPr>
            <t>α</t>
          </r>
          <r>
            <rPr>
              <rFont val="Calibri"/>
              <i val="1"/>
              <color rgb="002B2B2B"/>
              <sz val="10"/>
              <vertAlign val="subscript"/>
            </rPr>
            <t>1</t>
          </r>
        </is>
      </c>
      <c r="E80" s="41">
        <f>IF(inputs_ok,IF(AND(ea_form="Bend or hook",cd_ea&gt;3*ea_phi),0.7,1),NA())</f>
        <v/>
      </c>
      <c r="F80" s="23" t="n"/>
      <c r="G80" s="23" t="n"/>
    </row>
    <row r="81" ht="17" customHeight="1">
      <c r="B81" s="26" t="inlineStr">
        <is>
          <t>Table 8.2</t>
        </is>
      </c>
      <c r="C81" s="24" t="inlineStr">
        <is>
          <t>α2  straight 1 − 0.15 (cd − φ)/φ; bend 1 − 0.15 (cd − 3φ)/φ (0.7 – 1.0)</t>
        </is>
      </c>
      <c r="D81" s="27" t="inlineStr">
        <is>
          <r>
            <rPr>
              <rFont val="Calibri"/>
              <i val="1"/>
              <color rgb="002B2B2B"/>
              <sz val="10"/>
            </rPr>
            <t>α</t>
          </r>
          <r>
            <rPr>
              <rFont val="Calibri"/>
              <i val="1"/>
              <color rgb="002B2B2B"/>
              <sz val="10"/>
              <vertAlign val="subscript"/>
            </rPr>
            <t>2</t>
          </r>
        </is>
      </c>
      <c r="E81" s="45">
        <f>IF(inputs_ok,MIN(1,MAX(0.7,1-0.15*(cd_ea-IF(ea_form="Bend or hook",3,1)*ea_phi)/ea_phi)),NA())</f>
        <v/>
      </c>
      <c r="F81" s="23" t="n"/>
      <c r="G81" s="23" t="n"/>
    </row>
    <row r="82" ht="17" customHeight="1">
      <c r="B82" s="26" t="inlineStr">
        <is>
          <t>(8.6)</t>
        </is>
      </c>
      <c r="C82" s="24" t="inlineStr">
        <is>
          <t>Minimum  max(0.3 lb,rqd; 10 φ; 100)</t>
        </is>
      </c>
      <c r="D82" s="27" t="inlineStr">
        <is>
          <r>
            <rPr>
              <rFont val="Calibri"/>
              <i val="1"/>
              <color rgb="002B2B2B"/>
              <sz val="10"/>
            </rPr>
            <t>l</t>
          </r>
          <r>
            <rPr>
              <rFont val="Calibri"/>
              <i val="1"/>
              <color rgb="002B2B2B"/>
              <sz val="10"/>
              <vertAlign val="subscript"/>
            </rPr>
            <t>b,min</t>
          </r>
        </is>
      </c>
      <c r="E82" s="42">
        <f>IF(inputs_ok,MAX(0.3*lbr_ea,10*ea_phi,100),NA())</f>
        <v/>
      </c>
      <c r="F82" s="28" t="inlineStr">
        <is>
          <t>mm</t>
        </is>
      </c>
      <c r="G82" s="23" t="n"/>
    </row>
    <row r="83" ht="17" customHeight="1">
      <c r="B83" s="26" t="inlineStr">
        <is>
          <t>(8.4)</t>
        </is>
      </c>
      <c r="C83" s="24" t="inlineStr">
        <is>
          <t>Design anchorage length  max(α1 α2 lb,rqd; lb,min)</t>
        </is>
      </c>
      <c r="D83" s="27" t="inlineStr">
        <is>
          <r>
            <rPr>
              <rFont val="Calibri"/>
              <i val="1"/>
              <color rgb="002B2B2B"/>
              <sz val="10"/>
            </rPr>
            <t>l</t>
          </r>
          <r>
            <rPr>
              <rFont val="Calibri"/>
              <i val="1"/>
              <color rgb="002B2B2B"/>
              <sz val="10"/>
              <vertAlign val="subscript"/>
            </rPr>
            <t>bd</t>
          </r>
        </is>
      </c>
      <c r="E83" s="46">
        <f>IF(inputs_ok,MAX(a1_ea*a2_ea*lbr_ea,lbmin_ea),NA())</f>
        <v/>
      </c>
      <c r="F83" s="28" t="inlineStr">
        <is>
          <t>mm</t>
        </is>
      </c>
      <c r="G83" s="23" t="n"/>
    </row>
    <row r="84" ht="17" customHeight="1">
      <c r="B84" s="26" t="inlineStr">
        <is>
          <t>9.2.1.4(3), 9.2.1.5(2)</t>
        </is>
      </c>
      <c r="C84" s="24" t="inlineStr">
        <is>
          <t>Needed from the face  (end: lbd; intermediate: 10 φ)</t>
        </is>
      </c>
      <c r="D84" s="27" t="inlineStr">
        <is>
          <r>
            <rPr>
              <rFont val="Calibri"/>
              <i val="1"/>
              <color rgb="002B2B2B"/>
              <sz val="10"/>
            </rPr>
            <t>l</t>
          </r>
          <r>
            <rPr>
              <rFont val="Calibri"/>
              <i val="1"/>
              <color rgb="002B2B2B"/>
              <sz val="10"/>
              <vertAlign val="subscript"/>
            </rPr>
            <t>req</t>
          </r>
        </is>
      </c>
      <c r="E84" s="42">
        <f>IF(inputs_ok,IF(ea_end,lbd_ea,10*ea_phi),NA())</f>
        <v/>
      </c>
      <c r="F84" s="28" t="inlineStr">
        <is>
          <t>mm</t>
        </is>
      </c>
      <c r="G84" s="23" t="n"/>
    </row>
    <row r="85" ht="17" customHeight="1">
      <c r="B85" s="23" t="n"/>
      <c r="C85" s="24" t="inlineStr">
        <is>
          <t>Available  (support width − end cover)</t>
        </is>
      </c>
      <c r="D85" s="27" t="inlineStr">
        <is>
          <r>
            <rPr>
              <rFont val="Calibri"/>
              <i val="1"/>
              <color rgb="002B2B2B"/>
              <sz val="10"/>
            </rPr>
            <t>l</t>
          </r>
          <r>
            <rPr>
              <rFont val="Calibri"/>
              <i val="1"/>
              <color rgb="002B2B2B"/>
              <sz val="10"/>
              <vertAlign val="subscript"/>
            </rPr>
            <t>av</t>
          </r>
        </is>
      </c>
      <c r="E85" s="42">
        <f>IF(inputs_ok,ea_ts-ea_cend,NA())</f>
        <v/>
      </c>
      <c r="F85" s="28" t="inlineStr">
        <is>
          <t>mm</t>
        </is>
      </c>
      <c r="G85" s="23" t="n"/>
    </row>
    <row r="86" ht="17" customHeight="1">
      <c r="B86" s="26" t="inlineStr">
        <is>
          <t>9.2.1.4(3)</t>
        </is>
      </c>
      <c r="C86" s="24" t="inlineStr">
        <is>
          <t>Available ≥ needed</t>
        </is>
      </c>
      <c r="D86" s="23" t="n"/>
      <c r="E86" s="42">
        <f>IF(inputs_ok,lav_ea,NA())</f>
        <v/>
      </c>
      <c r="F86" s="28" t="inlineStr">
        <is>
          <t>mm</t>
        </is>
      </c>
      <c r="G86" s="31">
        <f>IF(NOT(inputs_ok),"FAIL",IF(anch_ok,"OK","FAIL"))</f>
        <v/>
      </c>
    </row>
    <row r="87" ht="41.5" customHeight="1">
      <c r="B87" s="47" t="inlineStr">
        <is>
          <t>A bend or hook counts from the face along the bar to the start of the bend plus the bend (8.4.4, Figure 8.1); check the mandrel diameter (8.3) and that the bend fits in the support. At an intermediate support the bars should be continuous or lapped where sagging may occur there.</t>
        </is>
      </c>
    </row>
    <row r="88"/>
    <row r="89" ht="29" customHeight="1">
      <c r="B89" s="47"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B89:G89"/>
    <mergeCell ref="E5:G5"/>
    <mergeCell ref="D2:G2"/>
    <mergeCell ref="E7:G7"/>
    <mergeCell ref="E6:G6"/>
    <mergeCell ref="C3:G3"/>
    <mergeCell ref="B87:G87"/>
  </mergeCells>
  <conditionalFormatting sqref="G9:G90">
    <cfRule type="expression" priority="1" dxfId="0">
      <formula>G9="OK"</formula>
    </cfRule>
    <cfRule type="expression" priority="2" dxfId="1">
      <formula>G9="FAIL"</formula>
    </cfRule>
    <cfRule type="expression" priority="3" dxfId="2">
      <formula>LEFT(G9,1)="!"</formula>
    </cfRule>
  </conditionalFormatting>
  <dataValidations count="18">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Pick a value from the list." type="list" errorStyle="stop">
      <formula1>"End support  (direct),End support  (indirect),Intermediate support"</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Enter a number greater than 0." type="decimal" errorStyle="stop" operator="greaterThan">
      <formula1>0</formula1>
    </dataValidation>
    <dataValidation sqref="E21" showDropDown="0" showInputMessage="0" showErrorMessage="1" allowBlank="0" errorTitle="NA Engineering" error="Pick a value from the list." type="list" errorStyle="stop">
      <formula1>"8,10,12,16,20,25,32,40"</formula1>
    </dataValidation>
    <dataValidation sqref="E22" showDropDown="0" showInputMessage="0" showErrorMessage="1" allowBlank="0" errorTitle="NA Engineering" error="Enter a number greater than 0." type="decimal" errorStyle="stop" operator="greaterThan">
      <formula1>0</formula1>
    </dataValidation>
    <dataValidation sqref="E23" showDropDown="0" showInputMessage="0" showErrorMessage="1" allowBlank="0" errorTitle="NA Engineering" error="Pick a value from the list." type="list" errorStyle="stop">
      <formula1>"Straight,Bend or hook"</formula1>
    </dataValidation>
    <dataValidation sqref="E24" showDropDown="0" showInputMessage="0" showErrorMessage="1" allowBlank="0" errorTitle="NA Engineering" error="Enter a number greater than 0." type="decimal" errorStyle="stop" operator="greaterThan">
      <formula1>0</formula1>
    </dataValidation>
    <dataValidation sqref="E25" showDropDown="0" showInputMessage="0" showErrorMessage="1" allowBlank="0" errorTitle="NA Engineering" error="Pick a value from the list." type="list" errorStyle="stop">
      <formula1>"Yes,No"</formula1>
    </dataValidation>
    <dataValidation sqref="E26" showDropDown="0" showInputMessage="0" showErrorMessage="1" allowBlank="1" errorTitle="NA Engineering" error="Enter a number greater than 0." type="custom" errorStyle="stop">
      <formula1>IF(ea_links="Yes",AND(ISNUMBER(E26),E26&gt;0),TRUE)</formula1>
    </dataValidation>
    <dataValidation sqref="E29" showDropDown="0" showInputMessage="0" showErrorMessage="1" allowBlank="0" errorTitle="NA Engineering" error="Enter a number ≥ -1e+300." type="decimal" errorStyle="stop" operator="greaterThanOrEqual">
      <formula1>-1e+300</formula1>
    </dataValidation>
    <dataValidation sqref="E30" showDropDown="0" showInputMessage="0" showErrorMessage="1" allowBlank="0" errorTitle="NA Engineering" error="Enter a number ≥ 0." type="decimal" errorStyle="stop" operator="greaterThanOrEqual">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&amp;K8A8A8ANAE-RC-035  v1.0</oddFooter>
    <evenHeader/>
    <evenFooter/>
    <firstHeader/>
    <firstFooter/>
  </headerFooter>
  <rowBreaks count="1" manualBreakCount="1">
    <brk id="32"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AI6"/>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support</t>
        </is>
      </c>
      <c r="G2" t="inlineStr">
        <is>
          <t>beam</t>
        </is>
      </c>
      <c r="J2" t="inlineStr">
        <is>
          <t>bottom bar</t>
        </is>
      </c>
      <c r="M2" t="inlineStr">
        <is>
          <t>bend</t>
        </is>
      </c>
      <c r="P2" t="inlineStr">
        <is>
          <t>anchorage needed</t>
        </is>
      </c>
      <c r="S2" t="inlineStr">
        <is>
          <t>dim</t>
        </is>
      </c>
      <c r="V2">
        <f>IF(inputs_ok,IF(ea_end,"l_bd ","10 φ ")&amp;TEXT(lreq_ea,"0"),"")</f>
        <v/>
      </c>
      <c r="Y2" t="inlineStr">
        <is>
          <t>dim</t>
        </is>
      </c>
      <c r="AB2">
        <f>IF(inputs_ok,"available "&amp;TEXT(lav_ea,"0"),"")</f>
        <v/>
      </c>
      <c r="AE2">
        <f>IF(inputs_ok,ea_n&amp;" φ"&amp;ea_phi&amp;" · F_Ed "&amp;TEXT(FEd_ea,"0")&amp;" kN","")</f>
        <v/>
      </c>
      <c r="AH2" t="inlineStr">
        <is>
          <t>frame</t>
        </is>
      </c>
    </row>
    <row r="3">
      <c r="A3">
        <f>0</f>
        <v/>
      </c>
      <c r="B3">
        <f>0</f>
        <v/>
      </c>
      <c r="D3">
        <f>IF(inputs_ok,-ea_ts,NA())</f>
        <v/>
      </c>
      <c r="E3">
        <f>-1.5*ea_h</f>
        <v/>
      </c>
      <c r="G3">
        <f>IF(inputs_ok,-ea_ts,NA())</f>
        <v/>
      </c>
      <c r="H3">
        <f>0</f>
        <v/>
      </c>
      <c r="J3">
        <f>IF(inputs_ok,2.5*ea_h,NA())</f>
        <v/>
      </c>
      <c r="K3">
        <f>(ea_c+ea_phi/2)</f>
        <v/>
      </c>
      <c r="M3">
        <f>IF(inputs_ok,IF(ea_form="Bend or hook",-(ea_ts-ea_cend),NA()),NA())</f>
        <v/>
      </c>
      <c r="N3">
        <f>IF(ea_form="Bend or hook",(ea_c+ea_phi/2),NA())</f>
        <v/>
      </c>
      <c r="P3">
        <f>IF(inputs_ok,0,NA())</f>
        <v/>
      </c>
      <c r="Q3">
        <f>(ea_c+ea_phi/2)-0.12*ea_h</f>
        <v/>
      </c>
      <c r="S3">
        <f>IF(inputs_ok,IF(TRUE,-lreq_ea,NA()),NA())</f>
        <v/>
      </c>
      <c r="T3">
        <f>IF(TRUE,-0.3*ea_h,NA())</f>
        <v/>
      </c>
      <c r="V3">
        <f>IF(inputs_ok,IF(TRUE,((-lreq_ea)+(0))/2,NA()),NA())</f>
        <v/>
      </c>
      <c r="W3">
        <f>IF(TRUE,((-0.3*ea_h)+(-0.3*ea_h))/2,NA())</f>
        <v/>
      </c>
      <c r="Y3">
        <f>IF(inputs_ok,IF(TRUE,-(ea_ts-ea_cend),NA()),NA())</f>
        <v/>
      </c>
      <c r="Z3">
        <f>IF(TRUE,ea_h+0.2*ea_h,NA())</f>
        <v/>
      </c>
      <c r="AB3">
        <f>IF(inputs_ok,IF(TRUE,((-(ea_ts-ea_cend))+(0))/2,NA()),NA())</f>
        <v/>
      </c>
      <c r="AC3">
        <f>IF(TRUE,((ea_h+0.2*ea_h)+(ea_h+0.2*ea_h))/2,NA())</f>
        <v/>
      </c>
      <c r="AE3">
        <f>IF(inputs_ok,1.25*ea_h,NA())</f>
        <v/>
      </c>
      <c r="AF3">
        <f>ea_h/2</f>
        <v/>
      </c>
      <c r="AH3">
        <f>((-MAX(ea_ts,lbd_ea)-0.3*ea_h)+(2.6*ea_h))/2-MAX((1.6*ea_h)-(-1.6*ea_h),((2.6*ea_h)-(-MAX(ea_ts,lbd_ea)-0.3*ea_h))/1.55)*0.53*1.55</f>
        <v/>
      </c>
      <c r="AI3">
        <f>((-1.6*ea_h)+(1.6*ea_h))/2-MAX((1.6*ea_h)-(-1.6*ea_h),((2.6*ea_h)-(-MAX(ea_ts,lbd_ea)-0.3*ea_h))/1.55)*0.53</f>
        <v/>
      </c>
    </row>
    <row r="4">
      <c r="D4">
        <f>IF(inputs_ok,-ea_ts,NA())</f>
        <v/>
      </c>
      <c r="E4">
        <f>ea_h</f>
        <v/>
      </c>
      <c r="G4">
        <f>IF(inputs_ok,2.5*ea_h,NA())</f>
        <v/>
      </c>
      <c r="H4">
        <f>0</f>
        <v/>
      </c>
      <c r="J4">
        <f>IF(inputs_ok,-(ea_ts-ea_cend),NA())</f>
        <v/>
      </c>
      <c r="K4">
        <f>(ea_c+ea_phi/2)</f>
        <v/>
      </c>
      <c r="M4">
        <f>IF(inputs_ok,IF(ea_form="Bend or hook",-(ea_ts-ea_cend),NA()),NA())</f>
        <v/>
      </c>
      <c r="N4">
        <f>IF(ea_form="Bend or hook",(ea_c+ea_phi/2)+MIN(12*ea_phi,ea_h-2*ea_c),NA())</f>
        <v/>
      </c>
      <c r="P4">
        <f>IF(inputs_ok,-lreq_ea,NA())</f>
        <v/>
      </c>
      <c r="Q4">
        <f>(ea_c+ea_phi/2)-0.12*ea_h</f>
        <v/>
      </c>
      <c r="S4">
        <f>IF(inputs_ok,IF(TRUE,0,NA()),NA())</f>
        <v/>
      </c>
      <c r="T4">
        <f>IF(TRUE,-0.3*ea_h,NA())</f>
        <v/>
      </c>
      <c r="Y4">
        <f>IF(inputs_ok,IF(TRUE,0,NA()),NA())</f>
        <v/>
      </c>
      <c r="Z4">
        <f>IF(TRUE,ea_h+0.2*ea_h,NA())</f>
        <v/>
      </c>
      <c r="AH4">
        <f>((-MAX(ea_ts,lbd_ea)-0.3*ea_h)+(2.6*ea_h))/2+MAX((1.6*ea_h)-(-1.6*ea_h),((2.6*ea_h)-(-MAX(ea_ts,lbd_ea)-0.3*ea_h))/1.55)*0.53*1.55</f>
        <v/>
      </c>
      <c r="AI4">
        <f>((-1.6*ea_h)+(1.6*ea_h))/2+MAX((1.6*ea_h)-(-1.6*ea_h),((2.6*ea_h)-(-MAX(ea_ts,lbd_ea)-0.3*ea_h))/1.55)*0.53</f>
        <v/>
      </c>
    </row>
    <row r="5">
      <c r="D5">
        <f>IF(inputs_ok,0,NA())</f>
        <v/>
      </c>
      <c r="E5">
        <f>ea_h</f>
        <v/>
      </c>
      <c r="G5">
        <f>IF(inputs_ok,2.5*ea_h,NA())</f>
        <v/>
      </c>
      <c r="H5">
        <f>ea_h</f>
        <v/>
      </c>
    </row>
    <row r="6">
      <c r="D6">
        <f>IF(inputs_ok,0,NA())</f>
        <v/>
      </c>
      <c r="E6">
        <f>-1.5*ea_h</f>
        <v/>
      </c>
      <c r="G6">
        <f>IF(inputs_ok,-ea_ts,NA())</f>
        <v/>
      </c>
      <c r="H6">
        <f>ea_h</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8"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9" t="inlineStr">
        <is>
          <t>Parameter</t>
        </is>
      </c>
      <c r="C5" s="49" t="inlineStr">
        <is>
          <t>Clause</t>
        </is>
      </c>
      <c r="D5" s="49" t="inlineStr">
        <is>
          <t>UK NA</t>
        </is>
      </c>
      <c r="E5" s="49" t="inlineStr">
        <is>
          <t>PL NA</t>
        </is>
      </c>
      <c r="F5" s="49" t="inlineStr">
        <is>
          <t>Notes</t>
        </is>
      </c>
    </row>
    <row r="6">
      <c r="B6" s="50" t="inlineStr">
        <is>
          <t>Partial factor, concrete  γc</t>
        </is>
      </c>
      <c r="C6" s="51" t="inlineStr">
        <is>
          <t>2.4.2.4(1)</t>
        </is>
      </c>
      <c r="D6" s="52" t="n">
        <v>1.5</v>
      </c>
      <c r="E6" s="52" t="n">
        <v>1.4</v>
      </c>
      <c r="F6" s="51" t="inlineStr">
        <is>
          <t>Persistent &amp; transient. UK NA: recommended; PL: NA.2, Table NA.2</t>
        </is>
      </c>
    </row>
    <row r="7">
      <c r="B7" s="50" t="inlineStr">
        <is>
          <t>Partial factor, reinforcement  γs</t>
        </is>
      </c>
      <c r="C7" s="51" t="inlineStr">
        <is>
          <t>2.4.2.4(1)</t>
        </is>
      </c>
      <c r="D7" s="52" t="n">
        <v>1.15</v>
      </c>
      <c r="E7" s="52" t="n">
        <v>1.15</v>
      </c>
      <c r="F7" s="51" t="inlineStr">
        <is>
          <t>UK NA: recommended; PL: NA.2, Table NA.2</t>
        </is>
      </c>
    </row>
    <row r="8">
      <c r="B8" s="50" t="inlineStr">
        <is>
          <t>αcc  (compression in flexure / axial)</t>
        </is>
      </c>
      <c r="C8" s="51" t="inlineStr">
        <is>
          <t>3.1.6(1)</t>
        </is>
      </c>
      <c r="D8" s="52" t="n">
        <v>0.85</v>
      </c>
      <c r="E8" s="52" t="n">
        <v>1</v>
      </c>
      <c r="F8" s="51" t="inlineStr">
        <is>
          <t>UK NA: 0.85; PL: recommended (NA.9)</t>
        </is>
      </c>
    </row>
    <row r="9">
      <c r="B9" s="50" t="inlineStr">
        <is>
          <t>αcc,pl  (plain concrete, compression)</t>
        </is>
      </c>
      <c r="C9" s="51" t="inlineStr">
        <is>
          <t>12.3.1(1)</t>
        </is>
      </c>
      <c r="D9" s="52" t="n">
        <v>0.6</v>
      </c>
      <c r="E9" s="52" t="n">
        <v>0.8</v>
      </c>
      <c r="F9" s="51" t="inlineStr">
        <is>
          <t>UK NA Table NA.1: 0.6; PL: recommended (NA.9)</t>
        </is>
      </c>
    </row>
    <row r="10">
      <c r="B10" s="50" t="inlineStr">
        <is>
          <t>αcc  (shear and punching)</t>
        </is>
      </c>
      <c r="C10" s="51" t="inlineStr">
        <is>
          <t>3.1.6(1)</t>
        </is>
      </c>
      <c r="D10" s="52" t="n">
        <v>1</v>
      </c>
      <c r="E10" s="52" t="n">
        <v>1</v>
      </c>
      <c r="F10" s="51" t="inlineStr">
        <is>
          <t>UK NA: 1.0 for other phenomena; PL: recommended (NA.9)</t>
        </is>
      </c>
    </row>
    <row r="11">
      <c r="B11" s="50" t="inlineStr">
        <is>
          <t>αct  (design tensile strength)</t>
        </is>
      </c>
      <c r="C11" s="51" t="inlineStr">
        <is>
          <t>3.1.6(2)</t>
        </is>
      </c>
      <c r="D11" s="52" t="n">
        <v>1</v>
      </c>
      <c r="E11" s="52" t="n">
        <v>1</v>
      </c>
      <c r="F11" s="51" t="inlineStr">
        <is>
          <t>Recommended value in both annexes</t>
        </is>
      </c>
    </row>
    <row r="12">
      <c r="B12" s="50" t="inlineStr">
        <is>
          <t>CRd,c numerator  (CRd,c = value / γc)</t>
        </is>
      </c>
      <c r="C12" s="51" t="inlineStr">
        <is>
          <t>6.2.2(1), 6.4.4(1)</t>
        </is>
      </c>
      <c r="D12" s="52" t="n">
        <v>0.18</v>
      </c>
      <c r="E12" s="52" t="n">
        <v>0.18</v>
      </c>
      <c r="F12" s="51" t="inlineStr">
        <is>
          <t>Recommended value in both annexes</t>
        </is>
      </c>
    </row>
    <row r="13">
      <c r="B13" s="50" t="inlineStr">
        <is>
          <t>k1  (axial stress term, punching)</t>
        </is>
      </c>
      <c r="C13" s="51" t="inlineStr">
        <is>
          <t>6.4.4(1)</t>
        </is>
      </c>
      <c r="D13" s="52" t="n">
        <v>0.1</v>
      </c>
      <c r="E13" s="52" t="n">
        <v>0.1</v>
      </c>
      <c r="F13" s="51" t="inlineStr">
        <is>
          <t>Recommended value in both annexes</t>
        </is>
      </c>
    </row>
    <row r="14">
      <c r="B14" s="50" t="inlineStr">
        <is>
          <t>vRd,max factor  (vRd,max = factor · ν · fcd)</t>
        </is>
      </c>
      <c r="C14" s="51" t="inlineStr">
        <is>
          <t>6.4.5(3)</t>
        </is>
      </c>
      <c r="D14" s="52" t="n">
        <v>0.5</v>
      </c>
      <c r="E14" s="52" t="n">
        <v>0.4</v>
      </c>
      <c r="F14" s="51" t="inlineStr">
        <is>
          <t>UK NA: 0.5 ν fcd; PL: recommended value (NA.9), 0.4 ν fcd since EN 1992-1-1 AC:2010 (PN-EN 1992-1-1:2008/AC:2011)</t>
        </is>
      </c>
    </row>
    <row r="15">
      <c r="B15" s="50" t="inlineStr">
        <is>
          <t>kmax  (vEd ≤ kmax · vRd,c at u1)</t>
        </is>
      </c>
      <c r="C15" s="51" t="inlineStr">
        <is>
          <t>6.4.5</t>
        </is>
      </c>
      <c r="D15" s="52" t="n">
        <v>2</v>
      </c>
      <c r="E15" s="52" t="n">
        <v>1.5</v>
      </c>
      <c r="F15" s="51" t="inlineStr">
        <is>
          <t>UK NA 6.4.5(3): 2 vRd,c. PL: no limit in PN-EN 1992-1-1:2008; 1.5 (A1:2014 recommendation) applied conservatively</t>
        </is>
      </c>
    </row>
    <row r="16">
      <c r="B16" s="50" t="inlineStr">
        <is>
          <t>φlarge  (large bar threshold, mm)</t>
        </is>
      </c>
      <c r="C16" s="51" t="inlineStr">
        <is>
          <t>8.8(1)</t>
        </is>
      </c>
      <c r="D16" s="52" t="n">
        <v>40</v>
      </c>
      <c r="E16" s="52" t="n">
        <v>32</v>
      </c>
      <c r="F16" s="51" t="inlineStr">
        <is>
          <t>UK NA: 40 mm; PL: 32 mm recommended (NA.9)</t>
        </is>
      </c>
    </row>
    <row r="17">
      <c r="B17" s="50" t="inlineStr">
        <is>
          <t>cot θ upper limit  (variable strut)</t>
        </is>
      </c>
      <c r="C17" s="51" t="inlineStr">
        <is>
          <t>6.2.3(2)</t>
        </is>
      </c>
      <c r="D17" s="52" t="n">
        <v>2.5</v>
      </c>
      <c r="E17" s="52" t="n">
        <v>2</v>
      </c>
      <c r="F17" s="51" t="inlineStr">
        <is>
          <t>UK NA: 2.5 (1.25 with axial tension); PL: NA.4, 1 ≤ cot θ ≤ 2.0</t>
        </is>
      </c>
    </row>
    <row r="18">
      <c r="B18" s="50" t="inlineStr">
        <is>
          <t>k1  (x/d limit, δ ≥ k1 + k2 xu/d)</t>
        </is>
      </c>
      <c r="C18" s="51" t="inlineStr">
        <is>
          <t>5.5(4)</t>
        </is>
      </c>
      <c r="D18" s="52" t="n">
        <v>0.4</v>
      </c>
      <c r="E18" s="52" t="n">
        <v>0.44</v>
      </c>
      <c r="F18" s="51" t="inlineStr">
        <is>
          <t>UK NA for fyk ≤ 500 MPa; PL: recommended (NA.9)</t>
        </is>
      </c>
    </row>
    <row r="19">
      <c r="B19" s="50" t="inlineStr">
        <is>
          <t>k2  (x/d limit, εcu2 = 0.0035)</t>
        </is>
      </c>
      <c r="C19" s="51" t="inlineStr">
        <is>
          <t>5.5(4)</t>
        </is>
      </c>
      <c r="D19" s="52" t="n">
        <v>1</v>
      </c>
      <c r="E19" s="52" t="n">
        <v>1.25</v>
      </c>
      <c r="F19" s="51" t="inlineStr">
        <is>
          <t>UK NA: 0.6 + 0.0014/εcu2; PL: 1.25(0.6 + 0.0014/εcu2)</t>
        </is>
      </c>
    </row>
    <row r="20">
      <c r="B20" s="50" t="inlineStr">
        <is>
          <t>Upper limit on the (310/σs) factor  (0 = none)</t>
        </is>
      </c>
      <c r="C20" s="51" t="inlineStr">
        <is>
          <t>7.4.2(2)</t>
        </is>
      </c>
      <c r="D20" s="52" t="n">
        <v>1.5</v>
      </c>
      <c r="E20" s="52" t="n">
        <v>0</v>
      </c>
      <c r="F20" s="51" t="inlineStr">
        <is>
          <t>UK NA Table NA.5 Note 5: (310/σs) or (500/fyk)(As,prov/As,req) ≤ 1.5; PL: none</t>
        </is>
      </c>
    </row>
    <row r="21">
      <c r="B21" s="50" t="inlineStr">
        <is>
          <t>L/d not to exceed 40 K  (1 = applies)</t>
        </is>
      </c>
      <c r="C21" s="51" t="inlineStr">
        <is>
          <t>7.4.2(2)</t>
        </is>
      </c>
      <c r="D21" s="52" t="n">
        <v>1</v>
      </c>
      <c r="E21" s="52" t="n">
        <v>0</v>
      </c>
      <c r="F21" s="51" t="inlineStr">
        <is>
          <t>UK NA Table NA.5 Note 6; not in EN text</t>
        </is>
      </c>
    </row>
    <row r="22">
      <c r="B22" s="50" t="inlineStr">
        <is>
          <t>φmin  (longitudinal bars in columns, mm)</t>
        </is>
      </c>
      <c r="C22" s="51" t="inlineStr">
        <is>
          <t>9.5.2(1)</t>
        </is>
      </c>
      <c r="D22" s="52" t="n">
        <v>12</v>
      </c>
      <c r="E22" s="52" t="n">
        <v>6</v>
      </c>
      <c r="F22" s="51" t="inlineStr">
        <is>
          <t>UK NA: 12 mm; PL: NA.6, 6 mm</t>
        </is>
      </c>
    </row>
    <row r="23">
      <c r="B23" s="50" t="inlineStr">
        <is>
          <t>k3  (crack spacing)</t>
        </is>
      </c>
      <c r="C23" s="51" t="inlineStr">
        <is>
          <t>7.3.4(3)</t>
        </is>
      </c>
      <c r="D23" s="52" t="n">
        <v>3.4</v>
      </c>
      <c r="E23" s="52" t="n">
        <v>3.4</v>
      </c>
      <c r="F23" s="51" t="inlineStr">
        <is>
          <t>Recommended value in both annexes</t>
        </is>
      </c>
    </row>
    <row r="24">
      <c r="B24" s="50" t="inlineStr">
        <is>
          <t>k4  (crack spacing)</t>
        </is>
      </c>
      <c r="C24" s="51" t="inlineStr">
        <is>
          <t>7.3.4(3)</t>
        </is>
      </c>
      <c r="D24" s="52" t="n">
        <v>0.425</v>
      </c>
      <c r="E24" s="52" t="n">
        <v>0.425</v>
      </c>
      <c r="F24" s="51" t="inlineStr">
        <is>
          <t>Recommended value in both annexes</t>
        </is>
      </c>
    </row>
    <row r="25">
      <c r="B25" s="50" t="inlineStr">
        <is>
          <t>k1  (concrete stress, characteristic; XD, XF, XS)</t>
        </is>
      </c>
      <c r="C25" s="51" t="inlineStr">
        <is>
          <t>7.2(2)</t>
        </is>
      </c>
      <c r="D25" s="52" t="n">
        <v>0.6</v>
      </c>
      <c r="E25" s="52" t="n">
        <v>1</v>
      </c>
      <c r="F25" s="51" t="inlineStr">
        <is>
          <t>UK NA: recommended; PL: NA.5, k1 = 1.0</t>
        </is>
      </c>
    </row>
    <row r="26">
      <c r="B26" s="50" t="inlineStr">
        <is>
          <t>k2  (concrete stress, quasi-permanent; linear creep)</t>
        </is>
      </c>
      <c r="C26" s="51" t="inlineStr">
        <is>
          <t>7.2(3)</t>
        </is>
      </c>
      <c r="D26" s="52" t="n">
        <v>0.45</v>
      </c>
      <c r="E26" s="52" t="n">
        <v>0.45</v>
      </c>
      <c r="F26" s="51" t="inlineStr">
        <is>
          <t>Recommended value in both annexes (UK NA; PL NA.9)</t>
        </is>
      </c>
    </row>
    <row r="27">
      <c r="B27" s="50" t="inlineStr">
        <is>
          <t>k3  (steel stress, characteristic)</t>
        </is>
      </c>
      <c r="C27" s="51" t="inlineStr">
        <is>
          <t>7.2(5)</t>
        </is>
      </c>
      <c r="D27" s="52" t="n">
        <v>0.8</v>
      </c>
      <c r="E27" s="52" t="n">
        <v>0.8</v>
      </c>
      <c r="F27" s="51" t="inlineStr">
        <is>
          <t>Recommended value in both annexes (UK NA; PL NA.9)</t>
        </is>
      </c>
    </row>
    <row r="28">
      <c r="B28" s="50" t="inlineStr">
        <is>
          <t>k4  (steel stress, imposed deformation)</t>
        </is>
      </c>
      <c r="C28" s="51" t="inlineStr">
        <is>
          <t>7.2(5)</t>
        </is>
      </c>
      <c r="D28" s="52" t="n">
        <v>1</v>
      </c>
      <c r="E28" s="52" t="n">
        <v>1</v>
      </c>
      <c r="F28" s="51"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&amp;K8A8A8ANAE-RC-035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NAE-RC-035 End anchorage</dc:title>
  <dc:subject xmlns:dc="http://purl.org/dc/elements/1.1/">Bottom reinforcement at supports  ·  EN 1992-1-1 §9.2.1.3 – 9.2.1.5, §8.4  ·  UK NA / PN-EN</dc:subject>
  <dcterms:created xmlns:dcterms="http://purl.org/dc/terms/" xmlns:xsi="http://www.w3.org/2001/XMLSchema-instance" xsi:type="dcterms:W3CDTF">2026-10-30T10:58:39Z</dcterms:created>
  <dcterms:modified xmlns:dcterms="http://purl.org/dc/terms/" xmlns:xsi="http://www.w3.org/2001/XMLSchema-instance" xsi:type="dcterms:W3CDTF">2026-10-30T10:58:39Z</dcterms:modified>
  <cp:lastModifiedBy>NA Engineering sp. z o.o.</cp:lastModifiedBy>
  <cp:keywords>NA Engineering; Eurocode 2; EN 1992-1-1</cp:keywords>
</cp:coreProperties>
</file>