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 xmlns:r="http://schemas.openxmlformats.org/officeDocument/2006/relationships" name="NDP" sheetId="4" state="visible" r:id="rId4"/>
  </sheets>
  <definedNames>
    <definedName name="NA_sel">'Calculation'!$E$11</definedName>
    <definedName name="conc_class">'Calculation'!$E$12</definedName>
    <definedName name="dc_sup">'Calculation'!$E$13</definedName>
    <definedName name="dc_L">'Calculation'!$E$14</definedName>
    <definedName name="dc_bA">'Calculation'!$E$15</definedName>
    <definedName name="dc_bB">'Calculation'!$E$16</definedName>
    <definedName name="dc_b">'Calculation'!$E$17</definedName>
    <definedName name="dc_h">'Calculation'!$E$18</definedName>
    <definedName name="dc_As">'Calculation'!$E$19</definedName>
    <definedName name="dc_d">'Calculation'!$E$20</definedName>
    <definedName name="dc_As2">'Calculation'!$E$21</definedName>
    <definedName name="dc_d2">'Calculation'!$E$22</definedName>
    <definedName name="dc_M">'Calculation'!$E$23</definedName>
    <definedName name="dc_Mx">'Calculation'!$E$24</definedName>
    <definedName name="dc_pre">'Calculation'!$E$25</definedName>
    <definedName name="dc_phi">'Calculation'!$E$26</definedName>
    <definedName name="dc_ecs">'Calculation'!$E$27</definedName>
    <definedName name="dc_lim">'Calculation'!$E$28</definedName>
    <definedName name="inputs_ok">IFERROR(AND(OR(NA_sel="UK NA (BS EN)",NA_sel="PL NA (PN-EN)"),OR(conc_class="C20/25",conc_class="C25/30",conc_class="C28/35",conc_class="C30/37",conc_class="C32/40",conc_class="C35/45",conc_class="C40/50",conc_class="C45/55",conc_class="C50/60"),OR(dc_sup="Simply supported",dc_sup="Continuous  (end moments)",dc_sup="Cantilever"),ISNUMBER(dc_L),dc_L&gt;0,IF(dc_cont,IF(ISNUMBER(dc_bA),dc_bA&gt;=0,FALSE),TRUE),IF(dc_cont,IF(ISNUMBER(dc_bB),dc_bB&gt;=0,FALSE),TRUE),ISNUMBER(dc_b),dc_b&gt;0,ISNUMBER(dc_h),dc_h&gt;0,ISNUMBER(dc_As),dc_As&gt;0,ISNUMBER(dc_d),dc_d&gt;0,ISNUMBER(dc_As2),dc_As2&gt;=0,ISNUMBER(dc_d2),dc_d2&gt;0,ISNUMBER(dc_M),dc_M&gt;0,ISNUMBER(dc_Mx),dc_Mx&gt;0,OR(dc_pre="Yes",dc_pre="No"),ISNUMBER(dc_phi),dc_phi&gt;0,ISNUMBER(dc_ecs),dc_ecs&gt;=0,ISNUMBER(dc_lim),dc_lim&gt;0,AND(dc_d&lt;dc_h,dc_d2&lt;dc_d,dc_ecs&lt;0.002,dc_phi&lt;=6,dc_Mx&gt;=dc_M,IF(dc_cont,dc_bA+dc_bB&lt;=4,TRUE))),FALSE)</definedName>
    <definedName name="input_status">'Calculation'!$G$29</definedName>
    <definedName name="dc_cant">dc_sup="Cantilever"</definedName>
    <definedName name="dc_cont">dc_sup="Continuous  (end moments)"</definedName>
    <definedName name="dc_ma">IF(dc_cont,dc_bA,0)</definedName>
    <definedName name="dc_mb">IF(dc_cont,dc_bB,0)</definedName>
    <definedName name="dc_cracked">OR(dc_Mx&gt;Mcr_dc,dc_pre="Yes")</definedName>
    <definedName name="defl_ok">IFERROR(dmax_dc&lt;=dlim_dc,FALSE)</definedName>
    <definedName name="dc_u">{0,0.005,0.01,0.015,0.02,0.025,0.03,0.035,0.04,0.045,0.05,0.055,0.06,0.065,0.07,0.075,0.08,0.085,0.09,0.095,0.1,0.105,0.11,0.115,0.12,0.125,0.13,0.135,0.14,0.145,0.15,0.155,0.16,0.165,0.17,0.175,0.18,0.185,0.19,0.195,0.2,0.205,0.21,0.215,0.22,0.225,0.23,0.235,0.24,0.245,0.25,0.255,0.26,0.265,0.27,0.275,0.28,0.285,0.29,0.295,0.3,0.305,0.31,0.315,0.32,0.325,0.33,0.335,0.34,0.345,0.35,0.355,0.36,0.365,0.37,0.375,0.38,0.385,0.39,0.395,0.4,0.405,0.41,0.415,0.42,0.425,0.43,0.435,0.44,0.445,0.45,0.455,0.46,0.465,0.47,0.475,0.48,0.485,0.49,0.495,0.5,0.505,0.51,0.515,0.52,0.525,0.53,0.535,0.54,0.545,0.55,0.555,0.56,0.565,0.57,0.575,0.58,0.585,0.59,0.595,0.6,0.605,0.61,0.615,0.62,0.625,0.63,0.635,0.64,0.645,0.65,0.655,0.66,0.665,0.67,0.675,0.68,0.685,0.69,0.695,0.7,0.705,0.71,0.715,0.72,0.725,0.73,0.735,0.74,0.745,0.75,0.755,0.76,0.765,0.77,0.775,0.78,0.785,0.79,0.795,0.8,0.805,0.81,0.815,0.82,0.825,0.83,0.835,0.84,0.845,0.85,0.855,0.86,0.865,0.87,0.875,0.88,0.885,0.89,0.895,0.9,0.905,0.91,0.915,0.92,0.925,0.93,0.935,0.94,0.945,0.95,0.955,0.96,0.965,0.97,0.975,0.98,0.985,0.99,0.995,1}</definedName>
    <definedName name="dc_k">{1,2,3,4,5,6,7,8,9,10,11,12,13,14,15,16,17,18,19,20,21,22,23,24,25,26,27,28,29,30,31,32,33,34,35,36,37,38,39,40,41,42,43,44,45,46,47,48,49,50,51,52,53,54,55,56,57,58,59,60,61,62,63,64,65,66,67,68,69,70,71,72,73,74,75,76,77,78,79,80,81,82,83,84,85,86,87,88,89,90,91,92,93,94,95,96,97,98,99,100,101,102,103,104,105,106,107,108,109,110,111,112,113,114,115,116,117,118,119,120,121,122,123,124,125,126,127,128,129,130,131,132,133,134,135,136,137,138,139,140,141,142,143,144,145,146,147,148,149,150,151,152,153,154,155,156,157,158,159,160,161,162,163,164,165,166,167,168,169,170,171,172,173,174,175,176,177,178,179,180,181,182,183,184,185,186,187,188,189,190,191,192,193,194,195,196,197,198,199,200,201}</definedName>
    <definedName name="dc_ye">((dM_dc*(dc_cant*(dc_u^2*(6-4*dc_u+dc_u^2)/3)+NOT(dc_cant)*((1+(dc_ma+dc_mb)/2)*(dc_u-2*dc_u^3+dc_u^4)/3-dc_ma*(2*dc_u-3*dc_u^2+dc_u^3)/6-dc_mb*(dc_u-dc_u^3)/6)/(5/48*(1-(dc_ma+dc_mb)/10)))+dcs_dc*(dc_cant*dc_u^2+NOT(dc_cant)*4*dc_u*(1-dc_u)))+(ABS((dM_dc*(dc_cant*(dc_u^2*(6-4*dc_u+dc_u^2)/3)+NOT(dc_cant)*((1+(dc_ma+dc_mb)/2)*(dc_u-2*dc_u^3+dc_u^4)/3-dc_ma*(2*dc_u-3*dc_u^2+dc_u^3)/6-dc_mb*(dc_u-dc_u^3)/6)/(5/48*(1-(dc_ma+dc_mb)/10)))+NOT(dc_cont)*dcs_dc*(dc_cant*dc_u^2+NOT(dc_cant)*4*dc_u*(1-dc_u))))&gt;ABS((dM_dc*(dc_cant*(dc_u^2*(6-4*dc_u+dc_u^2)/3)+NOT(dc_cant)*((1+(dc_ma+dc_mb)/2)*(dc_u-2*dc_u^3+dc_u^4)/3-dc_ma*(2*dc_u-3*dc_u^2+dc_u^3)/6-dc_mb*(dc_u-dc_u^3)/6)/(5/48*(1-(dc_ma+dc_mb)/10)))+dcs_dc*(dc_cant*dc_u^2+NOT(dc_cant)*4*dc_u*(1-dc_u)))))*((dM_dc*(dc_cant*(dc_u^2*(6-4*dc_u+dc_u^2)/3)+NOT(dc_cant)*((1+(dc_ma+dc_mb)/2)*(dc_u-2*dc_u^3+dc_u^4)/3-dc_ma*(2*dc_u-3*dc_u^2+dc_u^3)/6-dc_mb*(dc_u-dc_u^3)/6)/(5/48*(1-(dc_ma+dc_mb)/10)))+NOT(dc_cont)*dcs_dc*(dc_cant*dc_u^2+NOT(dc_cant)*4*dc_u*(1-dc_u)))-(dM_dc*(dc_cant*(dc_u^2*(6-4*dc_u+dc_u^2)/3)+NOT(dc_cant)*((1+(dc_ma+dc_mb)/2)*(dc_u-2*dc_u^3+dc_u^4)/3-dc_ma*(2*dc_u-3*dc_u^2+dc_u^3)/6-dc_mb*(dc_u-dc_u^3)/6)/(5/48*(1-(dc_ma+dc_mb)/10)))+dcs_dc*(dc_cant*dc_u^2+NOT(dc_cant)*4*dc_u*(1-dc_u)))))</definedName>
    <definedName name="dc_s1">(dM_dc*(dc_cant*((dc_u+0.005)^2*(6-4*(dc_u+0.005)+(dc_u+0.005)^2)/3)+NOT(dc_cant)*((1+(dc_ma+dc_mb)/2)*((dc_u+0.005)-2*(dc_u+0.005)^3+(dc_u+0.005)^4)/3-dc_ma*(2*(dc_u+0.005)-3*(dc_u+0.005)^2+(dc_u+0.005)^3)/6-dc_mb*((dc_u+0.005)-(dc_u+0.005)^3)/6)/(5/48*(1-(dc_ma+dc_mb)/10)))+dcs_dc*(dc_cant*(dc_u+0.005)^2+NOT(dc_cant)*4*(dc_u+0.005)*(1-(dc_u+0.005))))-2*(dM_dc*(dc_cant*(dc_u^2*(6-4*dc_u+dc_u^2)/3)+NOT(dc_cant)*((1+(dc_ma+dc_mb)/2)*(dc_u-2*dc_u^3+dc_u^4)/3-dc_ma*(2*dc_u-3*dc_u^2+dc_u^3)/6-dc_mb*(dc_u-dc_u^3)/6)/(5/48*(1-(dc_ma+dc_mb)/10)))+dcs_dc*(dc_cant*dc_u^2+NOT(dc_cant)*4*dc_u*(1-dc_u)))+(dM_dc*(dc_cant*((dc_u-0.005)^2*(6-4*(dc_u-0.005)+(dc_u-0.005)^2)/3)+NOT(dc_cant)*((1+(dc_ma+dc_mb)/2)*((dc_u-0.005)-2*(dc_u-0.005)^3+(dc_u-0.005)^4)/3-dc_ma*(2*(dc_u-0.005)-3*(dc_u-0.005)^2+(dc_u-0.005)^3)/6-dc_mb*((dc_u-0.005)-(dc_u-0.005)^3)/6)/(5/48*(1-(dc_ma+dc_mb)/10)))+dcs_dc*(dc_cant*(dc_u-0.005)^2+NOT(dc_cant)*4*(dc_u-0.005)*(1-(dc_u-0.005))))</definedName>
    <definedName name="dc_s2">(dM_dc*(dc_cant*((dc_u+0.005)^2*(6-4*(dc_u+0.005)+(dc_u+0.005)^2)/3)+NOT(dc_cant)*((1+(dc_ma+dc_mb)/2)*((dc_u+0.005)-2*(dc_u+0.005)^3+(dc_u+0.005)^4)/3-dc_ma*(2*(dc_u+0.005)-3*(dc_u+0.005)^2+(dc_u+0.005)^3)/6-dc_mb*((dc_u+0.005)-(dc_u+0.005)^3)/6)/(5/48*(1-(dc_ma+dc_mb)/10)))+NOT(dc_cont)*dcs_dc*(dc_cant*(dc_u+0.005)^2+NOT(dc_cant)*4*(dc_u+0.005)*(1-(dc_u+0.005))))-2*(dM_dc*(dc_cant*(dc_u^2*(6-4*dc_u+dc_u^2)/3)+NOT(dc_cant)*((1+(dc_ma+dc_mb)/2)*(dc_u-2*dc_u^3+dc_u^4)/3-dc_ma*(2*dc_u-3*dc_u^2+dc_u^3)/6-dc_mb*(dc_u-dc_u^3)/6)/(5/48*(1-(dc_ma+dc_mb)/10)))+NOT(dc_cont)*dcs_dc*(dc_cant*dc_u^2+NOT(dc_cant)*4*dc_u*(1-dc_u)))+(dM_dc*(dc_cant*((dc_u-0.005)^2*(6-4*(dc_u-0.005)+(dc_u-0.005)^2)/3)+NOT(dc_cant)*((1+(dc_ma+dc_mb)/2)*((dc_u-0.005)-2*(dc_u-0.005)^3+(dc_u-0.005)^4)/3-dc_ma*(2*(dc_u-0.005)-3*(dc_u-0.005)^2+(dc_u-0.005)^3)/6-dc_mb*((dc_u-0.005)-(dc_u-0.005)^3)/6)/(5/48*(1-(dc_ma+dc_mb)/10)))+NOT(dc_cont)*dcs_dc*(dc_cant*(dc_u-0.005)^2+NOT(dc_cant)*4*(dc_u-0.005)*(1-(dc_u-0.005))))</definedName>
    <definedName name="defl_status">'Calculation'!$G$32</definedName>
    <definedName name="dir_status">'Calculation'!$G$36</definedName>
    <definedName name="crack_status">'Calculation'!$G$37</definedName>
    <definedName name="f_ck">'Calculation'!$E$64</definedName>
    <definedName name="f_ctm">'Calculation'!$E$65</definedName>
    <definedName name="Ecm_dc">'Calculation'!$E$66</definedName>
    <definedName name="Ece_dc">'Calculation'!$E$67</definedName>
    <definedName name="ae_dc">'Calculation'!$E$68</definedName>
    <definedName name="AI_dc">'Calculation'!$E$71</definedName>
    <definedName name="xI_dc">'Calculation'!$E$72</definedName>
    <definedName name="II_dc">'Calculation'!$E$73</definedName>
    <definedName name="dc_xa">(-(ae_dc*dc_As+(ae_dc-1)*dc_As2)+SQRT((ae_dc*dc_As+(ae_dc-1)*dc_As2)^2+2*dc_b*(ae_dc*dc_As*dc_d+(ae_dc-1)*dc_As2*dc_d2)))/dc_b</definedName>
    <definedName name="dc_xb">(-ae_dc*(dc_As+dc_As2)+SQRT((ae_dc*(dc_As+dc_As2))^2+2*dc_b*ae_dc*(dc_As*dc_d+dc_As2*dc_d2)))/dc_b</definedName>
    <definedName name="xII_dc">'Calculation'!$E$74</definedName>
    <definedName name="III_dc">'Calculation'!$E$75</definedName>
    <definedName name="SI_dc">'Calculation'!$E$76</definedName>
    <definedName name="SII_dc">'Calculation'!$E$77</definedName>
    <definedName name="Mcr_dc">'Calculation'!$E$80</definedName>
    <definedName name="zeta_dc">'Calculation'!$E$81</definedName>
    <definedName name="kM_dc">'Calculation'!$E$82</definedName>
    <definedName name="kcs_dc">'Calculation'!$E$83</definedName>
    <definedName name="k_dc">'Calculation'!$E$84</definedName>
    <definedName name="kc_dc">'Calculation'!$E$85</definedName>
    <definedName name="dM_dc">'Calculation'!$E$86</definedName>
    <definedName name="dcs_dc">'Calculation'!$E$87</definedName>
    <definedName name="dtot_dc">'Calculation'!$E$88</definedName>
    <definedName name="dsamp_dc">'Calculation'!$E$89</definedName>
    <definedName name="dall_dc">'Calculation'!$E$90</definedName>
    <definedName name="dmax_dc">'Calculation'!$E$91</definedName>
    <definedName name="dc_im">SUMPRODUCT(MATCH(dsamp_dc,ABS(dc_ye),0))</definedName>
    <definedName name="dsig_dc">'Calculation'!$E$92</definedName>
    <definedName name="xmax_dc">'Calculation'!$E$93</definedName>
    <definedName name="dlim_dc">'Calculation'!$E$94</definedName>
    <definedName name="chk_defl">'Calculation'!$G$95</definedName>
    <definedName name="ndp_gamma_c">INDEX('NDP'!$D$6:$E$6,na_idx)</definedName>
    <definedName name="ndp_gamma_s">INDEX('NDP'!$D$7:$E$7,na_idx)</definedName>
    <definedName name="ndp_alpha_cc">INDEX('NDP'!$D$8:$E$8,na_idx)</definedName>
    <definedName name="ndp_alpha_cc_pl">INDEX('NDP'!$D$9:$E$9,na_idx)</definedName>
    <definedName name="ndp_alpha_cc_shear">INDEX('NDP'!$D$10:$E$10,na_idx)</definedName>
    <definedName name="ndp_alpha_ct">INDEX('NDP'!$D$11:$E$11,na_idx)</definedName>
    <definedName name="ndp_C_Rdc">INDEX('NDP'!$D$12:$E$12,na_idx)</definedName>
    <definedName name="ndp_k1_p">INDEX('NDP'!$D$13:$E$13,na_idx)</definedName>
    <definedName name="ndp_vmax">INDEX('NDP'!$D$14:$E$14,na_idx)</definedName>
    <definedName name="ndp_kmax">INDEX('NDP'!$D$15:$E$15,na_idx)</definedName>
    <definedName name="ndp_phi_large">INDEX('NDP'!$D$16:$E$16,na_idx)</definedName>
    <definedName name="ndp_cot_max">INDEX('NDP'!$D$17:$E$17,na_idx)</definedName>
    <definedName name="ndp_k1_red">INDEX('NDP'!$D$18:$E$18,na_idx)</definedName>
    <definedName name="ndp_k2_red">INDEX('NDP'!$D$19:$E$19,na_idx)</definedName>
    <definedName name="ndp_ld_mod_max">INDEX('NDP'!$D$20:$E$20,na_idx)</definedName>
    <definedName name="ndp_ld_cap_40K">INDEX('NDP'!$D$21:$E$21,na_idx)</definedName>
    <definedName name="ndp_phi_min_col">INDEX('NDP'!$D$22:$E$22,na_idx)</definedName>
    <definedName name="ndp_k3">INDEX('NDP'!$D$23:$E$23,na_idx)</definedName>
    <definedName name="ndp_k4">INDEX('NDP'!$D$24:$E$24,na_idx)</definedName>
    <definedName name="ndp_k1_sl">INDEX('NDP'!$D$25:$E$25,na_idx)</definedName>
    <definedName name="ndp_k2_sl">INDEX('NDP'!$D$26:$E$26,na_idx)</definedName>
    <definedName name="ndp_k3_sl">INDEX('NDP'!$D$27:$E$27,na_idx)</definedName>
    <definedName name="ndp_k4_sl">INDEX('NDP'!$D$28:$E$28,na_idx)</definedName>
    <definedName name="na_idx">IF(NA_sel="PL NA (PN-EN)",2,IF(NA_sel="UK NA (BS EN)",1,NA()))</definedName>
    <definedName name="_xlnm.Print_Area" localSheetId="0">'About'!$A$1:$D$39</definedName>
    <definedName name="_xlnm.Print_Area" localSheetId="1">'Calculation'!$A$1:$H$99</definedName>
    <definedName name="_xlnm.Print_Area" localSheetId="3">'NDP'!$A$1:$G$29</definedName>
  </definedNames>
  <calcPr calcId="124519" fullCalcOnLoad="1"/>
</workbook>
</file>

<file path=xl/styles.xml><?xml version="1.0" encoding="utf-8"?>
<styleSheet xmlns="http://schemas.openxmlformats.org/spreadsheetml/2006/main">
  <numFmts count="6">
    <numFmt numFmtId="164" formatCode="dd mmm yyyy"/>
    <numFmt numFmtId="165" formatCode="0.0"/>
    <numFmt numFmtId="166" formatCode="0.00000"/>
    <numFmt numFmtId="167" formatCode="0.000"/>
    <numFmt numFmtId="168" formatCode="0.000E+00"/>
    <numFmt numFmtId="169" formatCode="0.0000"/>
  </numFmts>
  <fonts count="21">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b val="1"/>
      <color rgb="002B2B2B"/>
      <sz val="9"/>
    </font>
    <font>
      <name val="Calibri"/>
      <color rgb="002B2B2B"/>
      <sz val="11"/>
    </font>
    <font>
      <name val="Calibri"/>
      <b val="1"/>
      <color rgb="002B2B2B"/>
      <sz val="15"/>
    </font>
    <font>
      <name val="Calibri"/>
      <family val="2"/>
      <i val="1"/>
      <color rgb="008A8A8A"/>
      <sz val="9"/>
      <scheme val="minor"/>
    </font>
    <font>
      <name val="Calibri"/>
      <i val="1"/>
      <color rgb="008A8A8A"/>
      <sz val="8.5"/>
    </font>
    <font>
      <name val="Calibri"/>
      <b val="1"/>
      <color rgb="002B2B2B"/>
      <sz val="16"/>
    </font>
    <font>
      <name val="Calibri"/>
      <b val="1"/>
      <color rgb="008A8A8A"/>
      <sz val="9"/>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56">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0" fillId="0" borderId="1" applyAlignment="1" pivotButton="0" quotePrefix="0" xfId="0">
      <alignment horizontal="center" vertical="center"/>
    </xf>
    <xf numFmtId="0" fontId="8" fillId="0" borderId="1" applyAlignment="1" pivotButton="0" quotePrefix="0" xfId="0">
      <alignment vertical="center"/>
    </xf>
    <xf numFmtId="2" fontId="12" fillId="3" borderId="1" applyAlignment="1" applyProtection="1" pivotButton="0" quotePrefix="0" xfId="0">
      <alignment horizontal="center" vertical="center"/>
      <protection locked="0" hidden="0"/>
    </xf>
    <xf numFmtId="165" fontId="12" fillId="3" borderId="1" applyAlignment="1" applyProtection="1" pivotButton="0" quotePrefix="0" xfId="0">
      <alignment horizontal="center" vertical="center"/>
      <protection locked="0" hidden="0"/>
    </xf>
    <xf numFmtId="166" fontId="12" fillId="3" borderId="1" applyAlignment="1" applyProtection="1" pivotButton="0" quotePrefix="0" xfId="0">
      <alignment horizontal="center" vertical="center"/>
      <protection locked="0" hidden="0"/>
    </xf>
    <xf numFmtId="0" fontId="14" fillId="0" borderId="1" applyAlignment="1" pivotButton="0" quotePrefix="0" xfId="0">
      <alignment horizontal="center" vertical="center"/>
    </xf>
    <xf numFmtId="0" fontId="0" fillId="4" borderId="0" pivotButton="0" quotePrefix="0" xfId="0"/>
    <xf numFmtId="0" fontId="15" fillId="4" borderId="0" applyAlignment="1" pivotButton="0" quotePrefix="0" xfId="0">
      <alignment vertical="center"/>
    </xf>
    <xf numFmtId="2" fontId="16" fillId="4" borderId="0" applyAlignment="1" pivotButton="0" quotePrefix="0" xfId="0">
      <alignment horizontal="center" vertical="center"/>
    </xf>
    <xf numFmtId="0" fontId="4" fillId="4" borderId="0" applyAlignment="1" pivotButton="0" quotePrefix="0" xfId="0">
      <alignment vertical="center"/>
    </xf>
    <xf numFmtId="0" fontId="12" fillId="4" borderId="0" applyAlignment="1" pivotButton="0" quotePrefix="0" xfId="0">
      <alignment horizontal="center" vertical="center"/>
    </xf>
    <xf numFmtId="0" fontId="0" fillId="4" borderId="0" applyAlignment="1" pivotButton="0" quotePrefix="0" xfId="0">
      <alignment horizontal="center" vertical="center"/>
    </xf>
    <xf numFmtId="165" fontId="16" fillId="4" borderId="0" applyAlignment="1" pivotButton="0" quotePrefix="0" xfId="0">
      <alignment horizontal="center" vertical="center"/>
    </xf>
    <xf numFmtId="167" fontId="16" fillId="4" borderId="0" applyAlignment="1" pivotButton="0" quotePrefix="0" xfId="0">
      <alignment horizontal="center" vertical="center"/>
    </xf>
    <xf numFmtId="1" fontId="16" fillId="4" borderId="0" applyAlignment="1" pivotButton="0" quotePrefix="0" xfId="0">
      <alignment horizontal="center" vertical="center"/>
    </xf>
    <xf numFmtId="0" fontId="17" fillId="0" borderId="0" pivotButton="0" quotePrefix="0" xfId="0"/>
    <xf numFmtId="1" fontId="5" fillId="0" borderId="1" applyAlignment="1" pivotButton="0" quotePrefix="0" xfId="0">
      <alignment horizontal="center" vertical="center"/>
    </xf>
    <xf numFmtId="2" fontId="5" fillId="0" borderId="1" applyAlignment="1" pivotButton="0" quotePrefix="0" xfId="0">
      <alignment horizontal="center" vertical="center"/>
    </xf>
    <xf numFmtId="165" fontId="5" fillId="0" borderId="1" applyAlignment="1" pivotButton="0" quotePrefix="0" xfId="0">
      <alignment horizontal="center" vertical="center"/>
    </xf>
    <xf numFmtId="168" fontId="5" fillId="0" borderId="1" applyAlignment="1" pivotButton="0" quotePrefix="0" xfId="0">
      <alignment horizontal="center" vertical="center"/>
    </xf>
    <xf numFmtId="167" fontId="5" fillId="0" borderId="1" applyAlignment="1" pivotButton="0" quotePrefix="0" xfId="0">
      <alignment horizontal="center" vertical="center"/>
    </xf>
    <xf numFmtId="169" fontId="5" fillId="0" borderId="1" applyAlignment="1" pivotButton="0" quotePrefix="0" xfId="0">
      <alignment horizontal="center" vertical="center"/>
    </xf>
    <xf numFmtId="2" fontId="12" fillId="0" borderId="1" applyAlignment="1" pivotButton="0" quotePrefix="0" xfId="0">
      <alignment horizontal="center" vertical="center"/>
    </xf>
    <xf numFmtId="0" fontId="18" fillId="0" borderId="0" applyAlignment="1" pivotButton="0" quotePrefix="0" xfId="0">
      <alignment vertical="top" wrapText="1"/>
    </xf>
    <xf numFmtId="0" fontId="19" fillId="0" borderId="0" pivotButton="0" quotePrefix="0" xfId="0"/>
    <xf numFmtId="0" fontId="20" fillId="0" borderId="2" pivotButton="0" quotePrefix="0" xfId="0"/>
    <xf numFmtId="0" fontId="5" fillId="0" borderId="1" pivotButton="0" quotePrefix="0" xfId="0"/>
    <xf numFmtId="0" fontId="8" fillId="0" borderId="1" pivotButton="0" quotePrefix="0" xfId="0"/>
    <xf numFmtId="0" fontId="12" fillId="0" borderId="1" applyAlignment="1" pivotButton="0" quotePrefix="0" xfId="0">
      <alignment horizont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
  <chart>
    <plotArea>
      <scatterChart>
        <scatterStyle val="lineMarker"/>
        <ser>
          <idx val="0"/>
          <order val="0"/>
          <tx>
            <strRef>
              <f>'Geometry'!$A$2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'Geometry'!$A$3</f>
            </numRef>
          </xVal>
          <yVal>
            <numRef>
              <f>'Geometry'!$B$3</f>
            </numRef>
          </yVal>
          <smooth val="0"/>
        </ser>
        <ser>
          <idx val="1"/>
          <order val="1"/>
          <tx>
            <v>member</v>
          </tx>
          <spPr>
            <a:ln xmlns:a="http://schemas.openxmlformats.org/drawingml/2006/main" w="12700">
              <a:solidFill>
                <a:srgbClr val="9A9A9A"/>
              </a:solidFill>
              <a:prstDash val="dash"/>
            </a:ln>
          </spPr>
          <marker>
            <symbol val="none"/>
            <spPr>
              <a:ln xmlns:a="http://schemas.openxmlformats.org/drawingml/2006/main">
                <a:prstDash val="solid"/>
              </a:ln>
            </spPr>
          </marker>
          <xVal>
            <numRef>
              <f>'Geometry'!$D$3:$D$4</f>
            </numRef>
          </xVal>
          <yVal>
            <numRef>
              <f>'Geometry'!$E$3:$E$4</f>
            </numRef>
          </yVal>
          <smooth val="0"/>
        </ser>
        <ser>
          <idx val="2"/>
          <order val="2"/>
          <tx>
            <v>deflected shape</v>
          </tx>
          <spPr>
            <a:ln xmlns:a="http://schemas.openxmlformats.org/drawingml/2006/main" w="25400">
              <a:solidFill>
                <a:srgbClr val="5B7F8A"/>
              </a:solidFill>
              <a:prstDash val="solid"/>
            </a:ln>
          </spPr>
          <marker>
            <symbol val="none"/>
            <spPr>
              <a:ln xmlns:a="http://schemas.openxmlformats.org/drawingml/2006/main">
                <a:prstDash val="solid"/>
              </a:ln>
            </spPr>
          </marker>
          <xVal>
            <numRef>
              <f>'Geometry'!$G$3:$G$27</f>
            </numRef>
          </xVal>
          <yVal>
            <numRef>
              <f>'Geometry'!$H$3:$H$27</f>
            </numRef>
          </yVal>
          <smooth val="0"/>
        </ser>
        <ser>
          <idx val="3"/>
          <order val="3"/>
          <tx>
            <v>limit</v>
          </tx>
          <spPr>
            <a:ln xmlns:a="http://schemas.openxmlformats.org/drawingml/2006/main" w="15875">
              <a:solidFill>
                <a:srgbClr val="B3261E"/>
              </a:solidFill>
              <a:prstDash val="dash"/>
            </a:ln>
          </spPr>
          <marker>
            <symbol val="none"/>
            <spPr>
              <a:ln xmlns:a="http://schemas.openxmlformats.org/drawingml/2006/main">
                <a:prstDash val="solid"/>
              </a:ln>
            </spPr>
          </marker>
          <xVal>
            <numRef>
              <f>'Geometry'!$J$3:$J$4</f>
            </numRef>
          </xVal>
          <yVal>
            <numRef>
              <f>'Geometry'!$K$3:$K$4</f>
            </numRef>
          </yVal>
          <smooth val="0"/>
        </ser>
        <ser>
          <idx val="4"/>
          <order val="4"/>
          <tx>
            <v>support A</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'Geometry'!$M$3:$M$6</f>
            </numRef>
          </xVal>
          <yVal>
            <numRef>
              <f>'Geometry'!$N$3:$N$6</f>
            </numRef>
          </yVal>
          <smooth val="0"/>
        </ser>
        <ser>
          <idx val="5"/>
          <order val="5"/>
          <tx>
            <v>support B</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'Geometry'!$P$3:$P$6</f>
            </numRef>
          </xVal>
          <yVal>
            <numRef>
              <f>'Geometry'!$Q$3:$Q$6</f>
            </numRef>
          </yVal>
          <smooth val="0"/>
        </ser>
        <ser>
          <idx val="6"/>
          <order val="6"/>
          <tx>
            <v>fixed end</v>
          </tx>
          <spPr>
            <a:ln xmlns:a="http://schemas.openxmlformats.org/drawingml/2006/main" w="38100">
              <a:solidFill>
                <a:srgbClr val="2B2B2B"/>
              </a:solidFill>
              <a:prstDash val="solid"/>
            </a:ln>
          </spPr>
          <marker>
            <symbol val="none"/>
            <spPr>
              <a:ln xmlns:a="http://schemas.openxmlformats.org/drawingml/2006/main">
                <a:prstDash val="solid"/>
              </a:ln>
            </spPr>
          </marker>
          <xVal>
            <numRef>
              <f>'Geometry'!$S$3:$S$4</f>
            </numRef>
          </xVal>
          <yVal>
            <numRef>
              <f>'Geometry'!$T$3:$T$4</f>
            </numRef>
          </yVal>
          <smooth val="0"/>
        </ser>
        <ser>
          <idx val="7"/>
          <order val="7"/>
          <tx>
            <strRef>
              <f>'Geometry'!$V$2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5B7F8A"/>
                    </a:solidFill>
                  </a:defRPr>
                </a:pPr>
                <a:r>
                  <a:t/>
                </a:r>
                <a:endParaRPr sz="800">
                  <a:solidFill>
                    <a:srgbClr val="5B7F8A"/>
                  </a:solidFill>
                </a:endParaRPr>
              </a:p>
            </txPr>
            <dLblPos val="t"/>
            <showLegendKey val="0"/>
            <showVal val="0"/>
            <showCatName val="0"/>
            <showSerName val="1"/>
            <showPercent val="0"/>
          </dLbls>
          <xVal>
            <numRef>
              <f>'Geometry'!$V$3</f>
            </numRef>
          </xVal>
          <yVal>
            <numRef>
              <f>'Geometry'!$W$3</f>
            </numRef>
          </yVal>
          <smooth val="0"/>
        </ser>
        <ser>
          <idx val="8"/>
          <order val="8"/>
          <tx>
            <strRef>
              <f>'Geometry'!$Y$2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b"/>
            <showLegendKey val="0"/>
            <showVal val="0"/>
            <showCatName val="0"/>
            <showSerName val="1"/>
            <showPercent val="0"/>
          </dLbls>
          <xVal>
            <numRef>
              <f>'Geometry'!$Y$3</f>
            </numRef>
          </xVal>
          <yVal>
            <numRef>
              <f>'Geometry'!$Z$3</f>
            </numRef>
          </yVal>
          <smooth val="0"/>
        </ser>
        <ser>
          <idx val="9"/>
          <order val="9"/>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'Geometry'!$AB$3:$AB$4</f>
            </numRef>
          </xVal>
          <yVal>
            <numRef>
              <f>'Geometry'!$AC$3:$AC$4</f>
            </numRef>
          </yVal>
          <smooth val="0"/>
        </ser>
        <ser>
          <idx val="10"/>
          <order val="10"/>
          <tx>
            <strRef>
              <f>'Geometry'!$AE$2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t"/>
            <showLegendKey val="0"/>
            <showVal val="0"/>
            <showCatName val="0"/>
            <showSerName val="1"/>
            <showPercent val="0"/>
          </dLbls>
          <xVal>
            <numRef>
              <f>'Geometry'!$AE$3</f>
            </numRef>
          </xVal>
          <yVal>
            <numRef>
              <f>'Geometry'!$AF$3</f>
            </numRef>
          </yVal>
          <smooth val="0"/>
        </ser>
        <ser>
          <idx val="11"/>
          <order val="11"/>
          <tx>
            <v>frame</v>
          </tx>
          <spPr>
            <a:ln xmlns:a="http://schemas.openxmlformats.org/drawingml/2006/main">
              <a:noFill/>
              <a:prstDash val="solid"/>
            </a:ln>
          </spPr>
          <marker>
            <symbol val="none"/>
            <spPr>
              <a:ln xmlns:a="http://schemas.openxmlformats.org/drawingml/2006/main">
                <a:prstDash val="solid"/>
              </a:ln>
            </spPr>
          </marker>
          <xVal>
            <numRef>
              <f>'Geometry'!$AH$3:$AH$4</f>
            </numRef>
          </xVal>
          <yVal>
            <numRef>
              <f>'Geometry'!$AI$3:$AI$4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2.png" Id="rId2"/></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40</row>
      <rowOff>0</rowOff>
    </from>
    <ext cx="6138000" cy="39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1</row>
      <rowOff>0</rowOff>
    </from>
    <ext cx="151447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Deflection by calculation</t>
        </is>
      </c>
    </row>
    <row r="8" ht="20" customHeight="1">
      <c r="B8" s="4" t="inlineStr">
        <is>
          <t>Long-term deflection from curvatures  ·  EN 1992-1-1 §7.4.3  ·  UK NA / PN-EN</t>
        </is>
      </c>
    </row>
    <row r="10">
      <c r="B10" s="5" t="inlineStr">
        <is>
          <t>Reference</t>
        </is>
      </c>
      <c r="C10" s="6" t="inlineStr">
        <is>
          <t>NAE-RC-033  ·  version 1.0</t>
        </is>
      </c>
    </row>
    <row r="11" ht="31" customHeight="1">
      <c r="B11" s="5" t="inlineStr">
        <is>
          <t>Standards</t>
        </is>
      </c>
      <c r="C11" s="7" t="inlineStr">
        <is>
          <t>BS EN 1992-1-1:2004 with UK NA  ·  PN-EN 1992-1-1:2008 with Polish NA (NDP sources listed on the NDP sheet)</t>
        </is>
      </c>
    </row>
    <row r="12">
      <c r="B12" s="5" t="inlineStr">
        <is>
          <t>National Annex</t>
        </is>
      </c>
      <c r="C12" s="6" t="inlineStr">
        <is>
          <t>Selectable: UK NA to BS EN 1992-1-1 or Polish NA to PN-EN 1992-1-1</t>
        </is>
      </c>
    </row>
    <row r="13">
      <c r="B13" s="5" t="inlineStr">
        <is>
          <t>Issued</t>
        </is>
      </c>
      <c r="C13" s="6" t="inlineStr">
        <is>
          <t>30 October 2026</t>
        </is>
      </c>
    </row>
    <row r="15" ht="20" customHeight="1">
      <c r="B15" s="8" t="inlineStr">
        <is>
          <t>What it does</t>
        </is>
      </c>
      <c r="C15" s="9" t="n"/>
    </row>
    <row r="16" ht="33" customHeight="1">
      <c r="B16" s="7" t="inlineStr">
        <is>
          <t>Long-term deflection of a rectangular reinforced concrete beam or slab strip under the quasi-permanent load, from the curvatures of the uncracked and cracked sections with creep and shrinkage (7.4.3), against a span / ratio limit.</t>
        </is>
      </c>
    </row>
    <row r="18" ht="20" customHeight="1">
      <c r="B18" s="8" t="inlineStr">
        <is>
          <t>How to use</t>
        </is>
      </c>
      <c r="C18" s="9" t="n"/>
    </row>
    <row r="19" ht="47.5" customHeight="1">
      <c r="B19" s="7" t="inlineStr">
        <is>
          <t>1.  Open the Calculation sheet and select the National Annex.
2.  Fill in the shaded input cells. Everything else is calculated.
3.  Read the Results block; every step below it quotes its clause. Print or save as PDF for your calculation package.</t>
        </is>
      </c>
    </row>
    <row r="21" ht="20" customHeight="1">
      <c r="B21" s="8" t="inlineStr">
        <is>
          <t>Scope and limitations</t>
        </is>
      </c>
      <c r="C21" s="9" t="n"/>
    </row>
    <row r="22" ht="366.5" customHeight="1">
      <c r="B22" s="7" t="inlineStr">
        <is>
          <t>Rectangular section b × h with tension steel As at d and optional compression steel As2 at d2, one critical section (mid-span, or the support of a cantilever). Effective modulus Ec,eff = Ecm / (1 + φ) (7.20), φ and the free shrinkage strain εcs entered (EN 1992-1-1 Annex B, or 3.1.4 and 3.1.5; linear creep, so the stress at loading not above 0.45 fck(t0), 3.1.4(4)). Section properties transformed with αe = Es / Ec,eff, uncracked (I) and cracked (II, concrete in tension ignored). Cracking moment from fctm (7.4.3(3), (4)) on the uncracked section. The section counts as cracked when the largest moment it has carried or will carry (construction loads, frequent or characteristic service loads, entered) exceeds Mcr, or when it is declared cracked before (early-age loading at a lower strength and stiffness, restraint or shrinkage: the sheet does not check the cracking moment at an early age, so answer Yes when that is possible). ζ is then taken as 1 − 0.5 (Mcr / Mmax)² (Mmax not below Mcr), an approximation of ours that keeps the tension stiffening of the largest moment (7.19 itself uses the moment considered), and 0 otherwise. Compression steel lying below the cracked neutral axis is counted with αe in tension. Curvature from the load M / (Ec,eff I) and from shrinkage εcs αe S / I (7.21), each interpolated with ζ (7.18). Deflection δ = k L² (1/r) for the load (k = 5/48 (1 − β/10) at mid-span of a span with end moments, β = βA + βB, βA = MA / MC and βB = MB / MC with the hogging end moments and the mid-span moment MC (βA + βB ≤ 4, 2 + 2 for fixed ends), 5/48 simply supported, 1/4 for a cantilever under uniform load) and kcs L² (1/r)cs for shrinkage (1/8 for a span, 1/2 for a cantilever, uniform curvature). Along the member the load part takes the elastic shape of a uniform load with those end moments (the peak moves towards the less restrained end) and the shrinkage part that of a uniform curvature. On a continuous span the supports restrain the shrinkage curvature by an unknown amount: at every point the restrained shrinkage displacement lies between none (both ends fixed) and the simply supported value, so the larger of the displacements with and without the shrinkage part is checked. The displacement is evaluated at 201 points, with an allowance for a peak between them of a quarter of the largest second difference. Coefficients for a uniform load and a stiffness taken from the critical section: an estimate, not a member integration (7.4.3(7)). The quasi-permanent moment at the critical section is entered (ψ2 from EN 1990). Checked as max |δ| ≤ L / 250 or the ratio entered, an upward result reported as such (7.4.1(4), (5)); the part after the finishes are fixed is not separated. A rigorous integration of curvature along the member is more exact.
The second-generation EN 1992-1-1:2023 is not yet implemented.</t>
        </is>
      </c>
    </row>
    <row r="24" ht="20" customHeight="1">
      <c r="B24" s="8" t="inlineStr">
        <is>
          <t>Further reading and independent cross-check</t>
        </is>
      </c>
      <c r="C24" s="9" t="n"/>
    </row>
    <row r="25" ht="76.5" customHeight="1">
      <c r="B25" s="10" t="inlineStr">
        <is>
          <t>•  The Concrete Centre, How to design concrete structures using Eurocode 2: Deflection calculations.
•  The Concrete Centre, Concise Eurocode 2, 10.5 (deflection by calculation).
•  The Concrete Centre, RC Spreadsheets v4 (licensed product) can be used as an independent cross-check.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&amp;K8A8A8ANAE-RC-033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98"/>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Deflection by calculation</t>
        </is>
      </c>
      <c r="H2" s="1" t="n"/>
    </row>
    <row r="3" ht="16" customHeight="1">
      <c r="A3" s="1" t="n"/>
      <c r="B3" s="1" t="n"/>
      <c r="C3" s="15" t="inlineStr">
        <is>
          <t>NAE-RC-033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member and section</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C30/37</t>
        </is>
      </c>
      <c r="F12" s="23" t="n"/>
      <c r="G12" s="23" t="n"/>
    </row>
    <row r="13" ht="17" customHeight="1">
      <c r="B13" s="23" t="n"/>
      <c r="C13" s="24" t="inlineStr">
        <is>
          <t>Support condition</t>
        </is>
      </c>
      <c r="D13" s="23" t="n"/>
      <c r="E13" s="25" t="inlineStr">
        <is>
          <t>Simply supported</t>
        </is>
      </c>
      <c r="F13" s="23" t="n"/>
      <c r="G13" s="23" t="n"/>
    </row>
    <row r="14" ht="17" customHeight="1">
      <c r="B14" s="23" t="n"/>
      <c r="C14" s="24" t="inlineStr">
        <is>
          <t>Span  (cantilever: its length)</t>
        </is>
      </c>
      <c r="D14" s="27" t="inlineStr">
        <is>
          <r>
            <rPr>
              <rFont val="Calibri"/>
              <i val="1"/>
              <color rgb="002B2B2B"/>
              <sz val="10"/>
            </rPr>
            <t>L</t>
          </r>
        </is>
      </c>
      <c r="E14" s="25" t="n">
        <v>5500</v>
      </c>
      <c r="F14" s="28" t="inlineStr">
        <is>
          <t>mm</t>
        </is>
      </c>
      <c r="G14" s="23" t="n"/>
    </row>
    <row r="15" ht="17" customHeight="1">
      <c r="B15" s="26" t="inlineStr">
        <is>
          <t>How to: Deflection</t>
        </is>
      </c>
      <c r="C15" s="24" t="inlineStr">
        <is>
          <t>Continuous: hogging end moment at A over the mid-span moment  MA / MC</t>
        </is>
      </c>
      <c r="D15" s="27" t="inlineStr">
        <is>
          <r>
            <rPr>
              <rFont val="Calibri"/>
              <i val="1"/>
              <color rgb="002B2B2B"/>
              <sz val="10"/>
            </rPr>
            <t>β</t>
          </r>
          <r>
            <rPr>
              <rFont val="Calibri"/>
              <i val="1"/>
              <color rgb="002B2B2B"/>
              <sz val="10"/>
              <vertAlign val="subscript"/>
            </rPr>
            <t>A</t>
          </r>
        </is>
      </c>
      <c r="E15" s="29" t="n">
        <v>0</v>
      </c>
      <c r="F15" s="23" t="n"/>
      <c r="G15" s="23" t="n"/>
    </row>
    <row r="16" ht="17" customHeight="1">
      <c r="B16" s="23" t="n"/>
      <c r="C16" s="24" t="inlineStr">
        <is>
          <t>Continuous: the same at B  MB / MC  (βA + βB ≤ 4; fixed ends 2 + 2)</t>
        </is>
      </c>
      <c r="D16" s="27" t="inlineStr">
        <is>
          <r>
            <rPr>
              <rFont val="Calibri"/>
              <i val="1"/>
              <color rgb="002B2B2B"/>
              <sz val="10"/>
            </rPr>
            <t>β</t>
          </r>
          <r>
            <rPr>
              <rFont val="Calibri"/>
              <i val="1"/>
              <color rgb="002B2B2B"/>
              <sz val="10"/>
              <vertAlign val="subscript"/>
            </rPr>
            <t>B</t>
          </r>
        </is>
      </c>
      <c r="E16" s="29" t="n">
        <v>0</v>
      </c>
      <c r="F16" s="23" t="n"/>
      <c r="G16" s="23" t="n"/>
    </row>
    <row r="17" ht="17" customHeight="1">
      <c r="B17" s="23" t="n"/>
      <c r="C17" s="24" t="inlineStr">
        <is>
          <t>Width</t>
        </is>
      </c>
      <c r="D17" s="27" t="inlineStr">
        <is>
          <r>
            <rPr>
              <rFont val="Calibri"/>
              <i val="1"/>
              <color rgb="002B2B2B"/>
              <sz val="10"/>
            </rPr>
            <t>b</t>
          </r>
        </is>
      </c>
      <c r="E17" s="25" t="n">
        <v>1000</v>
      </c>
      <c r="F17" s="28" t="inlineStr">
        <is>
          <t>mm</t>
        </is>
      </c>
      <c r="G17" s="23" t="n"/>
    </row>
    <row r="18" ht="17" customHeight="1">
      <c r="B18" s="23" t="n"/>
      <c r="C18" s="24" t="inlineStr">
        <is>
          <t>Overall depth</t>
        </is>
      </c>
      <c r="D18" s="27" t="inlineStr">
        <is>
          <r>
            <rPr>
              <rFont val="Calibri"/>
              <i val="1"/>
              <color rgb="002B2B2B"/>
              <sz val="10"/>
            </rPr>
            <t>h</t>
          </r>
        </is>
      </c>
      <c r="E18" s="25" t="n">
        <v>280</v>
      </c>
      <c r="F18" s="28" t="inlineStr">
        <is>
          <t>mm</t>
        </is>
      </c>
      <c r="G18" s="23" t="n"/>
    </row>
    <row r="19" ht="17" customHeight="1">
      <c r="B19" s="23" t="n"/>
      <c r="C19" s="24" t="inlineStr">
        <is>
          <t>Tension steel at the critical section</t>
        </is>
      </c>
      <c r="D19" s="27" t="inlineStr">
        <is>
          <r>
            <rPr>
              <rFont val="Calibri"/>
              <i val="1"/>
              <color rgb="002B2B2B"/>
              <sz val="10"/>
            </rPr>
            <t>A</t>
          </r>
          <r>
            <rPr>
              <rFont val="Calibri"/>
              <i val="1"/>
              <color rgb="002B2B2B"/>
              <sz val="10"/>
              <vertAlign val="subscript"/>
            </rPr>
            <t>s</t>
          </r>
        </is>
      </c>
      <c r="E19" s="25" t="n">
        <v>1131</v>
      </c>
      <c r="F19" s="28" t="inlineStr">
        <is>
          <t>mm²</t>
        </is>
      </c>
      <c r="G19" s="23" t="n"/>
    </row>
    <row r="20" ht="17" customHeight="1">
      <c r="B20" s="23" t="n"/>
      <c r="C20" s="24" t="inlineStr">
        <is>
          <t>Its effective depth</t>
        </is>
      </c>
      <c r="D20" s="27" t="inlineStr">
        <is>
          <r>
            <rPr>
              <rFont val="Calibri"/>
              <i val="1"/>
              <color rgb="002B2B2B"/>
              <sz val="10"/>
            </rPr>
            <t>d</t>
          </r>
        </is>
      </c>
      <c r="E20" s="25" t="n">
        <v>245</v>
      </c>
      <c r="F20" s="28" t="inlineStr">
        <is>
          <t>mm</t>
        </is>
      </c>
      <c r="G20" s="23" t="n"/>
    </row>
    <row r="21" ht="17" customHeight="1">
      <c r="B21" s="23" t="n"/>
      <c r="C21" s="24" t="inlineStr">
        <is>
          <t>Compression steel  (0 = none)</t>
        </is>
      </c>
      <c r="D21" s="27" t="inlineStr">
        <is>
          <r>
            <rPr>
              <rFont val="Calibri"/>
              <i val="1"/>
              <color rgb="002B2B2B"/>
              <sz val="10"/>
            </rPr>
            <t>A</t>
          </r>
          <r>
            <rPr>
              <rFont val="Calibri"/>
              <i val="1"/>
              <color rgb="002B2B2B"/>
              <sz val="10"/>
              <vertAlign val="subscript"/>
            </rPr>
            <t>s2</t>
          </r>
        </is>
      </c>
      <c r="E21" s="25" t="n">
        <v>0</v>
      </c>
      <c r="F21" s="28" t="inlineStr">
        <is>
          <t>mm²</t>
        </is>
      </c>
      <c r="G21" s="23" t="n"/>
    </row>
    <row r="22" ht="17" customHeight="1">
      <c r="B22" s="23" t="n"/>
      <c r="C22" s="24" t="inlineStr">
        <is>
          <t>Its depth from the compression face</t>
        </is>
      </c>
      <c r="D22" s="27" t="inlineStr">
        <is>
          <r>
            <rPr>
              <rFont val="Calibri"/>
              <i val="1"/>
              <color rgb="002B2B2B"/>
              <sz val="10"/>
            </rPr>
            <t>d</t>
          </r>
          <r>
            <rPr>
              <rFont val="Calibri"/>
              <i val="1"/>
              <color rgb="002B2B2B"/>
              <sz val="10"/>
              <vertAlign val="subscript"/>
            </rPr>
            <t>2</t>
          </r>
        </is>
      </c>
      <c r="E22" s="25" t="n">
        <v>35</v>
      </c>
      <c r="F22" s="28" t="inlineStr">
        <is>
          <t>mm</t>
        </is>
      </c>
      <c r="G22" s="23" t="n"/>
    </row>
    <row r="23" ht="17" customHeight="1">
      <c r="B23" s="26" t="inlineStr">
        <is>
          <t>EN 1990 (6.16b)</t>
        </is>
      </c>
      <c r="C23" s="24" t="inlineStr">
        <is>
          <t>Quasi-permanent moment at the critical section</t>
        </is>
      </c>
      <c r="D23" s="27" t="inlineStr">
        <is>
          <r>
            <rPr>
              <rFont val="Calibri"/>
              <i val="1"/>
              <color rgb="002B2B2B"/>
              <sz val="10"/>
            </rPr>
            <t>M</t>
          </r>
          <r>
            <rPr>
              <rFont val="Calibri"/>
              <i val="1"/>
              <color rgb="002B2B2B"/>
              <sz val="10"/>
              <vertAlign val="subscript"/>
            </rPr>
            <t>qp</t>
          </r>
        </is>
      </c>
      <c r="E23" s="30" t="n">
        <v>50</v>
      </c>
      <c r="F23" s="28" t="inlineStr">
        <is>
          <t>kNm</t>
        </is>
      </c>
      <c r="G23" s="23" t="n"/>
    </row>
    <row r="24" ht="17" customHeight="1">
      <c r="B24" s="26" t="inlineStr">
        <is>
          <t>7.4.3(3)</t>
        </is>
      </c>
      <c r="C24" s="24" t="inlineStr">
        <is>
          <t>Largest moment carried there  (construction or service; ≥ M_qp)</t>
        </is>
      </c>
      <c r="D24" s="27" t="inlineStr">
        <is>
          <r>
            <rPr>
              <rFont val="Calibri"/>
              <i val="1"/>
              <color rgb="002B2B2B"/>
              <sz val="10"/>
            </rPr>
            <t>M</t>
          </r>
          <r>
            <rPr>
              <rFont val="Calibri"/>
              <i val="1"/>
              <color rgb="002B2B2B"/>
              <sz val="10"/>
              <vertAlign val="subscript"/>
            </rPr>
            <t>max</t>
          </r>
        </is>
      </c>
      <c r="E24" s="30" t="n">
        <v>50</v>
      </c>
      <c r="F24" s="28" t="inlineStr">
        <is>
          <t>kNm</t>
        </is>
      </c>
      <c r="G24" s="23" t="n"/>
    </row>
    <row r="25" ht="17" customHeight="1">
      <c r="B25" s="26" t="inlineStr">
        <is>
          <t>7.4.3(3)</t>
        </is>
      </c>
      <c r="C25" s="24" t="inlineStr">
        <is>
          <t>Cracked before  (early-age loading, restraint or shrinkage)</t>
        </is>
      </c>
      <c r="D25" s="23" t="n"/>
      <c r="E25" s="25" t="inlineStr">
        <is>
          <t>No</t>
        </is>
      </c>
      <c r="F25" s="23" t="n"/>
      <c r="G25" s="23" t="n"/>
    </row>
    <row r="26" ht="17" customHeight="1">
      <c r="B26" s="26" t="inlineStr">
        <is>
          <t>3.1.4, Annex B</t>
        </is>
      </c>
      <c r="C26" s="24" t="inlineStr">
        <is>
          <t>Creep coefficient  φ(∞, t0)</t>
        </is>
      </c>
      <c r="D26" s="27" t="inlineStr">
        <is>
          <r>
            <rPr>
              <rFont val="Calibri"/>
              <i val="1"/>
              <color rgb="002B2B2B"/>
              <sz val="10"/>
            </rPr>
            <t>φ</t>
          </r>
        </is>
      </c>
      <c r="E26" s="29" t="n">
        <v>2.5</v>
      </c>
      <c r="F26" s="23" t="n"/>
      <c r="G26" s="23" t="n"/>
    </row>
    <row r="27" ht="17" customHeight="1">
      <c r="B27" s="26" t="inlineStr">
        <is>
          <t>3.1.4(6), Annex B</t>
        </is>
      </c>
      <c r="C27" s="24" t="inlineStr">
        <is>
          <t>Free shrinkage strain  (as a positive number, e.g. 0.0004)</t>
        </is>
      </c>
      <c r="D27" s="27" t="inlineStr">
        <is>
          <r>
            <rPr>
              <rFont val="Calibri"/>
              <i val="1"/>
              <color rgb="002B2B2B"/>
              <sz val="10"/>
            </rPr>
            <t>ε</t>
          </r>
          <r>
            <rPr>
              <rFont val="Calibri"/>
              <i val="1"/>
              <color rgb="002B2B2B"/>
              <sz val="10"/>
              <vertAlign val="subscript"/>
            </rPr>
            <t>cs</t>
          </r>
        </is>
      </c>
      <c r="E27" s="31" t="n">
        <v>0.0004</v>
      </c>
      <c r="F27" s="23" t="n"/>
      <c r="G27" s="23" t="n"/>
    </row>
    <row r="28" ht="17" customHeight="1">
      <c r="B28" s="26" t="inlineStr">
        <is>
          <t>7.4.1(4)</t>
        </is>
      </c>
      <c r="C28" s="24" t="inlineStr">
        <is>
          <t>Limit  span / ratio</t>
        </is>
      </c>
      <c r="D28" s="27" t="inlineStr">
        <is>
          <r>
            <rPr>
              <rFont val="Calibri"/>
              <i val="1"/>
              <color rgb="002B2B2B"/>
              <sz val="10"/>
            </rPr>
            <t>L / ...</t>
          </r>
        </is>
      </c>
      <c r="E28" s="25" t="n">
        <v>250</v>
      </c>
      <c r="F28" s="23" t="n"/>
      <c r="G28" s="23" t="n"/>
    </row>
    <row r="29" ht="17" customHeight="1">
      <c r="B29" s="23" t="n"/>
      <c r="C29" s="24" t="inlineStr">
        <is>
          <t>Inputs valid and consistent</t>
        </is>
      </c>
      <c r="D29" s="23" t="n"/>
      <c r="E29" s="9" t="n"/>
      <c r="F29" s="23" t="n"/>
      <c r="G29" s="32">
        <f>IF(inputs_ok,"OK","FAIL")</f>
        <v/>
      </c>
    </row>
    <row r="31" ht="22" customHeight="1">
      <c r="B31" s="20" t="inlineStr">
        <is>
          <t>Results</t>
        </is>
      </c>
      <c r="C31" s="21" t="n"/>
      <c r="D31" s="21" t="n"/>
      <c r="E31" s="21" t="n"/>
      <c r="F31" s="21" t="n"/>
      <c r="G31" s="21" t="n"/>
    </row>
    <row r="32" ht="26" customHeight="1">
      <c r="B32" s="33" t="n"/>
      <c r="C32" s="34" t="inlineStr">
        <is>
          <t>Long-term deflection  max |δ| / (L / limit)</t>
        </is>
      </c>
      <c r="D32" s="33" t="n"/>
      <c r="E32" s="35">
        <f>IF(inputs_ok,dmax_dc/dlim_dc,"–")</f>
        <v/>
      </c>
      <c r="F32" s="36" t="inlineStr"/>
      <c r="G32" s="37">
        <f>IF(NOT(inputs_ok),"FAIL",IF(defl_ok,"OK","FAIL"))</f>
        <v/>
      </c>
    </row>
    <row r="33" ht="26" customHeight="1">
      <c r="B33" s="33" t="n"/>
      <c r="C33" s="34" t="inlineStr">
        <is>
          <t>Largest displacement along the member  (signed)</t>
        </is>
      </c>
      <c r="D33" s="38" t="inlineStr">
        <is>
          <r>
            <rPr>
              <rFont val="Calibri"/>
              <i val="1"/>
              <color rgb="002B2B2B"/>
              <sz val="11"/>
            </rPr>
            <t>δ</t>
          </r>
          <r>
            <rPr>
              <rFont val="Calibri"/>
              <i val="1"/>
              <color rgb="002B2B2B"/>
              <sz val="11"/>
              <vertAlign val="subscript"/>
            </rPr>
            <t>max</t>
          </r>
        </is>
      </c>
      <c r="E33" s="39">
        <f>IF(inputs_ok,dsig_dc,"–")</f>
        <v/>
      </c>
      <c r="F33" s="36" t="inlineStr">
        <is>
          <t>mm</t>
        </is>
      </c>
      <c r="G33" s="33" t="n"/>
    </row>
    <row r="34" ht="26" customHeight="1">
      <c r="B34" s="33" t="n"/>
      <c r="C34" s="34" t="inlineStr">
        <is>
          <t>Its position</t>
        </is>
      </c>
      <c r="D34" s="38" t="inlineStr">
        <is>
          <r>
            <rPr>
              <rFont val="Calibri"/>
              <i val="1"/>
              <color rgb="002B2B2B"/>
              <sz val="11"/>
            </rPr>
            <t>x / L</t>
          </r>
        </is>
      </c>
      <c r="E34" s="40">
        <f>IF(inputs_ok,xmax_dc,"–")</f>
        <v/>
      </c>
      <c r="F34" s="36" t="inlineStr"/>
      <c r="G34" s="33" t="n"/>
    </row>
    <row r="35" ht="26" customHeight="1">
      <c r="B35" s="33" t="n"/>
      <c r="C35" s="34" t="inlineStr">
        <is>
          <t>At mid-span (tip)  load + shrinkage</t>
        </is>
      </c>
      <c r="D35" s="38" t="inlineStr">
        <is>
          <r>
            <rPr>
              <rFont val="Calibri"/>
              <i val="1"/>
              <color rgb="002B2B2B"/>
              <sz val="11"/>
            </rPr>
            <t>δ</t>
          </r>
        </is>
      </c>
      <c r="E35" s="39">
        <f>IF(inputs_ok,dtot_dc,"–")</f>
        <v/>
      </c>
      <c r="F35" s="36" t="inlineStr">
        <is>
          <t>mm</t>
        </is>
      </c>
      <c r="G35" s="33" t="n"/>
    </row>
    <row r="36" ht="26" customHeight="1">
      <c r="B36" s="33" t="n"/>
      <c r="C36" s="34" t="inlineStr">
        <is>
          <t>Span / largest deflection</t>
        </is>
      </c>
      <c r="D36" s="38" t="inlineStr">
        <is>
          <r>
            <rPr>
              <rFont val="Calibri"/>
              <i val="1"/>
              <color rgb="002B2B2B"/>
              <sz val="11"/>
            </rPr>
            <t>L / |δ|max</t>
          </r>
        </is>
      </c>
      <c r="E36" s="41">
        <f>IF(inputs_ok,IF(dmax_dc=0,"–",dc_L/dmax_dc),"–")</f>
        <v/>
      </c>
      <c r="F36" s="36" t="inlineStr"/>
      <c r="G36" s="37">
        <f>IF(NOT(inputs_ok),"FAIL",IF(dsig_dc&lt;0,"upward","down"))</f>
        <v/>
      </c>
    </row>
    <row r="37" ht="26" customHeight="1">
      <c r="B37" s="33" t="n"/>
      <c r="C37" s="34" t="inlineStr">
        <is>
          <t>Cracked?  (largest moment or declared)</t>
        </is>
      </c>
      <c r="D37" s="38" t="inlineStr">
        <is>
          <r>
            <rPr>
              <rFont val="Calibri"/>
              <i val="1"/>
              <color rgb="002B2B2B"/>
              <sz val="11"/>
            </rPr>
            <t>M</t>
          </r>
          <r>
            <rPr>
              <rFont val="Calibri"/>
              <i val="1"/>
              <color rgb="002B2B2B"/>
              <sz val="11"/>
              <vertAlign val="subscript"/>
            </rPr>
            <t>max / M_cr</t>
          </r>
        </is>
      </c>
      <c r="E37" s="35">
        <f>IF(inputs_ok,dc_Mx/Mcr_dc,"–")</f>
        <v/>
      </c>
      <c r="F37" s="36" t="inlineStr"/>
      <c r="G37" s="37">
        <f>IF(NOT(inputs_ok),"FAIL",IF(dc_cracked,"cracked","uncracked"))</f>
        <v/>
      </c>
    </row>
    <row r="38" ht="26" customHeight="1">
      <c r="B38" s="33" t="n"/>
      <c r="C38" s="34" t="inlineStr">
        <is>
          <t>Distribution coefficient</t>
        </is>
      </c>
      <c r="D38" s="38" t="inlineStr">
        <is>
          <r>
            <rPr>
              <rFont val="Calibri"/>
              <i val="1"/>
              <color rgb="002B2B2B"/>
              <sz val="11"/>
            </rPr>
            <t>ζ</t>
          </r>
        </is>
      </c>
      <c r="E38" s="40">
        <f>IF(inputs_ok,zeta_dc,"–")</f>
        <v/>
      </c>
      <c r="F38" s="36" t="inlineStr"/>
      <c r="G38" s="33" t="n"/>
    </row>
    <row r="39"/>
    <row r="40">
      <c r="B40" s="42" t="inlineStr">
        <is>
          <t>Your member, elevation  ·  quasi-permanent deflected shape (exaggerated; continuous: the larger of with and without shrinkage), the limit dashed</t>
        </is>
      </c>
    </row>
    <row r="41"/>
    <row r="42"/>
    <row r="43"/>
    <row r="44"/>
    <row r="45"/>
    <row r="46"/>
    <row r="47"/>
    <row r="48"/>
    <row r="49"/>
    <row r="50"/>
    <row r="51"/>
    <row r="52"/>
    <row r="53"/>
    <row r="54"/>
    <row r="55"/>
    <row r="56"/>
    <row r="57"/>
    <row r="58"/>
    <row r="59"/>
    <row r="60"/>
    <row r="61"/>
    <row r="62"/>
    <row r="63" ht="22" customHeight="1">
      <c r="B63" s="20" t="inlineStr">
        <is>
          <t>Calculation  ·  materials</t>
        </is>
      </c>
      <c r="C63" s="21" t="n"/>
      <c r="D63" s="21" t="n"/>
      <c r="E63" s="21" t="n"/>
      <c r="F63" s="21" t="n"/>
      <c r="G63" s="21" t="n"/>
    </row>
    <row r="64" ht="17" customHeight="1">
      <c r="B64" s="26" t="inlineStr">
        <is>
          <t>Table 3.1</t>
        </is>
      </c>
      <c r="C64" s="24" t="inlineStr">
        <is>
          <t>Characteristic cylinder strength</t>
        </is>
      </c>
      <c r="D64" s="27" t="inlineStr">
        <is>
          <r>
            <rPr>
              <rFont val="Calibri"/>
              <i val="1"/>
              <color rgb="002B2B2B"/>
              <sz val="10"/>
            </rPr>
            <t>f</t>
          </r>
          <r>
            <rPr>
              <rFont val="Calibri"/>
              <i val="1"/>
              <color rgb="002B2B2B"/>
              <sz val="10"/>
              <vertAlign val="subscript"/>
            </rPr>
            <t>ck</t>
          </r>
        </is>
      </c>
      <c r="E64" s="43">
        <f>IF(inputs_ok,VALUE(MID(conc_class,2,FIND("/",conc_class)-2)),NA())</f>
        <v/>
      </c>
      <c r="F64" s="28" t="inlineStr">
        <is>
          <t>MPa</t>
        </is>
      </c>
      <c r="G64" s="23" t="n"/>
    </row>
    <row r="65" ht="17" customHeight="1">
      <c r="B65" s="26" t="inlineStr">
        <is>
          <t>Table 3.1</t>
        </is>
      </c>
      <c r="C65" s="24" t="inlineStr">
        <is>
          <t>Mean tensile strength</t>
        </is>
      </c>
      <c r="D65" s="27" t="inlineStr">
        <is>
          <r>
            <rPr>
              <rFont val="Calibri"/>
              <i val="1"/>
              <color rgb="002B2B2B"/>
              <sz val="10"/>
            </rPr>
            <t>f</t>
          </r>
          <r>
            <rPr>
              <rFont val="Calibri"/>
              <i val="1"/>
              <color rgb="002B2B2B"/>
              <sz val="10"/>
              <vertAlign val="subscript"/>
            </rPr>
            <t>ctm</t>
          </r>
        </is>
      </c>
      <c r="E65" s="44">
        <f>IF(inputs_ok,IF(f_ck&lt;=50,0.3*f_ck^(2/3),2.12*LN(1+(f_ck+8)/10)),NA())</f>
        <v/>
      </c>
      <c r="F65" s="28" t="inlineStr">
        <is>
          <t>MPa</t>
        </is>
      </c>
      <c r="G65" s="23" t="n"/>
    </row>
    <row r="66" ht="17" customHeight="1">
      <c r="B66" s="26" t="inlineStr">
        <is>
          <t>Table 3.1</t>
        </is>
      </c>
      <c r="C66" s="24" t="inlineStr">
        <is>
          <t>Mean modulus  22 (fcm / 10)^0.3</t>
        </is>
      </c>
      <c r="D66" s="27" t="inlineStr">
        <is>
          <r>
            <rPr>
              <rFont val="Calibri"/>
              <i val="1"/>
              <color rgb="002B2B2B"/>
              <sz val="10"/>
            </rPr>
            <t>E</t>
          </r>
          <r>
            <rPr>
              <rFont val="Calibri"/>
              <i val="1"/>
              <color rgb="002B2B2B"/>
              <sz val="10"/>
              <vertAlign val="subscript"/>
            </rPr>
            <t>cm</t>
          </r>
        </is>
      </c>
      <c r="E66" s="43">
        <f>IF(inputs_ok,22000*((f_ck+8)/10)^0.3,NA())</f>
        <v/>
      </c>
      <c r="F66" s="28" t="inlineStr">
        <is>
          <t>MPa</t>
        </is>
      </c>
      <c r="G66" s="23" t="n"/>
    </row>
    <row r="67" ht="17" customHeight="1">
      <c r="B67" s="26" t="inlineStr">
        <is>
          <t>(7.20)</t>
        </is>
      </c>
      <c r="C67" s="24" t="inlineStr">
        <is>
          <t>Effective modulus  Ecm / (1 + φ)</t>
        </is>
      </c>
      <c r="D67" s="27" t="inlineStr">
        <is>
          <r>
            <rPr>
              <rFont val="Calibri"/>
              <i val="1"/>
              <color rgb="002B2B2B"/>
              <sz val="10"/>
            </rPr>
            <t>E</t>
          </r>
          <r>
            <rPr>
              <rFont val="Calibri"/>
              <i val="1"/>
              <color rgb="002B2B2B"/>
              <sz val="10"/>
              <vertAlign val="subscript"/>
            </rPr>
            <t>c,eff</t>
          </r>
        </is>
      </c>
      <c r="E67" s="43">
        <f>IF(inputs_ok,Ecm_dc/(1+dc_phi),NA())</f>
        <v/>
      </c>
      <c r="F67" s="28" t="inlineStr">
        <is>
          <t>MPa</t>
        </is>
      </c>
      <c r="G67" s="23" t="n"/>
    </row>
    <row r="68" ht="17" customHeight="1">
      <c r="B68" s="26" t="inlineStr">
        <is>
          <t>3.2.7(4)</t>
        </is>
      </c>
      <c r="C68" s="24" t="inlineStr">
        <is>
          <t>Modular ratio  Es / Ec,eff,  Es = 200 GPa</t>
        </is>
      </c>
      <c r="D68" s="27" t="inlineStr">
        <is>
          <r>
            <rPr>
              <rFont val="Calibri"/>
              <i val="1"/>
              <color rgb="002B2B2B"/>
              <sz val="10"/>
            </rPr>
            <t>α</t>
          </r>
          <r>
            <rPr>
              <rFont val="Calibri"/>
              <i val="1"/>
              <color rgb="002B2B2B"/>
              <sz val="10"/>
              <vertAlign val="subscript"/>
            </rPr>
            <t>e</t>
          </r>
        </is>
      </c>
      <c r="E68" s="44">
        <f>IF(inputs_ok,200000/Ece_dc,NA())</f>
        <v/>
      </c>
      <c r="F68" s="23" t="n"/>
      <c r="G68" s="23" t="n"/>
    </row>
    <row r="69"/>
    <row r="70" ht="22" customHeight="1">
      <c r="B70" s="20" t="inlineStr">
        <is>
          <t>Calculation  ·  section properties  (per the width b, transformed)</t>
        </is>
      </c>
      <c r="C70" s="21" t="n"/>
      <c r="D70" s="21" t="n"/>
      <c r="E70" s="21" t="n"/>
      <c r="F70" s="21" t="n"/>
      <c r="G70" s="21" t="n"/>
    </row>
    <row r="71" ht="17" customHeight="1">
      <c r="B71" s="23" t="n"/>
      <c r="C71" s="24" t="inlineStr">
        <is>
          <t>Uncracked: transformed area  b h + (αe − 1)(As + As2)</t>
        </is>
      </c>
      <c r="D71" s="27" t="inlineStr">
        <is>
          <r>
            <rPr>
              <rFont val="Calibri"/>
              <i val="1"/>
              <color rgb="002B2B2B"/>
              <sz val="10"/>
            </rPr>
            <t>A</t>
          </r>
          <r>
            <rPr>
              <rFont val="Calibri"/>
              <i val="1"/>
              <color rgb="002B2B2B"/>
              <sz val="10"/>
              <vertAlign val="subscript"/>
            </rPr>
            <t>I</t>
          </r>
        </is>
      </c>
      <c r="E71" s="43">
        <f>IF(inputs_ok,dc_b*dc_h+(ae_dc-1)*(dc_As+dc_As2),NA())</f>
        <v/>
      </c>
      <c r="F71" s="28" t="inlineStr">
        <is>
          <t>mm²</t>
        </is>
      </c>
      <c r="G71" s="23" t="n"/>
    </row>
    <row r="72" ht="17" customHeight="1">
      <c r="B72" s="23" t="n"/>
      <c r="C72" s="24" t="inlineStr">
        <is>
          <t>Neutral axis from the compression face</t>
        </is>
      </c>
      <c r="D72" s="27" t="inlineStr">
        <is>
          <r>
            <rPr>
              <rFont val="Calibri"/>
              <i val="1"/>
              <color rgb="002B2B2B"/>
              <sz val="10"/>
            </rPr>
            <t>x</t>
          </r>
          <r>
            <rPr>
              <rFont val="Calibri"/>
              <i val="1"/>
              <color rgb="002B2B2B"/>
              <sz val="10"/>
              <vertAlign val="subscript"/>
            </rPr>
            <t>I</t>
          </r>
        </is>
      </c>
      <c r="E72" s="45">
        <f>IF(inputs_ok,(dc_b*dc_h^2/2+(ae_dc-1)*(dc_As*dc_d+dc_As2*dc_d2))/AI_dc,NA())</f>
        <v/>
      </c>
      <c r="F72" s="28" t="inlineStr">
        <is>
          <t>mm</t>
        </is>
      </c>
      <c r="G72" s="23" t="n"/>
    </row>
    <row r="73" ht="17" customHeight="1">
      <c r="B73" s="23" t="n"/>
      <c r="C73" s="24" t="inlineStr">
        <is>
          <t>Second moment of area</t>
        </is>
      </c>
      <c r="D73" s="27" t="inlineStr">
        <is>
          <r>
            <rPr>
              <rFont val="Calibri"/>
              <i val="1"/>
              <color rgb="002B2B2B"/>
              <sz val="10"/>
            </rPr>
            <t>I</t>
          </r>
          <r>
            <rPr>
              <rFont val="Calibri"/>
              <i val="1"/>
              <color rgb="002B2B2B"/>
              <sz val="10"/>
              <vertAlign val="subscript"/>
            </rPr>
            <t>I</t>
          </r>
        </is>
      </c>
      <c r="E73" s="46">
        <f>IF(inputs_ok,dc_b*dc_h^3/12+dc_b*dc_h*(dc_h/2-xI_dc)^2+(ae_dc-1)*(dc_As*(dc_d-xI_dc)^2+dc_As2*(xI_dc-dc_d2)^2),NA())</f>
        <v/>
      </c>
      <c r="F73" s="28" t="inlineStr">
        <is>
          <t>mm⁴</t>
        </is>
      </c>
      <c r="G73" s="23" t="n"/>
    </row>
    <row r="74" ht="17" customHeight="1">
      <c r="B74" s="23" t="n"/>
      <c r="C74" s="24" t="inlineStr">
        <is>
          <t>Cracked: neutral axis  (As2 below it: αe As2 in tension)</t>
        </is>
      </c>
      <c r="D74" s="27" t="inlineStr">
        <is>
          <r>
            <rPr>
              <rFont val="Calibri"/>
              <i val="1"/>
              <color rgb="002B2B2B"/>
              <sz val="10"/>
            </rPr>
            <t>x</t>
          </r>
          <r>
            <rPr>
              <rFont val="Calibri"/>
              <i val="1"/>
              <color rgb="002B2B2B"/>
              <sz val="10"/>
              <vertAlign val="subscript"/>
            </rPr>
            <t>II</t>
          </r>
        </is>
      </c>
      <c r="E74" s="45">
        <f>IF(inputs_ok,IF(dc_xa&gt;=dc_d2,dc_xa,dc_xb),NA())</f>
        <v/>
      </c>
      <c r="F74" s="28" t="inlineStr">
        <is>
          <t>mm</t>
        </is>
      </c>
      <c r="G74" s="23" t="n"/>
    </row>
    <row r="75" ht="17" customHeight="1">
      <c r="B75" s="23" t="n"/>
      <c r="C75" s="24" t="inlineStr">
        <is>
          <t>Second moment of area</t>
        </is>
      </c>
      <c r="D75" s="27" t="inlineStr">
        <is>
          <r>
            <rPr>
              <rFont val="Calibri"/>
              <i val="1"/>
              <color rgb="002B2B2B"/>
              <sz val="10"/>
            </rPr>
            <t>I</t>
          </r>
          <r>
            <rPr>
              <rFont val="Calibri"/>
              <i val="1"/>
              <color rgb="002B2B2B"/>
              <sz val="10"/>
              <vertAlign val="subscript"/>
            </rPr>
            <t>II</t>
          </r>
        </is>
      </c>
      <c r="E75" s="46">
        <f>IF(inputs_ok,dc_b*xII_dc^3/3+ae_dc*dc_As*(dc_d-xII_dc)^2+IF(xII_dc&gt;=dc_d2,ae_dc-1,ae_dc)*dc_As2*(xII_dc-dc_d2)^2,NA())</f>
        <v/>
      </c>
      <c r="F75" s="28" t="inlineStr">
        <is>
          <t>mm⁴</t>
        </is>
      </c>
      <c r="G75" s="23" t="n"/>
    </row>
    <row r="76" ht="17" customHeight="1">
      <c r="B76" s="26" t="inlineStr">
        <is>
          <t>(7.21)</t>
        </is>
      </c>
      <c r="C76" s="24" t="inlineStr">
        <is>
          <t>First moments of the steel  As (d − x) − As2 (x − d2)</t>
        </is>
      </c>
      <c r="D76" s="27" t="inlineStr">
        <is>
          <r>
            <rPr>
              <rFont val="Calibri"/>
              <i val="1"/>
              <color rgb="002B2B2B"/>
              <sz val="10"/>
            </rPr>
            <t>S</t>
          </r>
          <r>
            <rPr>
              <rFont val="Calibri"/>
              <i val="1"/>
              <color rgb="002B2B2B"/>
              <sz val="10"/>
              <vertAlign val="subscript"/>
            </rPr>
            <t>I</t>
          </r>
        </is>
      </c>
      <c r="E76" s="43">
        <f>IF(inputs_ok,dc_As*(dc_d-xI_dc)-dc_As2*(xI_dc-dc_d2),NA())</f>
        <v/>
      </c>
      <c r="F76" s="28" t="inlineStr">
        <is>
          <t>mm³</t>
        </is>
      </c>
      <c r="G76" s="23" t="n"/>
    </row>
    <row r="77" ht="17" customHeight="1">
      <c r="B77" s="26" t="inlineStr">
        <is>
          <t>(7.21)</t>
        </is>
      </c>
      <c r="C77" s="24" t="inlineStr"/>
      <c r="D77" s="27" t="inlineStr">
        <is>
          <r>
            <rPr>
              <rFont val="Calibri"/>
              <i val="1"/>
              <color rgb="002B2B2B"/>
              <sz val="10"/>
            </rPr>
            <t>S</t>
          </r>
          <r>
            <rPr>
              <rFont val="Calibri"/>
              <i val="1"/>
              <color rgb="002B2B2B"/>
              <sz val="10"/>
              <vertAlign val="subscript"/>
            </rPr>
            <t>II</t>
          </r>
        </is>
      </c>
      <c r="E77" s="43">
        <f>IF(inputs_ok,dc_As*(dc_d-xII_dc)-dc_As2*(xII_dc-dc_d2),NA())</f>
        <v/>
      </c>
      <c r="F77" s="28" t="inlineStr">
        <is>
          <t>mm³</t>
        </is>
      </c>
      <c r="G77" s="23" t="n"/>
    </row>
    <row r="78"/>
    <row r="79" ht="22" customHeight="1">
      <c r="B79" s="20" t="inlineStr">
        <is>
          <t>Calculation  ·  curvature and deflection</t>
        </is>
      </c>
      <c r="C79" s="21" t="n"/>
      <c r="D79" s="21" t="n"/>
      <c r="E79" s="21" t="n"/>
      <c r="F79" s="21" t="n"/>
      <c r="G79" s="21" t="n"/>
    </row>
    <row r="80" ht="17" customHeight="1">
      <c r="B80" s="26" t="inlineStr">
        <is>
          <t>7.4.3(3), (4)</t>
        </is>
      </c>
      <c r="C80" s="24" t="inlineStr">
        <is>
          <t>Cracking moment  fctm I_I / (h − x_I)</t>
        </is>
      </c>
      <c r="D80" s="27" t="inlineStr">
        <is>
          <r>
            <rPr>
              <rFont val="Calibri"/>
              <i val="1"/>
              <color rgb="002B2B2B"/>
              <sz val="10"/>
            </rPr>
            <t>M</t>
          </r>
          <r>
            <rPr>
              <rFont val="Calibri"/>
              <i val="1"/>
              <color rgb="002B2B2B"/>
              <sz val="10"/>
              <vertAlign val="subscript"/>
            </rPr>
            <t>cr</t>
          </r>
        </is>
      </c>
      <c r="E80" s="44">
        <f>IF(inputs_ok,f_ctm*II_dc/(dc_h-xI_dc)/1E6,NA())</f>
        <v/>
      </c>
      <c r="F80" s="28" t="inlineStr">
        <is>
          <t>kNm</t>
        </is>
      </c>
      <c r="G80" s="23" t="n"/>
    </row>
    <row r="81" ht="17" customHeight="1">
      <c r="B81" s="26" t="inlineStr">
        <is>
          <t>7.4.3</t>
        </is>
      </c>
      <c r="C81" s="24" t="inlineStr">
        <is>
          <t>ζ = 1 − 0.5 (Mcr / max(Mmax, Mcr))²  (0 if never cracked)</t>
        </is>
      </c>
      <c r="D81" s="27" t="inlineStr">
        <is>
          <r>
            <rPr>
              <rFont val="Calibri"/>
              <i val="1"/>
              <color rgb="002B2B2B"/>
              <sz val="10"/>
            </rPr>
            <t>ζ</t>
          </r>
        </is>
      </c>
      <c r="E81" s="47">
        <f>IF(inputs_ok,IF(dc_cracked,1-0.5*(Mcr_dc/MAX(dc_Mx,Mcr_dc))^2,0),NA())</f>
        <v/>
      </c>
      <c r="F81" s="23" t="n"/>
      <c r="G81" s="23" t="n"/>
    </row>
    <row r="82" ht="17" customHeight="1">
      <c r="B82" s="26" t="inlineStr">
        <is>
          <t>(7.18)</t>
        </is>
      </c>
      <c r="C82" s="24" t="inlineStr">
        <is>
          <t>Curvature from the load  ζ M/(Ec,eff I_II) + (1 − ζ) M/(Ec,eff I_I)</t>
        </is>
      </c>
      <c r="D82" s="27" t="inlineStr">
        <is>
          <r>
            <rPr>
              <rFont val="Calibri"/>
              <i val="1"/>
              <color rgb="002B2B2B"/>
              <sz val="10"/>
            </rPr>
            <t>1/r</t>
          </r>
          <r>
            <rPr>
              <rFont val="Calibri"/>
              <i val="1"/>
              <color rgb="002B2B2B"/>
              <sz val="10"/>
              <vertAlign val="subscript"/>
            </rPr>
            <t>M</t>
          </r>
        </is>
      </c>
      <c r="E82" s="46">
        <f>IF(inputs_ok,dc_M*1E6/Ece_dc*(zeta_dc/III_dc+(1-zeta_dc)/II_dc),NA())</f>
        <v/>
      </c>
      <c r="F82" s="28" t="inlineStr">
        <is>
          <t>1/mm</t>
        </is>
      </c>
      <c r="G82" s="23" t="n"/>
    </row>
    <row r="83" ht="17" customHeight="1">
      <c r="B83" s="26" t="inlineStr">
        <is>
          <t>(7.21)</t>
        </is>
      </c>
      <c r="C83" s="24" t="inlineStr">
        <is>
          <t>Curvature from shrinkage  εcs αe (ζ S_II/I_II + (1 − ζ) S_I/I_I)</t>
        </is>
      </c>
      <c r="D83" s="27" t="inlineStr">
        <is>
          <r>
            <rPr>
              <rFont val="Calibri"/>
              <i val="1"/>
              <color rgb="002B2B2B"/>
              <sz val="10"/>
            </rPr>
            <t>1/r</t>
          </r>
          <r>
            <rPr>
              <rFont val="Calibri"/>
              <i val="1"/>
              <color rgb="002B2B2B"/>
              <sz val="10"/>
              <vertAlign val="subscript"/>
            </rPr>
            <t>cs</t>
          </r>
        </is>
      </c>
      <c r="E83" s="46">
        <f>IF(inputs_ok,dc_ecs*ae_dc*(zeta_dc*SII_dc/III_dc+(1-zeta_dc)*SI_dc/II_dc),NA())</f>
        <v/>
      </c>
      <c r="F83" s="28" t="inlineStr">
        <is>
          <t>1/mm</t>
        </is>
      </c>
      <c r="G83" s="23" t="n"/>
    </row>
    <row r="84" ht="17" customHeight="1">
      <c r="B84" s="23" t="n"/>
      <c r="C84" s="24" t="inlineStr">
        <is>
          <t>Coefficient for the load  (5/48 (1 − (βA + βB)/10); cantilever 1/4)</t>
        </is>
      </c>
      <c r="D84" s="27" t="inlineStr">
        <is>
          <r>
            <rPr>
              <rFont val="Calibri"/>
              <i val="1"/>
              <color rgb="002B2B2B"/>
              <sz val="10"/>
            </rPr>
            <t>k</t>
          </r>
        </is>
      </c>
      <c r="E84" s="48">
        <f>IF(inputs_ok,IF(dc_cant,0.25,5/48*(1-(dc_ma+dc_mb)/10)),NA())</f>
        <v/>
      </c>
      <c r="F84" s="23" t="n"/>
      <c r="G84" s="23" t="n"/>
    </row>
    <row r="85" ht="17" customHeight="1">
      <c r="B85" s="23" t="n"/>
      <c r="C85" s="24" t="inlineStr">
        <is>
          <t>Coefficient for shrinkage  (span 1/8; cantilever 1/2)</t>
        </is>
      </c>
      <c r="D85" s="27" t="inlineStr">
        <is>
          <r>
            <rPr>
              <rFont val="Calibri"/>
              <i val="1"/>
              <color rgb="002B2B2B"/>
              <sz val="10"/>
            </rPr>
            <t>k</t>
          </r>
          <r>
            <rPr>
              <rFont val="Calibri"/>
              <i val="1"/>
              <color rgb="002B2B2B"/>
              <sz val="10"/>
              <vertAlign val="subscript"/>
            </rPr>
            <t>cs</t>
          </r>
        </is>
      </c>
      <c r="E85" s="47">
        <f>IF(inputs_ok,IF(dc_cant,0.5,0.125),NA())</f>
        <v/>
      </c>
      <c r="F85" s="23" t="n"/>
      <c r="G85" s="23" t="n"/>
    </row>
    <row r="86" ht="17" customHeight="1">
      <c r="B86" s="23" t="n"/>
      <c r="C86" s="24" t="inlineStr">
        <is>
          <t>Deflection from the load  k L² (1/r)M</t>
        </is>
      </c>
      <c r="D86" s="27" t="inlineStr">
        <is>
          <r>
            <rPr>
              <rFont val="Calibri"/>
              <i val="1"/>
              <color rgb="002B2B2B"/>
              <sz val="10"/>
            </rPr>
            <t>δ</t>
          </r>
          <r>
            <rPr>
              <rFont val="Calibri"/>
              <i val="1"/>
              <color rgb="002B2B2B"/>
              <sz val="10"/>
              <vertAlign val="subscript"/>
            </rPr>
            <t>M</t>
          </r>
        </is>
      </c>
      <c r="E86" s="45">
        <f>IF(inputs_ok,k_dc*dc_L^2*kM_dc,NA())</f>
        <v/>
      </c>
      <c r="F86" s="28" t="inlineStr">
        <is>
          <t>mm</t>
        </is>
      </c>
      <c r="G86" s="23" t="n"/>
    </row>
    <row r="87" ht="17" customHeight="1">
      <c r="B87" s="23" t="n"/>
      <c r="C87" s="24" t="inlineStr">
        <is>
          <t>Deflection from shrinkage  kcs L² (1/r)cs  (continuous: the unrestrained bound)</t>
        </is>
      </c>
      <c r="D87" s="27" t="inlineStr">
        <is>
          <r>
            <rPr>
              <rFont val="Calibri"/>
              <i val="1"/>
              <color rgb="002B2B2B"/>
              <sz val="10"/>
            </rPr>
            <t>δ</t>
          </r>
          <r>
            <rPr>
              <rFont val="Calibri"/>
              <i val="1"/>
              <color rgb="002B2B2B"/>
              <sz val="10"/>
              <vertAlign val="subscript"/>
            </rPr>
            <t>cs</t>
          </r>
        </is>
      </c>
      <c r="E87" s="45">
        <f>IF(inputs_ok,kc_dc*dc_L^2*kcs_dc,NA())</f>
        <v/>
      </c>
      <c r="F87" s="28" t="inlineStr">
        <is>
          <t>mm</t>
        </is>
      </c>
      <c r="G87" s="23" t="n"/>
    </row>
    <row r="88" ht="17" customHeight="1">
      <c r="B88" s="23" t="n"/>
      <c r="C88" s="24" t="inlineStr">
        <is>
          <t>At mid-span (tip)</t>
        </is>
      </c>
      <c r="D88" s="27" t="inlineStr">
        <is>
          <r>
            <rPr>
              <rFont val="Calibri"/>
              <i val="1"/>
              <color rgb="002B2B2B"/>
              <sz val="10"/>
            </rPr>
            <t>δ</t>
          </r>
        </is>
      </c>
      <c r="E88" s="45">
        <f>IF(inputs_ok,dM_dc+dcs_dc,NA())</f>
        <v/>
      </c>
      <c r="F88" s="28" t="inlineStr">
        <is>
          <t>mm</t>
        </is>
      </c>
      <c r="G88" s="23" t="n"/>
    </row>
    <row r="89" ht="17" customHeight="1">
      <c r="B89" s="23" t="n"/>
      <c r="C89" s="24" t="inlineStr">
        <is>
          <t>Largest |δ| at 201 points  (continuous: with or without shrinkage)</t>
        </is>
      </c>
      <c r="D89" s="27" t="inlineStr">
        <is>
          <r>
            <rPr>
              <rFont val="Calibri"/>
              <i val="1"/>
              <color rgb="002B2B2B"/>
              <sz val="10"/>
            </rPr>
            <t>|δ|</t>
          </r>
          <r>
            <rPr>
              <rFont val="Calibri"/>
              <i val="1"/>
              <color rgb="002B2B2B"/>
              <sz val="10"/>
              <vertAlign val="subscript"/>
            </rPr>
            <t>201</t>
          </r>
        </is>
      </c>
      <c r="E89" s="44">
        <f t="array" ref="E89">IF(inputs_ok,SUMPRODUCT(MAX(ABS(dc_ye))),NA())</f>
        <v/>
      </c>
      <c r="F89" s="28" t="inlineStr">
        <is>
          <t>mm</t>
        </is>
      </c>
      <c r="G89" s="23" t="n"/>
    </row>
    <row r="90" ht="17" customHeight="1">
      <c r="B90" s="23" t="n"/>
      <c r="C90" s="24" t="inlineStr">
        <is>
          <t>Allowance between points  max |second difference| / 4</t>
        </is>
      </c>
      <c r="D90" s="27" t="inlineStr">
        <is>
          <r>
            <rPr>
              <rFont val="Calibri"/>
              <i val="1"/>
              <color rgb="002B2B2B"/>
              <sz val="10"/>
            </rPr>
            <t>Δδ</t>
          </r>
        </is>
      </c>
      <c r="E90" s="48">
        <f t="array" ref="E90">IF(inputs_ok,SUMPRODUCT(MAX(ABS(dc_s1),ABS(dc_s2)))/4,NA())</f>
        <v/>
      </c>
      <c r="F90" s="28" t="inlineStr">
        <is>
          <t>mm</t>
        </is>
      </c>
      <c r="G90" s="23" t="n"/>
    </row>
    <row r="91" ht="17" customHeight="1">
      <c r="B91" s="23" t="n"/>
      <c r="C91" s="24" t="inlineStr">
        <is>
          <t>Largest |δ| along the member</t>
        </is>
      </c>
      <c r="D91" s="27" t="inlineStr">
        <is>
          <r>
            <rPr>
              <rFont val="Calibri"/>
              <i val="1"/>
              <color rgb="002B2B2B"/>
              <sz val="10"/>
            </rPr>
            <t>|δ|</t>
          </r>
          <r>
            <rPr>
              <rFont val="Calibri"/>
              <i val="1"/>
              <color rgb="002B2B2B"/>
              <sz val="10"/>
              <vertAlign val="subscript"/>
            </rPr>
            <t>max</t>
          </r>
        </is>
      </c>
      <c r="E91" s="49">
        <f>IF(inputs_ok,dsamp_dc+dall_dc,NA())</f>
        <v/>
      </c>
      <c r="F91" s="28" t="inlineStr">
        <is>
          <t>mm</t>
        </is>
      </c>
      <c r="G91" s="23" t="n"/>
    </row>
    <row r="92" ht="17" customHeight="1">
      <c r="B92" s="23" t="n"/>
      <c r="C92" s="24" t="inlineStr">
        <is>
          <t>Its signed value and position x / L</t>
        </is>
      </c>
      <c r="D92" s="27" t="inlineStr">
        <is>
          <r>
            <rPr>
              <rFont val="Calibri"/>
              <i val="1"/>
              <color rgb="002B2B2B"/>
              <sz val="10"/>
            </rPr>
            <t>δ</t>
          </r>
          <r>
            <rPr>
              <rFont val="Calibri"/>
              <i val="1"/>
              <color rgb="002B2B2B"/>
              <sz val="10"/>
              <vertAlign val="subscript"/>
            </rPr>
            <t>max</t>
          </r>
        </is>
      </c>
      <c r="E92" s="45">
        <f t="array" ref="E92">IF(inputs_ok,SUMPRODUCT(dc_ye*(dc_k=dc_im)),NA())</f>
        <v/>
      </c>
      <c r="F92" s="28" t="inlineStr">
        <is>
          <t>mm</t>
        </is>
      </c>
      <c r="G92" s="23" t="n"/>
    </row>
    <row r="93" ht="17" customHeight="1">
      <c r="B93" s="23" t="n"/>
      <c r="C93" s="24" t="inlineStr"/>
      <c r="D93" s="27" t="inlineStr">
        <is>
          <r>
            <rPr>
              <rFont val="Calibri"/>
              <i val="1"/>
              <color rgb="002B2B2B"/>
              <sz val="10"/>
            </rPr>
            <t>x / L</t>
          </r>
        </is>
      </c>
      <c r="E93" s="47">
        <f>IF(inputs_ok,(dc_im-1)/200,NA())</f>
        <v/>
      </c>
      <c r="F93" s="23" t="n"/>
      <c r="G93" s="23" t="n"/>
    </row>
    <row r="94" ht="17" customHeight="1">
      <c r="B94" s="26" t="inlineStr">
        <is>
          <t>7.4.1(4)</t>
        </is>
      </c>
      <c r="C94" s="24" t="inlineStr">
        <is>
          <t>Limit  L / ratio</t>
        </is>
      </c>
      <c r="D94" s="27" t="inlineStr">
        <is>
          <r>
            <rPr>
              <rFont val="Calibri"/>
              <i val="1"/>
              <color rgb="002B2B2B"/>
              <sz val="10"/>
            </rPr>
            <t>δ</t>
          </r>
          <r>
            <rPr>
              <rFont val="Calibri"/>
              <i val="1"/>
              <color rgb="002B2B2B"/>
              <sz val="10"/>
              <vertAlign val="subscript"/>
            </rPr>
            <t>lim</t>
          </r>
        </is>
      </c>
      <c r="E94" s="45">
        <f>IF(inputs_ok,dc_L/dc_lim,NA())</f>
        <v/>
      </c>
      <c r="F94" s="28" t="inlineStr">
        <is>
          <t>mm</t>
        </is>
      </c>
      <c r="G94" s="23" t="n"/>
    </row>
    <row r="95" ht="17" customHeight="1">
      <c r="B95" s="26" t="inlineStr">
        <is>
          <t>7.4.1(4)</t>
        </is>
      </c>
      <c r="C95" s="24" t="inlineStr">
        <is>
          <t>max |δ| ≤ δ_lim</t>
        </is>
      </c>
      <c r="D95" s="23" t="n"/>
      <c r="E95" s="45">
        <f>IF(inputs_ok,dmax_dc,NA())</f>
        <v/>
      </c>
      <c r="F95" s="28" t="inlineStr">
        <is>
          <t>mm</t>
        </is>
      </c>
      <c r="G95" s="32">
        <f>IF(NOT(inputs_ok),"FAIL",IF(defl_ok,"OK","FAIL"))</f>
        <v/>
      </c>
    </row>
    <row r="96" ht="29" customHeight="1">
      <c r="B96" s="50" t="inlineStr">
        <is>
          <t>The quasi-permanent moment is the one at the critical section; for a continuous span the mid-span moment with the end moments that give βA and βB. Long-term values include the instantaneous part. Check also the span / depth rules (RC-005).</t>
        </is>
      </c>
    </row>
    <row r="97"/>
    <row r="98" ht="29" customHeight="1">
      <c r="B98" s="50"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7">
    <mergeCell ref="B98:G98"/>
    <mergeCell ref="E5:G5"/>
    <mergeCell ref="B96:G96"/>
    <mergeCell ref="D2:G2"/>
    <mergeCell ref="E7:G7"/>
    <mergeCell ref="E6:G6"/>
    <mergeCell ref="C3:G3"/>
  </mergeCells>
  <conditionalFormatting sqref="G9:G99">
    <cfRule type="expression" priority="1" dxfId="0">
      <formula>G9="OK"</formula>
    </cfRule>
    <cfRule type="expression" priority="2" dxfId="1">
      <formula>G9="FAIL"</formula>
    </cfRule>
    <cfRule type="expression" priority="3" dxfId="2">
      <formula>LEFT(G9,1)="!"</formula>
    </cfRule>
  </conditionalFormatting>
  <dataValidations count="18">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Pick a value from the list." type="list" errorStyle="stop">
      <formula1>"Simply supported,Continuous  (end moments),Cantilever"</formula1>
    </dataValidation>
    <dataValidation sqref="E14" showDropDown="0" showInputMessage="0" showErrorMessage="1" allowBlank="0" errorTitle="NA Engineering" error="Enter a number greater than 0." type="decimal" errorStyle="stop" operator="greaterThan">
      <formula1>0</formula1>
    </dataValidation>
    <dataValidation sqref="E15" showDropDown="0" showInputMessage="0" showErrorMessage="1" allowBlank="1" errorTitle="NA Engineering" error="Enter a number ≥ 0." type="custom" errorStyle="stop">
      <formula1>IF(dc_cont,AND(ISNUMBER(E15),E15&gt;=0),TRUE)</formula1>
    </dataValidation>
    <dataValidation sqref="E16" showDropDown="0" showInputMessage="0" showErrorMessage="1" allowBlank="1" errorTitle="NA Engineering" error="Enter a number ≥ 0." type="custom" errorStyle="stop">
      <formula1>IF(dc_cont,AND(ISNUMBER(E16),E16&gt;=0),TRUE)</formula1>
    </dataValidation>
    <dataValidation sqref="E17" showDropDown="0" showInputMessage="0" showErrorMessage="1" allowBlank="0" errorTitle="NA Engineering" error="Enter a number greater than 0." type="decimal" errorStyle="stop" operator="greaterThan">
      <formula1>0</formula1>
    </dataValidation>
    <dataValidation sqref="E18" showDropDown="0" showInputMessage="0" showErrorMessage="1" allowBlank="0" errorTitle="NA Engineering" error="Enter a number greater than 0." type="decimal" errorStyle="stop" operator="greaterThan">
      <formula1>0</formula1>
    </dataValidation>
    <dataValidation sqref="E19" showDropDown="0" showInputMessage="0" showErrorMessage="1" allowBlank="0" errorTitle="NA Engineering" error="Enter a number greater than 0." type="decimal" errorStyle="stop" operator="greaterThan">
      <formula1>0</formula1>
    </dataValidation>
    <dataValidation sqref="E20" showDropDown="0" showInputMessage="0" showErrorMessage="1" allowBlank="0" errorTitle="NA Engineering" error="Enter a number greater than 0." type="decimal" errorStyle="stop" operator="greaterThan">
      <formula1>0</formula1>
    </dataValidation>
    <dataValidation sqref="E21" showDropDown="0" showInputMessage="0" showErrorMessage="1" allowBlank="0" errorTitle="NA Engineering" error="Enter a number ≥ 0." type="decimal" errorStyle="stop" operator="greaterThanOrEqual">
      <formula1>0</formula1>
    </dataValidation>
    <dataValidation sqref="E22" showDropDown="0" showInputMessage="0" showErrorMessage="1" allowBlank="0" errorTitle="NA Engineering" error="Enter a number greater than 0." type="decimal" errorStyle="stop" operator="greaterThan">
      <formula1>0</formula1>
    </dataValidation>
    <dataValidation sqref="E23" showDropDown="0" showInputMessage="0" showErrorMessage="1" allowBlank="0" errorTitle="NA Engineering" error="Enter a number greater than 0." type="decimal" errorStyle="stop" operator="greaterThan">
      <formula1>0</formula1>
    </dataValidation>
    <dataValidation sqref="E24" showDropDown="0" showInputMessage="0" showErrorMessage="1" allowBlank="0" errorTitle="NA Engineering" error="Enter a number greater than 0." type="decimal" errorStyle="stop" operator="greaterThan">
      <formula1>0</formula1>
    </dataValidation>
    <dataValidation sqref="E25" showDropDown="0" showInputMessage="0" showErrorMessage="1" allowBlank="0" errorTitle="NA Engineering" error="Pick a value from the list." type="list" errorStyle="stop">
      <formula1>"Yes,No"</formula1>
    </dataValidation>
    <dataValidation sqref="E26" showDropDown="0" showInputMessage="0" showErrorMessage="1" allowBlank="0" errorTitle="NA Engineering" error="Enter a number greater than 0." type="decimal" errorStyle="stop" operator="greaterThan">
      <formula1>0</formula1>
    </dataValidation>
    <dataValidation sqref="E27" showDropDown="0" showInputMessage="0" showErrorMessage="1" allowBlank="0" errorTitle="NA Engineering" error="Enter a number ≥ 0." type="decimal" errorStyle="stop" operator="greaterThanOrEqual">
      <formula1>0</formula1>
    </dataValidation>
    <dataValidation sqref="E28" showDropDown="0" showInputMessage="0" showErrorMessage="1" allowBlank="0" errorTitle="NA Engineering" error="Enter a number greater than 0." type="decimal" errorStyle="stop" operator="greaterThan">
      <formula1>0</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&amp;K8A8A8ANAE-RC-033  v1.0</oddFooter>
    <evenHeader/>
    <evenFooter/>
    <firstHeader/>
    <firstFooter/>
  </headerFooter>
  <rowBreaks count="1" manualBreakCount="1">
    <brk id="30" min="0" max="16383" man="1"/>
  </rowBreaks>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AI27"/>
  <sheetViews>
    <sheetView tabSelected="0" workbookViewId="0">
      <selection activeCell="A1" sqref="A1"/>
    </sheetView>
  </sheetViews>
  <sheetFormatPr baseColWidth="8" defaultRowHeight="15"/>
  <sheetData>
    <row r="1">
      <c r="A1" t="inlineStr">
        <is>
          <t>Coordinates for the live drawings (mm). Generated - do not edit.</t>
        </is>
      </c>
    </row>
    <row r="2">
      <c r="A2">
        <f>IF(inputs_ok,"","check the inputs")</f>
        <v/>
      </c>
      <c r="D2" t="inlineStr">
        <is>
          <t>member</t>
        </is>
      </c>
      <c r="G2" t="inlineStr">
        <is>
          <t>deflected shape</t>
        </is>
      </c>
      <c r="J2" t="inlineStr">
        <is>
          <t>limit</t>
        </is>
      </c>
      <c r="M2" t="inlineStr">
        <is>
          <t>support A</t>
        </is>
      </c>
      <c r="P2" t="inlineStr">
        <is>
          <t>support B</t>
        </is>
      </c>
      <c r="S2" t="inlineStr">
        <is>
          <t>fixed end</t>
        </is>
      </c>
      <c r="V2">
        <f>IF(inputs_ok,"δmax "&amp;TEXT(dsig_dc,"0.0")&amp;" mm at "&amp;TEXT(xmax_dc,"0.00")&amp;" L"&amp;IF(dsig_dc&lt;0," upward",""),"")</f>
        <v/>
      </c>
      <c r="Y2">
        <f>IF(inputs_ok,"limit L / "&amp;dc_lim&amp;" = "&amp;TEXT(dlim_dc,"0.0")&amp;" mm","")</f>
        <v/>
      </c>
      <c r="AB2" t="inlineStr">
        <is>
          <t>dim</t>
        </is>
      </c>
      <c r="AE2">
        <f>IF(inputs_ok,"L "&amp;TEXT(dc_L,"0"),"")</f>
        <v/>
      </c>
      <c r="AH2" t="inlineStr">
        <is>
          <t>frame</t>
        </is>
      </c>
    </row>
    <row r="3">
      <c r="A3">
        <f>0</f>
        <v/>
      </c>
      <c r="B3">
        <f>0</f>
        <v/>
      </c>
      <c r="D3">
        <f>IF(inputs_ok,0,NA())</f>
        <v/>
      </c>
      <c r="E3">
        <f>0</f>
        <v/>
      </c>
      <c r="G3">
        <f>IF(inputs_ok,0.0*dc_L,NA())</f>
        <v/>
      </c>
      <c r="H3">
        <f>-(0.12*dc_L/MAX(ABS(dtot_dc),ABS(dM_dc),ABS(dcs_dc),dmax_dc,dlim_dc))*((dM_dc*(dc_cant*(0.0^2*(6-4*0.0+0.0^2)/3)+NOT(dc_cant)*((1+(dc_ma+dc_mb)/2)*(0.0-2*0.0^3+0.0^4)/3-dc_ma*(2*0.0-3*0.0^2+0.0^3)/6-dc_mb*(0.0-0.0^3)/6)/(5/48*(1-(dc_ma+dc_mb)/10)))+dcs_dc*(dc_cant*0.0^2+NOT(dc_cant)*4*0.0*(1-0.0)))+(ABS((dM_dc*(dc_cant*(0.0^2*(6-4*0.0+0.0^2)/3)+NOT(dc_cant)*((1+(dc_ma+dc_mb)/2)*(0.0-2*0.0^3+0.0^4)/3-dc_ma*(2*0.0-3*0.0^2+0.0^3)/6-dc_mb*(0.0-0.0^3)/6)/(5/48*(1-(dc_ma+dc_mb)/10)))+NOT(dc_cont)*dcs_dc*(dc_cant*0.0^2+NOT(dc_cant)*4*0.0*(1-0.0))))&gt;ABS((dM_dc*(dc_cant*(0.0^2*(6-4*0.0+0.0^2)/3)+NOT(dc_cant)*((1+(dc_ma+dc_mb)/2)*(0.0-2*0.0^3+0.0^4)/3-dc_ma*(2*0.0-3*0.0^2+0.0^3)/6-dc_mb*(0.0-0.0^3)/6)/(5/48*(1-(dc_ma+dc_mb)/10)))+dcs_dc*(dc_cant*0.0^2+NOT(dc_cant)*4*0.0*(1-0.0)))))*((dM_dc*(dc_cant*(0.0^2*(6-4*0.0+0.0^2)/3)+NOT(dc_cant)*((1+(dc_ma+dc_mb)/2)*(0.0-2*0.0^3+0.0^4)/3-dc_ma*(2*0.0-3*0.0^2+0.0^3)/6-dc_mb*(0.0-0.0^3)/6)/(5/48*(1-(dc_ma+dc_mb)/10)))+NOT(dc_cont)*dcs_dc*(dc_cant*0.0^2+NOT(dc_cant)*4*0.0*(1-0.0)))-(dM_dc*(dc_cant*(0.0^2*(6-4*0.0+0.0^2)/3)+NOT(dc_cant)*((1+(dc_ma+dc_mb)/2)*(0.0-2*0.0^3+0.0^4)/3-dc_ma*(2*0.0-3*0.0^2+0.0^3)/6-dc_mb*(0.0-0.0^3)/6)/(5/48*(1-(dc_ma+dc_mb)/10)))+dcs_dc*(dc_cant*0.0^2+NOT(dc_cant)*4*0.0*(1-0.0)))))</f>
        <v/>
      </c>
      <c r="J3">
        <f>IF(inputs_ok,xmax_dc*dc_L-0.08*dc_L,NA())</f>
        <v/>
      </c>
      <c r="K3">
        <f>-(0.12*dc_L/MAX(ABS(dtot_dc),ABS(dM_dc),ABS(dcs_dc),dmax_dc,dlim_dc))*SIGN(dsig_dc+(dsig_dc=0))*dlim_dc</f>
        <v/>
      </c>
      <c r="M3">
        <f>IF(inputs_ok,0,NA())</f>
        <v/>
      </c>
      <c r="N3">
        <f>0</f>
        <v/>
      </c>
      <c r="P3">
        <f>IF(inputs_ok,IF(dc_cant,NA(),dc_L),NA())</f>
        <v/>
      </c>
      <c r="Q3">
        <f>IF(dc_cant,NA(),0)</f>
        <v/>
      </c>
      <c r="S3">
        <f>IF(inputs_ok,IF(dc_cant,0,NA()),NA())</f>
        <v/>
      </c>
      <c r="T3">
        <f>IF(dc_cant,-0.06*dc_L,NA())</f>
        <v/>
      </c>
      <c r="V3">
        <f>IF(inputs_ok,xmax_dc*dc_L,NA())</f>
        <v/>
      </c>
      <c r="W3">
        <f>0.02*dc_L</f>
        <v/>
      </c>
      <c r="Y3">
        <f>IF(inputs_ok,xmax_dc*dc_L,NA())</f>
        <v/>
      </c>
      <c r="Z3">
        <f>-(0.12*dc_L/MAX(ABS(dtot_dc),ABS(dM_dc),ABS(dcs_dc),dmax_dc,dlim_dc))*MAX(dlim_dc,ABS(dsig_dc))</f>
        <v/>
      </c>
      <c r="AB3">
        <f>IF(inputs_ok,IF(TRUE,0,NA()),NA())</f>
        <v/>
      </c>
      <c r="AC3">
        <f>IF(TRUE,0.1*dc_L,NA())</f>
        <v/>
      </c>
      <c r="AE3">
        <f>IF(inputs_ok,IF(TRUE,((0)+(dc_L))/2,NA()),NA())</f>
        <v/>
      </c>
      <c r="AF3">
        <f>IF(TRUE,((0.1*dc_L)+(0.1*dc_L))/2,NA())</f>
        <v/>
      </c>
      <c r="AH3">
        <f>((-0.06*dc_L)+(1.25*dc_L))/2-MAX((0.22*dc_L)-(-0.22*dc_L),((1.25*dc_L)-(-0.06*dc_L))/1.55)*0.53*1.55</f>
        <v/>
      </c>
      <c r="AI3">
        <f>((-0.22*dc_L)+(0.22*dc_L))/2-MAX((0.22*dc_L)-(-0.22*dc_L),((1.25*dc_L)-(-0.06*dc_L))/1.55)*0.53</f>
        <v/>
      </c>
    </row>
    <row r="4">
      <c r="D4">
        <f>IF(inputs_ok,dc_L,NA())</f>
        <v/>
      </c>
      <c r="E4">
        <f>0</f>
        <v/>
      </c>
      <c r="G4">
        <f>IF(inputs_ok,0.041666666666666664*dc_L,NA())</f>
        <v/>
      </c>
      <c r="H4">
        <f>-(0.12*dc_L/MAX(ABS(dtot_dc),ABS(dM_dc),ABS(dcs_dc),dmax_dc,dlim_dc))*((dM_dc*(dc_cant*(0.041666666666666664^2*(6-4*0.041666666666666664+0.041666666666666664^2)/3)+NOT(dc_cant)*((1+(dc_ma+dc_mb)/2)*(0.041666666666666664-2*0.041666666666666664^3+0.041666666666666664^4)/3-dc_ma*(2*0.041666666666666664-3*0.041666666666666664^2+0.041666666666666664^3)/6-dc_mb*(0.041666666666666664-0.041666666666666664^3)/6)/(5/48*(1-(dc_ma+dc_mb)/10)))+dcs_dc*(dc_cant*0.041666666666666664^2+NOT(dc_cant)*4*0.041666666666666664*(1-0.041666666666666664)))+(ABS((dM_dc*(dc_cant*(0.041666666666666664^2*(6-4*0.041666666666666664+0.041666666666666664^2)/3)+NOT(dc_cant)*((1+(dc_ma+dc_mb)/2)*(0.041666666666666664-2*0.041666666666666664^3+0.041666666666666664^4)/3-dc_ma*(2*0.041666666666666664-3*0.041666666666666664^2+0.041666666666666664^3)/6-dc_mb*(0.041666666666666664-0.041666666666666664^3)/6)/(5/48*(1-(dc_ma+dc_mb)/10)))+NOT(dc_cont)*dcs_dc*(dc_cant*0.041666666666666664^2+NOT(dc_cant)*4*0.041666666666666664*(1-0.041666666666666664))))&gt;ABS((dM_dc*(dc_cant*(0.041666666666666664^2*(6-4*0.041666666666666664+0.041666666666666664^2)/3)+NOT(dc_cant)*((1+(dc_ma+dc_mb)/2)*(0.041666666666666664-2*0.041666666666666664^3+0.041666666666666664^4)/3-dc_ma*(2*0.041666666666666664-3*0.041666666666666664^2+0.041666666666666664^3)/6-dc_mb*(0.041666666666666664-0.041666666666666664^3)/6)/(5/48*(1-(dc_ma+dc_mb)/10)))+dcs_dc*(dc_cant*0.041666666666666664^2+NOT(dc_cant)*4*0.041666666666666664*(1-0.041666666666666664)))))*((dM_dc*(dc_cant*(0.041666666666666664^2*(6-4*0.041666666666666664+0.041666666666666664^2)/3)+NOT(dc_cant)*((1+(dc_ma+dc_mb)/2)*(0.041666666666666664-2*0.041666666666666664^3+0.041666666666666664^4)/3-dc_ma*(2*0.041666666666666664-3*0.041666666666666664^2+0.041666666666666664^3)/6-dc_mb*(0.041666666666666664-0.041666666666666664^3)/6)/(5/48*(1-(dc_ma+dc_mb)/10)))+NOT(dc_cont)*dcs_dc*(dc_cant*0.041666666666666664^2+NOT(dc_cant)*4*0.041666666666666664*(1-0.041666666666666664)))-(dM_dc*(dc_cant*(0.041666666666666664^2*(6-4*0.041666666666666664+0.041666666666666664^2)/3)+NOT(dc_cant)*((1+(dc_ma+dc_mb)/2)*(0.041666666666666664-2*0.041666666666666664^3+0.041666666666666664^4)/3-dc_ma*(2*0.041666666666666664-3*0.041666666666666664^2+0.041666666666666664^3)/6-dc_mb*(0.041666666666666664-0.041666666666666664^3)/6)/(5/48*(1-(dc_ma+dc_mb)/10)))+dcs_dc*(dc_cant*0.041666666666666664^2+NOT(dc_cant)*4*0.041666666666666664*(1-0.041666666666666664)))))</f>
        <v/>
      </c>
      <c r="J4">
        <f>IF(inputs_ok,xmax_dc*dc_L+0.08*dc_L,NA())</f>
        <v/>
      </c>
      <c r="K4">
        <f>-(0.12*dc_L/MAX(ABS(dtot_dc),ABS(dM_dc),ABS(dcs_dc),dmax_dc,dlim_dc))*SIGN(dsig_dc+(dsig_dc=0))*dlim_dc</f>
        <v/>
      </c>
      <c r="M4">
        <f>IF(inputs_ok,0-0.025*dc_L,NA())</f>
        <v/>
      </c>
      <c r="N4">
        <f>-0.04*dc_L</f>
        <v/>
      </c>
      <c r="P4">
        <f>IF(inputs_ok,IF(dc_cant,NA(),dc_L-0.025*dc_L),NA())</f>
        <v/>
      </c>
      <c r="Q4">
        <f>IF(dc_cant,NA(),-0.04*dc_L)</f>
        <v/>
      </c>
      <c r="S4">
        <f>IF(inputs_ok,IF(dc_cant,0,NA()),NA())</f>
        <v/>
      </c>
      <c r="T4">
        <f>IF(dc_cant,0.06*dc_L,NA())</f>
        <v/>
      </c>
      <c r="AB4">
        <f>IF(inputs_ok,IF(TRUE,dc_L,NA()),NA())</f>
        <v/>
      </c>
      <c r="AC4">
        <f>IF(TRUE,0.1*dc_L,NA())</f>
        <v/>
      </c>
      <c r="AH4">
        <f>((-0.06*dc_L)+(1.25*dc_L))/2+MAX((0.22*dc_L)-(-0.22*dc_L),((1.25*dc_L)-(-0.06*dc_L))/1.55)*0.53*1.55</f>
        <v/>
      </c>
      <c r="AI4">
        <f>((-0.22*dc_L)+(0.22*dc_L))/2+MAX((0.22*dc_L)-(-0.22*dc_L),((1.25*dc_L)-(-0.06*dc_L))/1.55)*0.53</f>
        <v/>
      </c>
    </row>
    <row r="5">
      <c r="G5">
        <f>IF(inputs_ok,0.08333333333333333*dc_L,NA())</f>
        <v/>
      </c>
      <c r="H5">
        <f>-(0.12*dc_L/MAX(ABS(dtot_dc),ABS(dM_dc),ABS(dcs_dc),dmax_dc,dlim_dc))*((dM_dc*(dc_cant*(0.08333333333333333^2*(6-4*0.08333333333333333+0.08333333333333333^2)/3)+NOT(dc_cant)*((1+(dc_ma+dc_mb)/2)*(0.08333333333333333-2*0.08333333333333333^3+0.08333333333333333^4)/3-dc_ma*(2*0.08333333333333333-3*0.08333333333333333^2+0.08333333333333333^3)/6-dc_mb*(0.08333333333333333-0.08333333333333333^3)/6)/(5/48*(1-(dc_ma+dc_mb)/10)))+dcs_dc*(dc_cant*0.08333333333333333^2+NOT(dc_cant)*4*0.08333333333333333*(1-0.08333333333333333)))+(ABS((dM_dc*(dc_cant*(0.08333333333333333^2*(6-4*0.08333333333333333+0.08333333333333333^2)/3)+NOT(dc_cant)*((1+(dc_ma+dc_mb)/2)*(0.08333333333333333-2*0.08333333333333333^3+0.08333333333333333^4)/3-dc_ma*(2*0.08333333333333333-3*0.08333333333333333^2+0.08333333333333333^3)/6-dc_mb*(0.08333333333333333-0.08333333333333333^3)/6)/(5/48*(1-(dc_ma+dc_mb)/10)))+NOT(dc_cont)*dcs_dc*(dc_cant*0.08333333333333333^2+NOT(dc_cant)*4*0.08333333333333333*(1-0.08333333333333333))))&gt;ABS((dM_dc*(dc_cant*(0.08333333333333333^2*(6-4*0.08333333333333333+0.08333333333333333^2)/3)+NOT(dc_cant)*((1+(dc_ma+dc_mb)/2)*(0.08333333333333333-2*0.08333333333333333^3+0.08333333333333333^4)/3-dc_ma*(2*0.08333333333333333-3*0.08333333333333333^2+0.08333333333333333^3)/6-dc_mb*(0.08333333333333333-0.08333333333333333^3)/6)/(5/48*(1-(dc_ma+dc_mb)/10)))+dcs_dc*(dc_cant*0.08333333333333333^2+NOT(dc_cant)*4*0.08333333333333333*(1-0.08333333333333333)))))*((dM_dc*(dc_cant*(0.08333333333333333^2*(6-4*0.08333333333333333+0.08333333333333333^2)/3)+NOT(dc_cant)*((1+(dc_ma+dc_mb)/2)*(0.08333333333333333-2*0.08333333333333333^3+0.08333333333333333^4)/3-dc_ma*(2*0.08333333333333333-3*0.08333333333333333^2+0.08333333333333333^3)/6-dc_mb*(0.08333333333333333-0.08333333333333333^3)/6)/(5/48*(1-(dc_ma+dc_mb)/10)))+NOT(dc_cont)*dcs_dc*(dc_cant*0.08333333333333333^2+NOT(dc_cant)*4*0.08333333333333333*(1-0.08333333333333333)))-(dM_dc*(dc_cant*(0.08333333333333333^2*(6-4*0.08333333333333333+0.08333333333333333^2)/3)+NOT(dc_cant)*((1+(dc_ma+dc_mb)/2)*(0.08333333333333333-2*0.08333333333333333^3+0.08333333333333333^4)/3-dc_ma*(2*0.08333333333333333-3*0.08333333333333333^2+0.08333333333333333^3)/6-dc_mb*(0.08333333333333333-0.08333333333333333^3)/6)/(5/48*(1-(dc_ma+dc_mb)/10)))+dcs_dc*(dc_cant*0.08333333333333333^2+NOT(dc_cant)*4*0.08333333333333333*(1-0.08333333333333333)))))</f>
        <v/>
      </c>
      <c r="M5">
        <f>IF(inputs_ok,0+0.025*dc_L,NA())</f>
        <v/>
      </c>
      <c r="N5">
        <f>-0.04*dc_L</f>
        <v/>
      </c>
      <c r="P5">
        <f>IF(inputs_ok,IF(dc_cant,NA(),dc_L+0.025*dc_L),NA())</f>
        <v/>
      </c>
      <c r="Q5">
        <f>IF(dc_cant,NA(),-0.04*dc_L)</f>
        <v/>
      </c>
    </row>
    <row r="6">
      <c r="G6">
        <f>IF(inputs_ok,0.125*dc_L,NA())</f>
        <v/>
      </c>
      <c r="H6">
        <f>-(0.12*dc_L/MAX(ABS(dtot_dc),ABS(dM_dc),ABS(dcs_dc),dmax_dc,dlim_dc))*((dM_dc*(dc_cant*(0.125^2*(6-4*0.125+0.125^2)/3)+NOT(dc_cant)*((1+(dc_ma+dc_mb)/2)*(0.125-2*0.125^3+0.125^4)/3-dc_ma*(2*0.125-3*0.125^2+0.125^3)/6-dc_mb*(0.125-0.125^3)/6)/(5/48*(1-(dc_ma+dc_mb)/10)))+dcs_dc*(dc_cant*0.125^2+NOT(dc_cant)*4*0.125*(1-0.125)))+(ABS((dM_dc*(dc_cant*(0.125^2*(6-4*0.125+0.125^2)/3)+NOT(dc_cant)*((1+(dc_ma+dc_mb)/2)*(0.125-2*0.125^3+0.125^4)/3-dc_ma*(2*0.125-3*0.125^2+0.125^3)/6-dc_mb*(0.125-0.125^3)/6)/(5/48*(1-(dc_ma+dc_mb)/10)))+NOT(dc_cont)*dcs_dc*(dc_cant*0.125^2+NOT(dc_cant)*4*0.125*(1-0.125))))&gt;ABS((dM_dc*(dc_cant*(0.125^2*(6-4*0.125+0.125^2)/3)+NOT(dc_cant)*((1+(dc_ma+dc_mb)/2)*(0.125-2*0.125^3+0.125^4)/3-dc_ma*(2*0.125-3*0.125^2+0.125^3)/6-dc_mb*(0.125-0.125^3)/6)/(5/48*(1-(dc_ma+dc_mb)/10)))+dcs_dc*(dc_cant*0.125^2+NOT(dc_cant)*4*0.125*(1-0.125)))))*((dM_dc*(dc_cant*(0.125^2*(6-4*0.125+0.125^2)/3)+NOT(dc_cant)*((1+(dc_ma+dc_mb)/2)*(0.125-2*0.125^3+0.125^4)/3-dc_ma*(2*0.125-3*0.125^2+0.125^3)/6-dc_mb*(0.125-0.125^3)/6)/(5/48*(1-(dc_ma+dc_mb)/10)))+NOT(dc_cont)*dcs_dc*(dc_cant*0.125^2+NOT(dc_cant)*4*0.125*(1-0.125)))-(dM_dc*(dc_cant*(0.125^2*(6-4*0.125+0.125^2)/3)+NOT(dc_cant)*((1+(dc_ma+dc_mb)/2)*(0.125-2*0.125^3+0.125^4)/3-dc_ma*(2*0.125-3*0.125^2+0.125^3)/6-dc_mb*(0.125-0.125^3)/6)/(5/48*(1-(dc_ma+dc_mb)/10)))+dcs_dc*(dc_cant*0.125^2+NOT(dc_cant)*4*0.125*(1-0.125)))))</f>
        <v/>
      </c>
      <c r="M6">
        <f>IF(inputs_ok,0,NA())</f>
        <v/>
      </c>
      <c r="N6">
        <f>0</f>
        <v/>
      </c>
      <c r="P6">
        <f>IF(inputs_ok,IF(dc_cant,NA(),dc_L),NA())</f>
        <v/>
      </c>
      <c r="Q6">
        <f>IF(dc_cant,NA(),0)</f>
        <v/>
      </c>
    </row>
    <row r="7">
      <c r="G7">
        <f>IF(inputs_ok,0.16666666666666666*dc_L,NA())</f>
        <v/>
      </c>
      <c r="H7">
        <f>-(0.12*dc_L/MAX(ABS(dtot_dc),ABS(dM_dc),ABS(dcs_dc),dmax_dc,dlim_dc))*((dM_dc*(dc_cant*(0.16666666666666666^2*(6-4*0.16666666666666666+0.16666666666666666^2)/3)+NOT(dc_cant)*((1+(dc_ma+dc_mb)/2)*(0.16666666666666666-2*0.16666666666666666^3+0.16666666666666666^4)/3-dc_ma*(2*0.16666666666666666-3*0.16666666666666666^2+0.16666666666666666^3)/6-dc_mb*(0.16666666666666666-0.16666666666666666^3)/6)/(5/48*(1-(dc_ma+dc_mb)/10)))+dcs_dc*(dc_cant*0.16666666666666666^2+NOT(dc_cant)*4*0.16666666666666666*(1-0.16666666666666666)))+(ABS((dM_dc*(dc_cant*(0.16666666666666666^2*(6-4*0.16666666666666666+0.16666666666666666^2)/3)+NOT(dc_cant)*((1+(dc_ma+dc_mb)/2)*(0.16666666666666666-2*0.16666666666666666^3+0.16666666666666666^4)/3-dc_ma*(2*0.16666666666666666-3*0.16666666666666666^2+0.16666666666666666^3)/6-dc_mb*(0.16666666666666666-0.16666666666666666^3)/6)/(5/48*(1-(dc_ma+dc_mb)/10)))+NOT(dc_cont)*dcs_dc*(dc_cant*0.16666666666666666^2+NOT(dc_cant)*4*0.16666666666666666*(1-0.16666666666666666))))&gt;ABS((dM_dc*(dc_cant*(0.16666666666666666^2*(6-4*0.16666666666666666+0.16666666666666666^2)/3)+NOT(dc_cant)*((1+(dc_ma+dc_mb)/2)*(0.16666666666666666-2*0.16666666666666666^3+0.16666666666666666^4)/3-dc_ma*(2*0.16666666666666666-3*0.16666666666666666^2+0.16666666666666666^3)/6-dc_mb*(0.16666666666666666-0.16666666666666666^3)/6)/(5/48*(1-(dc_ma+dc_mb)/10)))+dcs_dc*(dc_cant*0.16666666666666666^2+NOT(dc_cant)*4*0.16666666666666666*(1-0.16666666666666666)))))*((dM_dc*(dc_cant*(0.16666666666666666^2*(6-4*0.16666666666666666+0.16666666666666666^2)/3)+NOT(dc_cant)*((1+(dc_ma+dc_mb)/2)*(0.16666666666666666-2*0.16666666666666666^3+0.16666666666666666^4)/3-dc_ma*(2*0.16666666666666666-3*0.16666666666666666^2+0.16666666666666666^3)/6-dc_mb*(0.16666666666666666-0.16666666666666666^3)/6)/(5/48*(1-(dc_ma+dc_mb)/10)))+NOT(dc_cont)*dcs_dc*(dc_cant*0.16666666666666666^2+NOT(dc_cant)*4*0.16666666666666666*(1-0.16666666666666666)))-(dM_dc*(dc_cant*(0.16666666666666666^2*(6-4*0.16666666666666666+0.16666666666666666^2)/3)+NOT(dc_cant)*((1+(dc_ma+dc_mb)/2)*(0.16666666666666666-2*0.16666666666666666^3+0.16666666666666666^4)/3-dc_ma*(2*0.16666666666666666-3*0.16666666666666666^2+0.16666666666666666^3)/6-dc_mb*(0.16666666666666666-0.16666666666666666^3)/6)/(5/48*(1-(dc_ma+dc_mb)/10)))+dcs_dc*(dc_cant*0.16666666666666666^2+NOT(dc_cant)*4*0.16666666666666666*(1-0.16666666666666666)))))</f>
        <v/>
      </c>
    </row>
    <row r="8">
      <c r="G8">
        <f>IF(inputs_ok,0.20833333333333334*dc_L,NA())</f>
        <v/>
      </c>
      <c r="H8">
        <f>-(0.12*dc_L/MAX(ABS(dtot_dc),ABS(dM_dc),ABS(dcs_dc),dmax_dc,dlim_dc))*((dM_dc*(dc_cant*(0.20833333333333334^2*(6-4*0.20833333333333334+0.20833333333333334^2)/3)+NOT(dc_cant)*((1+(dc_ma+dc_mb)/2)*(0.20833333333333334-2*0.20833333333333334^3+0.20833333333333334^4)/3-dc_ma*(2*0.20833333333333334-3*0.20833333333333334^2+0.20833333333333334^3)/6-dc_mb*(0.20833333333333334-0.20833333333333334^3)/6)/(5/48*(1-(dc_ma+dc_mb)/10)))+dcs_dc*(dc_cant*0.20833333333333334^2+NOT(dc_cant)*4*0.20833333333333334*(1-0.20833333333333334)))+(ABS((dM_dc*(dc_cant*(0.20833333333333334^2*(6-4*0.20833333333333334+0.20833333333333334^2)/3)+NOT(dc_cant)*((1+(dc_ma+dc_mb)/2)*(0.20833333333333334-2*0.20833333333333334^3+0.20833333333333334^4)/3-dc_ma*(2*0.20833333333333334-3*0.20833333333333334^2+0.20833333333333334^3)/6-dc_mb*(0.20833333333333334-0.20833333333333334^3)/6)/(5/48*(1-(dc_ma+dc_mb)/10)))+NOT(dc_cont)*dcs_dc*(dc_cant*0.20833333333333334^2+NOT(dc_cant)*4*0.20833333333333334*(1-0.20833333333333334))))&gt;ABS((dM_dc*(dc_cant*(0.20833333333333334^2*(6-4*0.20833333333333334+0.20833333333333334^2)/3)+NOT(dc_cant)*((1+(dc_ma+dc_mb)/2)*(0.20833333333333334-2*0.20833333333333334^3+0.20833333333333334^4)/3-dc_ma*(2*0.20833333333333334-3*0.20833333333333334^2+0.20833333333333334^3)/6-dc_mb*(0.20833333333333334-0.20833333333333334^3)/6)/(5/48*(1-(dc_ma+dc_mb)/10)))+dcs_dc*(dc_cant*0.20833333333333334^2+NOT(dc_cant)*4*0.20833333333333334*(1-0.20833333333333334)))))*((dM_dc*(dc_cant*(0.20833333333333334^2*(6-4*0.20833333333333334+0.20833333333333334^2)/3)+NOT(dc_cant)*((1+(dc_ma+dc_mb)/2)*(0.20833333333333334-2*0.20833333333333334^3+0.20833333333333334^4)/3-dc_ma*(2*0.20833333333333334-3*0.20833333333333334^2+0.20833333333333334^3)/6-dc_mb*(0.20833333333333334-0.20833333333333334^3)/6)/(5/48*(1-(dc_ma+dc_mb)/10)))+NOT(dc_cont)*dcs_dc*(dc_cant*0.20833333333333334^2+NOT(dc_cant)*4*0.20833333333333334*(1-0.20833333333333334)))-(dM_dc*(dc_cant*(0.20833333333333334^2*(6-4*0.20833333333333334+0.20833333333333334^2)/3)+NOT(dc_cant)*((1+(dc_ma+dc_mb)/2)*(0.20833333333333334-2*0.20833333333333334^3+0.20833333333333334^4)/3-dc_ma*(2*0.20833333333333334-3*0.20833333333333334^2+0.20833333333333334^3)/6-dc_mb*(0.20833333333333334-0.20833333333333334^3)/6)/(5/48*(1-(dc_ma+dc_mb)/10)))+dcs_dc*(dc_cant*0.20833333333333334^2+NOT(dc_cant)*4*0.20833333333333334*(1-0.20833333333333334)))))</f>
        <v/>
      </c>
    </row>
    <row r="9">
      <c r="G9">
        <f>IF(inputs_ok,0.25*dc_L,NA())</f>
        <v/>
      </c>
      <c r="H9">
        <f>-(0.12*dc_L/MAX(ABS(dtot_dc),ABS(dM_dc),ABS(dcs_dc),dmax_dc,dlim_dc))*((dM_dc*(dc_cant*(0.25^2*(6-4*0.25+0.25^2)/3)+NOT(dc_cant)*((1+(dc_ma+dc_mb)/2)*(0.25-2*0.25^3+0.25^4)/3-dc_ma*(2*0.25-3*0.25^2+0.25^3)/6-dc_mb*(0.25-0.25^3)/6)/(5/48*(1-(dc_ma+dc_mb)/10)))+dcs_dc*(dc_cant*0.25^2+NOT(dc_cant)*4*0.25*(1-0.25)))+(ABS((dM_dc*(dc_cant*(0.25^2*(6-4*0.25+0.25^2)/3)+NOT(dc_cant)*((1+(dc_ma+dc_mb)/2)*(0.25-2*0.25^3+0.25^4)/3-dc_ma*(2*0.25-3*0.25^2+0.25^3)/6-dc_mb*(0.25-0.25^3)/6)/(5/48*(1-(dc_ma+dc_mb)/10)))+NOT(dc_cont)*dcs_dc*(dc_cant*0.25^2+NOT(dc_cant)*4*0.25*(1-0.25))))&gt;ABS((dM_dc*(dc_cant*(0.25^2*(6-4*0.25+0.25^2)/3)+NOT(dc_cant)*((1+(dc_ma+dc_mb)/2)*(0.25-2*0.25^3+0.25^4)/3-dc_ma*(2*0.25-3*0.25^2+0.25^3)/6-dc_mb*(0.25-0.25^3)/6)/(5/48*(1-(dc_ma+dc_mb)/10)))+dcs_dc*(dc_cant*0.25^2+NOT(dc_cant)*4*0.25*(1-0.25)))))*((dM_dc*(dc_cant*(0.25^2*(6-4*0.25+0.25^2)/3)+NOT(dc_cant)*((1+(dc_ma+dc_mb)/2)*(0.25-2*0.25^3+0.25^4)/3-dc_ma*(2*0.25-3*0.25^2+0.25^3)/6-dc_mb*(0.25-0.25^3)/6)/(5/48*(1-(dc_ma+dc_mb)/10)))+NOT(dc_cont)*dcs_dc*(dc_cant*0.25^2+NOT(dc_cant)*4*0.25*(1-0.25)))-(dM_dc*(dc_cant*(0.25^2*(6-4*0.25+0.25^2)/3)+NOT(dc_cant)*((1+(dc_ma+dc_mb)/2)*(0.25-2*0.25^3+0.25^4)/3-dc_ma*(2*0.25-3*0.25^2+0.25^3)/6-dc_mb*(0.25-0.25^3)/6)/(5/48*(1-(dc_ma+dc_mb)/10)))+dcs_dc*(dc_cant*0.25^2+NOT(dc_cant)*4*0.25*(1-0.25)))))</f>
        <v/>
      </c>
    </row>
    <row r="10">
      <c r="G10">
        <f>IF(inputs_ok,0.2916666666666667*dc_L,NA())</f>
        <v/>
      </c>
      <c r="H10">
        <f>-(0.12*dc_L/MAX(ABS(dtot_dc),ABS(dM_dc),ABS(dcs_dc),dmax_dc,dlim_dc))*((dM_dc*(dc_cant*(0.2916666666666667^2*(6-4*0.2916666666666667+0.2916666666666667^2)/3)+NOT(dc_cant)*((1+(dc_ma+dc_mb)/2)*(0.2916666666666667-2*0.2916666666666667^3+0.2916666666666667^4)/3-dc_ma*(2*0.2916666666666667-3*0.2916666666666667^2+0.2916666666666667^3)/6-dc_mb*(0.2916666666666667-0.2916666666666667^3)/6)/(5/48*(1-(dc_ma+dc_mb)/10)))+dcs_dc*(dc_cant*0.2916666666666667^2+NOT(dc_cant)*4*0.2916666666666667*(1-0.2916666666666667)))+(ABS((dM_dc*(dc_cant*(0.2916666666666667^2*(6-4*0.2916666666666667+0.2916666666666667^2)/3)+NOT(dc_cant)*((1+(dc_ma+dc_mb)/2)*(0.2916666666666667-2*0.2916666666666667^3+0.2916666666666667^4)/3-dc_ma*(2*0.2916666666666667-3*0.2916666666666667^2+0.2916666666666667^3)/6-dc_mb*(0.2916666666666667-0.2916666666666667^3)/6)/(5/48*(1-(dc_ma+dc_mb)/10)))+NOT(dc_cont)*dcs_dc*(dc_cant*0.2916666666666667^2+NOT(dc_cant)*4*0.2916666666666667*(1-0.2916666666666667))))&gt;ABS((dM_dc*(dc_cant*(0.2916666666666667^2*(6-4*0.2916666666666667+0.2916666666666667^2)/3)+NOT(dc_cant)*((1+(dc_ma+dc_mb)/2)*(0.2916666666666667-2*0.2916666666666667^3+0.2916666666666667^4)/3-dc_ma*(2*0.2916666666666667-3*0.2916666666666667^2+0.2916666666666667^3)/6-dc_mb*(0.2916666666666667-0.2916666666666667^3)/6)/(5/48*(1-(dc_ma+dc_mb)/10)))+dcs_dc*(dc_cant*0.2916666666666667^2+NOT(dc_cant)*4*0.2916666666666667*(1-0.2916666666666667)))))*((dM_dc*(dc_cant*(0.2916666666666667^2*(6-4*0.2916666666666667+0.2916666666666667^2)/3)+NOT(dc_cant)*((1+(dc_ma+dc_mb)/2)*(0.2916666666666667-2*0.2916666666666667^3+0.2916666666666667^4)/3-dc_ma*(2*0.2916666666666667-3*0.2916666666666667^2+0.2916666666666667^3)/6-dc_mb*(0.2916666666666667-0.2916666666666667^3)/6)/(5/48*(1-(dc_ma+dc_mb)/10)))+NOT(dc_cont)*dcs_dc*(dc_cant*0.2916666666666667^2+NOT(dc_cant)*4*0.2916666666666667*(1-0.2916666666666667)))-(dM_dc*(dc_cant*(0.2916666666666667^2*(6-4*0.2916666666666667+0.2916666666666667^2)/3)+NOT(dc_cant)*((1+(dc_ma+dc_mb)/2)*(0.2916666666666667-2*0.2916666666666667^3+0.2916666666666667^4)/3-dc_ma*(2*0.2916666666666667-3*0.2916666666666667^2+0.2916666666666667^3)/6-dc_mb*(0.2916666666666667-0.2916666666666667^3)/6)/(5/48*(1-(dc_ma+dc_mb)/10)))+dcs_dc*(dc_cant*0.2916666666666667^2+NOT(dc_cant)*4*0.2916666666666667*(1-0.2916666666666667)))))</f>
        <v/>
      </c>
    </row>
    <row r="11">
      <c r="G11">
        <f>IF(inputs_ok,0.3333333333333333*dc_L,NA())</f>
        <v/>
      </c>
      <c r="H11">
        <f>-(0.12*dc_L/MAX(ABS(dtot_dc),ABS(dM_dc),ABS(dcs_dc),dmax_dc,dlim_dc))*((dM_dc*(dc_cant*(0.3333333333333333^2*(6-4*0.3333333333333333+0.3333333333333333^2)/3)+NOT(dc_cant)*((1+(dc_ma+dc_mb)/2)*(0.3333333333333333-2*0.3333333333333333^3+0.3333333333333333^4)/3-dc_ma*(2*0.3333333333333333-3*0.3333333333333333^2+0.3333333333333333^3)/6-dc_mb*(0.3333333333333333-0.3333333333333333^3)/6)/(5/48*(1-(dc_ma+dc_mb)/10)))+dcs_dc*(dc_cant*0.3333333333333333^2+NOT(dc_cant)*4*0.3333333333333333*(1-0.3333333333333333)))+(ABS((dM_dc*(dc_cant*(0.3333333333333333^2*(6-4*0.3333333333333333+0.3333333333333333^2)/3)+NOT(dc_cant)*((1+(dc_ma+dc_mb)/2)*(0.3333333333333333-2*0.3333333333333333^3+0.3333333333333333^4)/3-dc_ma*(2*0.3333333333333333-3*0.3333333333333333^2+0.3333333333333333^3)/6-dc_mb*(0.3333333333333333-0.3333333333333333^3)/6)/(5/48*(1-(dc_ma+dc_mb)/10)))+NOT(dc_cont)*dcs_dc*(dc_cant*0.3333333333333333^2+NOT(dc_cant)*4*0.3333333333333333*(1-0.3333333333333333))))&gt;ABS((dM_dc*(dc_cant*(0.3333333333333333^2*(6-4*0.3333333333333333+0.3333333333333333^2)/3)+NOT(dc_cant)*((1+(dc_ma+dc_mb)/2)*(0.3333333333333333-2*0.3333333333333333^3+0.3333333333333333^4)/3-dc_ma*(2*0.3333333333333333-3*0.3333333333333333^2+0.3333333333333333^3)/6-dc_mb*(0.3333333333333333-0.3333333333333333^3)/6)/(5/48*(1-(dc_ma+dc_mb)/10)))+dcs_dc*(dc_cant*0.3333333333333333^2+NOT(dc_cant)*4*0.3333333333333333*(1-0.3333333333333333)))))*((dM_dc*(dc_cant*(0.3333333333333333^2*(6-4*0.3333333333333333+0.3333333333333333^2)/3)+NOT(dc_cant)*((1+(dc_ma+dc_mb)/2)*(0.3333333333333333-2*0.3333333333333333^3+0.3333333333333333^4)/3-dc_ma*(2*0.3333333333333333-3*0.3333333333333333^2+0.3333333333333333^3)/6-dc_mb*(0.3333333333333333-0.3333333333333333^3)/6)/(5/48*(1-(dc_ma+dc_mb)/10)))+NOT(dc_cont)*dcs_dc*(dc_cant*0.3333333333333333^2+NOT(dc_cant)*4*0.3333333333333333*(1-0.3333333333333333)))-(dM_dc*(dc_cant*(0.3333333333333333^2*(6-4*0.3333333333333333+0.3333333333333333^2)/3)+NOT(dc_cant)*((1+(dc_ma+dc_mb)/2)*(0.3333333333333333-2*0.3333333333333333^3+0.3333333333333333^4)/3-dc_ma*(2*0.3333333333333333-3*0.3333333333333333^2+0.3333333333333333^3)/6-dc_mb*(0.3333333333333333-0.3333333333333333^3)/6)/(5/48*(1-(dc_ma+dc_mb)/10)))+dcs_dc*(dc_cant*0.3333333333333333^2+NOT(dc_cant)*4*0.3333333333333333*(1-0.3333333333333333)))))</f>
        <v/>
      </c>
    </row>
    <row r="12">
      <c r="G12">
        <f>IF(inputs_ok,0.375*dc_L,NA())</f>
        <v/>
      </c>
      <c r="H12">
        <f>-(0.12*dc_L/MAX(ABS(dtot_dc),ABS(dM_dc),ABS(dcs_dc),dmax_dc,dlim_dc))*((dM_dc*(dc_cant*(0.375^2*(6-4*0.375+0.375^2)/3)+NOT(dc_cant)*((1+(dc_ma+dc_mb)/2)*(0.375-2*0.375^3+0.375^4)/3-dc_ma*(2*0.375-3*0.375^2+0.375^3)/6-dc_mb*(0.375-0.375^3)/6)/(5/48*(1-(dc_ma+dc_mb)/10)))+dcs_dc*(dc_cant*0.375^2+NOT(dc_cant)*4*0.375*(1-0.375)))+(ABS((dM_dc*(dc_cant*(0.375^2*(6-4*0.375+0.375^2)/3)+NOT(dc_cant)*((1+(dc_ma+dc_mb)/2)*(0.375-2*0.375^3+0.375^4)/3-dc_ma*(2*0.375-3*0.375^2+0.375^3)/6-dc_mb*(0.375-0.375^3)/6)/(5/48*(1-(dc_ma+dc_mb)/10)))+NOT(dc_cont)*dcs_dc*(dc_cant*0.375^2+NOT(dc_cant)*4*0.375*(1-0.375))))&gt;ABS((dM_dc*(dc_cant*(0.375^2*(6-4*0.375+0.375^2)/3)+NOT(dc_cant)*((1+(dc_ma+dc_mb)/2)*(0.375-2*0.375^3+0.375^4)/3-dc_ma*(2*0.375-3*0.375^2+0.375^3)/6-dc_mb*(0.375-0.375^3)/6)/(5/48*(1-(dc_ma+dc_mb)/10)))+dcs_dc*(dc_cant*0.375^2+NOT(dc_cant)*4*0.375*(1-0.375)))))*((dM_dc*(dc_cant*(0.375^2*(6-4*0.375+0.375^2)/3)+NOT(dc_cant)*((1+(dc_ma+dc_mb)/2)*(0.375-2*0.375^3+0.375^4)/3-dc_ma*(2*0.375-3*0.375^2+0.375^3)/6-dc_mb*(0.375-0.375^3)/6)/(5/48*(1-(dc_ma+dc_mb)/10)))+NOT(dc_cont)*dcs_dc*(dc_cant*0.375^2+NOT(dc_cant)*4*0.375*(1-0.375)))-(dM_dc*(dc_cant*(0.375^2*(6-4*0.375+0.375^2)/3)+NOT(dc_cant)*((1+(dc_ma+dc_mb)/2)*(0.375-2*0.375^3+0.375^4)/3-dc_ma*(2*0.375-3*0.375^2+0.375^3)/6-dc_mb*(0.375-0.375^3)/6)/(5/48*(1-(dc_ma+dc_mb)/10)))+dcs_dc*(dc_cant*0.375^2+NOT(dc_cant)*4*0.375*(1-0.375)))))</f>
        <v/>
      </c>
    </row>
    <row r="13">
      <c r="G13">
        <f>IF(inputs_ok,0.4166666666666667*dc_L,NA())</f>
        <v/>
      </c>
      <c r="H13">
        <f>-(0.12*dc_L/MAX(ABS(dtot_dc),ABS(dM_dc),ABS(dcs_dc),dmax_dc,dlim_dc))*((dM_dc*(dc_cant*(0.4166666666666667^2*(6-4*0.4166666666666667+0.4166666666666667^2)/3)+NOT(dc_cant)*((1+(dc_ma+dc_mb)/2)*(0.4166666666666667-2*0.4166666666666667^3+0.4166666666666667^4)/3-dc_ma*(2*0.4166666666666667-3*0.4166666666666667^2+0.4166666666666667^3)/6-dc_mb*(0.4166666666666667-0.4166666666666667^3)/6)/(5/48*(1-(dc_ma+dc_mb)/10)))+dcs_dc*(dc_cant*0.4166666666666667^2+NOT(dc_cant)*4*0.4166666666666667*(1-0.4166666666666667)))+(ABS((dM_dc*(dc_cant*(0.4166666666666667^2*(6-4*0.4166666666666667+0.4166666666666667^2)/3)+NOT(dc_cant)*((1+(dc_ma+dc_mb)/2)*(0.4166666666666667-2*0.4166666666666667^3+0.4166666666666667^4)/3-dc_ma*(2*0.4166666666666667-3*0.4166666666666667^2+0.4166666666666667^3)/6-dc_mb*(0.4166666666666667-0.4166666666666667^3)/6)/(5/48*(1-(dc_ma+dc_mb)/10)))+NOT(dc_cont)*dcs_dc*(dc_cant*0.4166666666666667^2+NOT(dc_cant)*4*0.4166666666666667*(1-0.4166666666666667))))&gt;ABS((dM_dc*(dc_cant*(0.4166666666666667^2*(6-4*0.4166666666666667+0.4166666666666667^2)/3)+NOT(dc_cant)*((1+(dc_ma+dc_mb)/2)*(0.4166666666666667-2*0.4166666666666667^3+0.4166666666666667^4)/3-dc_ma*(2*0.4166666666666667-3*0.4166666666666667^2+0.4166666666666667^3)/6-dc_mb*(0.4166666666666667-0.4166666666666667^3)/6)/(5/48*(1-(dc_ma+dc_mb)/10)))+dcs_dc*(dc_cant*0.4166666666666667^2+NOT(dc_cant)*4*0.4166666666666667*(1-0.4166666666666667)))))*((dM_dc*(dc_cant*(0.4166666666666667^2*(6-4*0.4166666666666667+0.4166666666666667^2)/3)+NOT(dc_cant)*((1+(dc_ma+dc_mb)/2)*(0.4166666666666667-2*0.4166666666666667^3+0.4166666666666667^4)/3-dc_ma*(2*0.4166666666666667-3*0.4166666666666667^2+0.4166666666666667^3)/6-dc_mb*(0.4166666666666667-0.4166666666666667^3)/6)/(5/48*(1-(dc_ma+dc_mb)/10)))+NOT(dc_cont)*dcs_dc*(dc_cant*0.4166666666666667^2+NOT(dc_cant)*4*0.4166666666666667*(1-0.4166666666666667)))-(dM_dc*(dc_cant*(0.4166666666666667^2*(6-4*0.4166666666666667+0.4166666666666667^2)/3)+NOT(dc_cant)*((1+(dc_ma+dc_mb)/2)*(0.4166666666666667-2*0.4166666666666667^3+0.4166666666666667^4)/3-dc_ma*(2*0.4166666666666667-3*0.4166666666666667^2+0.4166666666666667^3)/6-dc_mb*(0.4166666666666667-0.4166666666666667^3)/6)/(5/48*(1-(dc_ma+dc_mb)/10)))+dcs_dc*(dc_cant*0.4166666666666667^2+NOT(dc_cant)*4*0.4166666666666667*(1-0.4166666666666667)))))</f>
        <v/>
      </c>
    </row>
    <row r="14">
      <c r="G14">
        <f>IF(inputs_ok,0.4583333333333333*dc_L,NA())</f>
        <v/>
      </c>
      <c r="H14">
        <f>-(0.12*dc_L/MAX(ABS(dtot_dc),ABS(dM_dc),ABS(dcs_dc),dmax_dc,dlim_dc))*((dM_dc*(dc_cant*(0.4583333333333333^2*(6-4*0.4583333333333333+0.4583333333333333^2)/3)+NOT(dc_cant)*((1+(dc_ma+dc_mb)/2)*(0.4583333333333333-2*0.4583333333333333^3+0.4583333333333333^4)/3-dc_ma*(2*0.4583333333333333-3*0.4583333333333333^2+0.4583333333333333^3)/6-dc_mb*(0.4583333333333333-0.4583333333333333^3)/6)/(5/48*(1-(dc_ma+dc_mb)/10)))+dcs_dc*(dc_cant*0.4583333333333333^2+NOT(dc_cant)*4*0.4583333333333333*(1-0.4583333333333333)))+(ABS((dM_dc*(dc_cant*(0.4583333333333333^2*(6-4*0.4583333333333333+0.4583333333333333^2)/3)+NOT(dc_cant)*((1+(dc_ma+dc_mb)/2)*(0.4583333333333333-2*0.4583333333333333^3+0.4583333333333333^4)/3-dc_ma*(2*0.4583333333333333-3*0.4583333333333333^2+0.4583333333333333^3)/6-dc_mb*(0.4583333333333333-0.4583333333333333^3)/6)/(5/48*(1-(dc_ma+dc_mb)/10)))+NOT(dc_cont)*dcs_dc*(dc_cant*0.4583333333333333^2+NOT(dc_cant)*4*0.4583333333333333*(1-0.4583333333333333))))&gt;ABS((dM_dc*(dc_cant*(0.4583333333333333^2*(6-4*0.4583333333333333+0.4583333333333333^2)/3)+NOT(dc_cant)*((1+(dc_ma+dc_mb)/2)*(0.4583333333333333-2*0.4583333333333333^3+0.4583333333333333^4)/3-dc_ma*(2*0.4583333333333333-3*0.4583333333333333^2+0.4583333333333333^3)/6-dc_mb*(0.4583333333333333-0.4583333333333333^3)/6)/(5/48*(1-(dc_ma+dc_mb)/10)))+dcs_dc*(dc_cant*0.4583333333333333^2+NOT(dc_cant)*4*0.4583333333333333*(1-0.4583333333333333)))))*((dM_dc*(dc_cant*(0.4583333333333333^2*(6-4*0.4583333333333333+0.4583333333333333^2)/3)+NOT(dc_cant)*((1+(dc_ma+dc_mb)/2)*(0.4583333333333333-2*0.4583333333333333^3+0.4583333333333333^4)/3-dc_ma*(2*0.4583333333333333-3*0.4583333333333333^2+0.4583333333333333^3)/6-dc_mb*(0.4583333333333333-0.4583333333333333^3)/6)/(5/48*(1-(dc_ma+dc_mb)/10)))+NOT(dc_cont)*dcs_dc*(dc_cant*0.4583333333333333^2+NOT(dc_cant)*4*0.4583333333333333*(1-0.4583333333333333)))-(dM_dc*(dc_cant*(0.4583333333333333^2*(6-4*0.4583333333333333+0.4583333333333333^2)/3)+NOT(dc_cant)*((1+(dc_ma+dc_mb)/2)*(0.4583333333333333-2*0.4583333333333333^3+0.4583333333333333^4)/3-dc_ma*(2*0.4583333333333333-3*0.4583333333333333^2+0.4583333333333333^3)/6-dc_mb*(0.4583333333333333-0.4583333333333333^3)/6)/(5/48*(1-(dc_ma+dc_mb)/10)))+dcs_dc*(dc_cant*0.4583333333333333^2+NOT(dc_cant)*4*0.4583333333333333*(1-0.4583333333333333)))))</f>
        <v/>
      </c>
    </row>
    <row r="15">
      <c r="G15">
        <f>IF(inputs_ok,0.5*dc_L,NA())</f>
        <v/>
      </c>
      <c r="H15">
        <f>-(0.12*dc_L/MAX(ABS(dtot_dc),ABS(dM_dc),ABS(dcs_dc),dmax_dc,dlim_dc))*((dM_dc*(dc_cant*(0.5^2*(6-4*0.5+0.5^2)/3)+NOT(dc_cant)*((1+(dc_ma+dc_mb)/2)*(0.5-2*0.5^3+0.5^4)/3-dc_ma*(2*0.5-3*0.5^2+0.5^3)/6-dc_mb*(0.5-0.5^3)/6)/(5/48*(1-(dc_ma+dc_mb)/10)))+dcs_dc*(dc_cant*0.5^2+NOT(dc_cant)*4*0.5*(1-0.5)))+(ABS((dM_dc*(dc_cant*(0.5^2*(6-4*0.5+0.5^2)/3)+NOT(dc_cant)*((1+(dc_ma+dc_mb)/2)*(0.5-2*0.5^3+0.5^4)/3-dc_ma*(2*0.5-3*0.5^2+0.5^3)/6-dc_mb*(0.5-0.5^3)/6)/(5/48*(1-(dc_ma+dc_mb)/10)))+NOT(dc_cont)*dcs_dc*(dc_cant*0.5^2+NOT(dc_cant)*4*0.5*(1-0.5))))&gt;ABS((dM_dc*(dc_cant*(0.5^2*(6-4*0.5+0.5^2)/3)+NOT(dc_cant)*((1+(dc_ma+dc_mb)/2)*(0.5-2*0.5^3+0.5^4)/3-dc_ma*(2*0.5-3*0.5^2+0.5^3)/6-dc_mb*(0.5-0.5^3)/6)/(5/48*(1-(dc_ma+dc_mb)/10)))+dcs_dc*(dc_cant*0.5^2+NOT(dc_cant)*4*0.5*(1-0.5)))))*((dM_dc*(dc_cant*(0.5^2*(6-4*0.5+0.5^2)/3)+NOT(dc_cant)*((1+(dc_ma+dc_mb)/2)*(0.5-2*0.5^3+0.5^4)/3-dc_ma*(2*0.5-3*0.5^2+0.5^3)/6-dc_mb*(0.5-0.5^3)/6)/(5/48*(1-(dc_ma+dc_mb)/10)))+NOT(dc_cont)*dcs_dc*(dc_cant*0.5^2+NOT(dc_cant)*4*0.5*(1-0.5)))-(dM_dc*(dc_cant*(0.5^2*(6-4*0.5+0.5^2)/3)+NOT(dc_cant)*((1+(dc_ma+dc_mb)/2)*(0.5-2*0.5^3+0.5^4)/3-dc_ma*(2*0.5-3*0.5^2+0.5^3)/6-dc_mb*(0.5-0.5^3)/6)/(5/48*(1-(dc_ma+dc_mb)/10)))+dcs_dc*(dc_cant*0.5^2+NOT(dc_cant)*4*0.5*(1-0.5)))))</f>
        <v/>
      </c>
    </row>
    <row r="16">
      <c r="G16">
        <f>IF(inputs_ok,0.5416666666666666*dc_L,NA())</f>
        <v/>
      </c>
      <c r="H16">
        <f>-(0.12*dc_L/MAX(ABS(dtot_dc),ABS(dM_dc),ABS(dcs_dc),dmax_dc,dlim_dc))*((dM_dc*(dc_cant*(0.5416666666666666^2*(6-4*0.5416666666666666+0.5416666666666666^2)/3)+NOT(dc_cant)*((1+(dc_ma+dc_mb)/2)*(0.5416666666666666-2*0.5416666666666666^3+0.5416666666666666^4)/3-dc_ma*(2*0.5416666666666666-3*0.5416666666666666^2+0.5416666666666666^3)/6-dc_mb*(0.5416666666666666-0.5416666666666666^3)/6)/(5/48*(1-(dc_ma+dc_mb)/10)))+dcs_dc*(dc_cant*0.5416666666666666^2+NOT(dc_cant)*4*0.5416666666666666*(1-0.5416666666666666)))+(ABS((dM_dc*(dc_cant*(0.5416666666666666^2*(6-4*0.5416666666666666+0.5416666666666666^2)/3)+NOT(dc_cant)*((1+(dc_ma+dc_mb)/2)*(0.5416666666666666-2*0.5416666666666666^3+0.5416666666666666^4)/3-dc_ma*(2*0.5416666666666666-3*0.5416666666666666^2+0.5416666666666666^3)/6-dc_mb*(0.5416666666666666-0.5416666666666666^3)/6)/(5/48*(1-(dc_ma+dc_mb)/10)))+NOT(dc_cont)*dcs_dc*(dc_cant*0.5416666666666666^2+NOT(dc_cant)*4*0.5416666666666666*(1-0.5416666666666666))))&gt;ABS((dM_dc*(dc_cant*(0.5416666666666666^2*(6-4*0.5416666666666666+0.5416666666666666^2)/3)+NOT(dc_cant)*((1+(dc_ma+dc_mb)/2)*(0.5416666666666666-2*0.5416666666666666^3+0.5416666666666666^4)/3-dc_ma*(2*0.5416666666666666-3*0.5416666666666666^2+0.5416666666666666^3)/6-dc_mb*(0.5416666666666666-0.5416666666666666^3)/6)/(5/48*(1-(dc_ma+dc_mb)/10)))+dcs_dc*(dc_cant*0.5416666666666666^2+NOT(dc_cant)*4*0.5416666666666666*(1-0.5416666666666666)))))*((dM_dc*(dc_cant*(0.5416666666666666^2*(6-4*0.5416666666666666+0.5416666666666666^2)/3)+NOT(dc_cant)*((1+(dc_ma+dc_mb)/2)*(0.5416666666666666-2*0.5416666666666666^3+0.5416666666666666^4)/3-dc_ma*(2*0.5416666666666666-3*0.5416666666666666^2+0.5416666666666666^3)/6-dc_mb*(0.5416666666666666-0.5416666666666666^3)/6)/(5/48*(1-(dc_ma+dc_mb)/10)))+NOT(dc_cont)*dcs_dc*(dc_cant*0.5416666666666666^2+NOT(dc_cant)*4*0.5416666666666666*(1-0.5416666666666666)))-(dM_dc*(dc_cant*(0.5416666666666666^2*(6-4*0.5416666666666666+0.5416666666666666^2)/3)+NOT(dc_cant)*((1+(dc_ma+dc_mb)/2)*(0.5416666666666666-2*0.5416666666666666^3+0.5416666666666666^4)/3-dc_ma*(2*0.5416666666666666-3*0.5416666666666666^2+0.5416666666666666^3)/6-dc_mb*(0.5416666666666666-0.5416666666666666^3)/6)/(5/48*(1-(dc_ma+dc_mb)/10)))+dcs_dc*(dc_cant*0.5416666666666666^2+NOT(dc_cant)*4*0.5416666666666666*(1-0.5416666666666666)))))</f>
        <v/>
      </c>
    </row>
    <row r="17">
      <c r="G17">
        <f>IF(inputs_ok,0.5833333333333334*dc_L,NA())</f>
        <v/>
      </c>
      <c r="H17">
        <f>-(0.12*dc_L/MAX(ABS(dtot_dc),ABS(dM_dc),ABS(dcs_dc),dmax_dc,dlim_dc))*((dM_dc*(dc_cant*(0.5833333333333334^2*(6-4*0.5833333333333334+0.5833333333333334^2)/3)+NOT(dc_cant)*((1+(dc_ma+dc_mb)/2)*(0.5833333333333334-2*0.5833333333333334^3+0.5833333333333334^4)/3-dc_ma*(2*0.5833333333333334-3*0.5833333333333334^2+0.5833333333333334^3)/6-dc_mb*(0.5833333333333334-0.5833333333333334^3)/6)/(5/48*(1-(dc_ma+dc_mb)/10)))+dcs_dc*(dc_cant*0.5833333333333334^2+NOT(dc_cant)*4*0.5833333333333334*(1-0.5833333333333334)))+(ABS((dM_dc*(dc_cant*(0.5833333333333334^2*(6-4*0.5833333333333334+0.5833333333333334^2)/3)+NOT(dc_cant)*((1+(dc_ma+dc_mb)/2)*(0.5833333333333334-2*0.5833333333333334^3+0.5833333333333334^4)/3-dc_ma*(2*0.5833333333333334-3*0.5833333333333334^2+0.5833333333333334^3)/6-dc_mb*(0.5833333333333334-0.5833333333333334^3)/6)/(5/48*(1-(dc_ma+dc_mb)/10)))+NOT(dc_cont)*dcs_dc*(dc_cant*0.5833333333333334^2+NOT(dc_cant)*4*0.5833333333333334*(1-0.5833333333333334))))&gt;ABS((dM_dc*(dc_cant*(0.5833333333333334^2*(6-4*0.5833333333333334+0.5833333333333334^2)/3)+NOT(dc_cant)*((1+(dc_ma+dc_mb)/2)*(0.5833333333333334-2*0.5833333333333334^3+0.5833333333333334^4)/3-dc_ma*(2*0.5833333333333334-3*0.5833333333333334^2+0.5833333333333334^3)/6-dc_mb*(0.5833333333333334-0.5833333333333334^3)/6)/(5/48*(1-(dc_ma+dc_mb)/10)))+dcs_dc*(dc_cant*0.5833333333333334^2+NOT(dc_cant)*4*0.5833333333333334*(1-0.5833333333333334)))))*((dM_dc*(dc_cant*(0.5833333333333334^2*(6-4*0.5833333333333334+0.5833333333333334^2)/3)+NOT(dc_cant)*((1+(dc_ma+dc_mb)/2)*(0.5833333333333334-2*0.5833333333333334^3+0.5833333333333334^4)/3-dc_ma*(2*0.5833333333333334-3*0.5833333333333334^2+0.5833333333333334^3)/6-dc_mb*(0.5833333333333334-0.5833333333333334^3)/6)/(5/48*(1-(dc_ma+dc_mb)/10)))+NOT(dc_cont)*dcs_dc*(dc_cant*0.5833333333333334^2+NOT(dc_cant)*4*0.5833333333333334*(1-0.5833333333333334)))-(dM_dc*(dc_cant*(0.5833333333333334^2*(6-4*0.5833333333333334+0.5833333333333334^2)/3)+NOT(dc_cant)*((1+(dc_ma+dc_mb)/2)*(0.5833333333333334-2*0.5833333333333334^3+0.5833333333333334^4)/3-dc_ma*(2*0.5833333333333334-3*0.5833333333333334^2+0.5833333333333334^3)/6-dc_mb*(0.5833333333333334-0.5833333333333334^3)/6)/(5/48*(1-(dc_ma+dc_mb)/10)))+dcs_dc*(dc_cant*0.5833333333333334^2+NOT(dc_cant)*4*0.5833333333333334*(1-0.5833333333333334)))))</f>
        <v/>
      </c>
    </row>
    <row r="18">
      <c r="G18">
        <f>IF(inputs_ok,0.625*dc_L,NA())</f>
        <v/>
      </c>
      <c r="H18">
        <f>-(0.12*dc_L/MAX(ABS(dtot_dc),ABS(dM_dc),ABS(dcs_dc),dmax_dc,dlim_dc))*((dM_dc*(dc_cant*(0.625^2*(6-4*0.625+0.625^2)/3)+NOT(dc_cant)*((1+(dc_ma+dc_mb)/2)*(0.625-2*0.625^3+0.625^4)/3-dc_ma*(2*0.625-3*0.625^2+0.625^3)/6-dc_mb*(0.625-0.625^3)/6)/(5/48*(1-(dc_ma+dc_mb)/10)))+dcs_dc*(dc_cant*0.625^2+NOT(dc_cant)*4*0.625*(1-0.625)))+(ABS((dM_dc*(dc_cant*(0.625^2*(6-4*0.625+0.625^2)/3)+NOT(dc_cant)*((1+(dc_ma+dc_mb)/2)*(0.625-2*0.625^3+0.625^4)/3-dc_ma*(2*0.625-3*0.625^2+0.625^3)/6-dc_mb*(0.625-0.625^3)/6)/(5/48*(1-(dc_ma+dc_mb)/10)))+NOT(dc_cont)*dcs_dc*(dc_cant*0.625^2+NOT(dc_cant)*4*0.625*(1-0.625))))&gt;ABS((dM_dc*(dc_cant*(0.625^2*(6-4*0.625+0.625^2)/3)+NOT(dc_cant)*((1+(dc_ma+dc_mb)/2)*(0.625-2*0.625^3+0.625^4)/3-dc_ma*(2*0.625-3*0.625^2+0.625^3)/6-dc_mb*(0.625-0.625^3)/6)/(5/48*(1-(dc_ma+dc_mb)/10)))+dcs_dc*(dc_cant*0.625^2+NOT(dc_cant)*4*0.625*(1-0.625)))))*((dM_dc*(dc_cant*(0.625^2*(6-4*0.625+0.625^2)/3)+NOT(dc_cant)*((1+(dc_ma+dc_mb)/2)*(0.625-2*0.625^3+0.625^4)/3-dc_ma*(2*0.625-3*0.625^2+0.625^3)/6-dc_mb*(0.625-0.625^3)/6)/(5/48*(1-(dc_ma+dc_mb)/10)))+NOT(dc_cont)*dcs_dc*(dc_cant*0.625^2+NOT(dc_cant)*4*0.625*(1-0.625)))-(dM_dc*(dc_cant*(0.625^2*(6-4*0.625+0.625^2)/3)+NOT(dc_cant)*((1+(dc_ma+dc_mb)/2)*(0.625-2*0.625^3+0.625^4)/3-dc_ma*(2*0.625-3*0.625^2+0.625^3)/6-dc_mb*(0.625-0.625^3)/6)/(5/48*(1-(dc_ma+dc_mb)/10)))+dcs_dc*(dc_cant*0.625^2+NOT(dc_cant)*4*0.625*(1-0.625)))))</f>
        <v/>
      </c>
    </row>
    <row r="19">
      <c r="G19">
        <f>IF(inputs_ok,0.6666666666666666*dc_L,NA())</f>
        <v/>
      </c>
      <c r="H19">
        <f>-(0.12*dc_L/MAX(ABS(dtot_dc),ABS(dM_dc),ABS(dcs_dc),dmax_dc,dlim_dc))*((dM_dc*(dc_cant*(0.6666666666666666^2*(6-4*0.6666666666666666+0.6666666666666666^2)/3)+NOT(dc_cant)*((1+(dc_ma+dc_mb)/2)*(0.6666666666666666-2*0.6666666666666666^3+0.6666666666666666^4)/3-dc_ma*(2*0.6666666666666666-3*0.6666666666666666^2+0.6666666666666666^3)/6-dc_mb*(0.6666666666666666-0.6666666666666666^3)/6)/(5/48*(1-(dc_ma+dc_mb)/10)))+dcs_dc*(dc_cant*0.6666666666666666^2+NOT(dc_cant)*4*0.6666666666666666*(1-0.6666666666666666)))+(ABS((dM_dc*(dc_cant*(0.6666666666666666^2*(6-4*0.6666666666666666+0.6666666666666666^2)/3)+NOT(dc_cant)*((1+(dc_ma+dc_mb)/2)*(0.6666666666666666-2*0.6666666666666666^3+0.6666666666666666^4)/3-dc_ma*(2*0.6666666666666666-3*0.6666666666666666^2+0.6666666666666666^3)/6-dc_mb*(0.6666666666666666-0.6666666666666666^3)/6)/(5/48*(1-(dc_ma+dc_mb)/10)))+NOT(dc_cont)*dcs_dc*(dc_cant*0.6666666666666666^2+NOT(dc_cant)*4*0.6666666666666666*(1-0.6666666666666666))))&gt;ABS((dM_dc*(dc_cant*(0.6666666666666666^2*(6-4*0.6666666666666666+0.6666666666666666^2)/3)+NOT(dc_cant)*((1+(dc_ma+dc_mb)/2)*(0.6666666666666666-2*0.6666666666666666^3+0.6666666666666666^4)/3-dc_ma*(2*0.6666666666666666-3*0.6666666666666666^2+0.6666666666666666^3)/6-dc_mb*(0.6666666666666666-0.6666666666666666^3)/6)/(5/48*(1-(dc_ma+dc_mb)/10)))+dcs_dc*(dc_cant*0.6666666666666666^2+NOT(dc_cant)*4*0.6666666666666666*(1-0.6666666666666666)))))*((dM_dc*(dc_cant*(0.6666666666666666^2*(6-4*0.6666666666666666+0.6666666666666666^2)/3)+NOT(dc_cant)*((1+(dc_ma+dc_mb)/2)*(0.6666666666666666-2*0.6666666666666666^3+0.6666666666666666^4)/3-dc_ma*(2*0.6666666666666666-3*0.6666666666666666^2+0.6666666666666666^3)/6-dc_mb*(0.6666666666666666-0.6666666666666666^3)/6)/(5/48*(1-(dc_ma+dc_mb)/10)))+NOT(dc_cont)*dcs_dc*(dc_cant*0.6666666666666666^2+NOT(dc_cant)*4*0.6666666666666666*(1-0.6666666666666666)))-(dM_dc*(dc_cant*(0.6666666666666666^2*(6-4*0.6666666666666666+0.6666666666666666^2)/3)+NOT(dc_cant)*((1+(dc_ma+dc_mb)/2)*(0.6666666666666666-2*0.6666666666666666^3+0.6666666666666666^4)/3-dc_ma*(2*0.6666666666666666-3*0.6666666666666666^2+0.6666666666666666^3)/6-dc_mb*(0.6666666666666666-0.6666666666666666^3)/6)/(5/48*(1-(dc_ma+dc_mb)/10)))+dcs_dc*(dc_cant*0.6666666666666666^2+NOT(dc_cant)*4*0.6666666666666666*(1-0.6666666666666666)))))</f>
        <v/>
      </c>
    </row>
    <row r="20">
      <c r="G20">
        <f>IF(inputs_ok,0.7083333333333334*dc_L,NA())</f>
        <v/>
      </c>
      <c r="H20">
        <f>-(0.12*dc_L/MAX(ABS(dtot_dc),ABS(dM_dc),ABS(dcs_dc),dmax_dc,dlim_dc))*((dM_dc*(dc_cant*(0.7083333333333334^2*(6-4*0.7083333333333334+0.7083333333333334^2)/3)+NOT(dc_cant)*((1+(dc_ma+dc_mb)/2)*(0.7083333333333334-2*0.7083333333333334^3+0.7083333333333334^4)/3-dc_ma*(2*0.7083333333333334-3*0.7083333333333334^2+0.7083333333333334^3)/6-dc_mb*(0.7083333333333334-0.7083333333333334^3)/6)/(5/48*(1-(dc_ma+dc_mb)/10)))+dcs_dc*(dc_cant*0.7083333333333334^2+NOT(dc_cant)*4*0.7083333333333334*(1-0.7083333333333334)))+(ABS((dM_dc*(dc_cant*(0.7083333333333334^2*(6-4*0.7083333333333334+0.7083333333333334^2)/3)+NOT(dc_cant)*((1+(dc_ma+dc_mb)/2)*(0.7083333333333334-2*0.7083333333333334^3+0.7083333333333334^4)/3-dc_ma*(2*0.7083333333333334-3*0.7083333333333334^2+0.7083333333333334^3)/6-dc_mb*(0.7083333333333334-0.7083333333333334^3)/6)/(5/48*(1-(dc_ma+dc_mb)/10)))+NOT(dc_cont)*dcs_dc*(dc_cant*0.7083333333333334^2+NOT(dc_cant)*4*0.7083333333333334*(1-0.7083333333333334))))&gt;ABS((dM_dc*(dc_cant*(0.7083333333333334^2*(6-4*0.7083333333333334+0.7083333333333334^2)/3)+NOT(dc_cant)*((1+(dc_ma+dc_mb)/2)*(0.7083333333333334-2*0.7083333333333334^3+0.7083333333333334^4)/3-dc_ma*(2*0.7083333333333334-3*0.7083333333333334^2+0.7083333333333334^3)/6-dc_mb*(0.7083333333333334-0.7083333333333334^3)/6)/(5/48*(1-(dc_ma+dc_mb)/10)))+dcs_dc*(dc_cant*0.7083333333333334^2+NOT(dc_cant)*4*0.7083333333333334*(1-0.7083333333333334)))))*((dM_dc*(dc_cant*(0.7083333333333334^2*(6-4*0.7083333333333334+0.7083333333333334^2)/3)+NOT(dc_cant)*((1+(dc_ma+dc_mb)/2)*(0.7083333333333334-2*0.7083333333333334^3+0.7083333333333334^4)/3-dc_ma*(2*0.7083333333333334-3*0.7083333333333334^2+0.7083333333333334^3)/6-dc_mb*(0.7083333333333334-0.7083333333333334^3)/6)/(5/48*(1-(dc_ma+dc_mb)/10)))+NOT(dc_cont)*dcs_dc*(dc_cant*0.7083333333333334^2+NOT(dc_cant)*4*0.7083333333333334*(1-0.7083333333333334)))-(dM_dc*(dc_cant*(0.7083333333333334^2*(6-4*0.7083333333333334+0.7083333333333334^2)/3)+NOT(dc_cant)*((1+(dc_ma+dc_mb)/2)*(0.7083333333333334-2*0.7083333333333334^3+0.7083333333333334^4)/3-dc_ma*(2*0.7083333333333334-3*0.7083333333333334^2+0.7083333333333334^3)/6-dc_mb*(0.7083333333333334-0.7083333333333334^3)/6)/(5/48*(1-(dc_ma+dc_mb)/10)))+dcs_dc*(dc_cant*0.7083333333333334^2+NOT(dc_cant)*4*0.7083333333333334*(1-0.7083333333333334)))))</f>
        <v/>
      </c>
    </row>
    <row r="21">
      <c r="G21">
        <f>IF(inputs_ok,0.75*dc_L,NA())</f>
        <v/>
      </c>
      <c r="H21">
        <f>-(0.12*dc_L/MAX(ABS(dtot_dc),ABS(dM_dc),ABS(dcs_dc),dmax_dc,dlim_dc))*((dM_dc*(dc_cant*(0.75^2*(6-4*0.75+0.75^2)/3)+NOT(dc_cant)*((1+(dc_ma+dc_mb)/2)*(0.75-2*0.75^3+0.75^4)/3-dc_ma*(2*0.75-3*0.75^2+0.75^3)/6-dc_mb*(0.75-0.75^3)/6)/(5/48*(1-(dc_ma+dc_mb)/10)))+dcs_dc*(dc_cant*0.75^2+NOT(dc_cant)*4*0.75*(1-0.75)))+(ABS((dM_dc*(dc_cant*(0.75^2*(6-4*0.75+0.75^2)/3)+NOT(dc_cant)*((1+(dc_ma+dc_mb)/2)*(0.75-2*0.75^3+0.75^4)/3-dc_ma*(2*0.75-3*0.75^2+0.75^3)/6-dc_mb*(0.75-0.75^3)/6)/(5/48*(1-(dc_ma+dc_mb)/10)))+NOT(dc_cont)*dcs_dc*(dc_cant*0.75^2+NOT(dc_cant)*4*0.75*(1-0.75))))&gt;ABS((dM_dc*(dc_cant*(0.75^2*(6-4*0.75+0.75^2)/3)+NOT(dc_cant)*((1+(dc_ma+dc_mb)/2)*(0.75-2*0.75^3+0.75^4)/3-dc_ma*(2*0.75-3*0.75^2+0.75^3)/6-dc_mb*(0.75-0.75^3)/6)/(5/48*(1-(dc_ma+dc_mb)/10)))+dcs_dc*(dc_cant*0.75^2+NOT(dc_cant)*4*0.75*(1-0.75)))))*((dM_dc*(dc_cant*(0.75^2*(6-4*0.75+0.75^2)/3)+NOT(dc_cant)*((1+(dc_ma+dc_mb)/2)*(0.75-2*0.75^3+0.75^4)/3-dc_ma*(2*0.75-3*0.75^2+0.75^3)/6-dc_mb*(0.75-0.75^3)/6)/(5/48*(1-(dc_ma+dc_mb)/10)))+NOT(dc_cont)*dcs_dc*(dc_cant*0.75^2+NOT(dc_cant)*4*0.75*(1-0.75)))-(dM_dc*(dc_cant*(0.75^2*(6-4*0.75+0.75^2)/3)+NOT(dc_cant)*((1+(dc_ma+dc_mb)/2)*(0.75-2*0.75^3+0.75^4)/3-dc_ma*(2*0.75-3*0.75^2+0.75^3)/6-dc_mb*(0.75-0.75^3)/6)/(5/48*(1-(dc_ma+dc_mb)/10)))+dcs_dc*(dc_cant*0.75^2+NOT(dc_cant)*4*0.75*(1-0.75)))))</f>
        <v/>
      </c>
    </row>
    <row r="22">
      <c r="G22">
        <f>IF(inputs_ok,0.7916666666666666*dc_L,NA())</f>
        <v/>
      </c>
      <c r="H22">
        <f>-(0.12*dc_L/MAX(ABS(dtot_dc),ABS(dM_dc),ABS(dcs_dc),dmax_dc,dlim_dc))*((dM_dc*(dc_cant*(0.7916666666666666^2*(6-4*0.7916666666666666+0.7916666666666666^2)/3)+NOT(dc_cant)*((1+(dc_ma+dc_mb)/2)*(0.7916666666666666-2*0.7916666666666666^3+0.7916666666666666^4)/3-dc_ma*(2*0.7916666666666666-3*0.7916666666666666^2+0.7916666666666666^3)/6-dc_mb*(0.7916666666666666-0.7916666666666666^3)/6)/(5/48*(1-(dc_ma+dc_mb)/10)))+dcs_dc*(dc_cant*0.7916666666666666^2+NOT(dc_cant)*4*0.7916666666666666*(1-0.7916666666666666)))+(ABS((dM_dc*(dc_cant*(0.7916666666666666^2*(6-4*0.7916666666666666+0.7916666666666666^2)/3)+NOT(dc_cant)*((1+(dc_ma+dc_mb)/2)*(0.7916666666666666-2*0.7916666666666666^3+0.7916666666666666^4)/3-dc_ma*(2*0.7916666666666666-3*0.7916666666666666^2+0.7916666666666666^3)/6-dc_mb*(0.7916666666666666-0.7916666666666666^3)/6)/(5/48*(1-(dc_ma+dc_mb)/10)))+NOT(dc_cont)*dcs_dc*(dc_cant*0.7916666666666666^2+NOT(dc_cant)*4*0.7916666666666666*(1-0.7916666666666666))))&gt;ABS((dM_dc*(dc_cant*(0.7916666666666666^2*(6-4*0.7916666666666666+0.7916666666666666^2)/3)+NOT(dc_cant)*((1+(dc_ma+dc_mb)/2)*(0.7916666666666666-2*0.7916666666666666^3+0.7916666666666666^4)/3-dc_ma*(2*0.7916666666666666-3*0.7916666666666666^2+0.7916666666666666^3)/6-dc_mb*(0.7916666666666666-0.7916666666666666^3)/6)/(5/48*(1-(dc_ma+dc_mb)/10)))+dcs_dc*(dc_cant*0.7916666666666666^2+NOT(dc_cant)*4*0.7916666666666666*(1-0.7916666666666666)))))*((dM_dc*(dc_cant*(0.7916666666666666^2*(6-4*0.7916666666666666+0.7916666666666666^2)/3)+NOT(dc_cant)*((1+(dc_ma+dc_mb)/2)*(0.7916666666666666-2*0.7916666666666666^3+0.7916666666666666^4)/3-dc_ma*(2*0.7916666666666666-3*0.7916666666666666^2+0.7916666666666666^3)/6-dc_mb*(0.7916666666666666-0.7916666666666666^3)/6)/(5/48*(1-(dc_ma+dc_mb)/10)))+NOT(dc_cont)*dcs_dc*(dc_cant*0.7916666666666666^2+NOT(dc_cant)*4*0.7916666666666666*(1-0.7916666666666666)))-(dM_dc*(dc_cant*(0.7916666666666666^2*(6-4*0.7916666666666666+0.7916666666666666^2)/3)+NOT(dc_cant)*((1+(dc_ma+dc_mb)/2)*(0.7916666666666666-2*0.7916666666666666^3+0.7916666666666666^4)/3-dc_ma*(2*0.7916666666666666-3*0.7916666666666666^2+0.7916666666666666^3)/6-dc_mb*(0.7916666666666666-0.7916666666666666^3)/6)/(5/48*(1-(dc_ma+dc_mb)/10)))+dcs_dc*(dc_cant*0.7916666666666666^2+NOT(dc_cant)*4*0.7916666666666666*(1-0.7916666666666666)))))</f>
        <v/>
      </c>
    </row>
    <row r="23">
      <c r="G23">
        <f>IF(inputs_ok,0.8333333333333334*dc_L,NA())</f>
        <v/>
      </c>
      <c r="H23">
        <f>-(0.12*dc_L/MAX(ABS(dtot_dc),ABS(dM_dc),ABS(dcs_dc),dmax_dc,dlim_dc))*((dM_dc*(dc_cant*(0.8333333333333334^2*(6-4*0.8333333333333334+0.8333333333333334^2)/3)+NOT(dc_cant)*((1+(dc_ma+dc_mb)/2)*(0.8333333333333334-2*0.8333333333333334^3+0.8333333333333334^4)/3-dc_ma*(2*0.8333333333333334-3*0.8333333333333334^2+0.8333333333333334^3)/6-dc_mb*(0.8333333333333334-0.8333333333333334^3)/6)/(5/48*(1-(dc_ma+dc_mb)/10)))+dcs_dc*(dc_cant*0.8333333333333334^2+NOT(dc_cant)*4*0.8333333333333334*(1-0.8333333333333334)))+(ABS((dM_dc*(dc_cant*(0.8333333333333334^2*(6-4*0.8333333333333334+0.8333333333333334^2)/3)+NOT(dc_cant)*((1+(dc_ma+dc_mb)/2)*(0.8333333333333334-2*0.8333333333333334^3+0.8333333333333334^4)/3-dc_ma*(2*0.8333333333333334-3*0.8333333333333334^2+0.8333333333333334^3)/6-dc_mb*(0.8333333333333334-0.8333333333333334^3)/6)/(5/48*(1-(dc_ma+dc_mb)/10)))+NOT(dc_cont)*dcs_dc*(dc_cant*0.8333333333333334^2+NOT(dc_cant)*4*0.8333333333333334*(1-0.8333333333333334))))&gt;ABS((dM_dc*(dc_cant*(0.8333333333333334^2*(6-4*0.8333333333333334+0.8333333333333334^2)/3)+NOT(dc_cant)*((1+(dc_ma+dc_mb)/2)*(0.8333333333333334-2*0.8333333333333334^3+0.8333333333333334^4)/3-dc_ma*(2*0.8333333333333334-3*0.8333333333333334^2+0.8333333333333334^3)/6-dc_mb*(0.8333333333333334-0.8333333333333334^3)/6)/(5/48*(1-(dc_ma+dc_mb)/10)))+dcs_dc*(dc_cant*0.8333333333333334^2+NOT(dc_cant)*4*0.8333333333333334*(1-0.8333333333333334)))))*((dM_dc*(dc_cant*(0.8333333333333334^2*(6-4*0.8333333333333334+0.8333333333333334^2)/3)+NOT(dc_cant)*((1+(dc_ma+dc_mb)/2)*(0.8333333333333334-2*0.8333333333333334^3+0.8333333333333334^4)/3-dc_ma*(2*0.8333333333333334-3*0.8333333333333334^2+0.8333333333333334^3)/6-dc_mb*(0.8333333333333334-0.8333333333333334^3)/6)/(5/48*(1-(dc_ma+dc_mb)/10)))+NOT(dc_cont)*dcs_dc*(dc_cant*0.8333333333333334^2+NOT(dc_cant)*4*0.8333333333333334*(1-0.8333333333333334)))-(dM_dc*(dc_cant*(0.8333333333333334^2*(6-4*0.8333333333333334+0.8333333333333334^2)/3)+NOT(dc_cant)*((1+(dc_ma+dc_mb)/2)*(0.8333333333333334-2*0.8333333333333334^3+0.8333333333333334^4)/3-dc_ma*(2*0.8333333333333334-3*0.8333333333333334^2+0.8333333333333334^3)/6-dc_mb*(0.8333333333333334-0.8333333333333334^3)/6)/(5/48*(1-(dc_ma+dc_mb)/10)))+dcs_dc*(dc_cant*0.8333333333333334^2+NOT(dc_cant)*4*0.8333333333333334*(1-0.8333333333333334)))))</f>
        <v/>
      </c>
    </row>
    <row r="24">
      <c r="G24">
        <f>IF(inputs_ok,0.875*dc_L,NA())</f>
        <v/>
      </c>
      <c r="H24">
        <f>-(0.12*dc_L/MAX(ABS(dtot_dc),ABS(dM_dc),ABS(dcs_dc),dmax_dc,dlim_dc))*((dM_dc*(dc_cant*(0.875^2*(6-4*0.875+0.875^2)/3)+NOT(dc_cant)*((1+(dc_ma+dc_mb)/2)*(0.875-2*0.875^3+0.875^4)/3-dc_ma*(2*0.875-3*0.875^2+0.875^3)/6-dc_mb*(0.875-0.875^3)/6)/(5/48*(1-(dc_ma+dc_mb)/10)))+dcs_dc*(dc_cant*0.875^2+NOT(dc_cant)*4*0.875*(1-0.875)))+(ABS((dM_dc*(dc_cant*(0.875^2*(6-4*0.875+0.875^2)/3)+NOT(dc_cant)*((1+(dc_ma+dc_mb)/2)*(0.875-2*0.875^3+0.875^4)/3-dc_ma*(2*0.875-3*0.875^2+0.875^3)/6-dc_mb*(0.875-0.875^3)/6)/(5/48*(1-(dc_ma+dc_mb)/10)))+NOT(dc_cont)*dcs_dc*(dc_cant*0.875^2+NOT(dc_cant)*4*0.875*(1-0.875))))&gt;ABS((dM_dc*(dc_cant*(0.875^2*(6-4*0.875+0.875^2)/3)+NOT(dc_cant)*((1+(dc_ma+dc_mb)/2)*(0.875-2*0.875^3+0.875^4)/3-dc_ma*(2*0.875-3*0.875^2+0.875^3)/6-dc_mb*(0.875-0.875^3)/6)/(5/48*(1-(dc_ma+dc_mb)/10)))+dcs_dc*(dc_cant*0.875^2+NOT(dc_cant)*4*0.875*(1-0.875)))))*((dM_dc*(dc_cant*(0.875^2*(6-4*0.875+0.875^2)/3)+NOT(dc_cant)*((1+(dc_ma+dc_mb)/2)*(0.875-2*0.875^3+0.875^4)/3-dc_ma*(2*0.875-3*0.875^2+0.875^3)/6-dc_mb*(0.875-0.875^3)/6)/(5/48*(1-(dc_ma+dc_mb)/10)))+NOT(dc_cont)*dcs_dc*(dc_cant*0.875^2+NOT(dc_cant)*4*0.875*(1-0.875)))-(dM_dc*(dc_cant*(0.875^2*(6-4*0.875+0.875^2)/3)+NOT(dc_cant)*((1+(dc_ma+dc_mb)/2)*(0.875-2*0.875^3+0.875^4)/3-dc_ma*(2*0.875-3*0.875^2+0.875^3)/6-dc_mb*(0.875-0.875^3)/6)/(5/48*(1-(dc_ma+dc_mb)/10)))+dcs_dc*(dc_cant*0.875^2+NOT(dc_cant)*4*0.875*(1-0.875)))))</f>
        <v/>
      </c>
    </row>
    <row r="25">
      <c r="G25">
        <f>IF(inputs_ok,0.9166666666666666*dc_L,NA())</f>
        <v/>
      </c>
      <c r="H25">
        <f>-(0.12*dc_L/MAX(ABS(dtot_dc),ABS(dM_dc),ABS(dcs_dc),dmax_dc,dlim_dc))*((dM_dc*(dc_cant*(0.9166666666666666^2*(6-4*0.9166666666666666+0.9166666666666666^2)/3)+NOT(dc_cant)*((1+(dc_ma+dc_mb)/2)*(0.9166666666666666-2*0.9166666666666666^3+0.9166666666666666^4)/3-dc_ma*(2*0.9166666666666666-3*0.9166666666666666^2+0.9166666666666666^3)/6-dc_mb*(0.9166666666666666-0.9166666666666666^3)/6)/(5/48*(1-(dc_ma+dc_mb)/10)))+dcs_dc*(dc_cant*0.9166666666666666^2+NOT(dc_cant)*4*0.9166666666666666*(1-0.9166666666666666)))+(ABS((dM_dc*(dc_cant*(0.9166666666666666^2*(6-4*0.9166666666666666+0.9166666666666666^2)/3)+NOT(dc_cant)*((1+(dc_ma+dc_mb)/2)*(0.9166666666666666-2*0.9166666666666666^3+0.9166666666666666^4)/3-dc_ma*(2*0.9166666666666666-3*0.9166666666666666^2+0.9166666666666666^3)/6-dc_mb*(0.9166666666666666-0.9166666666666666^3)/6)/(5/48*(1-(dc_ma+dc_mb)/10)))+NOT(dc_cont)*dcs_dc*(dc_cant*0.9166666666666666^2+NOT(dc_cant)*4*0.9166666666666666*(1-0.9166666666666666))))&gt;ABS((dM_dc*(dc_cant*(0.9166666666666666^2*(6-4*0.9166666666666666+0.9166666666666666^2)/3)+NOT(dc_cant)*((1+(dc_ma+dc_mb)/2)*(0.9166666666666666-2*0.9166666666666666^3+0.9166666666666666^4)/3-dc_ma*(2*0.9166666666666666-3*0.9166666666666666^2+0.9166666666666666^3)/6-dc_mb*(0.9166666666666666-0.9166666666666666^3)/6)/(5/48*(1-(dc_ma+dc_mb)/10)))+dcs_dc*(dc_cant*0.9166666666666666^2+NOT(dc_cant)*4*0.9166666666666666*(1-0.9166666666666666)))))*((dM_dc*(dc_cant*(0.9166666666666666^2*(6-4*0.9166666666666666+0.9166666666666666^2)/3)+NOT(dc_cant)*((1+(dc_ma+dc_mb)/2)*(0.9166666666666666-2*0.9166666666666666^3+0.9166666666666666^4)/3-dc_ma*(2*0.9166666666666666-3*0.9166666666666666^2+0.9166666666666666^3)/6-dc_mb*(0.9166666666666666-0.9166666666666666^3)/6)/(5/48*(1-(dc_ma+dc_mb)/10)))+NOT(dc_cont)*dcs_dc*(dc_cant*0.9166666666666666^2+NOT(dc_cant)*4*0.9166666666666666*(1-0.9166666666666666)))-(dM_dc*(dc_cant*(0.9166666666666666^2*(6-4*0.9166666666666666+0.9166666666666666^2)/3)+NOT(dc_cant)*((1+(dc_ma+dc_mb)/2)*(0.9166666666666666-2*0.9166666666666666^3+0.9166666666666666^4)/3-dc_ma*(2*0.9166666666666666-3*0.9166666666666666^2+0.9166666666666666^3)/6-dc_mb*(0.9166666666666666-0.9166666666666666^3)/6)/(5/48*(1-(dc_ma+dc_mb)/10)))+dcs_dc*(dc_cant*0.9166666666666666^2+NOT(dc_cant)*4*0.9166666666666666*(1-0.9166666666666666)))))</f>
        <v/>
      </c>
    </row>
    <row r="26">
      <c r="G26">
        <f>IF(inputs_ok,0.9583333333333334*dc_L,NA())</f>
        <v/>
      </c>
      <c r="H26">
        <f>-(0.12*dc_L/MAX(ABS(dtot_dc),ABS(dM_dc),ABS(dcs_dc),dmax_dc,dlim_dc))*((dM_dc*(dc_cant*(0.9583333333333334^2*(6-4*0.9583333333333334+0.9583333333333334^2)/3)+NOT(dc_cant)*((1+(dc_ma+dc_mb)/2)*(0.9583333333333334-2*0.9583333333333334^3+0.9583333333333334^4)/3-dc_ma*(2*0.9583333333333334-3*0.9583333333333334^2+0.9583333333333334^3)/6-dc_mb*(0.9583333333333334-0.9583333333333334^3)/6)/(5/48*(1-(dc_ma+dc_mb)/10)))+dcs_dc*(dc_cant*0.9583333333333334^2+NOT(dc_cant)*4*0.9583333333333334*(1-0.9583333333333334)))+(ABS((dM_dc*(dc_cant*(0.9583333333333334^2*(6-4*0.9583333333333334+0.9583333333333334^2)/3)+NOT(dc_cant)*((1+(dc_ma+dc_mb)/2)*(0.9583333333333334-2*0.9583333333333334^3+0.9583333333333334^4)/3-dc_ma*(2*0.9583333333333334-3*0.9583333333333334^2+0.9583333333333334^3)/6-dc_mb*(0.9583333333333334-0.9583333333333334^3)/6)/(5/48*(1-(dc_ma+dc_mb)/10)))+NOT(dc_cont)*dcs_dc*(dc_cant*0.9583333333333334^2+NOT(dc_cant)*4*0.9583333333333334*(1-0.9583333333333334))))&gt;ABS((dM_dc*(dc_cant*(0.9583333333333334^2*(6-4*0.9583333333333334+0.9583333333333334^2)/3)+NOT(dc_cant)*((1+(dc_ma+dc_mb)/2)*(0.9583333333333334-2*0.9583333333333334^3+0.9583333333333334^4)/3-dc_ma*(2*0.9583333333333334-3*0.9583333333333334^2+0.9583333333333334^3)/6-dc_mb*(0.9583333333333334-0.9583333333333334^3)/6)/(5/48*(1-(dc_ma+dc_mb)/10)))+dcs_dc*(dc_cant*0.9583333333333334^2+NOT(dc_cant)*4*0.9583333333333334*(1-0.9583333333333334)))))*((dM_dc*(dc_cant*(0.9583333333333334^2*(6-4*0.9583333333333334+0.9583333333333334^2)/3)+NOT(dc_cant)*((1+(dc_ma+dc_mb)/2)*(0.9583333333333334-2*0.9583333333333334^3+0.9583333333333334^4)/3-dc_ma*(2*0.9583333333333334-3*0.9583333333333334^2+0.9583333333333334^3)/6-dc_mb*(0.9583333333333334-0.9583333333333334^3)/6)/(5/48*(1-(dc_ma+dc_mb)/10)))+NOT(dc_cont)*dcs_dc*(dc_cant*0.9583333333333334^2+NOT(dc_cant)*4*0.9583333333333334*(1-0.9583333333333334)))-(dM_dc*(dc_cant*(0.9583333333333334^2*(6-4*0.9583333333333334+0.9583333333333334^2)/3)+NOT(dc_cant)*((1+(dc_ma+dc_mb)/2)*(0.9583333333333334-2*0.9583333333333334^3+0.9583333333333334^4)/3-dc_ma*(2*0.9583333333333334-3*0.9583333333333334^2+0.9583333333333334^3)/6-dc_mb*(0.9583333333333334-0.9583333333333334^3)/6)/(5/48*(1-(dc_ma+dc_mb)/10)))+dcs_dc*(dc_cant*0.9583333333333334^2+NOT(dc_cant)*4*0.9583333333333334*(1-0.9583333333333334)))))</f>
        <v/>
      </c>
    </row>
    <row r="27">
      <c r="G27">
        <f>IF(inputs_ok,1.0*dc_L,NA())</f>
        <v/>
      </c>
      <c r="H27">
        <f>-(0.12*dc_L/MAX(ABS(dtot_dc),ABS(dM_dc),ABS(dcs_dc),dmax_dc,dlim_dc))*((dM_dc*(dc_cant*(1.0^2*(6-4*1.0+1.0^2)/3)+NOT(dc_cant)*((1+(dc_ma+dc_mb)/2)*(1.0-2*1.0^3+1.0^4)/3-dc_ma*(2*1.0-3*1.0^2+1.0^3)/6-dc_mb*(1.0-1.0^3)/6)/(5/48*(1-(dc_ma+dc_mb)/10)))+dcs_dc*(dc_cant*1.0^2+NOT(dc_cant)*4*1.0*(1-1.0)))+(ABS((dM_dc*(dc_cant*(1.0^2*(6-4*1.0+1.0^2)/3)+NOT(dc_cant)*((1+(dc_ma+dc_mb)/2)*(1.0-2*1.0^3+1.0^4)/3-dc_ma*(2*1.0-3*1.0^2+1.0^3)/6-dc_mb*(1.0-1.0^3)/6)/(5/48*(1-(dc_ma+dc_mb)/10)))+NOT(dc_cont)*dcs_dc*(dc_cant*1.0^2+NOT(dc_cant)*4*1.0*(1-1.0))))&gt;ABS((dM_dc*(dc_cant*(1.0^2*(6-4*1.0+1.0^2)/3)+NOT(dc_cant)*((1+(dc_ma+dc_mb)/2)*(1.0-2*1.0^3+1.0^4)/3-dc_ma*(2*1.0-3*1.0^2+1.0^3)/6-dc_mb*(1.0-1.0^3)/6)/(5/48*(1-(dc_ma+dc_mb)/10)))+dcs_dc*(dc_cant*1.0^2+NOT(dc_cant)*4*1.0*(1-1.0)))))*((dM_dc*(dc_cant*(1.0^2*(6-4*1.0+1.0^2)/3)+NOT(dc_cant)*((1+(dc_ma+dc_mb)/2)*(1.0-2*1.0^3+1.0^4)/3-dc_ma*(2*1.0-3*1.0^2+1.0^3)/6-dc_mb*(1.0-1.0^3)/6)/(5/48*(1-(dc_ma+dc_mb)/10)))+NOT(dc_cont)*dcs_dc*(dc_cant*1.0^2+NOT(dc_cant)*4*1.0*(1-1.0)))-(dM_dc*(dc_cant*(1.0^2*(6-4*1.0+1.0^2)/3)+NOT(dc_cant)*((1+(dc_ma+dc_mb)/2)*(1.0-2*1.0^3+1.0^4)/3-dc_ma*(2*1.0-3*1.0^2+1.0^3)/6-dc_mb*(1.0-1.0^3)/6)/(5/48*(1-(dc_ma+dc_mb)/10)))+dcs_dc*(dc_cant*1.0^2+NOT(dc_cant)*4*1.0*(1-1.0)))))</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B2:F28"/>
  <sheetViews>
    <sheetView showGridLines="0" tabSelected="0" workbookViewId="0">
      <selection activeCell="A1" sqref="A1"/>
    </sheetView>
  </sheetViews>
  <sheetFormatPr baseColWidth="8" defaultRowHeight="15"/>
  <cols>
    <col width="2.5" customWidth="1" min="1" max="1"/>
    <col width="34" customWidth="1" min="2" max="2"/>
    <col width="16" customWidth="1" min="3" max="3"/>
    <col width="12" customWidth="1" min="4" max="4"/>
    <col width="12" customWidth="1" min="5" max="5"/>
    <col width="60" customWidth="1" min="6" max="6"/>
  </cols>
  <sheetData>
    <row r="2">
      <c r="B2" s="51" t="inlineStr">
        <is>
          <t>Nationally Determined Parameters</t>
        </is>
      </c>
    </row>
    <row r="3">
      <c r="B3" s="16" t="inlineStr">
        <is>
          <t>Values used by the Calculation sheet for the selected National Annex. Sources: UK NA to BS EN 1992-1-1:2004, Table NA.1; PN-EN 1992-1-1:2008, Załącznik krajowy NA. Edit only if your project specifies different values.</t>
        </is>
      </c>
    </row>
    <row r="5">
      <c r="B5" s="52" t="inlineStr">
        <is>
          <t>Parameter</t>
        </is>
      </c>
      <c r="C5" s="52" t="inlineStr">
        <is>
          <t>Clause</t>
        </is>
      </c>
      <c r="D5" s="52" t="inlineStr">
        <is>
          <t>UK NA</t>
        </is>
      </c>
      <c r="E5" s="52" t="inlineStr">
        <is>
          <t>PL NA</t>
        </is>
      </c>
      <c r="F5" s="52" t="inlineStr">
        <is>
          <t>Notes</t>
        </is>
      </c>
    </row>
    <row r="6">
      <c r="B6" s="53" t="inlineStr">
        <is>
          <t>Partial factor, concrete  γc</t>
        </is>
      </c>
      <c r="C6" s="54" t="inlineStr">
        <is>
          <t>2.4.2.4(1)</t>
        </is>
      </c>
      <c r="D6" s="55" t="n">
        <v>1.5</v>
      </c>
      <c r="E6" s="55" t="n">
        <v>1.4</v>
      </c>
      <c r="F6" s="54" t="inlineStr">
        <is>
          <t>Persistent &amp; transient. UK NA: recommended; PL: NA.2, Table NA.2</t>
        </is>
      </c>
    </row>
    <row r="7">
      <c r="B7" s="53" t="inlineStr">
        <is>
          <t>Partial factor, reinforcement  γs</t>
        </is>
      </c>
      <c r="C7" s="54" t="inlineStr">
        <is>
          <t>2.4.2.4(1)</t>
        </is>
      </c>
      <c r="D7" s="55" t="n">
        <v>1.15</v>
      </c>
      <c r="E7" s="55" t="n">
        <v>1.15</v>
      </c>
      <c r="F7" s="54" t="inlineStr">
        <is>
          <t>UK NA: recommended; PL: NA.2, Table NA.2</t>
        </is>
      </c>
    </row>
    <row r="8">
      <c r="B8" s="53" t="inlineStr">
        <is>
          <t>αcc  (compression in flexure / axial)</t>
        </is>
      </c>
      <c r="C8" s="54" t="inlineStr">
        <is>
          <t>3.1.6(1)</t>
        </is>
      </c>
      <c r="D8" s="55" t="n">
        <v>0.85</v>
      </c>
      <c r="E8" s="55" t="n">
        <v>1</v>
      </c>
      <c r="F8" s="54" t="inlineStr">
        <is>
          <t>UK NA: 0.85; PL: recommended (NA.9)</t>
        </is>
      </c>
    </row>
    <row r="9">
      <c r="B9" s="53" t="inlineStr">
        <is>
          <t>αcc,pl  (plain concrete, compression)</t>
        </is>
      </c>
      <c r="C9" s="54" t="inlineStr">
        <is>
          <t>12.3.1(1)</t>
        </is>
      </c>
      <c r="D9" s="55" t="n">
        <v>0.6</v>
      </c>
      <c r="E9" s="55" t="n">
        <v>0.8</v>
      </c>
      <c r="F9" s="54" t="inlineStr">
        <is>
          <t>UK NA Table NA.1: 0.6; PL: recommended (NA.9)</t>
        </is>
      </c>
    </row>
    <row r="10">
      <c r="B10" s="53" t="inlineStr">
        <is>
          <t>αcc  (shear and punching)</t>
        </is>
      </c>
      <c r="C10" s="54" t="inlineStr">
        <is>
          <t>3.1.6(1)</t>
        </is>
      </c>
      <c r="D10" s="55" t="n">
        <v>1</v>
      </c>
      <c r="E10" s="55" t="n">
        <v>1</v>
      </c>
      <c r="F10" s="54" t="inlineStr">
        <is>
          <t>UK NA: 1.0 for other phenomena; PL: recommended (NA.9)</t>
        </is>
      </c>
    </row>
    <row r="11">
      <c r="B11" s="53" t="inlineStr">
        <is>
          <t>αct  (design tensile strength)</t>
        </is>
      </c>
      <c r="C11" s="54" t="inlineStr">
        <is>
          <t>3.1.6(2)</t>
        </is>
      </c>
      <c r="D11" s="55" t="n">
        <v>1</v>
      </c>
      <c r="E11" s="55" t="n">
        <v>1</v>
      </c>
      <c r="F11" s="54" t="inlineStr">
        <is>
          <t>Recommended value in both annexes</t>
        </is>
      </c>
    </row>
    <row r="12">
      <c r="B12" s="53" t="inlineStr">
        <is>
          <t>CRd,c numerator  (CRd,c = value / γc)</t>
        </is>
      </c>
      <c r="C12" s="54" t="inlineStr">
        <is>
          <t>6.2.2(1), 6.4.4(1)</t>
        </is>
      </c>
      <c r="D12" s="55" t="n">
        <v>0.18</v>
      </c>
      <c r="E12" s="55" t="n">
        <v>0.18</v>
      </c>
      <c r="F12" s="54" t="inlineStr">
        <is>
          <t>Recommended value in both annexes</t>
        </is>
      </c>
    </row>
    <row r="13">
      <c r="B13" s="53" t="inlineStr">
        <is>
          <t>k1  (axial stress term, punching)</t>
        </is>
      </c>
      <c r="C13" s="54" t="inlineStr">
        <is>
          <t>6.4.4(1)</t>
        </is>
      </c>
      <c r="D13" s="55" t="n">
        <v>0.1</v>
      </c>
      <c r="E13" s="55" t="n">
        <v>0.1</v>
      </c>
      <c r="F13" s="54" t="inlineStr">
        <is>
          <t>Recommended value in both annexes</t>
        </is>
      </c>
    </row>
    <row r="14">
      <c r="B14" s="53" t="inlineStr">
        <is>
          <t>vRd,max factor  (vRd,max = factor · ν · fcd)</t>
        </is>
      </c>
      <c r="C14" s="54" t="inlineStr">
        <is>
          <t>6.4.5(3)</t>
        </is>
      </c>
      <c r="D14" s="55" t="n">
        <v>0.5</v>
      </c>
      <c r="E14" s="55" t="n">
        <v>0.4</v>
      </c>
      <c r="F14" s="54" t="inlineStr">
        <is>
          <t>UK NA: 0.5 ν fcd; PL: recommended value (NA.9), 0.4 ν fcd since EN 1992-1-1 AC:2010 (PN-EN 1992-1-1:2008/AC:2011)</t>
        </is>
      </c>
    </row>
    <row r="15">
      <c r="B15" s="53" t="inlineStr">
        <is>
          <t>kmax  (vEd ≤ kmax · vRd,c at u1)</t>
        </is>
      </c>
      <c r="C15" s="54" t="inlineStr">
        <is>
          <t>6.4.5</t>
        </is>
      </c>
      <c r="D15" s="55" t="n">
        <v>2</v>
      </c>
      <c r="E15" s="55" t="n">
        <v>1.5</v>
      </c>
      <c r="F15" s="54" t="inlineStr">
        <is>
          <t>UK NA 6.4.5(3): 2 vRd,c. PL: no limit in PN-EN 1992-1-1:2008; 1.5 (A1:2014 recommendation) applied conservatively</t>
        </is>
      </c>
    </row>
    <row r="16">
      <c r="B16" s="53" t="inlineStr">
        <is>
          <t>φlarge  (large bar threshold, mm)</t>
        </is>
      </c>
      <c r="C16" s="54" t="inlineStr">
        <is>
          <t>8.8(1)</t>
        </is>
      </c>
      <c r="D16" s="55" t="n">
        <v>40</v>
      </c>
      <c r="E16" s="55" t="n">
        <v>32</v>
      </c>
      <c r="F16" s="54" t="inlineStr">
        <is>
          <t>UK NA: 40 mm; PL: 32 mm recommended (NA.9)</t>
        </is>
      </c>
    </row>
    <row r="17">
      <c r="B17" s="53" t="inlineStr">
        <is>
          <t>cot θ upper limit  (variable strut)</t>
        </is>
      </c>
      <c r="C17" s="54" t="inlineStr">
        <is>
          <t>6.2.3(2)</t>
        </is>
      </c>
      <c r="D17" s="55" t="n">
        <v>2.5</v>
      </c>
      <c r="E17" s="55" t="n">
        <v>2</v>
      </c>
      <c r="F17" s="54" t="inlineStr">
        <is>
          <t>UK NA: 2.5 (1.25 with axial tension); PL: NA.4, 1 ≤ cot θ ≤ 2.0</t>
        </is>
      </c>
    </row>
    <row r="18">
      <c r="B18" s="53" t="inlineStr">
        <is>
          <t>k1  (x/d limit, δ ≥ k1 + k2 xu/d)</t>
        </is>
      </c>
      <c r="C18" s="54" t="inlineStr">
        <is>
          <t>5.5(4)</t>
        </is>
      </c>
      <c r="D18" s="55" t="n">
        <v>0.4</v>
      </c>
      <c r="E18" s="55" t="n">
        <v>0.44</v>
      </c>
      <c r="F18" s="54" t="inlineStr">
        <is>
          <t>UK NA for fyk ≤ 500 MPa; PL: recommended (NA.9)</t>
        </is>
      </c>
    </row>
    <row r="19">
      <c r="B19" s="53" t="inlineStr">
        <is>
          <t>k2  (x/d limit, εcu2 = 0.0035)</t>
        </is>
      </c>
      <c r="C19" s="54" t="inlineStr">
        <is>
          <t>5.5(4)</t>
        </is>
      </c>
      <c r="D19" s="55" t="n">
        <v>1</v>
      </c>
      <c r="E19" s="55" t="n">
        <v>1.25</v>
      </c>
      <c r="F19" s="54" t="inlineStr">
        <is>
          <t>UK NA: 0.6 + 0.0014/εcu2; PL: 1.25(0.6 + 0.0014/εcu2)</t>
        </is>
      </c>
    </row>
    <row r="20">
      <c r="B20" s="53" t="inlineStr">
        <is>
          <t>Upper limit on the (310/σs) factor  (0 = none)</t>
        </is>
      </c>
      <c r="C20" s="54" t="inlineStr">
        <is>
          <t>7.4.2(2)</t>
        </is>
      </c>
      <c r="D20" s="55" t="n">
        <v>1.5</v>
      </c>
      <c r="E20" s="55" t="n">
        <v>0</v>
      </c>
      <c r="F20" s="54" t="inlineStr">
        <is>
          <t>UK NA Table NA.5 Note 5: (310/σs) or (500/fyk)(As,prov/As,req) ≤ 1.5; PL: none</t>
        </is>
      </c>
    </row>
    <row r="21">
      <c r="B21" s="53" t="inlineStr">
        <is>
          <t>L/d not to exceed 40 K  (1 = applies)</t>
        </is>
      </c>
      <c r="C21" s="54" t="inlineStr">
        <is>
          <t>7.4.2(2)</t>
        </is>
      </c>
      <c r="D21" s="55" t="n">
        <v>1</v>
      </c>
      <c r="E21" s="55" t="n">
        <v>0</v>
      </c>
      <c r="F21" s="54" t="inlineStr">
        <is>
          <t>UK NA Table NA.5 Note 6; not in EN text</t>
        </is>
      </c>
    </row>
    <row r="22">
      <c r="B22" s="53" t="inlineStr">
        <is>
          <t>φmin  (longitudinal bars in columns, mm)</t>
        </is>
      </c>
      <c r="C22" s="54" t="inlineStr">
        <is>
          <t>9.5.2(1)</t>
        </is>
      </c>
      <c r="D22" s="55" t="n">
        <v>12</v>
      </c>
      <c r="E22" s="55" t="n">
        <v>6</v>
      </c>
      <c r="F22" s="54" t="inlineStr">
        <is>
          <t>UK NA: 12 mm; PL: NA.6, 6 mm</t>
        </is>
      </c>
    </row>
    <row r="23">
      <c r="B23" s="53" t="inlineStr">
        <is>
          <t>k3  (crack spacing)</t>
        </is>
      </c>
      <c r="C23" s="54" t="inlineStr">
        <is>
          <t>7.3.4(3)</t>
        </is>
      </c>
      <c r="D23" s="55" t="n">
        <v>3.4</v>
      </c>
      <c r="E23" s="55" t="n">
        <v>3.4</v>
      </c>
      <c r="F23" s="54" t="inlineStr">
        <is>
          <t>Recommended value in both annexes</t>
        </is>
      </c>
    </row>
    <row r="24">
      <c r="B24" s="53" t="inlineStr">
        <is>
          <t>k4  (crack spacing)</t>
        </is>
      </c>
      <c r="C24" s="54" t="inlineStr">
        <is>
          <t>7.3.4(3)</t>
        </is>
      </c>
      <c r="D24" s="55" t="n">
        <v>0.425</v>
      </c>
      <c r="E24" s="55" t="n">
        <v>0.425</v>
      </c>
      <c r="F24" s="54" t="inlineStr">
        <is>
          <t>Recommended value in both annexes</t>
        </is>
      </c>
    </row>
    <row r="25">
      <c r="B25" s="53" t="inlineStr">
        <is>
          <t>k1  (concrete stress, characteristic; XD, XF, XS)</t>
        </is>
      </c>
      <c r="C25" s="54" t="inlineStr">
        <is>
          <t>7.2(2)</t>
        </is>
      </c>
      <c r="D25" s="55" t="n">
        <v>0.6</v>
      </c>
      <c r="E25" s="55" t="n">
        <v>1</v>
      </c>
      <c r="F25" s="54" t="inlineStr">
        <is>
          <t>UK NA: recommended; PL: NA.5, k1 = 1.0</t>
        </is>
      </c>
    </row>
    <row r="26">
      <c r="B26" s="53" t="inlineStr">
        <is>
          <t>k2  (concrete stress, quasi-permanent; linear creep)</t>
        </is>
      </c>
      <c r="C26" s="54" t="inlineStr">
        <is>
          <t>7.2(3)</t>
        </is>
      </c>
      <c r="D26" s="55" t="n">
        <v>0.45</v>
      </c>
      <c r="E26" s="55" t="n">
        <v>0.45</v>
      </c>
      <c r="F26" s="54" t="inlineStr">
        <is>
          <t>Recommended value in both annexes (UK NA; PL NA.9)</t>
        </is>
      </c>
    </row>
    <row r="27">
      <c r="B27" s="53" t="inlineStr">
        <is>
          <t>k3  (steel stress, characteristic)</t>
        </is>
      </c>
      <c r="C27" s="54" t="inlineStr">
        <is>
          <t>7.2(5)</t>
        </is>
      </c>
      <c r="D27" s="55" t="n">
        <v>0.8</v>
      </c>
      <c r="E27" s="55" t="n">
        <v>0.8</v>
      </c>
      <c r="F27" s="54" t="inlineStr">
        <is>
          <t>Recommended value in both annexes (UK NA; PL NA.9)</t>
        </is>
      </c>
    </row>
    <row r="28">
      <c r="B28" s="53" t="inlineStr">
        <is>
          <t>k4  (steel stress, imposed deformation)</t>
        </is>
      </c>
      <c r="C28" s="54" t="inlineStr">
        <is>
          <t>7.2(5)</t>
        </is>
      </c>
      <c r="D28" s="55" t="n">
        <v>1</v>
      </c>
      <c r="E28" s="55" t="n">
        <v>1</v>
      </c>
      <c r="F28" s="54" t="inlineStr">
        <is>
          <t>Recommended value in both annexes (UK NA; PL NA.9)</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&amp;K8A8A8ANAE-RC-033  v1.0</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NAE-RC-033 Deflection by calculation</dc:title>
  <dc:subject xmlns:dc="http://purl.org/dc/elements/1.1/">Long-term deflection from curvatures  ·  EN 1992-1-1 §7.4.3  ·  UK NA / PN-EN</dc:subject>
  <dcterms:created xmlns:dcterms="http://purl.org/dc/terms/" xmlns:xsi="http://www.w3.org/2001/XMLSchema-instance" xsi:type="dcterms:W3CDTF">2026-10-30T10:58:39Z</dcterms:created>
  <dcterms:modified xmlns:dcterms="http://purl.org/dc/terms/" xmlns:xsi="http://www.w3.org/2001/XMLSchema-instance" xsi:type="dcterms:W3CDTF">2026-10-30T10:58:39Z</dcterms:modified>
  <cp:lastModifiedBy>NA Engineering sp. z o.o.</cp:lastModifiedBy>
  <cp:keywords>NA Engineering; Eurocode 2; EN 1992-1-1</cp:keywords>
</cp:coreProperties>
</file>