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pf_type">'Calculation'!$E$13</definedName>
    <definedName name="pf_B">'Calculation'!$E$14</definedName>
    <definedName name="pf_L">'Calculation'!$E$15</definedName>
    <definedName name="pf_h">'Calculation'!$E$16</definedName>
    <definedName name="pf_t">'Calculation'!$E$17</definedName>
    <definedName name="pf_cy">'Calculation'!$E$18</definedName>
    <definedName name="pf_G">'Calculation'!$E$21</definedName>
    <definedName name="pf_Q">'Calculation'!$E$22</definedName>
    <definedName name="pf_gG">'Calculation'!$E$23</definedName>
    <definedName name="pf_gQ">'Calculation'!$E$24</definedName>
    <definedName name="pf_Ds">'Calculation'!$E$25</definedName>
    <definedName name="pf_gs">'Calculation'!$E$26</definedName>
    <definedName name="pf_qa">'Calculation'!$E$27</definedName>
    <definedName name="inputs_ok">IFERROR(AND(OR(NA_sel="UK NA (BS EN)",NA_sel="PL NA (PN-EN)"),OR(conc_class="C20/25",conc_class="C25/30",conc_class="C28/35",conc_class="C30/37",conc_class="C32/40",conc_class="C35/45",conc_class="C40/50",conc_class="C45/55",conc_class="C50/60"),OR(pf_type="Strip  (wall; per metre)",pf_type="Pad  (column)"),ISNUMBER(pf_B),pf_B&gt;0,IF(NOT(pf_strip),IF(ISNUMBER(pf_L),pf_L&gt;0,FALSE),TRUE),ISNUMBER(pf_h),pf_h&gt;0,ISNUMBER(pf_t),pf_t&gt;0,IF(NOT(pf_strip),IF(ISNUMBER(pf_cy),pf_cy&gt;0,FALSE),TRUE),ISNUMBER(pf_G),pf_G&gt;0,ISNUMBER(pf_Q),pf_Q&gt;=0,ISNUMBER(pf_gG),pf_gG&gt;0,ISNUMBER(pf_gQ),pf_gQ&gt;0,ISNUMBER(pf_Ds),pf_Ds&gt;=0,ISNUMBER(pf_gs),pf_gs&gt;0,ISNUMBER(pf_qa),pf_qa&gt;0,AND(pf_t&lt;pf_B,IF(pf_strip,TRUE,pf_cy&lt;pf_L))),FALSE)</definedName>
    <definedName name="input_status">'Calculation'!$G$28</definedName>
    <definedName name="pf_strip">pf_type="Strip  (wall; per metre)"</definedName>
    <definedName name="pf_dirx">IF(pf_strip,TRUE,pf_B-pf_t&gt;=pf_L-pf_cy)</definedName>
    <definedName name="pf_Bg">IF(pf_dirx,pf_B,pf_L)</definedName>
    <definedName name="pf_cg">IF(pf_dirx,pf_t,pf_cy)</definedName>
    <definedName name="bear_pf">IFERROR(qk_pf&lt;=pf_qa,FALSE)</definedName>
    <definedName name="depth_pf">IFERROR(lhs_pf&gt;=rhs_pf*(1-1E-12),FALSE)</definedName>
    <definedName name="depth_status">'Calculation'!$G$31</definedName>
    <definedName name="bearing_status">'Calculation'!$G$32</definedName>
    <definedName name="simple_status">'Calculation'!$G$34</definedName>
    <definedName name="gamma_c">'Calculation'!$E$60</definedName>
    <definedName name="f_ck">'Calculation'!$E$61</definedName>
    <definedName name="f_ctm">'Calculation'!$E$62</definedName>
    <definedName name="Abase_pf">'Calculation'!$E$63</definedName>
    <definedName name="W_pf">'Calculation'!$E$64</definedName>
    <definedName name="qk_pf">'Calculation'!$E$65</definedName>
    <definedName name="chk_bearing">'Calculation'!$G$66</definedName>
    <definedName name="sig_pf">'Calculation'!$E$67</definedName>
    <definedName name="fctk_pf">'Calculation'!$E$70</definedName>
    <definedName name="actpl_pf">'Calculation'!$E$71</definedName>
    <definedName name="fctd_pf">'Calculation'!$E$72</definedName>
    <definedName name="a_pf">'Calculation'!$E$73</definedName>
    <definedName name="lhs_pf">'Calculation'!$E$74</definedName>
    <definedName name="rhs_pf">'Calculation'!$E$75</definedName>
    <definedName name="chk_depth">'Calculation'!$G$76</definedName>
    <definedName name="sig0_pf">'Calculation'!$E$77</definedName>
    <definedName name="pf_hqa">0.7225/a_pf^2</definedName>
    <definedName name="pf_hqb">0.075*pf_gG/(1000*fctd_pf)</definedName>
    <definedName name="pf_hqc">3*sig0_pf/(1000*fctd_pf)</definedName>
    <definedName name="hmin_pf">'Calculation'!$E$78</definedName>
    <definedName name="hadopt_pf">'Calculation'!$E$79</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'Calculation'!$A$1:$H$83</definedName>
    <definedName name="_xlnm.Print_Area" localSheetId="3">'NDP'!$A$1:$G$29</definedName>
  </definedNames>
  <calcPr calcId="124519" fullCalcOnLoad="1"/>
</workbook>
</file>

<file path=xl/styles.xml><?xml version="1.0" encoding="utf-8"?>
<styleSheet xmlns="http://schemas.openxmlformats.org/spreadsheetml/2006/main">
  <numFmts count="3">
    <numFmt numFmtId="164" formatCode="dd mmm yyyy"/>
    <numFmt numFmtId="165" formatCode="0.0"/>
    <numFmt numFmtId="166" formatCode="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2">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5" fontId="12" fillId="0" borderId="1" applyAlignment="1" pivotButton="0" quotePrefix="0" xfId="0">
      <alignment horizontal="center" vertical="center"/>
    </xf>
    <xf numFmtId="165"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footing</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wall or column</v>
          </tx>
          <spPr>
            <a:ln xmlns:a="http://schemas.openxmlformats.org/drawingml/2006/main" w="28575">
              <a:solidFill>
                <a:srgbClr val="2B2B2B"/>
              </a:solidFill>
              <a:prstDash val="solid"/>
            </a:ln>
          </spPr>
          <marker>
            <symbol val="none"/>
            <spPr>
              <a:ln xmlns:a="http://schemas.openxmlformats.org/drawingml/2006/main">
                <a:prstDash val="solid"/>
              </a:ln>
            </spPr>
          </marker>
          <xVal>
            <numRef>
              <f>'Geometry'!$G$3:$G$6</f>
            </numRef>
          </xVal>
          <yVal>
            <numRef>
              <f>'Geometry'!$H$3:$H$6</f>
            </numRef>
          </yVal>
          <smooth val="0"/>
        </ser>
        <ser>
          <idx val="3"/>
          <order val="3"/>
          <tx>
            <v>ground</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'Geometry'!$J$3:$J$4</f>
            </numRef>
          </xVal>
          <yVal>
            <numRef>
              <f>'Geometry'!$K$3:$K$4</f>
            </numRef>
          </yVal>
          <smooth val="0"/>
        </ser>
        <ser>
          <idx val="4"/>
          <order val="4"/>
          <tx>
            <v>spread right</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'Geometry'!$M$3:$M$4</f>
            </numRef>
          </xVal>
          <yVal>
            <numRef>
              <f>'Geometry'!$N$3:$N$4</f>
            </numRef>
          </yVal>
          <smooth val="0"/>
        </ser>
        <ser>
          <idx val="5"/>
          <order val="5"/>
          <tx>
            <v>spread left</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'Geometry'!$P$3:$P$4</f>
            </numRef>
          </xVal>
          <yVal>
            <numRef>
              <f>'Geometry'!$Q$3:$Q$4</f>
            </numRef>
          </yVal>
          <smooth val="0"/>
        </ser>
        <ser>
          <idx val="6"/>
          <order val="6"/>
          <tx>
            <v>pressure</v>
          </tx>
          <spPr>
            <a:ln xmlns:a="http://schemas.openxmlformats.org/drawingml/2006/main" w="19050">
              <a:solidFill>
                <a:srgbClr val="B3261E"/>
              </a:solidFill>
              <a:prstDash val="solid"/>
            </a:ln>
          </spPr>
          <marker>
            <symbol val="none"/>
            <spPr>
              <a:ln xmlns:a="http://schemas.openxmlformats.org/drawingml/2006/main">
                <a:prstDash val="solid"/>
              </a:ln>
            </spPr>
          </marker>
          <xVal>
            <numRef>
              <f>'Geometry'!$S$3:$S$6</f>
            </numRef>
          </xVal>
          <yVal>
            <numRef>
              <f>'Geometry'!$T$3:$T$6</f>
            </numRef>
          </yVal>
          <smooth val="0"/>
        </ser>
        <ser>
          <idx val="7"/>
          <order val="7"/>
          <tx>
            <strRef>
              <f>'Geometry'!$V$2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'Geometry'!$V$3</f>
            </numRef>
          </xVal>
          <yVal>
            <numRef>
              <f>'Geometry'!$W$3</f>
            </numRef>
          </yVal>
          <smooth val="0"/>
        </ser>
        <ser>
          <idx val="8"/>
          <order val="8"/>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'Geometry'!$Y$3:$Y$4</f>
            </numRef>
          </xVal>
          <yVal>
            <numRef>
              <f>'Geometry'!$Z$3:$Z$4</f>
            </numRef>
          </yVal>
          <smooth val="0"/>
        </ser>
        <ser>
          <idx val="9"/>
          <order val="9"/>
          <tx>
            <strRef>
              <f>'Geometry'!$AB$2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'Geometry'!$AB$3</f>
            </numRef>
          </xVal>
          <yVal>
            <numRef>
              <f>'Geometry'!$AC$3</f>
            </numRef>
          </yVal>
          <smooth val="0"/>
        </ser>
        <ser>
          <idx val="10"/>
          <order val="10"/>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'Geometry'!$AE$3:$AE$4</f>
            </numRef>
          </xVal>
          <yVal>
            <numRef>
              <f>'Geometry'!$AF$3:$AF$4</f>
            </numRef>
          </yVal>
          <smooth val="0"/>
        </ser>
        <ser>
          <idx val="11"/>
          <order val="11"/>
          <tx>
            <strRef>
              <f>'Geometry'!$AH$2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'Geometry'!$AH$3</f>
            </numRef>
          </xVal>
          <yVal>
            <numRef>
              <f>'Geometry'!$AI$3</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t"/>
            <showLegendKey val="0"/>
            <showVal val="0"/>
            <showCatName val="0"/>
            <showSerName val="1"/>
            <showPercent val="0"/>
          </dLbls>
          <xVal>
            <numRef>
              <f>'Geometry'!$AN$3</f>
            </numRef>
          </xVal>
          <yVal>
            <numRef>
              <f>'Geometry'!$AO$3</f>
            </numRef>
          </yVal>
          <smooth val="0"/>
        </ser>
        <ser>
          <idx val="14"/>
          <order val="14"/>
          <tx>
            <v>frame</v>
          </tx>
          <spPr>
            <a:ln xmlns:a="http://schemas.openxmlformats.org/drawingml/2006/main">
              <a:noFill/>
              <a:prstDash val="solid"/>
            </a:ln>
          </spPr>
          <marker>
            <symbol val="none"/>
            <spPr>
              <a:ln xmlns:a="http://schemas.openxmlformats.org/drawingml/2006/main">
                <a:prstDash val="solid"/>
              </a:ln>
            </spPr>
          </marker>
          <xVal>
            <numRef>
              <f>'Geometry'!$AQ$3:$AQ$4</f>
            </numRef>
          </xVal>
          <yVal>
            <numRef>
              <f>'Geometry'!$AR$3:$AR$4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36</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Plain concrete footing</t>
        </is>
      </c>
    </row>
    <row r="8" ht="20" customHeight="1">
      <c r="B8" s="4" t="inlineStr">
        <is>
          <t>Unreinforced strip or pad footing  ·  EN 1992-1-1 §12.9.3  ·  UK NA / PN-EN</t>
        </is>
      </c>
    </row>
    <row r="10">
      <c r="B10" s="5" t="inlineStr">
        <is>
          <t>Reference</t>
        </is>
      </c>
      <c r="C10" s="6" t="inlineStr">
        <is>
          <t>NAE-RC-032  ·  version 1.0</t>
        </is>
      </c>
    </row>
    <row r="11" ht="31" customHeight="1">
      <c r="B11" s="5" t="inlineStr">
        <is>
          <t>Standards</t>
        </is>
      </c>
      <c r="C11" s="7" t="inlineStr">
        <is>
          <t>BS EN 1992-1-1:2004 with UK NA  ·  PN-EN 1992-1-1:2008 with Polish NA (NDP sources listed on the NDP sheet)  ·  EN 1990 load combination by the user</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47.5" customHeight="1">
      <c r="B16" s="7" t="inlineStr">
        <is>
          <t>Depth of a plain (unreinforced) concrete strip footing under a wall or pad footing under a column, carrying an axial load: the projection beyond the face against the depth by (12.13), the simplified rule hF / a ≥ 2, and the gross bearing pressure against an allowable value.</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149" customHeight="1">
      <c r="B22" s="7" t="inlineStr">
        <is>
          <t>Axially loaded strip or pad footing of plain concrete to 12.9.3, the wall or column central (no moment, no eccentricity), static loads: dynamic effects (rotating machinery, traffic) excluded as 12.1(2). (12.13): 0.85 hF / a ≥ √(3 σgd / fctd,pl), with a the larger projection from the face of the wall or column, hF the depth and fctd,pl = αct,pl fctk,0.05 / γc (3.16, 12.3.1), αct,pl = 0.8 in both annexes (UK NA Amd 1 keeps 0.8 for αct,pl, its αcc,pl = 0.6 is not used here; PL NA the recommended value). σgd is taken as the gross design ground pressure, the footing and backfill weights included (conservative: they cause no bending). The simplified rule hF / a ≥ 2 (12.9.3(1)) is shown for information; the check is (12.13). Bearing is checked with characteristic loads against an allowable gross pressure from the geotechnical engineer; EN 1997-1 bearing resistance, sliding and settlement are not covered. Mass concrete footings to old practice (load spread at 45°, hF ≥ a) are not the Eurocode rule and are not used. Concrete classes up to C50/60.
The second-generation EN 1992-1-1:2023 is not yet implemented.</t>
        </is>
      </c>
    </row>
    <row r="24" ht="20" customHeight="1">
      <c r="B24" s="8" t="inlineStr">
        <is>
          <t>Further reading and independent cross-check</t>
        </is>
      </c>
      <c r="C24" s="9" t="n"/>
    </row>
    <row r="25" ht="76.5" customHeight="1">
      <c r="B25" s="10" t="inlineStr">
        <is>
          <t>•  The Concrete Centre, How to design concrete structures using Eurocode 2: Foundations (plain concrete footings).
•  The Concrete Centre, Concise Eurocode 2, 12 (plain concrete).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&amp;K8A8A8ANAE-RC-032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82"/>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Plain concrete footing</t>
        </is>
      </c>
      <c r="H2" s="1" t="n"/>
    </row>
    <row r="3" ht="16" customHeight="1">
      <c r="A3" s="1" t="n"/>
      <c r="B3" s="1" t="n"/>
      <c r="C3" s="15" t="inlineStr">
        <is>
          <t>NAE-RC-032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geometry</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C25/30</t>
        </is>
      </c>
      <c r="F12" s="23" t="n"/>
      <c r="G12" s="23" t="n"/>
    </row>
    <row r="13" ht="17" customHeight="1">
      <c r="B13" s="23" t="n"/>
      <c r="C13" s="24" t="inlineStr">
        <is>
          <t>Footing</t>
        </is>
      </c>
      <c r="D13" s="23" t="n"/>
      <c r="E13" s="25" t="inlineStr">
        <is>
          <t>Strip  (wall; per metre)</t>
        </is>
      </c>
      <c r="F13" s="23" t="n"/>
      <c r="G13" s="23" t="n"/>
    </row>
    <row r="14" ht="17" customHeight="1">
      <c r="B14" s="23" t="n"/>
      <c r="C14" s="24" t="inlineStr">
        <is>
          <t>Footing width  (across the wall; pad: along x)</t>
        </is>
      </c>
      <c r="D14" s="27" t="inlineStr">
        <is>
          <r>
            <rPr>
              <rFont val="Calibri"/>
              <i val="1"/>
              <color rgb="002B2B2B"/>
              <sz val="10"/>
            </rPr>
            <t>B</t>
          </r>
        </is>
      </c>
      <c r="E14" s="25" t="n">
        <v>900</v>
      </c>
      <c r="F14" s="28" t="inlineStr">
        <is>
          <t>mm</t>
        </is>
      </c>
      <c r="G14" s="23" t="n"/>
    </row>
    <row r="15" ht="17" customHeight="1">
      <c r="B15" s="23" t="n"/>
      <c r="C15" s="24" t="inlineStr">
        <is>
          <t>Pad: footing length along y  (strip: not used)</t>
        </is>
      </c>
      <c r="D15" s="27" t="inlineStr">
        <is>
          <r>
            <rPr>
              <rFont val="Calibri"/>
              <i val="1"/>
              <color rgb="002B2B2B"/>
              <sz val="10"/>
            </rPr>
            <t>L</t>
          </r>
        </is>
      </c>
      <c r="E15" s="25" t="n">
        <v>900</v>
      </c>
      <c r="F15" s="28" t="inlineStr">
        <is>
          <t>mm</t>
        </is>
      </c>
      <c r="G15" s="23" t="n"/>
    </row>
    <row r="16" ht="17" customHeight="1">
      <c r="B16" s="23" t="n"/>
      <c r="C16" s="24" t="inlineStr">
        <is>
          <t>Depth of the footing</t>
        </is>
      </c>
      <c r="D16" s="27" t="inlineStr">
        <is>
          <r>
            <rPr>
              <rFont val="Calibri"/>
              <i val="1"/>
              <color rgb="002B2B2B"/>
              <sz val="10"/>
            </rPr>
            <t>h</t>
          </r>
          <r>
            <rPr>
              <rFont val="Calibri"/>
              <i val="1"/>
              <color rgb="002B2B2B"/>
              <sz val="10"/>
              <vertAlign val="subscript"/>
            </rPr>
            <t>F</t>
          </r>
        </is>
      </c>
      <c r="E16" s="25" t="n">
        <v>500</v>
      </c>
      <c r="F16" s="28" t="inlineStr">
        <is>
          <t>mm</t>
        </is>
      </c>
      <c r="G16" s="23" t="n"/>
    </row>
    <row r="17" ht="17" customHeight="1">
      <c r="B17" s="23" t="n"/>
      <c r="C17" s="24" t="inlineStr">
        <is>
          <t>Wall thickness  (pad: column side along x)</t>
        </is>
      </c>
      <c r="D17" s="27" t="inlineStr">
        <is>
          <r>
            <rPr>
              <rFont val="Calibri"/>
              <i val="1"/>
              <color rgb="002B2B2B"/>
              <sz val="10"/>
            </rPr>
            <t>t</t>
          </r>
        </is>
      </c>
      <c r="E17" s="25" t="n">
        <v>300</v>
      </c>
      <c r="F17" s="28" t="inlineStr">
        <is>
          <t>mm</t>
        </is>
      </c>
      <c r="G17" s="23" t="n"/>
    </row>
    <row r="18" ht="17" customHeight="1">
      <c r="B18" s="23" t="n"/>
      <c r="C18" s="24" t="inlineStr">
        <is>
          <t>Pad: column side along y</t>
        </is>
      </c>
      <c r="D18" s="27" t="inlineStr">
        <is>
          <r>
            <rPr>
              <rFont val="Calibri"/>
              <i val="1"/>
              <color rgb="002B2B2B"/>
              <sz val="10"/>
            </rPr>
            <t>c</t>
          </r>
          <r>
            <rPr>
              <rFont val="Calibri"/>
              <i val="1"/>
              <color rgb="002B2B2B"/>
              <sz val="10"/>
              <vertAlign val="subscript"/>
            </rPr>
            <t>y</t>
          </r>
        </is>
      </c>
      <c r="E18" s="25" t="n">
        <v>300</v>
      </c>
      <c r="F18" s="28" t="inlineStr">
        <is>
          <t>mm</t>
        </is>
      </c>
      <c r="G18" s="23" t="n"/>
    </row>
    <row r="20" ht="22" customHeight="1">
      <c r="B20" s="20" t="inlineStr">
        <is>
          <t>Inputs  ·  loads and ground</t>
        </is>
      </c>
      <c r="C20" s="21" t="n"/>
      <c r="D20" s="21" t="n"/>
      <c r="E20" s="21" t="n"/>
      <c r="F20" s="21" t="n"/>
      <c r="G20" s="22" t="inlineStr">
        <is>
          <t>At the top of the footing; strip per metre run</t>
        </is>
      </c>
    </row>
    <row r="21" ht="17" customHeight="1">
      <c r="B21" s="23" t="n"/>
      <c r="C21" s="24" t="inlineStr">
        <is>
          <t>Load, permanent  (kN/m strip, kN pad)</t>
        </is>
      </c>
      <c r="D21" s="27" t="inlineStr">
        <is>
          <r>
            <rPr>
              <rFont val="Calibri"/>
              <i val="1"/>
              <color rgb="002B2B2B"/>
              <sz val="10"/>
            </rPr>
            <t>G</t>
          </r>
          <r>
            <rPr>
              <rFont val="Calibri"/>
              <i val="1"/>
              <color rgb="002B2B2B"/>
              <sz val="10"/>
              <vertAlign val="subscript"/>
            </rPr>
            <t>k</t>
          </r>
        </is>
      </c>
      <c r="E21" s="29" t="n">
        <v>80</v>
      </c>
      <c r="F21" s="28" t="inlineStr">
        <is>
          <t>kN</t>
        </is>
      </c>
      <c r="G21" s="23" t="n"/>
    </row>
    <row r="22" ht="17" customHeight="1">
      <c r="B22" s="23" t="n"/>
      <c r="C22" s="24" t="inlineStr">
        <is>
          <t>Load, variable</t>
        </is>
      </c>
      <c r="D22" s="27" t="inlineStr">
        <is>
          <r>
            <rPr>
              <rFont val="Calibri"/>
              <i val="1"/>
              <color rgb="002B2B2B"/>
              <sz val="10"/>
            </rPr>
            <t>Q</t>
          </r>
          <r>
            <rPr>
              <rFont val="Calibri"/>
              <i val="1"/>
              <color rgb="002B2B2B"/>
              <sz val="10"/>
              <vertAlign val="subscript"/>
            </rPr>
            <t>k</t>
          </r>
        </is>
      </c>
      <c r="E22" s="29" t="n">
        <v>30</v>
      </c>
      <c r="F22" s="28" t="inlineStr">
        <is>
          <t>kN</t>
        </is>
      </c>
      <c r="G22" s="23" t="n"/>
    </row>
    <row r="23" ht="17" customHeight="1">
      <c r="B23" s="26" t="inlineStr">
        <is>
          <t>EN 1990 A1.2(B)</t>
        </is>
      </c>
      <c r="C23" s="24" t="inlineStr">
        <is>
          <t>Partial factor, permanent</t>
        </is>
      </c>
      <c r="D23" s="27" t="inlineStr">
        <is>
          <r>
            <rPr>
              <rFont val="Calibri"/>
              <i val="1"/>
              <color rgb="002B2B2B"/>
              <sz val="10"/>
            </rPr>
            <t>γ</t>
          </r>
          <r>
            <rPr>
              <rFont val="Calibri"/>
              <i val="1"/>
              <color rgb="002B2B2B"/>
              <sz val="10"/>
              <vertAlign val="subscript"/>
            </rPr>
            <t>G</t>
          </r>
        </is>
      </c>
      <c r="E23" s="30" t="n">
        <v>1.35</v>
      </c>
      <c r="F23" s="23" t="n"/>
      <c r="G23" s="23" t="n"/>
    </row>
    <row r="24" ht="17" customHeight="1">
      <c r="B24" s="26" t="inlineStr">
        <is>
          <t>EN 1990 A1.2(B)</t>
        </is>
      </c>
      <c r="C24" s="24" t="inlineStr">
        <is>
          <t>Partial factor, variable</t>
        </is>
      </c>
      <c r="D24" s="27" t="inlineStr">
        <is>
          <r>
            <rPr>
              <rFont val="Calibri"/>
              <i val="1"/>
              <color rgb="002B2B2B"/>
              <sz val="10"/>
            </rPr>
            <t>γ</t>
          </r>
          <r>
            <rPr>
              <rFont val="Calibri"/>
              <i val="1"/>
              <color rgb="002B2B2B"/>
              <sz val="10"/>
              <vertAlign val="subscript"/>
            </rPr>
            <t>Q</t>
          </r>
        </is>
      </c>
      <c r="E24" s="30" t="n">
        <v>1.5</v>
      </c>
      <c r="F24" s="23" t="n"/>
      <c r="G24" s="23" t="n"/>
    </row>
    <row r="25" ht="17" customHeight="1">
      <c r="B25" s="23" t="n"/>
      <c r="C25" s="24" t="inlineStr">
        <is>
          <t>Depth of backfill over the footing</t>
        </is>
      </c>
      <c r="D25" s="27" t="inlineStr">
        <is>
          <r>
            <rPr>
              <rFont val="Calibri"/>
              <i val="1"/>
              <color rgb="002B2B2B"/>
              <sz val="10"/>
            </rPr>
            <t>D</t>
          </r>
          <r>
            <rPr>
              <rFont val="Calibri"/>
              <i val="1"/>
              <color rgb="002B2B2B"/>
              <sz val="10"/>
              <vertAlign val="subscript"/>
            </rPr>
            <t>s</t>
          </r>
        </is>
      </c>
      <c r="E25" s="25" t="n">
        <v>300</v>
      </c>
      <c r="F25" s="28" t="inlineStr">
        <is>
          <t>mm</t>
        </is>
      </c>
      <c r="G25" s="23" t="n"/>
    </row>
    <row r="26" ht="17" customHeight="1">
      <c r="B26" s="23" t="n"/>
      <c r="C26" s="24" t="inlineStr">
        <is>
          <t>Unit weight of backfill</t>
        </is>
      </c>
      <c r="D26" s="27" t="inlineStr">
        <is>
          <r>
            <rPr>
              <rFont val="Calibri"/>
              <i val="1"/>
              <color rgb="002B2B2B"/>
              <sz val="10"/>
            </rPr>
            <t>γ</t>
          </r>
          <r>
            <rPr>
              <rFont val="Calibri"/>
              <i val="1"/>
              <color rgb="002B2B2B"/>
              <sz val="10"/>
              <vertAlign val="subscript"/>
            </rPr>
            <t>soil</t>
          </r>
        </is>
      </c>
      <c r="E26" s="29" t="n">
        <v>18</v>
      </c>
      <c r="F26" s="28" t="inlineStr">
        <is>
          <t>kN/m³</t>
        </is>
      </c>
      <c r="G26" s="23" t="n"/>
    </row>
    <row r="27" ht="17" customHeight="1">
      <c r="B27" s="23" t="n"/>
      <c r="C27" s="24" t="inlineStr">
        <is>
          <t>Allowable gross bearing pressure</t>
        </is>
      </c>
      <c r="D27" s="27" t="inlineStr">
        <is>
          <r>
            <rPr>
              <rFont val="Calibri"/>
              <i val="1"/>
              <color rgb="002B2B2B"/>
              <sz val="10"/>
            </rPr>
            <t>q</t>
          </r>
          <r>
            <rPr>
              <rFont val="Calibri"/>
              <i val="1"/>
              <color rgb="002B2B2B"/>
              <sz val="10"/>
              <vertAlign val="subscript"/>
            </rPr>
            <t>allow</t>
          </r>
        </is>
      </c>
      <c r="E27" s="31" t="n">
        <v>150</v>
      </c>
      <c r="F27" s="28" t="inlineStr">
        <is>
          <t>kPa</t>
        </is>
      </c>
      <c r="G27" s="26" t="inlineStr">
        <is>
          <t>From the ground investigation</t>
        </is>
      </c>
    </row>
    <row r="28" ht="17" customHeight="1">
      <c r="B28" s="23" t="n"/>
      <c r="C28" s="24" t="inlineStr">
        <is>
          <t>Inputs valid and consistent</t>
        </is>
      </c>
      <c r="D28" s="23" t="n"/>
      <c r="E28" s="9" t="n"/>
      <c r="F28" s="23" t="n"/>
      <c r="G28" s="32">
        <f>IF(inputs_ok,"OK","FAIL")</f>
        <v/>
      </c>
    </row>
    <row r="30" ht="22" customHeight="1">
      <c r="B30" s="20" t="inlineStr">
        <is>
          <t>Results</t>
        </is>
      </c>
      <c r="C30" s="21" t="n"/>
      <c r="D30" s="21" t="n"/>
      <c r="E30" s="21" t="n"/>
      <c r="F30" s="21" t="n"/>
      <c r="G30" s="21" t="n"/>
    </row>
    <row r="31" ht="26" customHeight="1">
      <c r="B31" s="33" t="n"/>
      <c r="C31" s="34" t="inlineStr">
        <is>
          <t>Depth  √(3 σgd / fctd,pl) / (0.85 hF / a)  (12.13)</t>
        </is>
      </c>
      <c r="D31" s="33" t="n"/>
      <c r="E31" s="35">
        <f>IF(inputs_ok,rhs_pf/lhs_pf,"–")</f>
        <v/>
      </c>
      <c r="F31" s="36" t="inlineStr"/>
      <c r="G31" s="37">
        <f>IF(NOT(inputs_ok),"FAIL",IF(depth_pf,"OK","FAIL"))</f>
        <v/>
      </c>
    </row>
    <row r="32" ht="26" customHeight="1">
      <c r="B32" s="33" t="n"/>
      <c r="C32" s="34" t="inlineStr">
        <is>
          <t>Bearing pressure, characteristic  q / q_allow</t>
        </is>
      </c>
      <c r="D32" s="38" t="inlineStr">
        <is>
          <r>
            <rPr>
              <rFont val="Calibri"/>
              <i val="1"/>
              <color rgb="002B2B2B"/>
              <sz val="11"/>
            </rPr>
            <t>q</t>
          </r>
        </is>
      </c>
      <c r="E32" s="35">
        <f>IF(inputs_ok,qk_pf/pf_qa,"–")</f>
        <v/>
      </c>
      <c r="F32" s="36" t="inlineStr"/>
      <c r="G32" s="37">
        <f>IF(NOT(inputs_ok),"FAIL",IF(bear_pf,"OK","FAIL"))</f>
        <v/>
      </c>
    </row>
    <row r="33" ht="26" customHeight="1">
      <c r="B33" s="33" t="n"/>
      <c r="C33" s="34" t="inlineStr">
        <is>
          <t>Least depth by (12.13), rounded up</t>
        </is>
      </c>
      <c r="D33" s="38" t="inlineStr">
        <is>
          <r>
            <rPr>
              <rFont val="Calibri"/>
              <i val="1"/>
              <color rgb="002B2B2B"/>
              <sz val="11"/>
            </rPr>
            <t>h</t>
          </r>
          <r>
            <rPr>
              <rFont val="Calibri"/>
              <i val="1"/>
              <color rgb="002B2B2B"/>
              <sz val="11"/>
              <vertAlign val="subscript"/>
            </rPr>
            <t>F,min</t>
          </r>
        </is>
      </c>
      <c r="E33" s="39">
        <f>IF(inputs_ok,hadopt_pf,"–")</f>
        <v/>
      </c>
      <c r="F33" s="36" t="inlineStr">
        <is>
          <t>mm</t>
        </is>
      </c>
      <c r="G33" s="33" t="n"/>
    </row>
    <row r="34" ht="26" customHeight="1">
      <c r="B34" s="33" t="n"/>
      <c r="C34" s="34" t="inlineStr">
        <is>
          <t>Simplified rule  hF / a ≥ 2  (for information)</t>
        </is>
      </c>
      <c r="D34" s="38" t="inlineStr">
        <is>
          <r>
            <rPr>
              <rFont val="Calibri"/>
              <i val="1"/>
              <color rgb="002B2B2B"/>
              <sz val="11"/>
            </rPr>
            <t>h</t>
          </r>
          <r>
            <rPr>
              <rFont val="Calibri"/>
              <i val="1"/>
              <color rgb="002B2B2B"/>
              <sz val="11"/>
              <vertAlign val="subscript"/>
            </rPr>
            <t>F / a</t>
          </r>
        </is>
      </c>
      <c r="E34" s="35">
        <f>IF(inputs_ok,pf_h/a_pf,"–")</f>
        <v/>
      </c>
      <c r="F34" s="36" t="inlineStr"/>
      <c r="G34" s="37">
        <f>IF(NOT(inputs_ok),"FAIL",IF(pf_h/a_pf&gt;=2,"met","not met"))</f>
        <v/>
      </c>
    </row>
    <row r="35"/>
    <row r="36">
      <c r="B36" s="40" t="inlineStr">
        <is>
          <t>Your footing  ·  section across the wider projection: the footing, the wall or column, the projection a and the depth hF</t>
        </is>
      </c>
    </row>
    <row r="37"/>
    <row r="38"/>
    <row r="39"/>
    <row r="40"/>
    <row r="41"/>
    <row r="42"/>
    <row r="43"/>
    <row r="44"/>
    <row r="45"/>
    <row r="46"/>
    <row r="47"/>
    <row r="48"/>
    <row r="49"/>
    <row r="50"/>
    <row r="51"/>
    <row r="52"/>
    <row r="53"/>
    <row r="54"/>
    <row r="55"/>
    <row r="56"/>
    <row r="57"/>
    <row r="58"/>
    <row r="59" ht="22" customHeight="1">
      <c r="B59" s="20" t="inlineStr">
        <is>
          <t>Calculation  ·  ground pressure</t>
        </is>
      </c>
      <c r="C59" s="21" t="n"/>
      <c r="D59" s="21" t="n"/>
      <c r="E59" s="21" t="n"/>
      <c r="F59" s="21" t="n"/>
      <c r="G59" s="21" t="n"/>
    </row>
    <row r="60" ht="17" customHeight="1">
      <c r="B60" s="26" t="inlineStr">
        <is>
          <t>2.4.2.4(1)</t>
        </is>
      </c>
      <c r="C60" s="24" t="inlineStr">
        <is>
          <t>Partial factor, concrete</t>
        </is>
      </c>
      <c r="D60" s="27" t="inlineStr">
        <is>
          <r>
            <rPr>
              <rFont val="Calibri"/>
              <i val="1"/>
              <color rgb="002B2B2B"/>
              <sz val="10"/>
            </rPr>
            <t>γ</t>
          </r>
          <r>
            <rPr>
              <rFont val="Calibri"/>
              <i val="1"/>
              <color rgb="002B2B2B"/>
              <sz val="10"/>
              <vertAlign val="subscript"/>
            </rPr>
            <t>c</t>
          </r>
        </is>
      </c>
      <c r="E60" s="41">
        <f>IF(inputs_ok,ndp_gamma_c,NA())</f>
        <v/>
      </c>
      <c r="F60" s="23" t="n"/>
      <c r="G60" s="26" t="inlineStr">
        <is>
          <t>NDP sheet</t>
        </is>
      </c>
    </row>
    <row r="61" ht="17" customHeight="1">
      <c r="B61" s="26" t="inlineStr">
        <is>
          <t>Table 3.1</t>
        </is>
      </c>
      <c r="C61" s="24" t="inlineStr">
        <is>
          <t>Characteristic cylinder strength</t>
        </is>
      </c>
      <c r="D61" s="27" t="inlineStr">
        <is>
          <r>
            <rPr>
              <rFont val="Calibri"/>
              <i val="1"/>
              <color rgb="002B2B2B"/>
              <sz val="10"/>
            </rPr>
            <t>f</t>
          </r>
          <r>
            <rPr>
              <rFont val="Calibri"/>
              <i val="1"/>
              <color rgb="002B2B2B"/>
              <sz val="10"/>
              <vertAlign val="subscript"/>
            </rPr>
            <t>ck</t>
          </r>
        </is>
      </c>
      <c r="E61" s="42">
        <f>IF(inputs_ok,VALUE(MID(conc_class,2,FIND("/",conc_class)-2)),NA())</f>
        <v/>
      </c>
      <c r="F61" s="28" t="inlineStr">
        <is>
          <t>MPa</t>
        </is>
      </c>
      <c r="G61" s="23" t="n"/>
    </row>
    <row r="62" ht="17" customHeight="1">
      <c r="B62" s="26" t="inlineStr">
        <is>
          <t>Table 3.1</t>
        </is>
      </c>
      <c r="C62" s="24" t="inlineStr">
        <is>
          <t>Mean tensile strength</t>
        </is>
      </c>
      <c r="D62" s="27" t="inlineStr">
        <is>
          <r>
            <rPr>
              <rFont val="Calibri"/>
              <i val="1"/>
              <color rgb="002B2B2B"/>
              <sz val="10"/>
            </rPr>
            <t>f</t>
          </r>
          <r>
            <rPr>
              <rFont val="Calibri"/>
              <i val="1"/>
              <color rgb="002B2B2B"/>
              <sz val="10"/>
              <vertAlign val="subscript"/>
            </rPr>
            <t>ctm</t>
          </r>
        </is>
      </c>
      <c r="E62" s="41">
        <f>IF(inputs_ok,IF(f_ck&lt;=50,0.3*f_ck^(2/3),2.12*LN(1+(f_ck+8)/10)),NA())</f>
        <v/>
      </c>
      <c r="F62" s="28" t="inlineStr">
        <is>
          <t>MPa</t>
        </is>
      </c>
      <c r="G62" s="23" t="n"/>
    </row>
    <row r="63" ht="17" customHeight="1">
      <c r="B63" s="23" t="n"/>
      <c r="C63" s="24" t="inlineStr">
        <is>
          <t>Base area  (strip: B × 1 m; pad: B × L)</t>
        </is>
      </c>
      <c r="D63" s="27" t="inlineStr">
        <is>
          <r>
            <rPr>
              <rFont val="Calibri"/>
              <i val="1"/>
              <color rgb="002B2B2B"/>
              <sz val="10"/>
            </rPr>
            <t>A</t>
          </r>
        </is>
      </c>
      <c r="E63" s="43">
        <f>IF(inputs_ok,IF(pf_strip,pf_B,pf_B*pf_L)/IF(pf_strip,1000,1E6),NA())</f>
        <v/>
      </c>
      <c r="F63" s="28" t="inlineStr">
        <is>
          <t>m²</t>
        </is>
      </c>
      <c r="G63" s="23" t="n"/>
    </row>
    <row r="64" ht="17" customHeight="1">
      <c r="B64" s="23" t="n"/>
      <c r="C64" s="24" t="inlineStr">
        <is>
          <t>Footing and backfill  25 hF A + γsoil Ds (A − wall or column)</t>
        </is>
      </c>
      <c r="D64" s="27" t="inlineStr">
        <is>
          <r>
            <rPr>
              <rFont val="Calibri"/>
              <i val="1"/>
              <color rgb="002B2B2B"/>
              <sz val="10"/>
            </rPr>
            <t>W</t>
          </r>
        </is>
      </c>
      <c r="E64" s="41">
        <f>IF(inputs_ok,25*pf_h/1000*Abase_pf+pf_gs*pf_Ds/1000*(Abase_pf-IF(pf_strip,pf_t/1000,pf_t*pf_cy/1E6)),NA())</f>
        <v/>
      </c>
      <c r="F64" s="28" t="inlineStr">
        <is>
          <t>kN</t>
        </is>
      </c>
      <c r="G64" s="23" t="n"/>
    </row>
    <row r="65" ht="17" customHeight="1">
      <c r="B65" s="23" t="n"/>
      <c r="C65" s="24" t="inlineStr">
        <is>
          <t>Characteristic gross pressure  (Gk + Qk + W) / A</t>
        </is>
      </c>
      <c r="D65" s="27" t="inlineStr">
        <is>
          <r>
            <rPr>
              <rFont val="Calibri"/>
              <i val="1"/>
              <color rgb="002B2B2B"/>
              <sz val="10"/>
            </rPr>
            <t>q</t>
          </r>
          <r>
            <rPr>
              <rFont val="Calibri"/>
              <i val="1"/>
              <color rgb="002B2B2B"/>
              <sz val="10"/>
              <vertAlign val="subscript"/>
            </rPr>
            <t>k</t>
          </r>
        </is>
      </c>
      <c r="E65" s="44">
        <f>IF(inputs_ok,(pf_G+pf_Q+W_pf)/Abase_pf,NA())</f>
        <v/>
      </c>
      <c r="F65" s="28" t="inlineStr">
        <is>
          <t>kPa</t>
        </is>
      </c>
      <c r="G65" s="23" t="n"/>
    </row>
    <row r="66" ht="17" customHeight="1">
      <c r="B66" s="23" t="n"/>
      <c r="C66" s="24" t="inlineStr">
        <is>
          <t>Against the allowable pressure</t>
        </is>
      </c>
      <c r="D66" s="27" t="inlineStr">
        <is>
          <r>
            <rPr>
              <rFont val="Calibri"/>
              <i val="1"/>
              <color rgb="002B2B2B"/>
              <sz val="10"/>
            </rPr>
            <t>q</t>
          </r>
          <r>
            <rPr>
              <rFont val="Calibri"/>
              <i val="1"/>
              <color rgb="002B2B2B"/>
              <sz val="10"/>
              <vertAlign val="subscript"/>
            </rPr>
            <t>allow</t>
          </r>
        </is>
      </c>
      <c r="E66" s="42">
        <f>IF(inputs_ok,pf_qa,NA())</f>
        <v/>
      </c>
      <c r="F66" s="28" t="inlineStr">
        <is>
          <t>kPa</t>
        </is>
      </c>
      <c r="G66" s="32">
        <f>IF(NOT(inputs_ok),"FAIL",IF(bear_pf,"OK","FAIL"))</f>
        <v/>
      </c>
    </row>
    <row r="67" ht="17" customHeight="1">
      <c r="B67" s="26" t="inlineStr">
        <is>
          <t>EN 1990 (6.10)</t>
        </is>
      </c>
      <c r="C67" s="24" t="inlineStr">
        <is>
          <t>Design gross ground pressure  (γG (Gk + W) + γQ Qk) / A</t>
        </is>
      </c>
      <c r="D67" s="27" t="inlineStr">
        <is>
          <r>
            <rPr>
              <rFont val="Calibri"/>
              <i val="1"/>
              <color rgb="002B2B2B"/>
              <sz val="10"/>
            </rPr>
            <t>σ</t>
          </r>
          <r>
            <rPr>
              <rFont val="Calibri"/>
              <i val="1"/>
              <color rgb="002B2B2B"/>
              <sz val="10"/>
              <vertAlign val="subscript"/>
            </rPr>
            <t>gd</t>
          </r>
        </is>
      </c>
      <c r="E67" s="44">
        <f>IF(inputs_ok,(pf_gG*(pf_G+W_pf)+pf_gQ*pf_Q)/Abase_pf,NA())</f>
        <v/>
      </c>
      <c r="F67" s="28" t="inlineStr">
        <is>
          <t>kPa</t>
        </is>
      </c>
      <c r="G67" s="23" t="n"/>
    </row>
    <row r="68"/>
    <row r="69" ht="22" customHeight="1">
      <c r="B69" s="20" t="inlineStr">
        <is>
          <t>Calculation  ·  depth, 12.9.3</t>
        </is>
      </c>
      <c r="C69" s="21" t="n"/>
      <c r="D69" s="21" t="n"/>
      <c r="E69" s="21" t="n"/>
      <c r="F69" s="21" t="n"/>
      <c r="G69" s="21" t="n"/>
    </row>
    <row r="70" ht="17" customHeight="1">
      <c r="B70" s="26" t="inlineStr">
        <is>
          <t>Table 3.1</t>
        </is>
      </c>
      <c r="C70" s="24" t="inlineStr">
        <is>
          <t>Characteristic tensile strength (5 % fractile)</t>
        </is>
      </c>
      <c r="D70" s="27" t="inlineStr">
        <is>
          <r>
            <rPr>
              <rFont val="Calibri"/>
              <i val="1"/>
              <color rgb="002B2B2B"/>
              <sz val="10"/>
            </rPr>
            <t>f</t>
          </r>
          <r>
            <rPr>
              <rFont val="Calibri"/>
              <i val="1"/>
              <color rgb="002B2B2B"/>
              <sz val="10"/>
              <vertAlign val="subscript"/>
            </rPr>
            <t>ctk,0.05</t>
          </r>
        </is>
      </c>
      <c r="E70" s="41">
        <f>IF(inputs_ok,0.7*f_ctm,NA())</f>
        <v/>
      </c>
      <c r="F70" s="28" t="inlineStr">
        <is>
          <t>MPa</t>
        </is>
      </c>
      <c r="G70" s="23" t="n"/>
    </row>
    <row r="71" ht="17" customHeight="1">
      <c r="B71" s="26" t="inlineStr">
        <is>
          <t>12.3.1</t>
        </is>
      </c>
      <c r="C71" s="24" t="inlineStr">
        <is>
          <t>αct,pl  (UK NA Amd 1 and PL NA: 0.8)</t>
        </is>
      </c>
      <c r="D71" s="27" t="inlineStr">
        <is>
          <r>
            <rPr>
              <rFont val="Calibri"/>
              <i val="1"/>
              <color rgb="002B2B2B"/>
              <sz val="10"/>
            </rPr>
            <t>α</t>
          </r>
          <r>
            <rPr>
              <rFont val="Calibri"/>
              <i val="1"/>
              <color rgb="002B2B2B"/>
              <sz val="10"/>
              <vertAlign val="subscript"/>
            </rPr>
            <t>ct,pl</t>
          </r>
        </is>
      </c>
      <c r="E71" s="45">
        <f>IF(inputs_ok,0.8,NA())</f>
        <v/>
      </c>
      <c r="F71" s="23" t="n"/>
      <c r="G71" s="23" t="n"/>
    </row>
    <row r="72" ht="17" customHeight="1">
      <c r="B72" s="26" t="inlineStr">
        <is>
          <t>(3.16), 12.3.1</t>
        </is>
      </c>
      <c r="C72" s="24" t="inlineStr">
        <is>
          <t>Design tensile strength  αct,pl fctk,0.05 / γc</t>
        </is>
      </c>
      <c r="D72" s="27" t="inlineStr">
        <is>
          <r>
            <rPr>
              <rFont val="Calibri"/>
              <i val="1"/>
              <color rgb="002B2B2B"/>
              <sz val="10"/>
            </rPr>
            <t>f</t>
          </r>
          <r>
            <rPr>
              <rFont val="Calibri"/>
              <i val="1"/>
              <color rgb="002B2B2B"/>
              <sz val="10"/>
              <vertAlign val="subscript"/>
            </rPr>
            <t>ctd,pl</t>
          </r>
        </is>
      </c>
      <c r="E72" s="43">
        <f>IF(inputs_ok,actpl_pf*fctk_pf/gamma_c,NA())</f>
        <v/>
      </c>
      <c r="F72" s="28" t="inlineStr">
        <is>
          <t>MPa</t>
        </is>
      </c>
      <c r="G72" s="23" t="n"/>
    </row>
    <row r="73" ht="17" customHeight="1">
      <c r="B73" s="26" t="inlineStr">
        <is>
          <t>12.9.3(1)</t>
        </is>
      </c>
      <c r="C73" s="24" t="inlineStr">
        <is>
          <t>Projection beyond the face  (larger of the two for a pad)</t>
        </is>
      </c>
      <c r="D73" s="27" t="inlineStr">
        <is>
          <r>
            <rPr>
              <rFont val="Calibri"/>
              <i val="1"/>
              <color rgb="002B2B2B"/>
              <sz val="10"/>
            </rPr>
            <t>a</t>
          </r>
        </is>
      </c>
      <c r="E73" s="42">
        <f>IF(inputs_ok,IF(pf_strip,(pf_B-pf_t)/2,MAX((pf_B-pf_t)/2,(pf_L-pf_cy)/2)),NA())</f>
        <v/>
      </c>
      <c r="F73" s="28" t="inlineStr">
        <is>
          <t>mm</t>
        </is>
      </c>
      <c r="G73" s="23" t="n"/>
    </row>
    <row r="74" ht="17" customHeight="1">
      <c r="B74" s="26" t="inlineStr">
        <is>
          <t>(12.13)</t>
        </is>
      </c>
      <c r="C74" s="24" t="inlineStr">
        <is>
          <t>Left side  0.85 hF / a</t>
        </is>
      </c>
      <c r="D74" s="23" t="n"/>
      <c r="E74" s="43">
        <f>IF(inputs_ok,0.85*pf_h/a_pf,NA())</f>
        <v/>
      </c>
      <c r="F74" s="23" t="n"/>
      <c r="G74" s="23" t="n"/>
    </row>
    <row r="75" ht="17" customHeight="1">
      <c r="B75" s="26" t="inlineStr">
        <is>
          <t>(12.13)</t>
        </is>
      </c>
      <c r="C75" s="24" t="inlineStr">
        <is>
          <t>Right side  √(3 σgd / fctd,pl)</t>
        </is>
      </c>
      <c r="D75" s="23" t="n"/>
      <c r="E75" s="43">
        <f>IF(inputs_ok,SQRT(3*sig_pf/1000/fctd_pf),NA())</f>
        <v/>
      </c>
      <c r="F75" s="23" t="n"/>
      <c r="G75" s="23" t="n"/>
    </row>
    <row r="76" ht="17" customHeight="1">
      <c r="B76" s="26" t="inlineStr">
        <is>
          <t>(12.13)</t>
        </is>
      </c>
      <c r="C76" s="24" t="inlineStr">
        <is>
          <t>0.85 hF / a ≥ √(3 σgd / fctd,pl)</t>
        </is>
      </c>
      <c r="D76" s="23" t="n"/>
      <c r="E76" s="43">
        <f>IF(inputs_ok,lhs_pf,NA())</f>
        <v/>
      </c>
      <c r="F76" s="23" t="n"/>
      <c r="G76" s="32">
        <f>IF(NOT(inputs_ok),"FAIL",IF(depth_pf,"OK","FAIL"))</f>
        <v/>
      </c>
    </row>
    <row r="77" ht="17" customHeight="1">
      <c r="B77" s="23" t="n"/>
      <c r="C77" s="24" t="inlineStr">
        <is>
          <t>Pressure without the footing weight  σ0 = σgd − 0.025 γG hF</t>
        </is>
      </c>
      <c r="D77" s="27" t="inlineStr">
        <is>
          <r>
            <rPr>
              <rFont val="Calibri"/>
              <i val="1"/>
              <color rgb="002B2B2B"/>
              <sz val="10"/>
            </rPr>
            <t>σ</t>
          </r>
          <r>
            <rPr>
              <rFont val="Calibri"/>
              <i val="1"/>
              <color rgb="002B2B2B"/>
              <sz val="10"/>
              <vertAlign val="subscript"/>
            </rPr>
            <t>0</t>
          </r>
        </is>
      </c>
      <c r="E77" s="45">
        <f>IF(inputs_ok,sig_pf-0.025*pf_gG*pf_h,NA())</f>
        <v/>
      </c>
      <c r="F77" s="28" t="inlineStr">
        <is>
          <t>kPa</t>
        </is>
      </c>
      <c r="G77" s="23" t="n"/>
    </row>
    <row r="78" ht="17" customHeight="1">
      <c r="B78" s="26" t="inlineStr">
        <is>
          <t>(12.13)</t>
        </is>
      </c>
      <c r="C78" s="24" t="inlineStr">
        <is>
          <t>Least depth  (0.85 h / a)² = 3 (σ0 + 0.025 γG h) / (1000 fctd,pl), solved for h</t>
        </is>
      </c>
      <c r="D78" s="27" t="inlineStr">
        <is>
          <r>
            <rPr>
              <rFont val="Calibri"/>
              <i val="1"/>
              <color rgb="002B2B2B"/>
              <sz val="10"/>
            </rPr>
            <t>h</t>
          </r>
          <r>
            <rPr>
              <rFont val="Calibri"/>
              <i val="1"/>
              <color rgb="002B2B2B"/>
              <sz val="10"/>
              <vertAlign val="subscript"/>
            </rPr>
            <t>F,min</t>
          </r>
        </is>
      </c>
      <c r="E78" s="45">
        <f>IF(inputs_ok,(pf_hqb+SQRT(pf_hqb^2+4*pf_hqa*pf_hqc))/(2*pf_hqa),NA())</f>
        <v/>
      </c>
      <c r="F78" s="28" t="inlineStr">
        <is>
          <t>mm</t>
        </is>
      </c>
      <c r="G78" s="23" t="n"/>
    </row>
    <row r="79" ht="17" customHeight="1">
      <c r="B79" s="23" t="n"/>
      <c r="C79" s="24" t="inlineStr">
        <is>
          <t>Depth to adopt at least  (rounded up to the mm)</t>
        </is>
      </c>
      <c r="D79" s="27" t="inlineStr">
        <is>
          <r>
            <rPr>
              <rFont val="Calibri"/>
              <i val="1"/>
              <color rgb="002B2B2B"/>
              <sz val="10"/>
            </rPr>
            <t>h</t>
          </r>
          <r>
            <rPr>
              <rFont val="Calibri"/>
              <i val="1"/>
              <color rgb="002B2B2B"/>
              <sz val="10"/>
              <vertAlign val="subscript"/>
            </rPr>
            <t>F</t>
          </r>
        </is>
      </c>
      <c r="E79" s="42">
        <f>IF(inputs_ok,ROUNDUP(hmin_pf,0),NA())</f>
        <v/>
      </c>
      <c r="F79" s="28" t="inlineStr">
        <is>
          <t>mm</t>
        </is>
      </c>
      <c r="G79" s="23" t="n"/>
    </row>
    <row r="80" ht="29" customHeight="1">
      <c r="B80" s="46" t="inlineStr">
        <is>
          <t>The least depth includes the weight of that footing. The footing must be cast against undisturbed ground or on blinding, and the concrete class chosen for the exposure (EN 206 / BS 8500).</t>
        </is>
      </c>
    </row>
    <row r="81"/>
    <row r="82" ht="29" customHeight="1">
      <c r="B82" s="46"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80:G80"/>
    <mergeCell ref="E5:G5"/>
    <mergeCell ref="B82:G82"/>
    <mergeCell ref="D2:G2"/>
    <mergeCell ref="E7:G7"/>
    <mergeCell ref="E6:G6"/>
    <mergeCell ref="C3:G3"/>
  </mergeCells>
  <conditionalFormatting sqref="G9:G83">
    <cfRule type="expression" priority="1" dxfId="0">
      <formula>G9="OK"</formula>
    </cfRule>
    <cfRule type="expression" priority="2" dxfId="1">
      <formula>G9="FAIL"</formula>
    </cfRule>
    <cfRule type="expression" priority="3" dxfId="2">
      <formula>LEFT(G9,1)="!"</formula>
    </cfRule>
  </conditionalFormatting>
  <dataValidations count="15">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"Strip  (wall; per metre),Pad  (column)"</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1" errorTitle="NA Engineering" error="Enter a number greater than 0." type="custom" errorStyle="stop">
      <formula1>IF(NOT(pf_strip),AND(ISNUMBER(E15),E15&gt;0),TRUE)</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1" errorTitle="NA Engineering" error="Enter a number greater than 0." type="custom" errorStyle="stop">
      <formula1>IF(NOT(pf_strip),AND(ISNUMBER(E18),E18&gt;0),TRUE)</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 0." type="decimal" errorStyle="stop" operator="greaterThanOrEqual">
      <formula1>0</formula1>
    </dataValidation>
    <dataValidation sqref="E23" showDropDown="0" showInputMessage="0" showErrorMessage="1" allowBlank="0" errorTitle="NA Engineering" error="Enter a number greater than 0." type="decimal" errorStyle="stop" operator="greaterThan">
      <formula1>0</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 0." type="decimal" errorStyle="stop" operator="greaterThanOrEqual">
      <formula1>0</formula1>
    </dataValidation>
    <dataValidation sqref="E26" showDropDown="0" showInputMessage="0" showErrorMessage="1" allowBlank="0" errorTitle="NA Engineering" error="Enter a number greater than 0." type="decimal" errorStyle="stop" operator="greaterThan">
      <formula1>0</formula1>
    </dataValidation>
    <dataValidation sqref="E27" showDropDown="0" showInputMessage="0" showErrorMessage="1" allowBlank="0" errorTitle="NA Engineering" error="Enter a number greater than 0." type="decimal" errorStyle="stop" operator="greaterThan">
      <formula1>0</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&amp;K8A8A8ANAE-RC-032  v1.0</oddFooter>
    <evenHeader/>
    <evenFooter/>
    <firstHeader/>
    <firstFooter/>
  </headerFooter>
  <rowBreaks count="1" manualBreakCount="1">
    <brk id="29"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AR7"/>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footing</t>
        </is>
      </c>
      <c r="G2" t="inlineStr">
        <is>
          <t>wall or column</t>
        </is>
      </c>
      <c r="J2" t="inlineStr">
        <is>
          <t>ground</t>
        </is>
      </c>
      <c r="M2" t="inlineStr">
        <is>
          <t>spread right</t>
        </is>
      </c>
      <c r="P2" t="inlineStr">
        <is>
          <t>spread left</t>
        </is>
      </c>
      <c r="S2" t="inlineStr">
        <is>
          <t>pressure</t>
        </is>
      </c>
      <c r="V2">
        <f>IF(inputs_ok,"σgd "&amp;TEXT(sig_pf,"0")&amp;" kPa","")</f>
        <v/>
      </c>
      <c r="Y2" t="inlineStr">
        <is>
          <t>dim</t>
        </is>
      </c>
      <c r="AB2">
        <f>IF(inputs_ok,"a "&amp;TEXT(a_pf,"0"),"")</f>
        <v/>
      </c>
      <c r="AE2" t="inlineStr">
        <is>
          <t>dim</t>
        </is>
      </c>
      <c r="AH2">
        <f>IF(inputs_ok,"h_F "&amp;TEXT(pf_h,"0"),"")</f>
        <v/>
      </c>
      <c r="AK2" t="inlineStr">
        <is>
          <t>dim</t>
        </is>
      </c>
      <c r="AN2">
        <f>IF(inputs_ok,IF(pf_dirx,"B ","L ")&amp;TEXT(pf_Bg,"0"),"")</f>
        <v/>
      </c>
      <c r="AQ2" t="inlineStr">
        <is>
          <t>frame</t>
        </is>
      </c>
    </row>
    <row r="3">
      <c r="A3">
        <f>0</f>
        <v/>
      </c>
      <c r="B3">
        <f>0</f>
        <v/>
      </c>
      <c r="D3">
        <f>IF(inputs_ok,-pf_Bg/2,NA())</f>
        <v/>
      </c>
      <c r="E3">
        <f>0</f>
        <v/>
      </c>
      <c r="G3">
        <f>IF(inputs_ok,-pf_cg/2,NA())</f>
        <v/>
      </c>
      <c r="H3">
        <f>pf_h+MAX(pf_Ds,0.5*pf_h)+0.25*pf_h</f>
        <v/>
      </c>
      <c r="J3">
        <f>IF(inputs_ok,IF(pf_Ds&gt;0,-pf_Bg/2-0.08*pf_Bg,NA()),NA())</f>
        <v/>
      </c>
      <c r="K3">
        <f>IF(pf_Ds&gt;0,pf_h+pf_Ds,NA())</f>
        <v/>
      </c>
      <c r="M3">
        <f>IF(inputs_ok,pf_cg/2,NA())</f>
        <v/>
      </c>
      <c r="N3">
        <f>pf_h</f>
        <v/>
      </c>
      <c r="P3">
        <f>IF(inputs_ok,-pf_cg/2,NA())</f>
        <v/>
      </c>
      <c r="Q3">
        <f>pf_h</f>
        <v/>
      </c>
      <c r="S3">
        <f>IF(inputs_ok,-pf_Bg/2,NA())</f>
        <v/>
      </c>
      <c r="T3">
        <f>0</f>
        <v/>
      </c>
      <c r="V3">
        <f>IF(inputs_ok,0,NA())</f>
        <v/>
      </c>
      <c r="W3">
        <f>-0.15*pf_Bg</f>
        <v/>
      </c>
      <c r="Y3">
        <f>IF(inputs_ok,IF(TRUE,pf_cg/2,NA()),NA())</f>
        <v/>
      </c>
      <c r="Z3">
        <f>IF(TRUE,pf_h+0.15*pf_h,NA())</f>
        <v/>
      </c>
      <c r="AB3">
        <f>IF(inputs_ok,IF(TRUE,((pf_cg/2)+(pf_Bg/2))/2,NA()),NA())</f>
        <v/>
      </c>
      <c r="AC3">
        <f>IF(TRUE,((pf_h+0.15*pf_h)+(pf_h+0.15*pf_h))/2,NA())</f>
        <v/>
      </c>
      <c r="AE3">
        <f>IF(inputs_ok,IF(TRUE,pf_Bg/2+0.06*pf_Bg,NA()),NA())</f>
        <v/>
      </c>
      <c r="AF3">
        <f>IF(TRUE,0,NA())</f>
        <v/>
      </c>
      <c r="AH3">
        <f>IF(inputs_ok,IF(TRUE,((pf_Bg/2+0.06*pf_Bg)+(pf_Bg/2+0.06*pf_Bg))/2,NA()),NA())</f>
        <v/>
      </c>
      <c r="AI3">
        <f>IF(TRUE,((0)+(pf_h))/2,NA())</f>
        <v/>
      </c>
      <c r="AK3">
        <f>IF(inputs_ok,IF(TRUE,-pf_Bg/2,NA()),NA())</f>
        <v/>
      </c>
      <c r="AL3">
        <f>IF(TRUE,pf_h+MAX(pf_Ds,0.5*pf_h)+0.25*pf_h+0.1*pf_h,NA())</f>
        <v/>
      </c>
      <c r="AN3">
        <f>IF(inputs_ok,IF(TRUE,((-pf_Bg/2)+(pf_Bg/2))/2,NA()),NA())</f>
        <v/>
      </c>
      <c r="AO3">
        <f>IF(TRUE,((pf_h+MAX(pf_Ds,0.5*pf_h)+0.25*pf_h+0.1*pf_h)+(pf_h+MAX(pf_Ds,0.5*pf_h)+0.25*pf_h+0.1*pf_h))/2,NA())</f>
        <v/>
      </c>
      <c r="AQ3">
        <f>((-pf_Bg/2-0.3*pf_Bg)+(pf_Bg/2+0.3*pf_Bg))/2-MAX((pf_h+MAX(pf_Ds,0.5*pf_h)+0.25*pf_h+0.3*pf_h)-(-0.3*pf_Bg),((pf_Bg/2+0.3*pf_Bg)-(-pf_Bg/2-0.3*pf_Bg))/1.55)*0.53*1.55</f>
        <v/>
      </c>
      <c r="AR3">
        <f>((-0.3*pf_Bg)+(pf_h+MAX(pf_Ds,0.5*pf_h)+0.25*pf_h+0.3*pf_h))/2-MAX((pf_h+MAX(pf_Ds,0.5*pf_h)+0.25*pf_h+0.3*pf_h)-(-0.3*pf_Bg),((pf_Bg/2+0.3*pf_Bg)-(-pf_Bg/2-0.3*pf_Bg))/1.55)*0.53</f>
        <v/>
      </c>
    </row>
    <row r="4">
      <c r="D4">
        <f>IF(inputs_ok,pf_Bg/2,NA())</f>
        <v/>
      </c>
      <c r="E4">
        <f>0</f>
        <v/>
      </c>
      <c r="G4">
        <f>IF(inputs_ok,-pf_cg/2,NA())</f>
        <v/>
      </c>
      <c r="H4">
        <f>pf_h</f>
        <v/>
      </c>
      <c r="J4">
        <f>IF(inputs_ok,IF(pf_Ds&gt;0,pf_Bg/2+0.08*pf_Bg,NA()),NA())</f>
        <v/>
      </c>
      <c r="K4">
        <f>IF(pf_Ds&gt;0,pf_h+pf_Ds,NA())</f>
        <v/>
      </c>
      <c r="M4">
        <f>IF(inputs_ok,pf_Bg/2,NA())</f>
        <v/>
      </c>
      <c r="N4">
        <f>0</f>
        <v/>
      </c>
      <c r="P4">
        <f>IF(inputs_ok,-pf_Bg/2,NA())</f>
        <v/>
      </c>
      <c r="Q4">
        <f>0</f>
        <v/>
      </c>
      <c r="S4">
        <f>IF(inputs_ok,-pf_Bg/2,NA())</f>
        <v/>
      </c>
      <c r="T4">
        <f>-(0.15*pf_Bg/MAX(sig_pf,1))*sig_pf</f>
        <v/>
      </c>
      <c r="Y4">
        <f>IF(inputs_ok,IF(TRUE,pf_Bg/2,NA()),NA())</f>
        <v/>
      </c>
      <c r="Z4">
        <f>IF(TRUE,pf_h+0.15*pf_h,NA())</f>
        <v/>
      </c>
      <c r="AE4">
        <f>IF(inputs_ok,IF(TRUE,pf_Bg/2+0.06*pf_Bg,NA()),NA())</f>
        <v/>
      </c>
      <c r="AF4">
        <f>IF(TRUE,pf_h,NA())</f>
        <v/>
      </c>
      <c r="AK4">
        <f>IF(inputs_ok,IF(TRUE,pf_Bg/2,NA()),NA())</f>
        <v/>
      </c>
      <c r="AL4">
        <f>IF(TRUE,pf_h+MAX(pf_Ds,0.5*pf_h)+0.25*pf_h+0.1*pf_h,NA())</f>
        <v/>
      </c>
      <c r="AQ4">
        <f>((-pf_Bg/2-0.3*pf_Bg)+(pf_Bg/2+0.3*pf_Bg))/2+MAX((pf_h+MAX(pf_Ds,0.5*pf_h)+0.25*pf_h+0.3*pf_h)-(-0.3*pf_Bg),((pf_Bg/2+0.3*pf_Bg)-(-pf_Bg/2-0.3*pf_Bg))/1.55)*0.53*1.55</f>
        <v/>
      </c>
      <c r="AR4">
        <f>((-0.3*pf_Bg)+(pf_h+MAX(pf_Ds,0.5*pf_h)+0.25*pf_h+0.3*pf_h))/2+MAX((pf_h+MAX(pf_Ds,0.5*pf_h)+0.25*pf_h+0.3*pf_h)-(-0.3*pf_Bg),((pf_Bg/2+0.3*pf_Bg)-(-pf_Bg/2-0.3*pf_Bg))/1.55)*0.53</f>
        <v/>
      </c>
    </row>
    <row r="5">
      <c r="D5">
        <f>IF(inputs_ok,pf_Bg/2,NA())</f>
        <v/>
      </c>
      <c r="E5">
        <f>pf_h</f>
        <v/>
      </c>
      <c r="G5">
        <f>IF(inputs_ok,pf_cg/2,NA())</f>
        <v/>
      </c>
      <c r="H5">
        <f>pf_h</f>
        <v/>
      </c>
      <c r="S5">
        <f>IF(inputs_ok,pf_Bg/2,NA())</f>
        <v/>
      </c>
      <c r="T5">
        <f>-(0.15*pf_Bg/MAX(sig_pf,1))*sig_pf</f>
        <v/>
      </c>
    </row>
    <row r="6">
      <c r="D6">
        <f>IF(inputs_ok,-pf_Bg/2,NA())</f>
        <v/>
      </c>
      <c r="E6">
        <f>pf_h</f>
        <v/>
      </c>
      <c r="G6">
        <f>IF(inputs_ok,pf_cg/2,NA())</f>
        <v/>
      </c>
      <c r="H6">
        <f>pf_h+MAX(pf_Ds,0.5*pf_h)+0.25*pf_h</f>
        <v/>
      </c>
      <c r="S6">
        <f>IF(inputs_ok,pf_Bg/2,NA())</f>
        <v/>
      </c>
      <c r="T6">
        <f>0</f>
        <v/>
      </c>
    </row>
    <row r="7">
      <c r="D7">
        <f>IF(inputs_ok,-pf_Bg/2,NA())</f>
        <v/>
      </c>
      <c r="E7">
        <f>0</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7"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48" t="inlineStr">
        <is>
          <t>Parameter</t>
        </is>
      </c>
      <c r="C5" s="48" t="inlineStr">
        <is>
          <t>Clause</t>
        </is>
      </c>
      <c r="D5" s="48" t="inlineStr">
        <is>
          <t>UK NA</t>
        </is>
      </c>
      <c r="E5" s="48" t="inlineStr">
        <is>
          <t>PL NA</t>
        </is>
      </c>
      <c r="F5" s="48" t="inlineStr">
        <is>
          <t>Notes</t>
        </is>
      </c>
    </row>
    <row r="6">
      <c r="B6" s="49" t="inlineStr">
        <is>
          <t>Partial factor, concrete  γc</t>
        </is>
      </c>
      <c r="C6" s="50" t="inlineStr">
        <is>
          <t>2.4.2.4(1)</t>
        </is>
      </c>
      <c r="D6" s="51" t="n">
        <v>1.5</v>
      </c>
      <c r="E6" s="51" t="n">
        <v>1.4</v>
      </c>
      <c r="F6" s="50" t="inlineStr">
        <is>
          <t>Persistent &amp; transient. UK NA: recommended; PL: NA.2, Table NA.2</t>
        </is>
      </c>
    </row>
    <row r="7">
      <c r="B7" s="49" t="inlineStr">
        <is>
          <t>Partial factor, reinforcement  γs</t>
        </is>
      </c>
      <c r="C7" s="50" t="inlineStr">
        <is>
          <t>2.4.2.4(1)</t>
        </is>
      </c>
      <c r="D7" s="51" t="n">
        <v>1.15</v>
      </c>
      <c r="E7" s="51" t="n">
        <v>1.15</v>
      </c>
      <c r="F7" s="50" t="inlineStr">
        <is>
          <t>UK NA: recommended; PL: NA.2, Table NA.2</t>
        </is>
      </c>
    </row>
    <row r="8">
      <c r="B8" s="49" t="inlineStr">
        <is>
          <t>αcc  (compression in flexure / axial)</t>
        </is>
      </c>
      <c r="C8" s="50" t="inlineStr">
        <is>
          <t>3.1.6(1)</t>
        </is>
      </c>
      <c r="D8" s="51" t="n">
        <v>0.85</v>
      </c>
      <c r="E8" s="51" t="n">
        <v>1</v>
      </c>
      <c r="F8" s="50" t="inlineStr">
        <is>
          <t>UK NA: 0.85; PL: recommended (NA.9)</t>
        </is>
      </c>
    </row>
    <row r="9">
      <c r="B9" s="49" t="inlineStr">
        <is>
          <t>αcc,pl  (plain concrete, compression)</t>
        </is>
      </c>
      <c r="C9" s="50" t="inlineStr">
        <is>
          <t>12.3.1(1)</t>
        </is>
      </c>
      <c r="D9" s="51" t="n">
        <v>0.6</v>
      </c>
      <c r="E9" s="51" t="n">
        <v>0.8</v>
      </c>
      <c r="F9" s="50" t="inlineStr">
        <is>
          <t>UK NA Table NA.1: 0.6; PL: recommended (NA.9)</t>
        </is>
      </c>
    </row>
    <row r="10">
      <c r="B10" s="49" t="inlineStr">
        <is>
          <t>αcc  (shear and punching)</t>
        </is>
      </c>
      <c r="C10" s="50" t="inlineStr">
        <is>
          <t>3.1.6(1)</t>
        </is>
      </c>
      <c r="D10" s="51" t="n">
        <v>1</v>
      </c>
      <c r="E10" s="51" t="n">
        <v>1</v>
      </c>
      <c r="F10" s="50" t="inlineStr">
        <is>
          <t>UK NA: 1.0 for other phenomena; PL: recommended (NA.9)</t>
        </is>
      </c>
    </row>
    <row r="11">
      <c r="B11" s="49" t="inlineStr">
        <is>
          <t>αct  (design tensile strength)</t>
        </is>
      </c>
      <c r="C11" s="50" t="inlineStr">
        <is>
          <t>3.1.6(2)</t>
        </is>
      </c>
      <c r="D11" s="51" t="n">
        <v>1</v>
      </c>
      <c r="E11" s="51" t="n">
        <v>1</v>
      </c>
      <c r="F11" s="50" t="inlineStr">
        <is>
          <t>Recommended value in both annexes</t>
        </is>
      </c>
    </row>
    <row r="12">
      <c r="B12" s="49" t="inlineStr">
        <is>
          <t>CRd,c numerator  (CRd,c = value / γc)</t>
        </is>
      </c>
      <c r="C12" s="50" t="inlineStr">
        <is>
          <t>6.2.2(1), 6.4.4(1)</t>
        </is>
      </c>
      <c r="D12" s="51" t="n">
        <v>0.18</v>
      </c>
      <c r="E12" s="51" t="n">
        <v>0.18</v>
      </c>
      <c r="F12" s="50" t="inlineStr">
        <is>
          <t>Recommended value in both annexes</t>
        </is>
      </c>
    </row>
    <row r="13">
      <c r="B13" s="49" t="inlineStr">
        <is>
          <t>k1  (axial stress term, punching)</t>
        </is>
      </c>
      <c r="C13" s="50" t="inlineStr">
        <is>
          <t>6.4.4(1)</t>
        </is>
      </c>
      <c r="D13" s="51" t="n">
        <v>0.1</v>
      </c>
      <c r="E13" s="51" t="n">
        <v>0.1</v>
      </c>
      <c r="F13" s="50" t="inlineStr">
        <is>
          <t>Recommended value in both annexes</t>
        </is>
      </c>
    </row>
    <row r="14">
      <c r="B14" s="49" t="inlineStr">
        <is>
          <t>vRd,max factor  (vRd,max = factor · ν · fcd)</t>
        </is>
      </c>
      <c r="C14" s="50" t="inlineStr">
        <is>
          <t>6.4.5(3)</t>
        </is>
      </c>
      <c r="D14" s="51" t="n">
        <v>0.5</v>
      </c>
      <c r="E14" s="51" t="n">
        <v>0.4</v>
      </c>
      <c r="F14" s="50" t="inlineStr">
        <is>
          <t>UK NA: 0.5 ν fcd; PL: recommended value (NA.9), 0.4 ν fcd since EN 1992-1-1 AC:2010 (PN-EN 1992-1-1:2008/AC:2011)</t>
        </is>
      </c>
    </row>
    <row r="15">
      <c r="B15" s="49" t="inlineStr">
        <is>
          <t>kmax  (vEd ≤ kmax · vRd,c at u1)</t>
        </is>
      </c>
      <c r="C15" s="50" t="inlineStr">
        <is>
          <t>6.4.5</t>
        </is>
      </c>
      <c r="D15" s="51" t="n">
        <v>2</v>
      </c>
      <c r="E15" s="51" t="n">
        <v>1.5</v>
      </c>
      <c r="F15" s="50" t="inlineStr">
        <is>
          <t>UK NA 6.4.5(3): 2 vRd,c. PL: no limit in PN-EN 1992-1-1:2008; 1.5 (A1:2014 recommendation) applied conservatively</t>
        </is>
      </c>
    </row>
    <row r="16">
      <c r="B16" s="49" t="inlineStr">
        <is>
          <t>φlarge  (large bar threshold, mm)</t>
        </is>
      </c>
      <c r="C16" s="50" t="inlineStr">
        <is>
          <t>8.8(1)</t>
        </is>
      </c>
      <c r="D16" s="51" t="n">
        <v>40</v>
      </c>
      <c r="E16" s="51" t="n">
        <v>32</v>
      </c>
      <c r="F16" s="50" t="inlineStr">
        <is>
          <t>UK NA: 40 mm; PL: 32 mm recommended (NA.9)</t>
        </is>
      </c>
    </row>
    <row r="17">
      <c r="B17" s="49" t="inlineStr">
        <is>
          <t>cot θ upper limit  (variable strut)</t>
        </is>
      </c>
      <c r="C17" s="50" t="inlineStr">
        <is>
          <t>6.2.3(2)</t>
        </is>
      </c>
      <c r="D17" s="51" t="n">
        <v>2.5</v>
      </c>
      <c r="E17" s="51" t="n">
        <v>2</v>
      </c>
      <c r="F17" s="50" t="inlineStr">
        <is>
          <t>UK NA: 2.5 (1.25 with axial tension); PL: NA.4, 1 ≤ cot θ ≤ 2.0</t>
        </is>
      </c>
    </row>
    <row r="18">
      <c r="B18" s="49" t="inlineStr">
        <is>
          <t>k1  (x/d limit, δ ≥ k1 + k2 xu/d)</t>
        </is>
      </c>
      <c r="C18" s="50" t="inlineStr">
        <is>
          <t>5.5(4)</t>
        </is>
      </c>
      <c r="D18" s="51" t="n">
        <v>0.4</v>
      </c>
      <c r="E18" s="51" t="n">
        <v>0.44</v>
      </c>
      <c r="F18" s="50" t="inlineStr">
        <is>
          <t>UK NA for fyk ≤ 500 MPa; PL: recommended (NA.9)</t>
        </is>
      </c>
    </row>
    <row r="19">
      <c r="B19" s="49" t="inlineStr">
        <is>
          <t>k2  (x/d limit, εcu2 = 0.0035)</t>
        </is>
      </c>
      <c r="C19" s="50" t="inlineStr">
        <is>
          <t>5.5(4)</t>
        </is>
      </c>
      <c r="D19" s="51" t="n">
        <v>1</v>
      </c>
      <c r="E19" s="51" t="n">
        <v>1.25</v>
      </c>
      <c r="F19" s="50" t="inlineStr">
        <is>
          <t>UK NA: 0.6 + 0.0014/εcu2; PL: 1.25(0.6 + 0.0014/εcu2)</t>
        </is>
      </c>
    </row>
    <row r="20">
      <c r="B20" s="49" t="inlineStr">
        <is>
          <t>Upper limit on the (310/σs) factor  (0 = none)</t>
        </is>
      </c>
      <c r="C20" s="50" t="inlineStr">
        <is>
          <t>7.4.2(2)</t>
        </is>
      </c>
      <c r="D20" s="51" t="n">
        <v>1.5</v>
      </c>
      <c r="E20" s="51" t="n">
        <v>0</v>
      </c>
      <c r="F20" s="50" t="inlineStr">
        <is>
          <t>UK NA Table NA.5 Note 5: (310/σs) or (500/fyk)(As,prov/As,req) ≤ 1.5; PL: none</t>
        </is>
      </c>
    </row>
    <row r="21">
      <c r="B21" s="49" t="inlineStr">
        <is>
          <t>L/d not to exceed 40 K  (1 = applies)</t>
        </is>
      </c>
      <c r="C21" s="50" t="inlineStr">
        <is>
          <t>7.4.2(2)</t>
        </is>
      </c>
      <c r="D21" s="51" t="n">
        <v>1</v>
      </c>
      <c r="E21" s="51" t="n">
        <v>0</v>
      </c>
      <c r="F21" s="50" t="inlineStr">
        <is>
          <t>UK NA Table NA.5 Note 6; not in EN text</t>
        </is>
      </c>
    </row>
    <row r="22">
      <c r="B22" s="49" t="inlineStr">
        <is>
          <t>φmin  (longitudinal bars in columns, mm)</t>
        </is>
      </c>
      <c r="C22" s="50" t="inlineStr">
        <is>
          <t>9.5.2(1)</t>
        </is>
      </c>
      <c r="D22" s="51" t="n">
        <v>12</v>
      </c>
      <c r="E22" s="51" t="n">
        <v>6</v>
      </c>
      <c r="F22" s="50" t="inlineStr">
        <is>
          <t>UK NA: 12 mm; PL: NA.6, 6 mm</t>
        </is>
      </c>
    </row>
    <row r="23">
      <c r="B23" s="49" t="inlineStr">
        <is>
          <t>k3  (crack spacing)</t>
        </is>
      </c>
      <c r="C23" s="50" t="inlineStr">
        <is>
          <t>7.3.4(3)</t>
        </is>
      </c>
      <c r="D23" s="51" t="n">
        <v>3.4</v>
      </c>
      <c r="E23" s="51" t="n">
        <v>3.4</v>
      </c>
      <c r="F23" s="50" t="inlineStr">
        <is>
          <t>Recommended value in both annexes</t>
        </is>
      </c>
    </row>
    <row r="24">
      <c r="B24" s="49" t="inlineStr">
        <is>
          <t>k4  (crack spacing)</t>
        </is>
      </c>
      <c r="C24" s="50" t="inlineStr">
        <is>
          <t>7.3.4(3)</t>
        </is>
      </c>
      <c r="D24" s="51" t="n">
        <v>0.425</v>
      </c>
      <c r="E24" s="51" t="n">
        <v>0.425</v>
      </c>
      <c r="F24" s="50" t="inlineStr">
        <is>
          <t>Recommended value in both annexes</t>
        </is>
      </c>
    </row>
    <row r="25">
      <c r="B25" s="49" t="inlineStr">
        <is>
          <t>k1  (concrete stress, characteristic; XD, XF, XS)</t>
        </is>
      </c>
      <c r="C25" s="50" t="inlineStr">
        <is>
          <t>7.2(2)</t>
        </is>
      </c>
      <c r="D25" s="51" t="n">
        <v>0.6</v>
      </c>
      <c r="E25" s="51" t="n">
        <v>1</v>
      </c>
      <c r="F25" s="50" t="inlineStr">
        <is>
          <t>UK NA: recommended; PL: NA.5, k1 = 1.0</t>
        </is>
      </c>
    </row>
    <row r="26">
      <c r="B26" s="49" t="inlineStr">
        <is>
          <t>k2  (concrete stress, quasi-permanent; linear creep)</t>
        </is>
      </c>
      <c r="C26" s="50" t="inlineStr">
        <is>
          <t>7.2(3)</t>
        </is>
      </c>
      <c r="D26" s="51" t="n">
        <v>0.45</v>
      </c>
      <c r="E26" s="51" t="n">
        <v>0.45</v>
      </c>
      <c r="F26" s="50" t="inlineStr">
        <is>
          <t>Recommended value in both annexes (UK NA; PL NA.9)</t>
        </is>
      </c>
    </row>
    <row r="27">
      <c r="B27" s="49" t="inlineStr">
        <is>
          <t>k3  (steel stress, characteristic)</t>
        </is>
      </c>
      <c r="C27" s="50" t="inlineStr">
        <is>
          <t>7.2(5)</t>
        </is>
      </c>
      <c r="D27" s="51" t="n">
        <v>0.8</v>
      </c>
      <c r="E27" s="51" t="n">
        <v>0.8</v>
      </c>
      <c r="F27" s="50" t="inlineStr">
        <is>
          <t>Recommended value in both annexes (UK NA; PL NA.9)</t>
        </is>
      </c>
    </row>
    <row r="28">
      <c r="B28" s="49" t="inlineStr">
        <is>
          <t>k4  (steel stress, imposed deformation)</t>
        </is>
      </c>
      <c r="C28" s="50" t="inlineStr">
        <is>
          <t>7.2(5)</t>
        </is>
      </c>
      <c r="D28" s="51" t="n">
        <v>1</v>
      </c>
      <c r="E28" s="51" t="n">
        <v>1</v>
      </c>
      <c r="F28" s="50"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&amp;K8A8A8ANAE-RC-032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NAE-RC-032 Plain concrete footing</dc:title>
  <dc:subject xmlns:dc="http://purl.org/dc/elements/1.1/">Unreinforced strip or pad footing  ·  EN 1992-1-1 §12.9.3  ·  UK NA / PN-EN</dc:subject>
  <dcterms:created xmlns:dcterms="http://purl.org/dc/terms/" xmlns:xsi="http://www.w3.org/2001/XMLSchema-instance" xsi:type="dcterms:W3CDTF">2026-10-30T10:58:39Z</dcterms:created>
  <dcterms:modified xmlns:dcterms="http://purl.org/dc/terms/" xmlns:xsi="http://www.w3.org/2001/XMLSchema-instance" xsi:type="dcterms:W3CDTF">2026-10-30T10:58:39Z</dcterms:modified>
  <cp:lastModifiedBy>NA Engineering sp. z o.o.</cp:lastModifiedBy>
  <cp:keywords>NA Engineering; Eurocode 2; EN 1992-1-1</cp:keywords>
</cp:coreProperties>
</file>