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fb_type">'Calculation'!$E$14</definedName>
    <definedName name="fb_bw">'Calculation'!$E$15</definedName>
    <definedName name="fb_h">'Calculation'!$E$16</definedName>
    <definedName name="fb_hf">'Calculation'!$E$17</definedName>
    <definedName name="fb_d">'Calculation'!$E$18</definedName>
    <definedName name="fb_b1">'Calculation'!$E$19</definedName>
    <definedName name="fb_b2">'Calculation'!$E$20</definedName>
    <definedName name="fb_l0">'Calculation'!$E$21</definedName>
    <definedName name="fb_n">'Calculation'!$E$22</definedName>
    <definedName name="fb_phi">'Calculation'!$E$23</definedName>
    <definedName name="fb_phif">'Calculation'!$E$24</definedName>
    <definedName name="fb_sf">'Calculation'!$E$25</definedName>
    <definedName name="fb_M">'Calculation'!$E$28</definedName>
    <definedName name="fb_aM">'Calculation'!$E$29</definedName>
    <definedName name="fb_aP">'Calculation'!$E$30</definedName>
    <definedName name="fb_dx">'Calculation'!$E$31</definedName>
    <definedName name="inputs_ok">IFERROR(AND(OR(NA_sel="UK NA (BS EN)",NA_sel="PL NA (PN-EN)"),OR(conc_class="C20/25",conc_class="C25/30",conc_class="C28/35",conc_class="C30/37",conc_class="C32/40",conc_class="C35/45",conc_class="C40/50",conc_class="C45/55",conc_class="C50/60"),ISNUMBER(f_yk),f_yk&gt;0,OR(fb_type="T-beam  (flange both sides)",fb_type="L-beam  (flange one side)"),ISNUMBER(fb_bw),fb_bw&gt;0,ISNUMBER(fb_h),fb_h&gt;0,ISNUMBER(fb_hf),fb_hf&gt;0,ISNUMBER(fb_d),fb_d&gt;0,ISNUMBER(fb_b1),fb_b1&gt;=0,ISNUMBER(fb_b2),fb_b2&gt;=0,ISNUMBER(fb_l0),fb_l0&gt;0,ISNUMBER(fb_n),fb_n&gt;0,OR(AND(ISNUMBER(fb_phi),fb_phi=8),AND(ISNUMBER(fb_phi),fb_phi=10),AND(ISNUMBER(fb_phi),fb_phi=12),AND(ISNUMBER(fb_phi),fb_phi=16),AND(ISNUMBER(fb_phi),fb_phi=20),AND(ISNUMBER(fb_phi),fb_phi=25),AND(ISNUMBER(fb_phi),fb_phi=32),AND(ISNUMBER(fb_phi),fb_phi=40)),OR(AND(ISNUMBER(fb_phif),fb_phif=8),AND(ISNUMBER(fb_phif),fb_phif=10),AND(ISNUMBER(fb_phif),fb_phif=12),AND(ISNUMBER(fb_phif),fb_phif=16),AND(ISNUMBER(fb_phif),fb_phif=20),AND(ISNUMBER(fb_phif),fb_phif=25),AND(ISNUMBER(fb_phif),fb_phif=32),AND(ISNUMBER(fb_phif),fb_phif=40)),ISNUMBER(fb_sf),fb_sf&gt;0,ISNUMBER(fb_M),fb_M&gt;0,ISNUMBER(fb_aM),fb_aM&gt;0,ISNUMBER(fb_aP),fb_aP&gt;=0,ISNUMBER(fb_dx),fb_dx&gt;0,AND(f_yk&gt;=400,f_yk&lt;=500,fb_hf&lt;fb_h,fb_d&lt;fb_h,fb_d&gt;fb_hf,INT(fb_n)=fb_n,fb_n&gt;=1,fb_n&lt;=8,fb_fck&lt;=50,fb_n*fb_phi+(fb_n-1)*MAX(fb_phi,25)&lt;=fb_bw-2*(fb_h-fb_d)+fb_phi,fb_h-fb_d-fb_phi/2&gt;=25,fb_d-fb_phi/2&gt;=25,fb_hf&gt;=fb_phif+40,fb_sf-fb_phif&gt;=MAX(fb_phif,20),fb_dx&lt;=fb_aM/2,OR(fb_aP=0,fb_dx&lt;=fb_aP))),FALSE)</definedName>
    <definedName name="input_status">'Calculation'!$G$32</definedName>
    <definedName name="fb_fck">VALUE(MID(conc_class,2,FIND("/",conc_class)-2))</definedName>
    <definedName name="fb_T">fb_type="T-beam  (flange both sides)"</definedName>
    <definedName name="fb_e1L">IF(fb_T,beff1_fb,0)</definedName>
    <definedName name="fb_e2R">IF(fb_T,beff2_fb,beff1_fb)</definedName>
    <definedName name="fb_s1L">IF(fb_T,MIN(fb_b1,beff1_fb+0.3*fb_h),0)</definedName>
    <definedName name="fb_s2R">IF(fb_T,MIN(fb_b2,beff2_fb+0.3*fb_h),MIN(fb_b1,beff1_fb+0.3*fb_h))</definedName>
    <definedName name="bend_ok">IFERROR(AND(NOT(ISNA(As_fb)),As_prov_fb&gt;=MAX(As_fb,Asmin_fb),As_prov_fb&lt;=0.04*Ac_fb),FALSE)</definedName>
    <definedName name="crush_fb_ok">IFERROR(vEd_fb&lt;=0.5*nu_fb*fcds_fb,FALSE)</definedName>
    <definedName name="flsteel_ok">IFERROR(Asf_prov&gt;=Asf_req,FALSE)</definedName>
    <definedName name="bend_status">'Calculation'!$G$35</definedName>
    <definedName name="crush_status">'Calculation'!$G$36</definedName>
    <definedName name="flange_status">'Calculation'!$G$37</definedName>
    <definedName name="na_status">'Calculation'!$G$39</definedName>
    <definedName name="gamma_c">'Calculation'!$E$66</definedName>
    <definedName name="gamma_s">'Calculation'!$E$67</definedName>
    <definedName name="alpha_cc">'Calculation'!$E$68</definedName>
    <definedName name="alpha_cc_shear">'Calculation'!$E$69</definedName>
    <definedName name="alpha_ct">'Calculation'!$E$70</definedName>
    <definedName name="k1_red">'Calculation'!$E$71</definedName>
    <definedName name="k2_red">'Calculation'!$E$72</definedName>
    <definedName name="f_ck">'Calculation'!$E$73</definedName>
    <definedName name="f_ctm">'Calculation'!$E$74</definedName>
    <definedName name="beff1_fb">'Calculation'!$E$75</definedName>
    <definedName name="beff2_fb">'Calculation'!$E$76</definedName>
    <definedName name="b_eff">'Calculation'!$E$77</definedName>
    <definedName name="fcd_fb">'Calculation'!$E$80</definedName>
    <definedName name="fyd_fb">'Calculation'!$E$81</definedName>
    <definedName name="xiy_fb">'Calculation'!$E$82</definedName>
    <definedName name="xil_fb">'Calculation'!$E$83</definedName>
    <definedName name="Kl_fb">'Calculation'!$E$84</definedName>
    <definedName name="Mf_fb">'Calculation'!$E$85</definedName>
    <definedName name="in_flange">fb_M&lt;=Mf_fb</definedName>
    <definedName name="Fout_fb">'Calculation'!$E$86</definedName>
    <definedName name="Mr_fb">'Calculation'!$E$87</definedName>
    <definedName name="br_fb">'Calculation'!$E$88</definedName>
    <definedName name="K_fb">'Calculation'!$E$89</definedName>
    <definedName name="z_fb">'Calculation'!$E$90</definedName>
    <definedName name="x_fb">'Calculation'!$E$91</definedName>
    <definedName name="As_fb">'Calculation'!$E$92</definedName>
    <definedName name="Asmin_fb">'Calculation'!$E$93</definedName>
    <definedName name="Ac_fb">'Calculation'!$E$94</definedName>
    <definedName name="As_prov_fb">'Calculation'!$E$95</definedName>
    <definedName name="chk_bend">'Calculation'!$G$96</definedName>
    <definedName name="bo_fb">'Calculation'!$E$99</definedName>
    <definedName name="dF_fb">'Calculation'!$E$100</definedName>
    <definedName name="vEd_fb">'Calculation'!$E$101</definedName>
    <definedName name="fcds_fb">'Calculation'!$E$102</definedName>
    <definedName name="fctd_fb">'Calculation'!$E$103</definedName>
    <definedName name="nu_fb">'Calculation'!$E$104</definedName>
    <definedName name="r_fb">'Calculation'!$E$105</definedName>
    <definedName name="cotf_fb">'Calculation'!$E$106</definedName>
    <definedName name="chk_crush">'Calculation'!$G$107</definedName>
    <definedName name="vlim_fb">'Calculation'!$E$108</definedName>
    <definedName name="Asf_req">'Calculation'!$E$109</definedName>
    <definedName name="Asf_prov">'Calculation'!$E$110</definedName>
    <definedName name="chk_flange">'Calculation'!$G$111</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'Calculation'!$A$1:$H$115</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 fontId="12"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'Geometry'!$D$3:$D$11</f>
            </numRef>
          </xVal>
          <yVal>
            <numRef>
              <f>'Geometry'!$E$3:$E$11</f>
            </numRef>
          </yVal>
          <smooth val="0"/>
        </ser>
        <ser>
          <idx val="2"/>
          <order val="2"/>
          <tx>
            <v>slab left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'Geometry'!$G$3:$G$6</f>
            </numRef>
          </xVal>
          <yVal>
            <numRef>
              <f>'Geometry'!$H$3:$H$6</f>
            </numRef>
          </yVal>
          <smooth val="0"/>
        </ser>
        <ser>
          <idx val="3"/>
          <order val="3"/>
          <tx>
            <v>slab right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'Geometry'!$J$3:$J$6</f>
            </numRef>
          </xVal>
          <yVal>
            <numRef>
              <f>'Geometry'!$K$3:$K$6</f>
            </numRef>
          </yVal>
          <smooth val="0"/>
        </ser>
        <ser>
          <idx val="4"/>
          <order val="4"/>
          <tx>
            <v>compression block</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'Geometry'!$M$3:$M$4</f>
            </numRef>
          </xVal>
          <yVal>
            <numRef>
              <f>'Geometry'!$N$3:$N$4</f>
            </numRef>
          </yVal>
          <smooth val="0"/>
        </ser>
        <ser>
          <idx val="5"/>
          <order val="5"/>
          <tx>
            <v>block in the web</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neutral axis</v>
          </tx>
          <spPr>
            <a:ln xmlns:a="http://schemas.openxmlformats.org/drawingml/2006/main" w="12700">
              <a:solidFill>
                <a:srgbClr val="B3261E"/>
              </a:solidFill>
              <a:prstDash val="dash"/>
            </a:ln>
          </spPr>
          <marker>
            <symbol val="none"/>
            <spPr>
              <a:ln xmlns:a="http://schemas.openxmlformats.org/drawingml/2006/main">
                <a:prstDash val="solid"/>
              </a:ln>
            </spPr>
          </marker>
          <xVal>
            <numRef>
              <f>'Geometry'!$S$3:$S$4</f>
            </numRef>
          </xVal>
          <yVal>
            <numRef>
              <f>'Geometry'!$T$3:$T$4</f>
            </numRef>
          </yVal>
          <smooth val="0"/>
        </ser>
        <ser>
          <idx val="7"/>
          <order val="7"/>
          <tx>
            <v>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'Geometry'!$V$3:$V$13</f>
            </numRef>
          </xVal>
          <yVal>
            <numRef>
              <f>'Geometry'!$W$3:$W$13</f>
            </numRef>
          </yVal>
          <smooth val="0"/>
        </ser>
        <ser>
          <idx val="8"/>
          <order val="8"/>
          <tx>
            <v>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'Geometry'!$Y$3:$Y$13</f>
            </numRef>
          </xVal>
          <yVal>
            <numRef>
              <f>'Geometry'!$Z$3:$Z$13</f>
            </numRef>
          </yVal>
          <smooth val="0"/>
        </ser>
        <ser>
          <idx val="9"/>
          <order val="9"/>
          <tx>
            <v>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'Geometry'!$AB$3:$AB$13</f>
            </numRef>
          </xVal>
          <yVal>
            <numRef>
              <f>'Geometry'!$AC$3:$AC$13</f>
            </numRef>
          </yVal>
          <smooth val="0"/>
        </ser>
        <ser>
          <idx val="10"/>
          <order val="10"/>
          <tx>
            <v>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'Geometry'!$AE$3:$AE$13</f>
            </numRef>
          </xVal>
          <yVal>
            <numRef>
              <f>'Geometry'!$AF$3:$AF$13</f>
            </numRef>
          </yVal>
          <smooth val="0"/>
        </ser>
        <ser>
          <idx val="11"/>
          <order val="11"/>
          <tx>
            <v>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'Geometry'!$AH$3:$AH$13</f>
            </numRef>
          </xVal>
          <yVal>
            <numRef>
              <f>'Geometry'!$AI$3:$AI$13</f>
            </numRef>
          </yVal>
          <smooth val="0"/>
        </ser>
        <ser>
          <idx val="12"/>
          <order val="12"/>
          <tx>
            <v>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'Geometry'!$AK$3:$AK$13</f>
            </numRef>
          </xVal>
          <yVal>
            <numRef>
              <f>'Geometry'!$AL$3:$AL$13</f>
            </numRef>
          </yVal>
          <smooth val="0"/>
        </ser>
        <ser>
          <idx val="13"/>
          <order val="13"/>
          <tx>
            <v>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'Geometry'!$AN$3:$AN$13</f>
            </numRef>
          </xVal>
          <yVal>
            <numRef>
              <f>'Geometry'!$AO$3:$AO$13</f>
            </numRef>
          </yVal>
          <smooth val="0"/>
        </ser>
        <ser>
          <idx val="14"/>
          <order val="14"/>
          <tx>
            <v>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'Geometry'!$AQ$3:$AQ$13</f>
            </numRef>
          </xVal>
          <yVal>
            <numRef>
              <f>'Geometry'!$AR$3:$AR$13</f>
            </numRef>
          </yVal>
          <smooth val="0"/>
        </ser>
        <ser>
          <idx val="15"/>
          <order val="1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'Geometry'!$AW$3</f>
            </numRef>
          </xVal>
          <yVal>
            <numRef>
              <f>'Geometry'!$AX$3</f>
            </numRef>
          </yVal>
          <smooth val="0"/>
        </ser>
        <ser>
          <idx val="17"/>
          <order val="1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'Geometry'!$AZ$3:$AZ$4</f>
            </numRef>
          </xVal>
          <yVal>
            <numRef>
              <f>'Geometry'!$BA$3:$BA$4</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'Geometry'!$BC$3</f>
            </numRef>
          </xVal>
          <yVal>
            <numRef>
              <f>'Geometry'!$BD$3</f>
            </numRef>
          </yVal>
          <smooth val="0"/>
        </ser>
        <ser>
          <idx val="19"/>
          <order val="1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'Geometry'!$BF$3:$BF$4</f>
            </numRef>
          </xVal>
          <yVal>
            <numRef>
              <f>'Geometry'!$BG$3:$BG$4</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'Geometry'!$BI$3</f>
            </numRef>
          </xVal>
          <yVal>
            <numRef>
              <f>'Geometry'!$BJ$3</f>
            </numRef>
          </yVal>
          <smooth val="0"/>
        </ser>
        <ser>
          <idx val="21"/>
          <order val="2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'Geometry'!$BL$3:$BL$4</f>
            </numRef>
          </xVal>
          <yVal>
            <numRef>
              <f>'Geometry'!$BM$3:$BM$4</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'Geometry'!$BO$3</f>
            </numRef>
          </xVal>
          <yVal>
            <numRef>
              <f>'Geometry'!$BP$3</f>
            </numRef>
          </yVal>
          <smooth val="0"/>
        </ser>
        <ser>
          <idx val="23"/>
          <order val="23"/>
          <tx>
            <strRef>
              <f>'Geometry'!$BR$2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'Geometry'!$BR$3</f>
            </numRef>
          </xVal>
          <yVal>
            <numRef>
              <f>'Geometry'!$BS$3</f>
            </numRef>
          </yVal>
          <smooth val="0"/>
        </ser>
        <ser>
          <idx val="24"/>
          <order val="24"/>
          <tx>
            <v>frame</v>
          </tx>
          <spPr>
            <a:ln xmlns:a="http://schemas.openxmlformats.org/drawingml/2006/main">
              <a:noFill/>
              <a:prstDash val="solid"/>
            </a:ln>
          </spPr>
          <marker>
            <symbol val="none"/>
            <spPr>
              <a:ln xmlns:a="http://schemas.openxmlformats.org/drawingml/2006/main">
                <a:prstDash val="solid"/>
              </a:ln>
            </spPr>
          </marker>
          <xVal>
            <numRef>
              <f>'Geometry'!$BU$3:$BU$4</f>
            </numRef>
          </xVal>
          <yVal>
            <numRef>
              <f>'Geometry'!$BV$3:$BV$4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42</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Flanged beam</t>
        </is>
      </c>
    </row>
    <row r="8" ht="20" customHeight="1">
      <c r="B8" s="4" t="inlineStr">
        <is>
          <t>T and L beams in sagging  ·  EN 1992-1-1 §5.3.2.1, §6.1, §6.2.4  ·  UK NA / PN-EN</t>
        </is>
      </c>
    </row>
    <row r="10">
      <c r="B10" s="5" t="inlineStr">
        <is>
          <t>Reference</t>
        </is>
      </c>
      <c r="C10" s="6" t="inlineStr">
        <is>
          <t>NAE-RC-031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Bending design of a T or L beam with the flange (a slab cast with it) in compression: the effective flange width, the neutral axis in the flange or in the web, the tension steel needed, and the longitudinal shear between the web and the flange with the transverse steel it needs in the flange.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65" customHeight="1">
      <c r="B22" s="7" t="inlineStr">
        <is>
          <t>Sagging moment only (flange in compression), tension bars in one layer at d, no compression steel: where K &gt; K′ the sheet reports FAIL. Effective width to 5.3.2.1 (5.7), (5.7a), (5.7b): beff,i = min(0.2 bi + 0.1 l0; 0.2 l0; bi) with bi half the clear distance to the next web and l0 the distance between points of zero moment (Figure 5.2, entered). Rectangular stress block λ = 0.8, η = 1 (fck ≤ 50 MPa), fcd = αcc fck / γc. Stress block (0.8 x) in the flange when MEd ≤ fcd beff hf (d − hf/2): the section is rectangular beff wide; otherwise the outstands carry fcd (beff − bw) hf and the web the rest, its depth limited by K′ (5.5(4), no redistribution). As,min to (9.1N) with bt = bw, As,max 0.04 Ac. The flange transverse bars must fit in hf with at least 20 mm above and below them; θf limits (6.2.4(4)) and k = 0.4 (6.2.4(6)) are the recommended values, kept by the UK NA and the PL NA (NA.9). The neutral axis x is shown from equilibrium; the steel uses z ≤ 0.95 d (conservative). Bars in one layer; their centres are h − d from the bottom and from the sides of the web, with at least 25 mm of concrete outside them (cover to the bars, links included; the cover for durability and fire is for the designer). Flange shear (6.2.4): ΔFd is the force in the larger outstand at MEd, built up over Δx (entered and checked: at most half the distance between zero and maximum moment and, with point loads, at most their spacing; the whole outstand force over that length is conservative); vEd = ΔFd / (hf Δx); no extra steel if vEd ≤ k fctd (k = 0.4, 6.2.4(6)); otherwise Asf / sf = vEd hf / (fyd cot θf) with the largest cot θf ≤ 2.0 (26.5° ≤ θf ≤ 45° for a compression flange) that keeps vEd ≤ ν fcd sin θf cos θf (6.22). Where the flange also bends across the web, provide the larger of Asf and half Asf plus the bending steel (6.2.4(5)), not checked here. Vertical shear of the web: RC-004. fyk 400 – 500 MPa.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Beams (flanged beams, flange shear).
•  The Concrete Centre, Concise Eurocode 2, 5.3 and 7.2.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14"/>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Flanged beam</t>
        </is>
      </c>
      <c r="H2" s="1" t="n"/>
    </row>
    <row r="3" ht="16" customHeight="1">
      <c r="A3" s="1" t="n"/>
      <c r="B3" s="1" t="n"/>
      <c r="C3" s="15" t="inlineStr">
        <is>
          <t>NAE-RC-031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Section</t>
        </is>
      </c>
      <c r="D14" s="23" t="n"/>
      <c r="E14" s="25" t="inlineStr">
        <is>
          <t>T-beam  (flange both sides)</t>
        </is>
      </c>
      <c r="F14" s="23" t="n"/>
      <c r="G14" s="23" t="n"/>
    </row>
    <row r="15" ht="17" customHeight="1">
      <c r="B15" s="23" t="n"/>
      <c r="C15" s="24" t="inlineStr">
        <is>
          <t>Web width</t>
        </is>
      </c>
      <c r="D15" s="27" t="inlineStr">
        <is>
          <r>
            <rPr>
              <rFont val="Calibri"/>
              <i val="1"/>
              <color rgb="002B2B2B"/>
              <sz val="10"/>
            </rPr>
            <t>b</t>
          </r>
          <r>
            <rPr>
              <rFont val="Calibri"/>
              <i val="1"/>
              <color rgb="002B2B2B"/>
              <sz val="10"/>
              <vertAlign val="subscript"/>
            </rPr>
            <t>w</t>
          </r>
        </is>
      </c>
      <c r="E15" s="25" t="n">
        <v>300</v>
      </c>
      <c r="F15" s="28" t="inlineStr">
        <is>
          <t>mm</t>
        </is>
      </c>
      <c r="G15" s="23" t="n"/>
    </row>
    <row r="16" ht="17" customHeight="1">
      <c r="B16" s="23" t="n"/>
      <c r="C16" s="24" t="inlineStr">
        <is>
          <t>Overall depth</t>
        </is>
      </c>
      <c r="D16" s="27" t="inlineStr">
        <is>
          <r>
            <rPr>
              <rFont val="Calibri"/>
              <i val="1"/>
              <color rgb="002B2B2B"/>
              <sz val="10"/>
            </rPr>
            <t>h</t>
          </r>
        </is>
      </c>
      <c r="E16" s="25" t="n">
        <v>600</v>
      </c>
      <c r="F16" s="28" t="inlineStr">
        <is>
          <t>mm</t>
        </is>
      </c>
      <c r="G16" s="23" t="n"/>
    </row>
    <row r="17" ht="17" customHeight="1">
      <c r="B17" s="23" t="n"/>
      <c r="C17" s="24" t="inlineStr">
        <is>
          <t>Flange thickness</t>
        </is>
      </c>
      <c r="D17" s="27" t="inlineStr">
        <is>
          <r>
            <rPr>
              <rFont val="Calibri"/>
              <i val="1"/>
              <color rgb="002B2B2B"/>
              <sz val="10"/>
            </rPr>
            <t>h</t>
          </r>
          <r>
            <rPr>
              <rFont val="Calibri"/>
              <i val="1"/>
              <color rgb="002B2B2B"/>
              <sz val="10"/>
              <vertAlign val="subscript"/>
            </rPr>
            <t>f</t>
          </r>
        </is>
      </c>
      <c r="E17" s="25" t="n">
        <v>150</v>
      </c>
      <c r="F17" s="28" t="inlineStr">
        <is>
          <t>mm</t>
        </is>
      </c>
      <c r="G17" s="23" t="n"/>
    </row>
    <row r="18" ht="17" customHeight="1">
      <c r="B18" s="23" t="n"/>
      <c r="C18" s="24" t="inlineStr">
        <is>
          <t>Effective depth to the tension bars</t>
        </is>
      </c>
      <c r="D18" s="27" t="inlineStr">
        <is>
          <r>
            <rPr>
              <rFont val="Calibri"/>
              <i val="1"/>
              <color rgb="002B2B2B"/>
              <sz val="10"/>
            </rPr>
            <t>d</t>
          </r>
        </is>
      </c>
      <c r="E18" s="25" t="n">
        <v>545</v>
      </c>
      <c r="F18" s="28" t="inlineStr">
        <is>
          <t>mm</t>
        </is>
      </c>
      <c r="G18" s="23" t="n"/>
    </row>
    <row r="19" ht="17" customHeight="1">
      <c r="B19" s="26" t="inlineStr">
        <is>
          <t>Figure 5.3</t>
        </is>
      </c>
      <c r="C19" s="24" t="inlineStr">
        <is>
          <t>Half the clear distance to the next web, side 1</t>
        </is>
      </c>
      <c r="D19" s="27" t="inlineStr">
        <is>
          <r>
            <rPr>
              <rFont val="Calibri"/>
              <i val="1"/>
              <color rgb="002B2B2B"/>
              <sz val="10"/>
            </rPr>
            <t>b</t>
          </r>
          <r>
            <rPr>
              <rFont val="Calibri"/>
              <i val="1"/>
              <color rgb="002B2B2B"/>
              <sz val="10"/>
              <vertAlign val="subscript"/>
            </rPr>
            <t>1</t>
          </r>
        </is>
      </c>
      <c r="E19" s="25" t="n">
        <v>1350</v>
      </c>
      <c r="F19" s="28" t="inlineStr">
        <is>
          <t>mm</t>
        </is>
      </c>
      <c r="G19" s="23" t="n"/>
    </row>
    <row r="20" ht="17" customHeight="1">
      <c r="B20" s="26" t="inlineStr">
        <is>
          <t>Figure 5.3</t>
        </is>
      </c>
      <c r="C20" s="24" t="inlineStr">
        <is>
          <t>Side 2  (T-beam only)</t>
        </is>
      </c>
      <c r="D20" s="27" t="inlineStr">
        <is>
          <r>
            <rPr>
              <rFont val="Calibri"/>
              <i val="1"/>
              <color rgb="002B2B2B"/>
              <sz val="10"/>
            </rPr>
            <t>b</t>
          </r>
          <r>
            <rPr>
              <rFont val="Calibri"/>
              <i val="1"/>
              <color rgb="002B2B2B"/>
              <sz val="10"/>
              <vertAlign val="subscript"/>
            </rPr>
            <t>2</t>
          </r>
        </is>
      </c>
      <c r="E20" s="25" t="n">
        <v>1350</v>
      </c>
      <c r="F20" s="28" t="inlineStr">
        <is>
          <t>mm</t>
        </is>
      </c>
      <c r="G20" s="23" t="n"/>
    </row>
    <row r="21" ht="17" customHeight="1">
      <c r="B21" s="26" t="inlineStr">
        <is>
          <t>Figure 5.2</t>
        </is>
      </c>
      <c r="C21" s="24" t="inlineStr">
        <is>
          <t>Distance between points of zero moment</t>
        </is>
      </c>
      <c r="D21" s="27" t="inlineStr">
        <is>
          <r>
            <rPr>
              <rFont val="Calibri"/>
              <i val="1"/>
              <color rgb="002B2B2B"/>
              <sz val="10"/>
            </rPr>
            <t>l</t>
          </r>
          <r>
            <rPr>
              <rFont val="Calibri"/>
              <i val="1"/>
              <color rgb="002B2B2B"/>
              <sz val="10"/>
              <vertAlign val="subscript"/>
            </rPr>
            <t>0</t>
          </r>
        </is>
      </c>
      <c r="E21" s="25" t="n">
        <v>6000</v>
      </c>
      <c r="F21" s="28" t="inlineStr">
        <is>
          <t>mm</t>
        </is>
      </c>
      <c r="G21" s="26" t="inlineStr">
        <is>
          <t>0.85 l1 end span, 0.7 l2 inner</t>
        </is>
      </c>
    </row>
    <row r="22" ht="17" customHeight="1">
      <c r="B22" s="23" t="n"/>
      <c r="C22" s="24" t="inlineStr">
        <is>
          <t>Tension bars: number  (1 – 8)</t>
        </is>
      </c>
      <c r="D22" s="27" t="inlineStr">
        <is>
          <r>
            <rPr>
              <rFont val="Calibri"/>
              <i val="1"/>
              <color rgb="002B2B2B"/>
              <sz val="10"/>
            </rPr>
            <t>n</t>
          </r>
        </is>
      </c>
      <c r="E22" s="25" t="n">
        <v>4</v>
      </c>
      <c r="F22" s="23" t="n"/>
      <c r="G22" s="23" t="n"/>
    </row>
    <row r="23" ht="17" customHeight="1">
      <c r="B23" s="23" t="n"/>
      <c r="C23" s="24" t="inlineStr">
        <is>
          <t>Diameter</t>
        </is>
      </c>
      <c r="D23" s="27" t="inlineStr">
        <is>
          <r>
            <rPr>
              <rFont val="Calibri"/>
              <i val="1"/>
              <color rgb="002B2B2B"/>
              <sz val="10"/>
            </rPr>
            <t>φ</t>
          </r>
        </is>
      </c>
      <c r="E23" s="25" t="n">
        <v>25</v>
      </c>
      <c r="F23" s="28" t="inlineStr">
        <is>
          <t>mm</t>
        </is>
      </c>
      <c r="G23" s="23" t="n"/>
    </row>
    <row r="24" ht="17" customHeight="1">
      <c r="B24" s="26" t="inlineStr">
        <is>
          <t>6.2.4(4)</t>
        </is>
      </c>
      <c r="C24" s="24" t="inlineStr">
        <is>
          <t>Flange transverse bars crossing the web face: diameter</t>
        </is>
      </c>
      <c r="D24" s="27" t="inlineStr">
        <is>
          <r>
            <rPr>
              <rFont val="Calibri"/>
              <i val="1"/>
              <color rgb="002B2B2B"/>
              <sz val="10"/>
            </rPr>
            <t>φ</t>
          </r>
          <r>
            <rPr>
              <rFont val="Calibri"/>
              <i val="1"/>
              <color rgb="002B2B2B"/>
              <sz val="10"/>
              <vertAlign val="subscript"/>
            </rPr>
            <t>f</t>
          </r>
        </is>
      </c>
      <c r="E24" s="25" t="n">
        <v>10</v>
      </c>
      <c r="F24" s="28" t="inlineStr">
        <is>
          <t>mm</t>
        </is>
      </c>
      <c r="G24" s="23" t="n"/>
    </row>
    <row r="25" ht="17" customHeight="1">
      <c r="B25" s="23" t="n"/>
      <c r="C25" s="24" t="inlineStr">
        <is>
          <t>Spacing</t>
        </is>
      </c>
      <c r="D25" s="27" t="inlineStr">
        <is>
          <r>
            <rPr>
              <rFont val="Calibri"/>
              <i val="1"/>
              <color rgb="002B2B2B"/>
              <sz val="10"/>
            </rPr>
            <t>s</t>
          </r>
          <r>
            <rPr>
              <rFont val="Calibri"/>
              <i val="1"/>
              <color rgb="002B2B2B"/>
              <sz val="10"/>
              <vertAlign val="subscript"/>
            </rPr>
            <t>f</t>
          </r>
        </is>
      </c>
      <c r="E25" s="25" t="n">
        <v>200</v>
      </c>
      <c r="F25" s="28" t="inlineStr">
        <is>
          <t>mm</t>
        </is>
      </c>
      <c r="G25" s="23" t="n"/>
    </row>
    <row r="27" ht="22" customHeight="1">
      <c r="B27" s="20" t="inlineStr">
        <is>
          <t>Inputs  ·  design actions</t>
        </is>
      </c>
      <c r="C27" s="21" t="n"/>
      <c r="D27" s="21" t="n"/>
      <c r="E27" s="21" t="n"/>
      <c r="F27" s="21" t="n"/>
      <c r="G27" s="22" t="inlineStr">
        <is>
          <t>Ultimate limit state</t>
        </is>
      </c>
    </row>
    <row r="28" ht="17" customHeight="1">
      <c r="B28" s="23" t="n"/>
      <c r="C28" s="24" t="inlineStr">
        <is>
          <t>Sagging moment</t>
        </is>
      </c>
      <c r="D28" s="27" t="inlineStr">
        <is>
          <r>
            <rPr>
              <rFont val="Calibri"/>
              <i val="1"/>
              <color rgb="002B2B2B"/>
              <sz val="10"/>
            </rPr>
            <t>M</t>
          </r>
          <r>
            <rPr>
              <rFont val="Calibri"/>
              <i val="1"/>
              <color rgb="002B2B2B"/>
              <sz val="10"/>
              <vertAlign val="subscript"/>
            </rPr>
            <t>Ed</t>
          </r>
        </is>
      </c>
      <c r="E28" s="29" t="n">
        <v>420</v>
      </c>
      <c r="F28" s="28" t="inlineStr">
        <is>
          <t>kNm</t>
        </is>
      </c>
      <c r="G28" s="23" t="n"/>
    </row>
    <row r="29" ht="17" customHeight="1">
      <c r="B29" s="26" t="inlineStr">
        <is>
          <t>6.2.4(3)</t>
        </is>
      </c>
      <c r="C29" s="24" t="inlineStr">
        <is>
          <t>Distance from zero to maximum moment</t>
        </is>
      </c>
      <c r="D29" s="27" t="inlineStr">
        <is>
          <r>
            <rPr>
              <rFont val="Calibri"/>
              <i val="1"/>
              <color rgb="002B2B2B"/>
              <sz val="10"/>
            </rPr>
            <t>a</t>
          </r>
          <r>
            <rPr>
              <rFont val="Calibri"/>
              <i val="1"/>
              <color rgb="002B2B2B"/>
              <sz val="10"/>
              <vertAlign val="subscript"/>
            </rPr>
            <t>M</t>
          </r>
        </is>
      </c>
      <c r="E29" s="25" t="n">
        <v>3000</v>
      </c>
      <c r="F29" s="28" t="inlineStr">
        <is>
          <t>mm</t>
        </is>
      </c>
      <c r="G29" s="23" t="n"/>
    </row>
    <row r="30" ht="17" customHeight="1">
      <c r="B30" s="26" t="inlineStr">
        <is>
          <t>6.2.4(3)</t>
        </is>
      </c>
      <c r="C30" s="24" t="inlineStr">
        <is>
          <t>Spacing of point loads in that length  (0 = none)</t>
        </is>
      </c>
      <c r="D30" s="27" t="inlineStr">
        <is>
          <r>
            <rPr>
              <rFont val="Calibri"/>
              <i val="1"/>
              <color rgb="002B2B2B"/>
              <sz val="10"/>
            </rPr>
            <t>a</t>
          </r>
          <r>
            <rPr>
              <rFont val="Calibri"/>
              <i val="1"/>
              <color rgb="002B2B2B"/>
              <sz val="10"/>
              <vertAlign val="subscript"/>
            </rPr>
            <t>P</t>
          </r>
        </is>
      </c>
      <c r="E30" s="25" t="n">
        <v>0</v>
      </c>
      <c r="F30" s="28" t="inlineStr">
        <is>
          <t>mm</t>
        </is>
      </c>
      <c r="G30" s="23" t="n"/>
    </row>
    <row r="31" ht="17" customHeight="1">
      <c r="B31" s="26" t="inlineStr">
        <is>
          <t>6.2.4(3)</t>
        </is>
      </c>
      <c r="C31" s="24" t="inlineStr">
        <is>
          <t>Length over which the flange force builds up  (≤ a_M / 2, ≤ a_P)</t>
        </is>
      </c>
      <c r="D31" s="27" t="inlineStr">
        <is>
          <r>
            <rPr>
              <rFont val="Calibri"/>
              <i val="1"/>
              <color rgb="002B2B2B"/>
              <sz val="10"/>
            </rPr>
            <t>Δx</t>
          </r>
        </is>
      </c>
      <c r="E31" s="25" t="n">
        <v>1500</v>
      </c>
      <c r="F31" s="28" t="inlineStr">
        <is>
          <t>mm</t>
        </is>
      </c>
      <c r="G31" s="23" t="n"/>
    </row>
    <row r="32" ht="17" customHeight="1">
      <c r="B32" s="23" t="n"/>
      <c r="C32" s="24" t="inlineStr">
        <is>
          <t>Inputs valid and consistent</t>
        </is>
      </c>
      <c r="D32" s="23" t="n"/>
      <c r="E32" s="9" t="n"/>
      <c r="F32" s="23" t="n"/>
      <c r="G32" s="30">
        <f>IF(inputs_ok,"OK","FAIL")</f>
        <v/>
      </c>
    </row>
    <row r="34" ht="22" customHeight="1">
      <c r="B34" s="20" t="inlineStr">
        <is>
          <t>Results</t>
        </is>
      </c>
      <c r="C34" s="21" t="n"/>
      <c r="D34" s="21" t="n"/>
      <c r="E34" s="21" t="n"/>
      <c r="F34" s="21" t="n"/>
      <c r="G34" s="21" t="n"/>
    </row>
    <row r="35" ht="26" customHeight="1">
      <c r="B35" s="31" t="n"/>
      <c r="C35" s="32" t="inlineStr">
        <is>
          <t>Bending  As,req / As,prov  (K ≤ K′, As,min, As,max)</t>
        </is>
      </c>
      <c r="D35" s="31" t="n"/>
      <c r="E35" s="33">
        <f>IF(inputs_ok,IF(ISNA(As_fb),"K &gt; K′",MAX(As_fb,Asmin_fb)/As_prov_fb),"–")</f>
        <v/>
      </c>
      <c r="F35" s="34" t="inlineStr"/>
      <c r="G35" s="35">
        <f>IF(NOT(inputs_ok),"FAIL",IF(bend_ok,"OK","FAIL"))</f>
        <v/>
      </c>
    </row>
    <row r="36" ht="26" customHeight="1">
      <c r="B36" s="31" t="n"/>
      <c r="C36" s="32" t="inlineStr">
        <is>
          <t>Flange shear, struts  vEd / ν fcd sin θf cos θf  (6.22)</t>
        </is>
      </c>
      <c r="D36" s="31" t="n"/>
      <c r="E36" s="33">
        <f>IF(inputs_ok,vEd_fb/(nu_fb*fcds_fb*cotf_fb/(1+cotf_fb^2)),"–")</f>
        <v/>
      </c>
      <c r="F36" s="34" t="inlineStr"/>
      <c r="G36" s="35">
        <f>IF(NOT(inputs_ok),"FAIL",IF(crush_fb_ok,"OK","FAIL"))</f>
        <v/>
      </c>
    </row>
    <row r="37" ht="26" customHeight="1">
      <c r="B37" s="31" t="n"/>
      <c r="C37" s="32" t="inlineStr">
        <is>
          <t>Flange transverse steel  need / provided  (6.21)</t>
        </is>
      </c>
      <c r="D37" s="31" t="n"/>
      <c r="E37" s="33">
        <f>IF(inputs_ok,Asf_req/Asf_prov,"–")</f>
        <v/>
      </c>
      <c r="F37" s="34" t="inlineStr"/>
      <c r="G37" s="35">
        <f>IF(NOT(inputs_ok),"FAIL",IF(flsteel_ok,"OK","FAIL"))</f>
        <v/>
      </c>
    </row>
    <row r="38" ht="26" customHeight="1">
      <c r="B38" s="31" t="n"/>
      <c r="C38" s="32" t="inlineStr">
        <is>
          <t>Effective flange width</t>
        </is>
      </c>
      <c r="D38" s="36" t="inlineStr">
        <is>
          <r>
            <rPr>
              <rFont val="Calibri"/>
              <i val="1"/>
              <color rgb="002B2B2B"/>
              <sz val="11"/>
            </rPr>
            <t>b</t>
          </r>
          <r>
            <rPr>
              <rFont val="Calibri"/>
              <i val="1"/>
              <color rgb="002B2B2B"/>
              <sz val="11"/>
              <vertAlign val="subscript"/>
            </rPr>
            <t>eff</t>
          </r>
        </is>
      </c>
      <c r="E38" s="37">
        <f>IF(inputs_ok,b_eff,"–")</f>
        <v/>
      </c>
      <c r="F38" s="34" t="inlineStr">
        <is>
          <t>mm</t>
        </is>
      </c>
      <c r="G38" s="31" t="n"/>
    </row>
    <row r="39" ht="26" customHeight="1">
      <c r="B39" s="31" t="n"/>
      <c r="C39" s="32" t="inlineStr">
        <is>
          <t>Neutral axis  (stress block 0.8 x in the flange or reaching the web)</t>
        </is>
      </c>
      <c r="D39" s="36" t="inlineStr">
        <is>
          <r>
            <rPr>
              <rFont val="Calibri"/>
              <i val="1"/>
              <color rgb="002B2B2B"/>
              <sz val="11"/>
            </rPr>
            <t>x</t>
          </r>
        </is>
      </c>
      <c r="E39" s="37">
        <f>IF(inputs_ok,x_fb,"–")</f>
        <v/>
      </c>
      <c r="F39" s="34" t="inlineStr">
        <is>
          <t>mm</t>
        </is>
      </c>
      <c r="G39" s="35">
        <f>IF(NOT(inputs_ok),"FAIL",IF(in_flange,"block in flange","block in web"))</f>
        <v/>
      </c>
    </row>
    <row r="40" ht="26" customHeight="1">
      <c r="B40" s="31" t="n"/>
      <c r="C40" s="32" t="inlineStr">
        <is>
          <t>Tension steel needed / provided</t>
        </is>
      </c>
      <c r="D40" s="36" t="inlineStr">
        <is>
          <r>
            <rPr>
              <rFont val="Calibri"/>
              <i val="1"/>
              <color rgb="002B2B2B"/>
              <sz val="11"/>
            </rPr>
            <t>A</t>
          </r>
          <r>
            <rPr>
              <rFont val="Calibri"/>
              <i val="1"/>
              <color rgb="002B2B2B"/>
              <sz val="11"/>
              <vertAlign val="subscript"/>
            </rPr>
            <t>s</t>
          </r>
        </is>
      </c>
      <c r="E40" s="38">
        <f>IF(inputs_ok,IF(ISNA(As_fb),"–",TEXT(MAX(As_fb,Asmin_fb),"0")&amp;" / "&amp;TEXT(As_prov_fb,"0")),"–")</f>
        <v/>
      </c>
      <c r="F40" s="34" t="inlineStr">
        <is>
          <t>mm²</t>
        </is>
      </c>
      <c r="G40" s="31" t="n"/>
    </row>
    <row r="41"/>
    <row r="42">
      <c r="B42" s="39" t="inlineStr">
        <is>
          <t>Your section, to scale  ·  effective flange (solid), the slab beyond it (dashed), the compression block (shaded edge), neutral axis and bars</t>
        </is>
      </c>
    </row>
    <row r="43"/>
    <row r="44"/>
    <row r="45"/>
    <row r="46"/>
    <row r="47"/>
    <row r="48"/>
    <row r="49"/>
    <row r="50"/>
    <row r="51"/>
    <row r="52"/>
    <row r="53"/>
    <row r="54"/>
    <row r="55"/>
    <row r="56"/>
    <row r="57"/>
    <row r="58"/>
    <row r="59"/>
    <row r="60"/>
    <row r="61"/>
    <row r="62"/>
    <row r="63"/>
    <row r="64"/>
    <row r="65" ht="22" customHeight="1">
      <c r="B65" s="20" t="inlineStr">
        <is>
          <t>Calculation  ·  effective width</t>
        </is>
      </c>
      <c r="C65" s="21" t="n"/>
      <c r="D65" s="21" t="n"/>
      <c r="E65" s="21" t="n"/>
      <c r="F65" s="21" t="n"/>
      <c r="G65" s="21" t="n"/>
    </row>
    <row r="66" ht="17" customHeight="1">
      <c r="B66" s="26" t="inlineStr">
        <is>
          <t>2.4.2.4(1)</t>
        </is>
      </c>
      <c r="C66" s="24" t="inlineStr">
        <is>
          <t>Partial factor, concrete</t>
        </is>
      </c>
      <c r="D66" s="27" t="inlineStr">
        <is>
          <r>
            <rPr>
              <rFont val="Calibri"/>
              <i val="1"/>
              <color rgb="002B2B2B"/>
              <sz val="10"/>
            </rPr>
            <t>γ</t>
          </r>
          <r>
            <rPr>
              <rFont val="Calibri"/>
              <i val="1"/>
              <color rgb="002B2B2B"/>
              <sz val="10"/>
              <vertAlign val="subscript"/>
            </rPr>
            <t>c</t>
          </r>
        </is>
      </c>
      <c r="E66" s="40">
        <f>IF(inputs_ok,ndp_gamma_c,NA())</f>
        <v/>
      </c>
      <c r="F66" s="23" t="n"/>
      <c r="G66" s="26" t="inlineStr">
        <is>
          <t>NDP sheet</t>
        </is>
      </c>
    </row>
    <row r="67" ht="17" customHeight="1">
      <c r="B67" s="26" t="inlineStr">
        <is>
          <t>2.4.2.4(1)</t>
        </is>
      </c>
      <c r="C67" s="24" t="inlineStr">
        <is>
          <t>Partial factor, reinforcement</t>
        </is>
      </c>
      <c r="D67" s="27" t="inlineStr">
        <is>
          <r>
            <rPr>
              <rFont val="Calibri"/>
              <i val="1"/>
              <color rgb="002B2B2B"/>
              <sz val="10"/>
            </rPr>
            <t>γ</t>
          </r>
          <r>
            <rPr>
              <rFont val="Calibri"/>
              <i val="1"/>
              <color rgb="002B2B2B"/>
              <sz val="10"/>
              <vertAlign val="subscript"/>
            </rPr>
            <t>s</t>
          </r>
        </is>
      </c>
      <c r="E67" s="40">
        <f>IF(inputs_ok,ndp_gamma_s,NA())</f>
        <v/>
      </c>
      <c r="F67" s="23" t="n"/>
      <c r="G67" s="26" t="inlineStr">
        <is>
          <t>NDP sheet</t>
        </is>
      </c>
    </row>
    <row r="68" ht="17" customHeight="1">
      <c r="B68" s="26" t="inlineStr">
        <is>
          <t>3.1.6(1)</t>
        </is>
      </c>
      <c r="C68" s="24" t="inlineStr">
        <is>
          <t>Coefficient on compressive strength (flexure)</t>
        </is>
      </c>
      <c r="D68" s="27" t="inlineStr">
        <is>
          <r>
            <rPr>
              <rFont val="Calibri"/>
              <i val="1"/>
              <color rgb="002B2B2B"/>
              <sz val="10"/>
            </rPr>
            <t>α</t>
          </r>
          <r>
            <rPr>
              <rFont val="Calibri"/>
              <i val="1"/>
              <color rgb="002B2B2B"/>
              <sz val="10"/>
              <vertAlign val="subscript"/>
            </rPr>
            <t>cc</t>
          </r>
        </is>
      </c>
      <c r="E68" s="40">
        <f>IF(inputs_ok,ndp_alpha_cc,NA())</f>
        <v/>
      </c>
      <c r="F68" s="23" t="n"/>
      <c r="G68" s="26" t="inlineStr">
        <is>
          <t>NDP sheet</t>
        </is>
      </c>
    </row>
    <row r="69" ht="17" customHeight="1">
      <c r="B69" s="26" t="inlineStr">
        <is>
          <t>3.1.6(1)</t>
        </is>
      </c>
      <c r="C69" s="24" t="inlineStr">
        <is>
          <t>Coefficient on compressive strength (shear)</t>
        </is>
      </c>
      <c r="D69" s="27" t="inlineStr">
        <is>
          <r>
            <rPr>
              <rFont val="Calibri"/>
              <i val="1"/>
              <color rgb="002B2B2B"/>
              <sz val="10"/>
            </rPr>
            <t>α</t>
          </r>
          <r>
            <rPr>
              <rFont val="Calibri"/>
              <i val="1"/>
              <color rgb="002B2B2B"/>
              <sz val="10"/>
              <vertAlign val="subscript"/>
            </rPr>
            <t>cc</t>
          </r>
        </is>
      </c>
      <c r="E69" s="40">
        <f>IF(inputs_ok,ndp_alpha_cc_shear,NA())</f>
        <v/>
      </c>
      <c r="F69" s="23" t="n"/>
      <c r="G69" s="26" t="inlineStr">
        <is>
          <t>NDP sheet</t>
        </is>
      </c>
    </row>
    <row r="70" ht="17" customHeight="1">
      <c r="B70" s="26" t="inlineStr">
        <is>
          <t>3.1.6(2)</t>
        </is>
      </c>
      <c r="C70" s="24" t="inlineStr">
        <is>
          <t>Coefficient on tensile strength</t>
        </is>
      </c>
      <c r="D70" s="27" t="inlineStr">
        <is>
          <r>
            <rPr>
              <rFont val="Calibri"/>
              <i val="1"/>
              <color rgb="002B2B2B"/>
              <sz val="10"/>
            </rPr>
            <t>α</t>
          </r>
          <r>
            <rPr>
              <rFont val="Calibri"/>
              <i val="1"/>
              <color rgb="002B2B2B"/>
              <sz val="10"/>
              <vertAlign val="subscript"/>
            </rPr>
            <t>ct</t>
          </r>
        </is>
      </c>
      <c r="E70" s="40">
        <f>IF(inputs_ok,ndp_alpha_ct,NA())</f>
        <v/>
      </c>
      <c r="F70" s="23" t="n"/>
      <c r="G70" s="26" t="inlineStr">
        <is>
          <t>NDP sheet</t>
        </is>
      </c>
    </row>
    <row r="71" ht="17" customHeight="1">
      <c r="B71" s="26" t="inlineStr">
        <is>
          <t>5.5(4)</t>
        </is>
      </c>
      <c r="C71" s="24" t="inlineStr">
        <is>
          <t>Coefficient for x/d limit</t>
        </is>
      </c>
      <c r="D71" s="27" t="inlineStr">
        <is>
          <r>
            <rPr>
              <rFont val="Calibri"/>
              <i val="1"/>
              <color rgb="002B2B2B"/>
              <sz val="10"/>
            </rPr>
            <t>k</t>
          </r>
          <r>
            <rPr>
              <rFont val="Calibri"/>
              <i val="1"/>
              <color rgb="002B2B2B"/>
              <sz val="10"/>
              <vertAlign val="subscript"/>
            </rPr>
            <t>1</t>
          </r>
        </is>
      </c>
      <c r="E71" s="40">
        <f>IF(inputs_ok,ndp_k1_red,NA())</f>
        <v/>
      </c>
      <c r="F71" s="23" t="n"/>
      <c r="G71" s="26" t="inlineStr">
        <is>
          <t>NDP sheet</t>
        </is>
      </c>
    </row>
    <row r="72" ht="17" customHeight="1">
      <c r="B72" s="26" t="inlineStr">
        <is>
          <t>5.5(4)</t>
        </is>
      </c>
      <c r="C72" s="24" t="inlineStr">
        <is>
          <t>Coefficient for x/d limit</t>
        </is>
      </c>
      <c r="D72" s="27" t="inlineStr">
        <is>
          <r>
            <rPr>
              <rFont val="Calibri"/>
              <i val="1"/>
              <color rgb="002B2B2B"/>
              <sz val="10"/>
            </rPr>
            <t>k</t>
          </r>
          <r>
            <rPr>
              <rFont val="Calibri"/>
              <i val="1"/>
              <color rgb="002B2B2B"/>
              <sz val="10"/>
              <vertAlign val="subscript"/>
            </rPr>
            <t>2</t>
          </r>
        </is>
      </c>
      <c r="E72" s="40">
        <f>IF(inputs_ok,ndp_k2_red,NA())</f>
        <v/>
      </c>
      <c r="F72" s="23" t="n"/>
      <c r="G72" s="26" t="inlineStr">
        <is>
          <t>NDP sheet</t>
        </is>
      </c>
    </row>
    <row r="73" ht="17" customHeight="1">
      <c r="B73" s="26" t="inlineStr">
        <is>
          <t>Table 3.1</t>
        </is>
      </c>
      <c r="C73" s="24" t="inlineStr">
        <is>
          <t>Characteristic cylinder strength</t>
        </is>
      </c>
      <c r="D73" s="27" t="inlineStr">
        <is>
          <r>
            <rPr>
              <rFont val="Calibri"/>
              <i val="1"/>
              <color rgb="002B2B2B"/>
              <sz val="10"/>
            </rPr>
            <t>f</t>
          </r>
          <r>
            <rPr>
              <rFont val="Calibri"/>
              <i val="1"/>
              <color rgb="002B2B2B"/>
              <sz val="10"/>
              <vertAlign val="subscript"/>
            </rPr>
            <t>ck</t>
          </r>
        </is>
      </c>
      <c r="E73" s="41">
        <f>IF(inputs_ok,VALUE(MID(conc_class,2,FIND("/",conc_class)-2)),NA())</f>
        <v/>
      </c>
      <c r="F73" s="28" t="inlineStr">
        <is>
          <t>MPa</t>
        </is>
      </c>
      <c r="G73" s="23" t="n"/>
    </row>
    <row r="74" ht="17" customHeight="1">
      <c r="B74" s="26" t="inlineStr">
        <is>
          <t>Table 3.1</t>
        </is>
      </c>
      <c r="C74" s="24" t="inlineStr">
        <is>
          <t>Mean tensile strength</t>
        </is>
      </c>
      <c r="D74" s="27" t="inlineStr">
        <is>
          <r>
            <rPr>
              <rFont val="Calibri"/>
              <i val="1"/>
              <color rgb="002B2B2B"/>
              <sz val="10"/>
            </rPr>
            <t>f</t>
          </r>
          <r>
            <rPr>
              <rFont val="Calibri"/>
              <i val="1"/>
              <color rgb="002B2B2B"/>
              <sz val="10"/>
              <vertAlign val="subscript"/>
            </rPr>
            <t>ctm</t>
          </r>
        </is>
      </c>
      <c r="E74" s="40">
        <f>IF(inputs_ok,IF(f_ck&lt;=50,0.3*f_ck^(2/3),2.12*LN(1+(f_ck+8)/10)),NA())</f>
        <v/>
      </c>
      <c r="F74" s="28" t="inlineStr">
        <is>
          <t>MPa</t>
        </is>
      </c>
      <c r="G74" s="23" t="n"/>
    </row>
    <row r="75" ht="17" customHeight="1">
      <c r="B75" s="26" t="inlineStr">
        <is>
          <t>(5.7a), (5.7b)</t>
        </is>
      </c>
      <c r="C75" s="24" t="inlineStr">
        <is>
          <t>Side 1  min(0.2 b1 + 0.1 l0; 0.2 l0; b1)</t>
        </is>
      </c>
      <c r="D75" s="27" t="inlineStr">
        <is>
          <r>
            <rPr>
              <rFont val="Calibri"/>
              <i val="1"/>
              <color rgb="002B2B2B"/>
              <sz val="10"/>
            </rPr>
            <t>b</t>
          </r>
          <r>
            <rPr>
              <rFont val="Calibri"/>
              <i val="1"/>
              <color rgb="002B2B2B"/>
              <sz val="10"/>
              <vertAlign val="subscript"/>
            </rPr>
            <t>eff,1</t>
          </r>
        </is>
      </c>
      <c r="E75" s="41">
        <f>IF(inputs_ok,IF(OR(1=1,fb_T),MIN(0.2*fb_b1+0.1*fb_l0,0.2*fb_l0,fb_b1),0),NA())</f>
        <v/>
      </c>
      <c r="F75" s="28" t="inlineStr">
        <is>
          <t>mm</t>
        </is>
      </c>
      <c r="G75" s="23" t="n"/>
    </row>
    <row r="76" ht="17" customHeight="1">
      <c r="B76" s="26" t="inlineStr">
        <is>
          <t>(5.7a), (5.7b)</t>
        </is>
      </c>
      <c r="C76" s="24" t="inlineStr">
        <is>
          <t>Side 2  min(0.2 b2 + 0.1 l0; 0.2 l0; b2)  (0 for an L-beam)</t>
        </is>
      </c>
      <c r="D76" s="27" t="inlineStr">
        <is>
          <r>
            <rPr>
              <rFont val="Calibri"/>
              <i val="1"/>
              <color rgb="002B2B2B"/>
              <sz val="10"/>
            </rPr>
            <t>b</t>
          </r>
          <r>
            <rPr>
              <rFont val="Calibri"/>
              <i val="1"/>
              <color rgb="002B2B2B"/>
              <sz val="10"/>
              <vertAlign val="subscript"/>
            </rPr>
            <t>eff,2</t>
          </r>
        </is>
      </c>
      <c r="E76" s="41">
        <f>IF(inputs_ok,IF(OR(2=1,fb_T),MIN(0.2*fb_b2+0.1*fb_l0,0.2*fb_l0,fb_b2),0),NA())</f>
        <v/>
      </c>
      <c r="F76" s="28" t="inlineStr">
        <is>
          <t>mm</t>
        </is>
      </c>
      <c r="G76" s="23" t="n"/>
    </row>
    <row r="77" ht="17" customHeight="1">
      <c r="B77" s="26" t="inlineStr">
        <is>
          <t>(5.7)</t>
        </is>
      </c>
      <c r="C77" s="24" t="inlineStr">
        <is>
          <t>Effective flange width  bw + Σ beff,i</t>
        </is>
      </c>
      <c r="D77" s="27" t="inlineStr">
        <is>
          <r>
            <rPr>
              <rFont val="Calibri"/>
              <i val="1"/>
              <color rgb="002B2B2B"/>
              <sz val="10"/>
            </rPr>
            <t>b</t>
          </r>
          <r>
            <rPr>
              <rFont val="Calibri"/>
              <i val="1"/>
              <color rgb="002B2B2B"/>
              <sz val="10"/>
              <vertAlign val="subscript"/>
            </rPr>
            <t>eff</t>
          </r>
        </is>
      </c>
      <c r="E77" s="42">
        <f>IF(inputs_ok,fb_bw+beff1_fb+beff2_fb,NA())</f>
        <v/>
      </c>
      <c r="F77" s="28" t="inlineStr">
        <is>
          <t>mm</t>
        </is>
      </c>
      <c r="G77" s="23" t="n"/>
    </row>
    <row r="78"/>
    <row r="79" ht="22" customHeight="1">
      <c r="B79" s="20" t="inlineStr">
        <is>
          <t>Calculation  ·  bending</t>
        </is>
      </c>
      <c r="C79" s="21" t="n"/>
      <c r="D79" s="21" t="n"/>
      <c r="E79" s="21" t="n"/>
      <c r="F79" s="21" t="n"/>
      <c r="G79" s="21" t="n"/>
    </row>
    <row r="80" ht="17" customHeight="1">
      <c r="B80" s="26" t="inlineStr">
        <is>
          <t>3.1.6(1)</t>
        </is>
      </c>
      <c r="C80" s="24" t="inlineStr">
        <is>
          <t>Design compressive strength  αcc fck / γc</t>
        </is>
      </c>
      <c r="D80" s="27" t="inlineStr">
        <is>
          <r>
            <rPr>
              <rFont val="Calibri"/>
              <i val="1"/>
              <color rgb="002B2B2B"/>
              <sz val="10"/>
            </rPr>
            <t>f</t>
          </r>
          <r>
            <rPr>
              <rFont val="Calibri"/>
              <i val="1"/>
              <color rgb="002B2B2B"/>
              <sz val="10"/>
              <vertAlign val="subscript"/>
            </rPr>
            <t>cd</t>
          </r>
        </is>
      </c>
      <c r="E80" s="40">
        <f>IF(inputs_ok,alpha_cc*f_ck/gamma_c,NA())</f>
        <v/>
      </c>
      <c r="F80" s="28" t="inlineStr">
        <is>
          <t>MPa</t>
        </is>
      </c>
      <c r="G80" s="23" t="n"/>
    </row>
    <row r="81" ht="17" customHeight="1">
      <c r="B81" s="26" t="inlineStr">
        <is>
          <t>3.2.7</t>
        </is>
      </c>
      <c r="C81" s="24" t="inlineStr">
        <is>
          <t>Design yield strength</t>
        </is>
      </c>
      <c r="D81" s="27" t="inlineStr">
        <is>
          <r>
            <rPr>
              <rFont val="Calibri"/>
              <i val="1"/>
              <color rgb="002B2B2B"/>
              <sz val="10"/>
            </rPr>
            <t>f</t>
          </r>
          <r>
            <rPr>
              <rFont val="Calibri"/>
              <i val="1"/>
              <color rgb="002B2B2B"/>
              <sz val="10"/>
              <vertAlign val="subscript"/>
            </rPr>
            <t>yd</t>
          </r>
        </is>
      </c>
      <c r="E81" s="43">
        <f>IF(inputs_ok,f_yk/gamma_s,NA())</f>
        <v/>
      </c>
      <c r="F81" s="28" t="inlineStr">
        <is>
          <t>MPa</t>
        </is>
      </c>
      <c r="G81" s="23" t="n"/>
    </row>
    <row r="82" ht="17" customHeight="1">
      <c r="B82" s="26" t="inlineStr">
        <is>
          <t>3.2.7</t>
        </is>
      </c>
      <c r="C82" s="24" t="inlineStr">
        <is>
          <t>Neutral axis depth at first yield</t>
        </is>
      </c>
      <c r="D82" s="27" t="inlineStr">
        <is>
          <r>
            <rPr>
              <rFont val="Calibri"/>
              <i val="1"/>
              <color rgb="002B2B2B"/>
              <sz val="10"/>
            </rPr>
            <t>ξ</t>
          </r>
          <r>
            <rPr>
              <rFont val="Calibri"/>
              <i val="1"/>
              <color rgb="002B2B2B"/>
              <sz val="10"/>
              <vertAlign val="subscript"/>
            </rPr>
            <t>y</t>
          </r>
        </is>
      </c>
      <c r="E82" s="44">
        <f>IF(inputs_ok,0.0035/(0.0035+fyd_fb/200000),NA())</f>
        <v/>
      </c>
      <c r="F82" s="23" t="n"/>
      <c r="G82" s="23" t="n"/>
    </row>
    <row r="83" ht="17" customHeight="1">
      <c r="B83" s="26" t="inlineStr">
        <is>
          <t>5.5(4)</t>
        </is>
      </c>
      <c r="C83" s="24" t="inlineStr">
        <is>
          <t>Limiting x/d, no redistribution  min((1 − k1)/k2; ξy)</t>
        </is>
      </c>
      <c r="D83" s="27" t="inlineStr">
        <is>
          <r>
            <rPr>
              <rFont val="Calibri"/>
              <i val="1"/>
              <color rgb="002B2B2B"/>
              <sz val="10"/>
            </rPr>
            <t>x</t>
          </r>
          <r>
            <rPr>
              <rFont val="Calibri"/>
              <i val="1"/>
              <color rgb="002B2B2B"/>
              <sz val="10"/>
              <vertAlign val="subscript"/>
            </rPr>
            <t>u/d</t>
          </r>
        </is>
      </c>
      <c r="E83" s="44">
        <f>IF(inputs_ok,MIN(xiy_fb,(1-k1_red)/k2_red),NA())</f>
        <v/>
      </c>
      <c r="F83" s="23" t="n"/>
      <c r="G83" s="23" t="n"/>
    </row>
    <row r="84" ht="17" customHeight="1">
      <c r="B84" s="26" t="inlineStr">
        <is>
          <t>3.1.7(3)</t>
        </is>
      </c>
      <c r="C84" s="24" t="inlineStr">
        <is>
          <t>Limiting K  (αcc/γc) 0.8 ξ (1 − 0.4 ξ)</t>
        </is>
      </c>
      <c r="D84" s="27" t="inlineStr">
        <is>
          <r>
            <rPr>
              <rFont val="Calibri"/>
              <i val="1"/>
              <color rgb="002B2B2B"/>
              <sz val="10"/>
            </rPr>
            <t>K'</t>
          </r>
        </is>
      </c>
      <c r="E84" s="44">
        <f>IF(inputs_ok,alpha_cc/gamma_c*0.8*xil_fb*(1-0.4*xil_fb),NA())</f>
        <v/>
      </c>
      <c r="F84" s="23" t="n"/>
      <c r="G84" s="23" t="n"/>
    </row>
    <row r="85" ht="17" customHeight="1">
      <c r="B85" s="26" t="inlineStr">
        <is>
          <t>3.1.7(3)</t>
        </is>
      </c>
      <c r="C85" s="24" t="inlineStr">
        <is>
          <t>Flange alone  fcd beff hf (d − hf/2)</t>
        </is>
      </c>
      <c r="D85" s="27" t="inlineStr">
        <is>
          <r>
            <rPr>
              <rFont val="Calibri"/>
              <i val="1"/>
              <color rgb="002B2B2B"/>
              <sz val="10"/>
            </rPr>
            <t>M</t>
          </r>
          <r>
            <rPr>
              <rFont val="Calibri"/>
              <i val="1"/>
              <color rgb="002B2B2B"/>
              <sz val="10"/>
              <vertAlign val="subscript"/>
            </rPr>
            <t>f</t>
          </r>
        </is>
      </c>
      <c r="E85" s="43">
        <f>IF(inputs_ok,fcd_fb*b_eff*fb_hf*(fb_d-fb_hf/2)/1E6,NA())</f>
        <v/>
      </c>
      <c r="F85" s="28" t="inlineStr">
        <is>
          <t>kNm</t>
        </is>
      </c>
      <c r="G85" s="23" t="n"/>
    </row>
    <row r="86" ht="17" customHeight="1">
      <c r="B86" s="23" t="n"/>
      <c r="C86" s="24" t="inlineStr">
        <is>
          <t>Outstands when the stress block reaches the web  fcd (beff − bw) hf</t>
        </is>
      </c>
      <c r="D86" s="27" t="inlineStr">
        <is>
          <r>
            <rPr>
              <rFont val="Calibri"/>
              <i val="1"/>
              <color rgb="002B2B2B"/>
              <sz val="10"/>
            </rPr>
            <t>F</t>
          </r>
          <r>
            <rPr>
              <rFont val="Calibri"/>
              <i val="1"/>
              <color rgb="002B2B2B"/>
              <sz val="10"/>
              <vertAlign val="subscript"/>
            </rPr>
            <t>out</t>
          </r>
        </is>
      </c>
      <c r="E86" s="43">
        <f>IF(inputs_ok,IF(in_flange,0,fcd_fb*(b_eff-fb_bw)*fb_hf/1000),NA())</f>
        <v/>
      </c>
      <c r="F86" s="28" t="inlineStr">
        <is>
          <t>kN</t>
        </is>
      </c>
      <c r="G86" s="23" t="n"/>
    </row>
    <row r="87" ht="17" customHeight="1">
      <c r="B87" s="23" t="n"/>
      <c r="C87" s="24" t="inlineStr">
        <is>
          <t>Moment for the rectangle  (beff, or bw after the outstands)</t>
        </is>
      </c>
      <c r="D87" s="27" t="inlineStr">
        <is>
          <r>
            <rPr>
              <rFont val="Calibri"/>
              <i val="1"/>
              <color rgb="002B2B2B"/>
              <sz val="10"/>
            </rPr>
            <t>M</t>
          </r>
          <r>
            <rPr>
              <rFont val="Calibri"/>
              <i val="1"/>
              <color rgb="002B2B2B"/>
              <sz val="10"/>
              <vertAlign val="subscript"/>
            </rPr>
            <t>r</t>
          </r>
        </is>
      </c>
      <c r="E87" s="43">
        <f>IF(inputs_ok,fb_M-Fout_fb*(fb_d-fb_hf/2)/1000,NA())</f>
        <v/>
      </c>
      <c r="F87" s="28" t="inlineStr">
        <is>
          <t>kNm</t>
        </is>
      </c>
      <c r="G87" s="23" t="n"/>
    </row>
    <row r="88" ht="17" customHeight="1">
      <c r="B88" s="23" t="n"/>
      <c r="C88" s="24" t="inlineStr">
        <is>
          <t>Width of the rectangle</t>
        </is>
      </c>
      <c r="D88" s="27" t="inlineStr">
        <is>
          <r>
            <rPr>
              <rFont val="Calibri"/>
              <i val="1"/>
              <color rgb="002B2B2B"/>
              <sz val="10"/>
            </rPr>
            <t>b</t>
          </r>
          <r>
            <rPr>
              <rFont val="Calibri"/>
              <i val="1"/>
              <color rgb="002B2B2B"/>
              <sz val="10"/>
              <vertAlign val="subscript"/>
            </rPr>
            <t>r</t>
          </r>
        </is>
      </c>
      <c r="E88" s="41">
        <f>IF(inputs_ok,IF(in_flange,b_eff,fb_bw),NA())</f>
        <v/>
      </c>
      <c r="F88" s="28" t="inlineStr">
        <is>
          <t>mm</t>
        </is>
      </c>
      <c r="G88" s="23" t="n"/>
    </row>
    <row r="89" ht="17" customHeight="1">
      <c r="B89" s="26" t="inlineStr">
        <is>
          <t>3.1.7(3)</t>
        </is>
      </c>
      <c r="C89" s="24" t="inlineStr">
        <is>
          <t>K = Mr / (br d² fck)</t>
        </is>
      </c>
      <c r="D89" s="27" t="inlineStr">
        <is>
          <r>
            <rPr>
              <rFont val="Calibri"/>
              <i val="1"/>
              <color rgb="002B2B2B"/>
              <sz val="10"/>
            </rPr>
            <t>K</t>
          </r>
        </is>
      </c>
      <c r="E89" s="44">
        <f>IF(inputs_ok,Mr_fb*1E6/(br_fb*fb_d^2*f_ck),NA())</f>
        <v/>
      </c>
      <c r="F89" s="23" t="n"/>
      <c r="G89" s="23" t="n"/>
    </row>
    <row r="90" ht="17" customHeight="1">
      <c r="B90" s="23" t="n"/>
      <c r="C90" s="24" t="inlineStr">
        <is>
          <t>Lever arm of the rectangle  ≤ 0.95 d</t>
        </is>
      </c>
      <c r="D90" s="27" t="inlineStr">
        <is>
          <r>
            <rPr>
              <rFont val="Calibri"/>
              <i val="1"/>
              <color rgb="002B2B2B"/>
              <sz val="10"/>
            </rPr>
            <t>z</t>
          </r>
        </is>
      </c>
      <c r="E90" s="41">
        <f>IF(inputs_ok,IF(K_fb&lt;=Kl_fb,MIN(0.95*fb_d,fb_d*(1-0.5*(1-SQRT(1-2*K_fb/(alpha_cc/gamma_c))))),NA()),NA())</f>
        <v/>
      </c>
      <c r="F90" s="28" t="inlineStr">
        <is>
          <t>mm</t>
        </is>
      </c>
      <c r="G90" s="26" t="inlineStr">
        <is>
          <t>N/A: K &gt; K′</t>
        </is>
      </c>
    </row>
    <row r="91" ht="17" customHeight="1">
      <c r="B91" s="23" t="n"/>
      <c r="C91" s="24" t="inlineStr">
        <is>
          <t>Neutral axis from equilibrium  1.25 d (1 − √(1 − 2K / (αcc/γc)))  (z not capped)</t>
        </is>
      </c>
      <c r="D91" s="27" t="inlineStr">
        <is>
          <r>
            <rPr>
              <rFont val="Calibri"/>
              <i val="1"/>
              <color rgb="002B2B2B"/>
              <sz val="10"/>
            </rPr>
            <t>x</t>
          </r>
        </is>
      </c>
      <c r="E91" s="41">
        <f>IF(inputs_ok,IF(K_fb&lt;=Kl_fb,1.25*fb_d*(1-SQRT(1-2*K_fb/(alpha_cc/gamma_c))),NA()),NA())</f>
        <v/>
      </c>
      <c r="F91" s="28" t="inlineStr">
        <is>
          <t>mm</t>
        </is>
      </c>
      <c r="G91" s="23" t="n"/>
    </row>
    <row r="92" ht="17" customHeight="1">
      <c r="B92" s="23" t="n"/>
      <c r="C92" s="24" t="inlineStr">
        <is>
          <t>Tension steel needed  Fout / fyd + Mr / (fyd z)</t>
        </is>
      </c>
      <c r="D92" s="27" t="inlineStr">
        <is>
          <r>
            <rPr>
              <rFont val="Calibri"/>
              <i val="1"/>
              <color rgb="002B2B2B"/>
              <sz val="10"/>
            </rPr>
            <t>A</t>
          </r>
          <r>
            <rPr>
              <rFont val="Calibri"/>
              <i val="1"/>
              <color rgb="002B2B2B"/>
              <sz val="10"/>
              <vertAlign val="subscript"/>
            </rPr>
            <t>s</t>
          </r>
        </is>
      </c>
      <c r="E92" s="42">
        <f>IF(inputs_ok,Fout_fb*1000/fyd_fb+Mr_fb*1E6/(fyd_fb*z_fb),NA())</f>
        <v/>
      </c>
      <c r="F92" s="28" t="inlineStr">
        <is>
          <t>mm²</t>
        </is>
      </c>
      <c r="G92" s="23" t="n"/>
    </row>
    <row r="93" ht="17" customHeight="1">
      <c r="B93" s="26" t="inlineStr">
        <is>
          <t>(9.1N)</t>
        </is>
      </c>
      <c r="C93" s="24" t="inlineStr">
        <is>
          <t>Minimum  max(0.26 fctm/fyk; 0.0013) bw d</t>
        </is>
      </c>
      <c r="D93" s="27" t="inlineStr">
        <is>
          <r>
            <rPr>
              <rFont val="Calibri"/>
              <i val="1"/>
              <color rgb="002B2B2B"/>
              <sz val="10"/>
            </rPr>
            <t>A</t>
          </r>
          <r>
            <rPr>
              <rFont val="Calibri"/>
              <i val="1"/>
              <color rgb="002B2B2B"/>
              <sz val="10"/>
              <vertAlign val="subscript"/>
            </rPr>
            <t>s,min</t>
          </r>
        </is>
      </c>
      <c r="E93" s="41">
        <f>IF(inputs_ok,MAX(0.26*f_ctm/f_yk,0.0013)*fb_bw*fb_d,NA())</f>
        <v/>
      </c>
      <c r="F93" s="28" t="inlineStr">
        <is>
          <t>mm²</t>
        </is>
      </c>
      <c r="G93" s="23" t="n"/>
    </row>
    <row r="94" ht="17" customHeight="1">
      <c r="B94" s="26" t="inlineStr">
        <is>
          <t>9.2.1.1(3)</t>
        </is>
      </c>
      <c r="C94" s="24" t="inlineStr">
        <is>
          <t>Gross area for As,max = 0.04 Ac  (effective flange)</t>
        </is>
      </c>
      <c r="D94" s="27" t="inlineStr">
        <is>
          <r>
            <rPr>
              <rFont val="Calibri"/>
              <i val="1"/>
              <color rgb="002B2B2B"/>
              <sz val="10"/>
            </rPr>
            <t>A</t>
          </r>
          <r>
            <rPr>
              <rFont val="Calibri"/>
              <i val="1"/>
              <color rgb="002B2B2B"/>
              <sz val="10"/>
              <vertAlign val="subscript"/>
            </rPr>
            <t>c</t>
          </r>
        </is>
      </c>
      <c r="E94" s="41">
        <f>IF(inputs_ok,fb_bw*(fb_h-fb_hf)+b_eff*fb_hf,NA())</f>
        <v/>
      </c>
      <c r="F94" s="28" t="inlineStr">
        <is>
          <t>mm²</t>
        </is>
      </c>
      <c r="G94" s="23" t="n"/>
    </row>
    <row r="95" ht="17" customHeight="1">
      <c r="B95" s="23" t="n"/>
      <c r="C95" s="24" t="inlineStr">
        <is>
          <t>Provided  n π φ² / 4</t>
        </is>
      </c>
      <c r="D95" s="27" t="inlineStr">
        <is>
          <r>
            <rPr>
              <rFont val="Calibri"/>
              <i val="1"/>
              <color rgb="002B2B2B"/>
              <sz val="10"/>
            </rPr>
            <t>A</t>
          </r>
          <r>
            <rPr>
              <rFont val="Calibri"/>
              <i val="1"/>
              <color rgb="002B2B2B"/>
              <sz val="10"/>
              <vertAlign val="subscript"/>
            </rPr>
            <t>s,prov</t>
          </r>
        </is>
      </c>
      <c r="E95" s="41">
        <f>IF(inputs_ok,fb_n*PI()*fb_phi^2/4,NA())</f>
        <v/>
      </c>
      <c r="F95" s="28" t="inlineStr">
        <is>
          <t>mm²</t>
        </is>
      </c>
      <c r="G95" s="23" t="n"/>
    </row>
    <row r="96" ht="17" customHeight="1">
      <c r="B96" s="26" t="inlineStr">
        <is>
          <t>6.1, 9.2.1.1</t>
        </is>
      </c>
      <c r="C96" s="24" t="inlineStr">
        <is>
          <t>K ≤ K′; As,min ≤ As,prov ≤ 0.04 Ac; As,prov ≥ As</t>
        </is>
      </c>
      <c r="D96" s="23" t="n"/>
      <c r="E96" s="41">
        <f>IF(inputs_ok,As_prov_fb,NA())</f>
        <v/>
      </c>
      <c r="F96" s="28" t="inlineStr">
        <is>
          <t>mm²</t>
        </is>
      </c>
      <c r="G96" s="30">
        <f>IF(NOT(inputs_ok),"FAIL",IF(bend_ok,"OK","FAIL"))</f>
        <v/>
      </c>
    </row>
    <row r="97"/>
    <row r="98" ht="22" customHeight="1">
      <c r="B98" s="20" t="inlineStr">
        <is>
          <t>Calculation  ·  shear between web and flange, 6.2.4</t>
        </is>
      </c>
      <c r="C98" s="21" t="n"/>
      <c r="D98" s="21" t="n"/>
      <c r="E98" s="21" t="n"/>
      <c r="F98" s="21" t="n"/>
      <c r="G98" s="21" t="n"/>
    </row>
    <row r="99" ht="17" customHeight="1">
      <c r="B99" s="23" t="n"/>
      <c r="C99" s="24" t="inlineStr">
        <is>
          <t>Larger outstand</t>
        </is>
      </c>
      <c r="D99" s="27" t="inlineStr">
        <is>
          <r>
            <rPr>
              <rFont val="Calibri"/>
              <i val="1"/>
              <color rgb="002B2B2B"/>
              <sz val="10"/>
            </rPr>
            <t>b</t>
          </r>
          <r>
            <rPr>
              <rFont val="Calibri"/>
              <i val="1"/>
              <color rgb="002B2B2B"/>
              <sz val="10"/>
              <vertAlign val="subscript"/>
            </rPr>
            <t>eff,i</t>
          </r>
        </is>
      </c>
      <c r="E99" s="41">
        <f>IF(inputs_ok,MAX(beff1_fb,beff2_fb),NA())</f>
        <v/>
      </c>
      <c r="F99" s="28" t="inlineStr">
        <is>
          <t>mm</t>
        </is>
      </c>
      <c r="G99" s="23" t="n"/>
    </row>
    <row r="100" ht="17" customHeight="1">
      <c r="B100" s="26" t="inlineStr">
        <is>
          <t>6.2.4(3)</t>
        </is>
      </c>
      <c r="C100" s="24" t="inlineStr">
        <is>
          <t>Force in it at MEd  (block in flange: Mr/z · bo/beff; reaching the web: fcd bo hf)</t>
        </is>
      </c>
      <c r="D100" s="27" t="inlineStr">
        <is>
          <r>
            <rPr>
              <rFont val="Calibri"/>
              <i val="1"/>
              <color rgb="002B2B2B"/>
              <sz val="10"/>
            </rPr>
            <t>ΔF</t>
          </r>
          <r>
            <rPr>
              <rFont val="Calibri"/>
              <i val="1"/>
              <color rgb="002B2B2B"/>
              <sz val="10"/>
              <vertAlign val="subscript"/>
            </rPr>
            <t>d</t>
          </r>
        </is>
      </c>
      <c r="E100" s="43">
        <f>IF(inputs_ok,IF(in_flange,fb_M*1000/z_fb*bo_fb/b_eff,fcd_fb*bo_fb*fb_hf/1000),NA())</f>
        <v/>
      </c>
      <c r="F100" s="28" t="inlineStr">
        <is>
          <t>kN</t>
        </is>
      </c>
      <c r="G100" s="23" t="n"/>
    </row>
    <row r="101" ht="17" customHeight="1">
      <c r="B101" s="26" t="inlineStr">
        <is>
          <t>(6.20)</t>
        </is>
      </c>
      <c r="C101" s="24" t="inlineStr">
        <is>
          <t>Longitudinal shear stress  ΔFd / (hf Δx)</t>
        </is>
      </c>
      <c r="D101" s="27" t="inlineStr">
        <is>
          <r>
            <rPr>
              <rFont val="Calibri"/>
              <i val="1"/>
              <color rgb="002B2B2B"/>
              <sz val="10"/>
            </rPr>
            <t>v</t>
          </r>
          <r>
            <rPr>
              <rFont val="Calibri"/>
              <i val="1"/>
              <color rgb="002B2B2B"/>
              <sz val="10"/>
              <vertAlign val="subscript"/>
            </rPr>
            <t>Ed</t>
          </r>
        </is>
      </c>
      <c r="E101" s="45">
        <f>IF(inputs_ok,dF_fb*1000/(fb_hf*fb_dx),NA())</f>
        <v/>
      </c>
      <c r="F101" s="28" t="inlineStr">
        <is>
          <t>MPa</t>
        </is>
      </c>
      <c r="G101" s="23" t="n"/>
    </row>
    <row r="102" ht="17" customHeight="1">
      <c r="B102" s="26" t="inlineStr">
        <is>
          <t>3.1.6</t>
        </is>
      </c>
      <c r="C102" s="24" t="inlineStr">
        <is>
          <t>fcd for shear  αcc fck / γc;  fctd = αct 0.7 fctm / γc</t>
        </is>
      </c>
      <c r="D102" s="27" t="inlineStr">
        <is>
          <r>
            <rPr>
              <rFont val="Calibri"/>
              <i val="1"/>
              <color rgb="002B2B2B"/>
              <sz val="10"/>
            </rPr>
            <t>f</t>
          </r>
          <r>
            <rPr>
              <rFont val="Calibri"/>
              <i val="1"/>
              <color rgb="002B2B2B"/>
              <sz val="10"/>
              <vertAlign val="subscript"/>
            </rPr>
            <t>cd</t>
          </r>
        </is>
      </c>
      <c r="E102" s="40">
        <f>IF(inputs_ok,alpha_cc_shear*f_ck/gamma_c,NA())</f>
        <v/>
      </c>
      <c r="F102" s="28" t="inlineStr">
        <is>
          <t>MPa</t>
        </is>
      </c>
      <c r="G102" s="23" t="n"/>
    </row>
    <row r="103" ht="17" customHeight="1">
      <c r="B103" s="26" t="inlineStr">
        <is>
          <t>3.1.6(2)</t>
        </is>
      </c>
      <c r="C103" s="24" t="inlineStr"/>
      <c r="D103" s="27" t="inlineStr">
        <is>
          <r>
            <rPr>
              <rFont val="Calibri"/>
              <i val="1"/>
              <color rgb="002B2B2B"/>
              <sz val="10"/>
            </rPr>
            <t>f</t>
          </r>
          <r>
            <rPr>
              <rFont val="Calibri"/>
              <i val="1"/>
              <color rgb="002B2B2B"/>
              <sz val="10"/>
              <vertAlign val="subscript"/>
            </rPr>
            <t>ctd</t>
          </r>
        </is>
      </c>
      <c r="E103" s="44">
        <f>IF(inputs_ok,alpha_ct*0.7*f_ctm/gamma_c,NA())</f>
        <v/>
      </c>
      <c r="F103" s="28" t="inlineStr">
        <is>
          <t>MPa</t>
        </is>
      </c>
      <c r="G103" s="23" t="n"/>
    </row>
    <row r="104" ht="17" customHeight="1">
      <c r="B104" s="26" t="inlineStr">
        <is>
          <t>(6.6N)</t>
        </is>
      </c>
      <c r="C104" s="24" t="inlineStr">
        <is>
          <t>ν = 0.6 (1 − fck/250)</t>
        </is>
      </c>
      <c r="D104" s="27" t="inlineStr">
        <is>
          <r>
            <rPr>
              <rFont val="Calibri"/>
              <i val="1"/>
              <color rgb="002B2B2B"/>
              <sz val="10"/>
            </rPr>
            <t>ν</t>
          </r>
        </is>
      </c>
      <c r="E104" s="44">
        <f>IF(inputs_ok,0.6*(1-f_ck/250),NA())</f>
        <v/>
      </c>
      <c r="F104" s="23" t="n"/>
      <c r="G104" s="23" t="n"/>
    </row>
    <row r="105" ht="17" customHeight="1">
      <c r="B105" s="26" t="inlineStr">
        <is>
          <t>6.2.4(4)</t>
        </is>
      </c>
      <c r="C105" s="24" t="inlineStr">
        <is>
          <t>Ratio  r = vEd / (ν fcd)  (struts need r ≤ 0.5)</t>
        </is>
      </c>
      <c r="D105" s="27" t="inlineStr">
        <is>
          <r>
            <rPr>
              <rFont val="Calibri"/>
              <i val="1"/>
              <color rgb="002B2B2B"/>
              <sz val="10"/>
            </rPr>
            <t>r</t>
          </r>
        </is>
      </c>
      <c r="E105" s="44">
        <f>IF(inputs_ok,vEd_fb/(nu_fb*fcds_fb),NA())</f>
        <v/>
      </c>
      <c r="F105" s="23" t="n"/>
      <c r="G105" s="23" t="n"/>
    </row>
    <row r="106" ht="17" customHeight="1">
      <c r="B106" s="26" t="inlineStr">
        <is>
          <t>6.2.4(4)</t>
        </is>
      </c>
      <c r="C106" s="24" t="inlineStr">
        <is>
          <t>cot θf  largest ≤ 2.0 with sin θf cos θf ≥ r</t>
        </is>
      </c>
      <c r="D106" s="27" t="inlineStr">
        <is>
          <r>
            <rPr>
              <rFont val="Calibri"/>
              <i val="1"/>
              <color rgb="002B2B2B"/>
              <sz val="10"/>
            </rPr>
            <t>cot θ</t>
          </r>
          <r>
            <rPr>
              <rFont val="Calibri"/>
              <i val="1"/>
              <color rgb="002B2B2B"/>
              <sz val="10"/>
              <vertAlign val="subscript"/>
            </rPr>
            <t>f</t>
          </r>
        </is>
      </c>
      <c r="E106" s="44">
        <f>IF(inputs_ok,IF(r_fb&lt;=0.4,2,IF(r_fb&lt;=0.5,(1+SQRT(1-4*r_fb^2))/(2*r_fb),1)),NA())</f>
        <v/>
      </c>
      <c r="F106" s="23" t="n"/>
      <c r="G106" s="23" t="n"/>
    </row>
    <row r="107" ht="17" customHeight="1">
      <c r="B107" s="26" t="inlineStr">
        <is>
          <t>(6.22)</t>
        </is>
      </c>
      <c r="C107" s="24" t="inlineStr">
        <is>
          <t>vEd ≤ ν fcd sin θf cos θf</t>
        </is>
      </c>
      <c r="D107" s="23" t="n"/>
      <c r="E107" s="44">
        <f>IF(inputs_ok,vEd_fb,NA())</f>
        <v/>
      </c>
      <c r="F107" s="28" t="inlineStr">
        <is>
          <t>MPa</t>
        </is>
      </c>
      <c r="G107" s="30">
        <f>IF(NOT(inputs_ok),"FAIL",IF(crush_fb_ok,"OK","FAIL"))</f>
        <v/>
      </c>
    </row>
    <row r="108" ht="17" customHeight="1">
      <c r="B108" s="26" t="inlineStr">
        <is>
          <t>6.2.4(6)</t>
        </is>
      </c>
      <c r="C108" s="24" t="inlineStr">
        <is>
          <t>No extra steel below  0.4 fctd</t>
        </is>
      </c>
      <c r="D108" s="27" t="inlineStr">
        <is>
          <r>
            <rPr>
              <rFont val="Calibri"/>
              <i val="1"/>
              <color rgb="002B2B2B"/>
              <sz val="10"/>
            </rPr>
            <t>k f</t>
          </r>
          <r>
            <rPr>
              <rFont val="Calibri"/>
              <i val="1"/>
              <color rgb="002B2B2B"/>
              <sz val="10"/>
              <vertAlign val="subscript"/>
            </rPr>
            <t>ctd</t>
          </r>
        </is>
      </c>
      <c r="E108" s="44">
        <f>IF(inputs_ok,0.4*fctd_fb,NA())</f>
        <v/>
      </c>
      <c r="F108" s="28" t="inlineStr">
        <is>
          <t>MPa</t>
        </is>
      </c>
      <c r="G108" s="23" t="n"/>
    </row>
    <row r="109" ht="17" customHeight="1">
      <c r="B109" s="26" t="inlineStr">
        <is>
          <t>(6.21)</t>
        </is>
      </c>
      <c r="C109" s="24" t="inlineStr">
        <is>
          <t>Transverse steel needed  vEd hf / (fyd cot θf)  (0 below k fctd)</t>
        </is>
      </c>
      <c r="D109" s="27" t="inlineStr">
        <is>
          <r>
            <rPr>
              <rFont val="Calibri"/>
              <i val="1"/>
              <color rgb="002B2B2B"/>
              <sz val="10"/>
            </rPr>
            <t>A</t>
          </r>
          <r>
            <rPr>
              <rFont val="Calibri"/>
              <i val="1"/>
              <color rgb="002B2B2B"/>
              <sz val="10"/>
              <vertAlign val="subscript"/>
            </rPr>
            <t>sf/s_f</t>
          </r>
        </is>
      </c>
      <c r="E109" s="44">
        <f>IF(inputs_ok,IF(vEd_fb&lt;=vlim_fb,0,vEd_fb*fb_hf/(fyd_fb*cotf_fb)),NA())</f>
        <v/>
      </c>
      <c r="F109" s="28" t="inlineStr">
        <is>
          <t>mm²/mm</t>
        </is>
      </c>
      <c r="G109" s="23" t="n"/>
    </row>
    <row r="110" ht="17" customHeight="1">
      <c r="B110" s="23" t="n"/>
      <c r="C110" s="24" t="inlineStr">
        <is>
          <t>Provided  π φf² / 4 / sf</t>
        </is>
      </c>
      <c r="D110" s="27" t="inlineStr">
        <is>
          <r>
            <rPr>
              <rFont val="Calibri"/>
              <i val="1"/>
              <color rgb="002B2B2B"/>
              <sz val="10"/>
            </rPr>
            <t>A</t>
          </r>
          <r>
            <rPr>
              <rFont val="Calibri"/>
              <i val="1"/>
              <color rgb="002B2B2B"/>
              <sz val="10"/>
              <vertAlign val="subscript"/>
            </rPr>
            <t>sf/s_f</t>
          </r>
        </is>
      </c>
      <c r="E110" s="44">
        <f>IF(inputs_ok,PI()*fb_phif^2/4/fb_sf,NA())</f>
        <v/>
      </c>
      <c r="F110" s="28" t="inlineStr">
        <is>
          <t>mm²/mm</t>
        </is>
      </c>
      <c r="G110" s="23" t="n"/>
    </row>
    <row r="111" ht="17" customHeight="1">
      <c r="B111" s="26" t="inlineStr">
        <is>
          <t>(6.21)</t>
        </is>
      </c>
      <c r="C111" s="24" t="inlineStr">
        <is>
          <t>Flange transverse steel: provided ≥ needed</t>
        </is>
      </c>
      <c r="D111" s="23" t="n"/>
      <c r="E111" s="44">
        <f>IF(inputs_ok,Asf_prov,NA())</f>
        <v/>
      </c>
      <c r="F111" s="28" t="inlineStr">
        <is>
          <t>mm²/mm</t>
        </is>
      </c>
      <c r="G111" s="30">
        <f>IF(NOT(inputs_ok),"FAIL",IF(flsteel_ok,"OK","FAIL"))</f>
        <v/>
      </c>
    </row>
    <row r="112" ht="29" customHeight="1">
      <c r="B112" s="46" t="inlineStr">
        <is>
          <t>The transverse bars counted here cross the web face over the full flange thickness and are anchored on both sides. Combine them with any slab bending steel to 6.2.4(5). The bars are drawn in one layer evenly spread over the web.</t>
        </is>
      </c>
    </row>
    <row r="113"/>
    <row r="114" ht="29" customHeight="1">
      <c r="B114"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12:G112"/>
    <mergeCell ref="E5:G5"/>
    <mergeCell ref="B114:G114"/>
    <mergeCell ref="D2:G2"/>
    <mergeCell ref="E7:G7"/>
    <mergeCell ref="E6:G6"/>
    <mergeCell ref="C3:G3"/>
  </mergeCells>
  <conditionalFormatting sqref="G9:G115">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"T-beam  (flange both sides),L-beam  (flange one side)"</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E24"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 0." type="decimal" errorStyle="stop" operator="greaterThanOrEqual">
      <formula1>0</formula1>
    </dataValidation>
    <dataValidation sqref="E31"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&amp;K8A8A8ANAE-RC-031  v1.0</oddFooter>
    <evenHeader/>
    <evenFooter/>
    <firstHeader/>
    <firstFooter/>
  </headerFooter>
  <rowBreaks count="1" manualBreakCount="1">
    <brk id="33"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V13"/>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section</t>
        </is>
      </c>
      <c r="G2" t="inlineStr">
        <is>
          <t>slab left</t>
        </is>
      </c>
      <c r="J2" t="inlineStr">
        <is>
          <t>slab right</t>
        </is>
      </c>
      <c r="M2" t="inlineStr">
        <is>
          <t>compression block</t>
        </is>
      </c>
      <c r="P2" t="inlineStr">
        <is>
          <t>block in the web</t>
        </is>
      </c>
      <c r="S2" t="inlineStr">
        <is>
          <t>neutral axis</t>
        </is>
      </c>
      <c r="V2" t="inlineStr">
        <is>
          <t>bar 0</t>
        </is>
      </c>
      <c r="Y2" t="inlineStr">
        <is>
          <t>bar 1</t>
        </is>
      </c>
      <c r="AB2" t="inlineStr">
        <is>
          <t>bar 2</t>
        </is>
      </c>
      <c r="AE2" t="inlineStr">
        <is>
          <t>bar 3</t>
        </is>
      </c>
      <c r="AH2" t="inlineStr">
        <is>
          <t>bar 4</t>
        </is>
      </c>
      <c r="AK2" t="inlineStr">
        <is>
          <t>bar 5</t>
        </is>
      </c>
      <c r="AN2" t="inlineStr">
        <is>
          <t>bar 6</t>
        </is>
      </c>
      <c r="AQ2" t="inlineStr">
        <is>
          <t>bar 7</t>
        </is>
      </c>
      <c r="AT2" t="inlineStr">
        <is>
          <t>dim</t>
        </is>
      </c>
      <c r="AW2">
        <f>IF(inputs_ok,"b_eff "&amp;TEXT(b_eff,"0"),"")</f>
        <v/>
      </c>
      <c r="AZ2" t="inlineStr">
        <is>
          <t>dim</t>
        </is>
      </c>
      <c r="BC2">
        <f>IF(inputs_ok,"b_w "&amp;TEXT(fb_bw,"0"),"")</f>
        <v/>
      </c>
      <c r="BF2" t="inlineStr">
        <is>
          <t>dim</t>
        </is>
      </c>
      <c r="BI2">
        <f>IF(inputs_ok,"h "&amp;TEXT(fb_h,"0"),"")</f>
        <v/>
      </c>
      <c r="BL2" t="inlineStr">
        <is>
          <t>dim</t>
        </is>
      </c>
      <c r="BO2">
        <f>IF(inputs_ok,"h_f "&amp;TEXT(fb_hf,"0"),"")</f>
        <v/>
      </c>
      <c r="BR2">
        <f>IF(inputs_ok,"x "&amp;TEXT(x_fb,"0")&amp;" · "&amp;fb_n&amp;" φ"&amp;fb_phi,"")</f>
        <v/>
      </c>
      <c r="BU2" t="inlineStr">
        <is>
          <t>frame</t>
        </is>
      </c>
    </row>
    <row r="3">
      <c r="A3">
        <f>0</f>
        <v/>
      </c>
      <c r="B3">
        <f>0</f>
        <v/>
      </c>
      <c r="D3">
        <f>IF(inputs_ok,-fb_bw/2,NA())</f>
        <v/>
      </c>
      <c r="E3">
        <f>0</f>
        <v/>
      </c>
      <c r="G3">
        <f>IF(inputs_ok,IF((-fb_bw/2-fb_s1L)&lt;&gt;(-fb_bw/2-fb_e1L),(-fb_bw/2-fb_e1L),NA()),NA())</f>
        <v/>
      </c>
      <c r="H3">
        <f>IF((-fb_bw/2-fb_s1L)&lt;&gt;(-fb_bw/2-fb_e1L),fb_h,NA())</f>
        <v/>
      </c>
      <c r="J3">
        <f>IF(inputs_ok,IF((fb_bw/2+fb_s2R)&lt;&gt;(fb_bw/2+fb_e2R),(fb_bw/2+fb_e2R),NA()),NA())</f>
        <v/>
      </c>
      <c r="K3">
        <f>IF((fb_bw/2+fb_s2R)&lt;&gt;(fb_bw/2+fb_e2R),fb_h,NA())</f>
        <v/>
      </c>
      <c r="M3">
        <f>IF(inputs_ok,(-fb_bw/2-fb_e1L),NA())</f>
        <v/>
      </c>
      <c r="N3">
        <f>MAX(fb_h-0.8*x_fb,fb_h-fb_hf)</f>
        <v/>
      </c>
      <c r="P3">
        <f>IF(inputs_ok,IF(0.8*x_fb&gt;fb_hf,-fb_bw/2,NA()),NA())</f>
        <v/>
      </c>
      <c r="Q3">
        <f>IF(0.8*x_fb&gt;fb_hf,fb_h-0.8*x_fb,NA())</f>
        <v/>
      </c>
      <c r="S3">
        <f>IF(inputs_ok,(-fb_bw/2-fb_e1L)-0.05*fb_h,NA())</f>
        <v/>
      </c>
      <c r="T3">
        <f>fb_h-x_fb</f>
        <v/>
      </c>
      <c r="V3">
        <f>IF(inputs_ok,IF(0&lt;fb_n,(IF(fb_n=1,0,-fb_bw/2+(fb_h-fb_d)+0*(fb_bw-2*(fb_h-fb_d))/MAX(fb_n-1,1)))+(fb_phi/2)*1.000000,NA()),NA())</f>
        <v/>
      </c>
      <c r="W3">
        <f>IF(0&lt;fb_n,((fb_h-fb_d))+(fb_phi/2)*0.000000,NA())</f>
        <v/>
      </c>
      <c r="Y3">
        <f>IF(inputs_ok,IF(1&lt;fb_n,(IF(fb_n=1,0,-fb_bw/2+(fb_h-fb_d)+1*(fb_bw-2*(fb_h-fb_d))/MAX(fb_n-1,1)))+(fb_phi/2)*1.000000,NA()),NA())</f>
        <v/>
      </c>
      <c r="Z3">
        <f>IF(1&lt;fb_n,((fb_h-fb_d))+(fb_phi/2)*0.000000,NA())</f>
        <v/>
      </c>
      <c r="AB3">
        <f>IF(inputs_ok,IF(2&lt;fb_n,(IF(fb_n=1,0,-fb_bw/2+(fb_h-fb_d)+2*(fb_bw-2*(fb_h-fb_d))/MAX(fb_n-1,1)))+(fb_phi/2)*1.000000,NA()),NA())</f>
        <v/>
      </c>
      <c r="AC3">
        <f>IF(2&lt;fb_n,((fb_h-fb_d))+(fb_phi/2)*0.000000,NA())</f>
        <v/>
      </c>
      <c r="AE3">
        <f>IF(inputs_ok,IF(3&lt;fb_n,(IF(fb_n=1,0,-fb_bw/2+(fb_h-fb_d)+3*(fb_bw-2*(fb_h-fb_d))/MAX(fb_n-1,1)))+(fb_phi/2)*1.000000,NA()),NA())</f>
        <v/>
      </c>
      <c r="AF3">
        <f>IF(3&lt;fb_n,((fb_h-fb_d))+(fb_phi/2)*0.000000,NA())</f>
        <v/>
      </c>
      <c r="AH3">
        <f>IF(inputs_ok,IF(4&lt;fb_n,(IF(fb_n=1,0,-fb_bw/2+(fb_h-fb_d)+4*(fb_bw-2*(fb_h-fb_d))/MAX(fb_n-1,1)))+(fb_phi/2)*1.000000,NA()),NA())</f>
        <v/>
      </c>
      <c r="AI3">
        <f>IF(4&lt;fb_n,((fb_h-fb_d))+(fb_phi/2)*0.000000,NA())</f>
        <v/>
      </c>
      <c r="AK3">
        <f>IF(inputs_ok,IF(5&lt;fb_n,(IF(fb_n=1,0,-fb_bw/2+(fb_h-fb_d)+5*(fb_bw-2*(fb_h-fb_d))/MAX(fb_n-1,1)))+(fb_phi/2)*1.000000,NA()),NA())</f>
        <v/>
      </c>
      <c r="AL3">
        <f>IF(5&lt;fb_n,((fb_h-fb_d))+(fb_phi/2)*0.000000,NA())</f>
        <v/>
      </c>
      <c r="AN3">
        <f>IF(inputs_ok,IF(6&lt;fb_n,(IF(fb_n=1,0,-fb_bw/2+(fb_h-fb_d)+6*(fb_bw-2*(fb_h-fb_d))/MAX(fb_n-1,1)))+(fb_phi/2)*1.000000,NA()),NA())</f>
        <v/>
      </c>
      <c r="AO3">
        <f>IF(6&lt;fb_n,((fb_h-fb_d))+(fb_phi/2)*0.000000,NA())</f>
        <v/>
      </c>
      <c r="AQ3">
        <f>IF(inputs_ok,IF(7&lt;fb_n,(IF(fb_n=1,0,-fb_bw/2+(fb_h-fb_d)+7*(fb_bw-2*(fb_h-fb_d))/MAX(fb_n-1,1)))+(fb_phi/2)*1.000000,NA()),NA())</f>
        <v/>
      </c>
      <c r="AR3">
        <f>IF(7&lt;fb_n,((fb_h-fb_d))+(fb_phi/2)*0.000000,NA())</f>
        <v/>
      </c>
      <c r="AT3">
        <f>IF(inputs_ok,IF(TRUE,(-fb_bw/2-fb_e1L),NA()),NA())</f>
        <v/>
      </c>
      <c r="AU3">
        <f>IF(TRUE,fb_h+0.12*fb_h,NA())</f>
        <v/>
      </c>
      <c r="AW3">
        <f>IF(inputs_ok,IF(TRUE,(((-fb_bw/2-fb_e1L))+((fb_bw/2+fb_e2R)))/2,NA()),NA())</f>
        <v/>
      </c>
      <c r="AX3">
        <f>IF(TRUE,((fb_h+0.12*fb_h)+(fb_h+0.12*fb_h))/2,NA())</f>
        <v/>
      </c>
      <c r="AZ3">
        <f>IF(inputs_ok,IF(TRUE,-fb_bw/2,NA()),NA())</f>
        <v/>
      </c>
      <c r="BA3">
        <f>IF(TRUE,-0.1*fb_h,NA())</f>
        <v/>
      </c>
      <c r="BC3">
        <f>IF(inputs_ok,IF(TRUE,((-fb_bw/2)+(fb_bw/2))/2,NA()),NA())</f>
        <v/>
      </c>
      <c r="BD3">
        <f>IF(TRUE,((-0.1*fb_h)+(-0.1*fb_h))/2,NA())</f>
        <v/>
      </c>
      <c r="BF3">
        <f>IF(inputs_ok,IF(TRUE,(fb_bw/2+fb_e2R)+0.12*fb_h,NA()),NA())</f>
        <v/>
      </c>
      <c r="BG3">
        <f>IF(TRUE,0,NA())</f>
        <v/>
      </c>
      <c r="BI3">
        <f>IF(inputs_ok,IF(TRUE,(((fb_bw/2+fb_e2R)+0.12*fb_h)+((fb_bw/2+fb_e2R)+0.12*fb_h))/2,NA()),NA())</f>
        <v/>
      </c>
      <c r="BJ3">
        <f>IF(TRUE,((0)+(fb_h))/2,NA())</f>
        <v/>
      </c>
      <c r="BL3">
        <f>IF(inputs_ok,IF(TRUE,(-fb_bw/2-fb_e1L)-0.12*fb_h,NA()),NA())</f>
        <v/>
      </c>
      <c r="BM3">
        <f>IF(TRUE,fb_h-fb_hf,NA())</f>
        <v/>
      </c>
      <c r="BO3">
        <f>IF(inputs_ok,IF(TRUE,(((-fb_bw/2-fb_e1L)-0.12*fb_h)+((-fb_bw/2-fb_e1L)-0.12*fb_h))/2,NA()),NA())</f>
        <v/>
      </c>
      <c r="BP3">
        <f>IF(TRUE,((fb_h-fb_hf)+(fb_h))/2,NA())</f>
        <v/>
      </c>
      <c r="BR3">
        <f>IF(inputs_ok,fb_bw/2+0.05*fb_h,NA())</f>
        <v/>
      </c>
      <c r="BS3">
        <f>fb_h-x_fb</f>
        <v/>
      </c>
      <c r="BU3">
        <f>((((-fb_bw/2-fb_e1L)+(fb_bw/2+fb_e2R))/2-0.65*MAX((fb_bw/2+fb_e2R)-(-fb_bw/2-fb_e1L),fb_h))+(((-fb_bw/2-fb_e1L)+(fb_bw/2+fb_e2R))/2+0.65*MAX((fb_bw/2+fb_e2R)-(-fb_bw/2-fb_e1L),fb_h)))/2-MAX((1.3*fb_h)-(-0.3*fb_h),((((-fb_bw/2-fb_e1L)+(fb_bw/2+fb_e2R))/2+0.65*MAX((fb_bw/2+fb_e2R)-(-fb_bw/2-fb_e1L),fb_h))-(((-fb_bw/2-fb_e1L)+(fb_bw/2+fb_e2R))/2-0.65*MAX((fb_bw/2+fb_e2R)-(-fb_bw/2-fb_e1L),fb_h)))/1.55)*0.53*1.55</f>
        <v/>
      </c>
      <c r="BV3">
        <f>((-0.3*fb_h)+(1.3*fb_h))/2-MAX((1.3*fb_h)-(-0.3*fb_h),((((-fb_bw/2-fb_e1L)+(fb_bw/2+fb_e2R))/2+0.65*MAX((fb_bw/2+fb_e2R)-(-fb_bw/2-fb_e1L),fb_h))-(((-fb_bw/2-fb_e1L)+(fb_bw/2+fb_e2R))/2-0.65*MAX((fb_bw/2+fb_e2R)-(-fb_bw/2-fb_e1L),fb_h)))/1.55)*0.53</f>
        <v/>
      </c>
    </row>
    <row r="4">
      <c r="D4">
        <f>IF(inputs_ok,fb_bw/2,NA())</f>
        <v/>
      </c>
      <c r="E4">
        <f>0</f>
        <v/>
      </c>
      <c r="G4">
        <f>IF(inputs_ok,IF((-fb_bw/2-fb_s1L)&lt;&gt;(-fb_bw/2-fb_e1L),(-fb_bw/2-fb_s1L),NA()),NA())</f>
        <v/>
      </c>
      <c r="H4">
        <f>IF((-fb_bw/2-fb_s1L)&lt;&gt;(-fb_bw/2-fb_e1L),fb_h,NA())</f>
        <v/>
      </c>
      <c r="J4">
        <f>IF(inputs_ok,IF((fb_bw/2+fb_s2R)&lt;&gt;(fb_bw/2+fb_e2R),(fb_bw/2+fb_s2R),NA()),NA())</f>
        <v/>
      </c>
      <c r="K4">
        <f>IF((fb_bw/2+fb_s2R)&lt;&gt;(fb_bw/2+fb_e2R),fb_h,NA())</f>
        <v/>
      </c>
      <c r="M4">
        <f>IF(inputs_ok,(fb_bw/2+fb_e2R),NA())</f>
        <v/>
      </c>
      <c r="N4">
        <f>MAX(fb_h-0.8*x_fb,fb_h-fb_hf)</f>
        <v/>
      </c>
      <c r="P4">
        <f>IF(inputs_ok,IF(0.8*x_fb&gt;fb_hf,fb_bw/2,NA()),NA())</f>
        <v/>
      </c>
      <c r="Q4">
        <f>IF(0.8*x_fb&gt;fb_hf,fb_h-0.8*x_fb,NA())</f>
        <v/>
      </c>
      <c r="S4">
        <f>IF(inputs_ok,(fb_bw/2+fb_e2R)+0.05*fb_h,NA())</f>
        <v/>
      </c>
      <c r="T4">
        <f>fb_h-x_fb</f>
        <v/>
      </c>
      <c r="V4">
        <f>IF(inputs_ok,IF(0&lt;fb_n,(IF(fb_n=1,0,-fb_bw/2+(fb_h-fb_d)+0*(fb_bw-2*(fb_h-fb_d))/MAX(fb_n-1,1)))+(fb_phi/2)*0.809017,NA()),NA())</f>
        <v/>
      </c>
      <c r="W4">
        <f>IF(0&lt;fb_n,((fb_h-fb_d))+(fb_phi/2)*0.587785,NA())</f>
        <v/>
      </c>
      <c r="Y4">
        <f>IF(inputs_ok,IF(1&lt;fb_n,(IF(fb_n=1,0,-fb_bw/2+(fb_h-fb_d)+1*(fb_bw-2*(fb_h-fb_d))/MAX(fb_n-1,1)))+(fb_phi/2)*0.809017,NA()),NA())</f>
        <v/>
      </c>
      <c r="Z4">
        <f>IF(1&lt;fb_n,((fb_h-fb_d))+(fb_phi/2)*0.587785,NA())</f>
        <v/>
      </c>
      <c r="AB4">
        <f>IF(inputs_ok,IF(2&lt;fb_n,(IF(fb_n=1,0,-fb_bw/2+(fb_h-fb_d)+2*(fb_bw-2*(fb_h-fb_d))/MAX(fb_n-1,1)))+(fb_phi/2)*0.809017,NA()),NA())</f>
        <v/>
      </c>
      <c r="AC4">
        <f>IF(2&lt;fb_n,((fb_h-fb_d))+(fb_phi/2)*0.587785,NA())</f>
        <v/>
      </c>
      <c r="AE4">
        <f>IF(inputs_ok,IF(3&lt;fb_n,(IF(fb_n=1,0,-fb_bw/2+(fb_h-fb_d)+3*(fb_bw-2*(fb_h-fb_d))/MAX(fb_n-1,1)))+(fb_phi/2)*0.809017,NA()),NA())</f>
        <v/>
      </c>
      <c r="AF4">
        <f>IF(3&lt;fb_n,((fb_h-fb_d))+(fb_phi/2)*0.587785,NA())</f>
        <v/>
      </c>
      <c r="AH4">
        <f>IF(inputs_ok,IF(4&lt;fb_n,(IF(fb_n=1,0,-fb_bw/2+(fb_h-fb_d)+4*(fb_bw-2*(fb_h-fb_d))/MAX(fb_n-1,1)))+(fb_phi/2)*0.809017,NA()),NA())</f>
        <v/>
      </c>
      <c r="AI4">
        <f>IF(4&lt;fb_n,((fb_h-fb_d))+(fb_phi/2)*0.587785,NA())</f>
        <v/>
      </c>
      <c r="AK4">
        <f>IF(inputs_ok,IF(5&lt;fb_n,(IF(fb_n=1,0,-fb_bw/2+(fb_h-fb_d)+5*(fb_bw-2*(fb_h-fb_d))/MAX(fb_n-1,1)))+(fb_phi/2)*0.809017,NA()),NA())</f>
        <v/>
      </c>
      <c r="AL4">
        <f>IF(5&lt;fb_n,((fb_h-fb_d))+(fb_phi/2)*0.587785,NA())</f>
        <v/>
      </c>
      <c r="AN4">
        <f>IF(inputs_ok,IF(6&lt;fb_n,(IF(fb_n=1,0,-fb_bw/2+(fb_h-fb_d)+6*(fb_bw-2*(fb_h-fb_d))/MAX(fb_n-1,1)))+(fb_phi/2)*0.809017,NA()),NA())</f>
        <v/>
      </c>
      <c r="AO4">
        <f>IF(6&lt;fb_n,((fb_h-fb_d))+(fb_phi/2)*0.587785,NA())</f>
        <v/>
      </c>
      <c r="AQ4">
        <f>IF(inputs_ok,IF(7&lt;fb_n,(IF(fb_n=1,0,-fb_bw/2+(fb_h-fb_d)+7*(fb_bw-2*(fb_h-fb_d))/MAX(fb_n-1,1)))+(fb_phi/2)*0.809017,NA()),NA())</f>
        <v/>
      </c>
      <c r="AR4">
        <f>IF(7&lt;fb_n,((fb_h-fb_d))+(fb_phi/2)*0.587785,NA())</f>
        <v/>
      </c>
      <c r="AT4">
        <f>IF(inputs_ok,IF(TRUE,(fb_bw/2+fb_e2R),NA()),NA())</f>
        <v/>
      </c>
      <c r="AU4">
        <f>IF(TRUE,fb_h+0.12*fb_h,NA())</f>
        <v/>
      </c>
      <c r="AZ4">
        <f>IF(inputs_ok,IF(TRUE,fb_bw/2,NA()),NA())</f>
        <v/>
      </c>
      <c r="BA4">
        <f>IF(TRUE,-0.1*fb_h,NA())</f>
        <v/>
      </c>
      <c r="BF4">
        <f>IF(inputs_ok,IF(TRUE,(fb_bw/2+fb_e2R)+0.12*fb_h,NA()),NA())</f>
        <v/>
      </c>
      <c r="BG4">
        <f>IF(TRUE,fb_h,NA())</f>
        <v/>
      </c>
      <c r="BL4">
        <f>IF(inputs_ok,IF(TRUE,(-fb_bw/2-fb_e1L)-0.12*fb_h,NA()),NA())</f>
        <v/>
      </c>
      <c r="BM4">
        <f>IF(TRUE,fb_h,NA())</f>
        <v/>
      </c>
      <c r="BU4">
        <f>((((-fb_bw/2-fb_e1L)+(fb_bw/2+fb_e2R))/2-0.65*MAX((fb_bw/2+fb_e2R)-(-fb_bw/2-fb_e1L),fb_h))+(((-fb_bw/2-fb_e1L)+(fb_bw/2+fb_e2R))/2+0.65*MAX((fb_bw/2+fb_e2R)-(-fb_bw/2-fb_e1L),fb_h)))/2+MAX((1.3*fb_h)-(-0.3*fb_h),((((-fb_bw/2-fb_e1L)+(fb_bw/2+fb_e2R))/2+0.65*MAX((fb_bw/2+fb_e2R)-(-fb_bw/2-fb_e1L),fb_h))-(((-fb_bw/2-fb_e1L)+(fb_bw/2+fb_e2R))/2-0.65*MAX((fb_bw/2+fb_e2R)-(-fb_bw/2-fb_e1L),fb_h)))/1.55)*0.53*1.55</f>
        <v/>
      </c>
      <c r="BV4">
        <f>((-0.3*fb_h)+(1.3*fb_h))/2+MAX((1.3*fb_h)-(-0.3*fb_h),((((-fb_bw/2-fb_e1L)+(fb_bw/2+fb_e2R))/2+0.65*MAX((fb_bw/2+fb_e2R)-(-fb_bw/2-fb_e1L),fb_h))-(((-fb_bw/2-fb_e1L)+(fb_bw/2+fb_e2R))/2-0.65*MAX((fb_bw/2+fb_e2R)-(-fb_bw/2-fb_e1L),fb_h)))/1.55)*0.53</f>
        <v/>
      </c>
    </row>
    <row r="5">
      <c r="D5">
        <f>IF(inputs_ok,fb_bw/2,NA())</f>
        <v/>
      </c>
      <c r="E5">
        <f>fb_h-fb_hf</f>
        <v/>
      </c>
      <c r="G5">
        <f>IF(inputs_ok,IF((-fb_bw/2-fb_s1L)&lt;&gt;(-fb_bw/2-fb_e1L),(-fb_bw/2-fb_s1L),NA()),NA())</f>
        <v/>
      </c>
      <c r="H5">
        <f>IF((-fb_bw/2-fb_s1L)&lt;&gt;(-fb_bw/2-fb_e1L),fb_h-fb_hf,NA())</f>
        <v/>
      </c>
      <c r="J5">
        <f>IF(inputs_ok,IF((fb_bw/2+fb_s2R)&lt;&gt;(fb_bw/2+fb_e2R),(fb_bw/2+fb_s2R),NA()),NA())</f>
        <v/>
      </c>
      <c r="K5">
        <f>IF((fb_bw/2+fb_s2R)&lt;&gt;(fb_bw/2+fb_e2R),fb_h-fb_hf,NA())</f>
        <v/>
      </c>
      <c r="V5">
        <f>IF(inputs_ok,IF(0&lt;fb_n,(IF(fb_n=1,0,-fb_bw/2+(fb_h-fb_d)+0*(fb_bw-2*(fb_h-fb_d))/MAX(fb_n-1,1)))+(fb_phi/2)*0.309017,NA()),NA())</f>
        <v/>
      </c>
      <c r="W5">
        <f>IF(0&lt;fb_n,((fb_h-fb_d))+(fb_phi/2)*0.951057,NA())</f>
        <v/>
      </c>
      <c r="Y5">
        <f>IF(inputs_ok,IF(1&lt;fb_n,(IF(fb_n=1,0,-fb_bw/2+(fb_h-fb_d)+1*(fb_bw-2*(fb_h-fb_d))/MAX(fb_n-1,1)))+(fb_phi/2)*0.309017,NA()),NA())</f>
        <v/>
      </c>
      <c r="Z5">
        <f>IF(1&lt;fb_n,((fb_h-fb_d))+(fb_phi/2)*0.951057,NA())</f>
        <v/>
      </c>
      <c r="AB5">
        <f>IF(inputs_ok,IF(2&lt;fb_n,(IF(fb_n=1,0,-fb_bw/2+(fb_h-fb_d)+2*(fb_bw-2*(fb_h-fb_d))/MAX(fb_n-1,1)))+(fb_phi/2)*0.309017,NA()),NA())</f>
        <v/>
      </c>
      <c r="AC5">
        <f>IF(2&lt;fb_n,((fb_h-fb_d))+(fb_phi/2)*0.951057,NA())</f>
        <v/>
      </c>
      <c r="AE5">
        <f>IF(inputs_ok,IF(3&lt;fb_n,(IF(fb_n=1,0,-fb_bw/2+(fb_h-fb_d)+3*(fb_bw-2*(fb_h-fb_d))/MAX(fb_n-1,1)))+(fb_phi/2)*0.309017,NA()),NA())</f>
        <v/>
      </c>
      <c r="AF5">
        <f>IF(3&lt;fb_n,((fb_h-fb_d))+(fb_phi/2)*0.951057,NA())</f>
        <v/>
      </c>
      <c r="AH5">
        <f>IF(inputs_ok,IF(4&lt;fb_n,(IF(fb_n=1,0,-fb_bw/2+(fb_h-fb_d)+4*(fb_bw-2*(fb_h-fb_d))/MAX(fb_n-1,1)))+(fb_phi/2)*0.309017,NA()),NA())</f>
        <v/>
      </c>
      <c r="AI5">
        <f>IF(4&lt;fb_n,((fb_h-fb_d))+(fb_phi/2)*0.951057,NA())</f>
        <v/>
      </c>
      <c r="AK5">
        <f>IF(inputs_ok,IF(5&lt;fb_n,(IF(fb_n=1,0,-fb_bw/2+(fb_h-fb_d)+5*(fb_bw-2*(fb_h-fb_d))/MAX(fb_n-1,1)))+(fb_phi/2)*0.309017,NA()),NA())</f>
        <v/>
      </c>
      <c r="AL5">
        <f>IF(5&lt;fb_n,((fb_h-fb_d))+(fb_phi/2)*0.951057,NA())</f>
        <v/>
      </c>
      <c r="AN5">
        <f>IF(inputs_ok,IF(6&lt;fb_n,(IF(fb_n=1,0,-fb_bw/2+(fb_h-fb_d)+6*(fb_bw-2*(fb_h-fb_d))/MAX(fb_n-1,1)))+(fb_phi/2)*0.309017,NA()),NA())</f>
        <v/>
      </c>
      <c r="AO5">
        <f>IF(6&lt;fb_n,((fb_h-fb_d))+(fb_phi/2)*0.951057,NA())</f>
        <v/>
      </c>
      <c r="AQ5">
        <f>IF(inputs_ok,IF(7&lt;fb_n,(IF(fb_n=1,0,-fb_bw/2+(fb_h-fb_d)+7*(fb_bw-2*(fb_h-fb_d))/MAX(fb_n-1,1)))+(fb_phi/2)*0.309017,NA()),NA())</f>
        <v/>
      </c>
      <c r="AR5">
        <f>IF(7&lt;fb_n,((fb_h-fb_d))+(fb_phi/2)*0.951057,NA())</f>
        <v/>
      </c>
    </row>
    <row r="6">
      <c r="D6">
        <f>IF(inputs_ok,(fb_bw/2+fb_e2R),NA())</f>
        <v/>
      </c>
      <c r="E6">
        <f>fb_h-fb_hf</f>
        <v/>
      </c>
      <c r="G6">
        <f>IF(inputs_ok,IF((-fb_bw/2-fb_s1L)&lt;&gt;(-fb_bw/2-fb_e1L),(-fb_bw/2-fb_e1L),NA()),NA())</f>
        <v/>
      </c>
      <c r="H6">
        <f>IF((-fb_bw/2-fb_s1L)&lt;&gt;(-fb_bw/2-fb_e1L),fb_h-fb_hf,NA())</f>
        <v/>
      </c>
      <c r="J6">
        <f>IF(inputs_ok,IF((fb_bw/2+fb_s2R)&lt;&gt;(fb_bw/2+fb_e2R),(fb_bw/2+fb_e2R),NA()),NA())</f>
        <v/>
      </c>
      <c r="K6">
        <f>IF((fb_bw/2+fb_s2R)&lt;&gt;(fb_bw/2+fb_e2R),fb_h-fb_hf,NA())</f>
        <v/>
      </c>
      <c r="V6">
        <f>IF(inputs_ok,IF(0&lt;fb_n,(IF(fb_n=1,0,-fb_bw/2+(fb_h-fb_d)+0*(fb_bw-2*(fb_h-fb_d))/MAX(fb_n-1,1)))+(fb_phi/2)*-0.309017,NA()),NA())</f>
        <v/>
      </c>
      <c r="W6">
        <f>IF(0&lt;fb_n,((fb_h-fb_d))+(fb_phi/2)*0.951057,NA())</f>
        <v/>
      </c>
      <c r="Y6">
        <f>IF(inputs_ok,IF(1&lt;fb_n,(IF(fb_n=1,0,-fb_bw/2+(fb_h-fb_d)+1*(fb_bw-2*(fb_h-fb_d))/MAX(fb_n-1,1)))+(fb_phi/2)*-0.309017,NA()),NA())</f>
        <v/>
      </c>
      <c r="Z6">
        <f>IF(1&lt;fb_n,((fb_h-fb_d))+(fb_phi/2)*0.951057,NA())</f>
        <v/>
      </c>
      <c r="AB6">
        <f>IF(inputs_ok,IF(2&lt;fb_n,(IF(fb_n=1,0,-fb_bw/2+(fb_h-fb_d)+2*(fb_bw-2*(fb_h-fb_d))/MAX(fb_n-1,1)))+(fb_phi/2)*-0.309017,NA()),NA())</f>
        <v/>
      </c>
      <c r="AC6">
        <f>IF(2&lt;fb_n,((fb_h-fb_d))+(fb_phi/2)*0.951057,NA())</f>
        <v/>
      </c>
      <c r="AE6">
        <f>IF(inputs_ok,IF(3&lt;fb_n,(IF(fb_n=1,0,-fb_bw/2+(fb_h-fb_d)+3*(fb_bw-2*(fb_h-fb_d))/MAX(fb_n-1,1)))+(fb_phi/2)*-0.309017,NA()),NA())</f>
        <v/>
      </c>
      <c r="AF6">
        <f>IF(3&lt;fb_n,((fb_h-fb_d))+(fb_phi/2)*0.951057,NA())</f>
        <v/>
      </c>
      <c r="AH6">
        <f>IF(inputs_ok,IF(4&lt;fb_n,(IF(fb_n=1,0,-fb_bw/2+(fb_h-fb_d)+4*(fb_bw-2*(fb_h-fb_d))/MAX(fb_n-1,1)))+(fb_phi/2)*-0.309017,NA()),NA())</f>
        <v/>
      </c>
      <c r="AI6">
        <f>IF(4&lt;fb_n,((fb_h-fb_d))+(fb_phi/2)*0.951057,NA())</f>
        <v/>
      </c>
      <c r="AK6">
        <f>IF(inputs_ok,IF(5&lt;fb_n,(IF(fb_n=1,0,-fb_bw/2+(fb_h-fb_d)+5*(fb_bw-2*(fb_h-fb_d))/MAX(fb_n-1,1)))+(fb_phi/2)*-0.309017,NA()),NA())</f>
        <v/>
      </c>
      <c r="AL6">
        <f>IF(5&lt;fb_n,((fb_h-fb_d))+(fb_phi/2)*0.951057,NA())</f>
        <v/>
      </c>
      <c r="AN6">
        <f>IF(inputs_ok,IF(6&lt;fb_n,(IF(fb_n=1,0,-fb_bw/2+(fb_h-fb_d)+6*(fb_bw-2*(fb_h-fb_d))/MAX(fb_n-1,1)))+(fb_phi/2)*-0.309017,NA()),NA())</f>
        <v/>
      </c>
      <c r="AO6">
        <f>IF(6&lt;fb_n,((fb_h-fb_d))+(fb_phi/2)*0.951057,NA())</f>
        <v/>
      </c>
      <c r="AQ6">
        <f>IF(inputs_ok,IF(7&lt;fb_n,(IF(fb_n=1,0,-fb_bw/2+(fb_h-fb_d)+7*(fb_bw-2*(fb_h-fb_d))/MAX(fb_n-1,1)))+(fb_phi/2)*-0.309017,NA()),NA())</f>
        <v/>
      </c>
      <c r="AR6">
        <f>IF(7&lt;fb_n,((fb_h-fb_d))+(fb_phi/2)*0.951057,NA())</f>
        <v/>
      </c>
    </row>
    <row r="7">
      <c r="D7">
        <f>IF(inputs_ok,(fb_bw/2+fb_e2R),NA())</f>
        <v/>
      </c>
      <c r="E7">
        <f>fb_h</f>
        <v/>
      </c>
      <c r="V7">
        <f>IF(inputs_ok,IF(0&lt;fb_n,(IF(fb_n=1,0,-fb_bw/2+(fb_h-fb_d)+0*(fb_bw-2*(fb_h-fb_d))/MAX(fb_n-1,1)))+(fb_phi/2)*-0.809017,NA()),NA())</f>
        <v/>
      </c>
      <c r="W7">
        <f>IF(0&lt;fb_n,((fb_h-fb_d))+(fb_phi/2)*0.587785,NA())</f>
        <v/>
      </c>
      <c r="Y7">
        <f>IF(inputs_ok,IF(1&lt;fb_n,(IF(fb_n=1,0,-fb_bw/2+(fb_h-fb_d)+1*(fb_bw-2*(fb_h-fb_d))/MAX(fb_n-1,1)))+(fb_phi/2)*-0.809017,NA()),NA())</f>
        <v/>
      </c>
      <c r="Z7">
        <f>IF(1&lt;fb_n,((fb_h-fb_d))+(fb_phi/2)*0.587785,NA())</f>
        <v/>
      </c>
      <c r="AB7">
        <f>IF(inputs_ok,IF(2&lt;fb_n,(IF(fb_n=1,0,-fb_bw/2+(fb_h-fb_d)+2*(fb_bw-2*(fb_h-fb_d))/MAX(fb_n-1,1)))+(fb_phi/2)*-0.809017,NA()),NA())</f>
        <v/>
      </c>
      <c r="AC7">
        <f>IF(2&lt;fb_n,((fb_h-fb_d))+(fb_phi/2)*0.587785,NA())</f>
        <v/>
      </c>
      <c r="AE7">
        <f>IF(inputs_ok,IF(3&lt;fb_n,(IF(fb_n=1,0,-fb_bw/2+(fb_h-fb_d)+3*(fb_bw-2*(fb_h-fb_d))/MAX(fb_n-1,1)))+(fb_phi/2)*-0.809017,NA()),NA())</f>
        <v/>
      </c>
      <c r="AF7">
        <f>IF(3&lt;fb_n,((fb_h-fb_d))+(fb_phi/2)*0.587785,NA())</f>
        <v/>
      </c>
      <c r="AH7">
        <f>IF(inputs_ok,IF(4&lt;fb_n,(IF(fb_n=1,0,-fb_bw/2+(fb_h-fb_d)+4*(fb_bw-2*(fb_h-fb_d))/MAX(fb_n-1,1)))+(fb_phi/2)*-0.809017,NA()),NA())</f>
        <v/>
      </c>
      <c r="AI7">
        <f>IF(4&lt;fb_n,((fb_h-fb_d))+(fb_phi/2)*0.587785,NA())</f>
        <v/>
      </c>
      <c r="AK7">
        <f>IF(inputs_ok,IF(5&lt;fb_n,(IF(fb_n=1,0,-fb_bw/2+(fb_h-fb_d)+5*(fb_bw-2*(fb_h-fb_d))/MAX(fb_n-1,1)))+(fb_phi/2)*-0.809017,NA()),NA())</f>
        <v/>
      </c>
      <c r="AL7">
        <f>IF(5&lt;fb_n,((fb_h-fb_d))+(fb_phi/2)*0.587785,NA())</f>
        <v/>
      </c>
      <c r="AN7">
        <f>IF(inputs_ok,IF(6&lt;fb_n,(IF(fb_n=1,0,-fb_bw/2+(fb_h-fb_d)+6*(fb_bw-2*(fb_h-fb_d))/MAX(fb_n-1,1)))+(fb_phi/2)*-0.809017,NA()),NA())</f>
        <v/>
      </c>
      <c r="AO7">
        <f>IF(6&lt;fb_n,((fb_h-fb_d))+(fb_phi/2)*0.587785,NA())</f>
        <v/>
      </c>
      <c r="AQ7">
        <f>IF(inputs_ok,IF(7&lt;fb_n,(IF(fb_n=1,0,-fb_bw/2+(fb_h-fb_d)+7*(fb_bw-2*(fb_h-fb_d))/MAX(fb_n-1,1)))+(fb_phi/2)*-0.809017,NA()),NA())</f>
        <v/>
      </c>
      <c r="AR7">
        <f>IF(7&lt;fb_n,((fb_h-fb_d))+(fb_phi/2)*0.587785,NA())</f>
        <v/>
      </c>
    </row>
    <row r="8">
      <c r="D8">
        <f>IF(inputs_ok,(-fb_bw/2-fb_e1L),NA())</f>
        <v/>
      </c>
      <c r="E8">
        <f>fb_h</f>
        <v/>
      </c>
      <c r="V8">
        <f>IF(inputs_ok,IF(0&lt;fb_n,(IF(fb_n=1,0,-fb_bw/2+(fb_h-fb_d)+0*(fb_bw-2*(fb_h-fb_d))/MAX(fb_n-1,1)))+(fb_phi/2)*-1.000000,NA()),NA())</f>
        <v/>
      </c>
      <c r="W8">
        <f>IF(0&lt;fb_n,((fb_h-fb_d))+(fb_phi/2)*0.000000,NA())</f>
        <v/>
      </c>
      <c r="Y8">
        <f>IF(inputs_ok,IF(1&lt;fb_n,(IF(fb_n=1,0,-fb_bw/2+(fb_h-fb_d)+1*(fb_bw-2*(fb_h-fb_d))/MAX(fb_n-1,1)))+(fb_phi/2)*-1.000000,NA()),NA())</f>
        <v/>
      </c>
      <c r="Z8">
        <f>IF(1&lt;fb_n,((fb_h-fb_d))+(fb_phi/2)*0.000000,NA())</f>
        <v/>
      </c>
      <c r="AB8">
        <f>IF(inputs_ok,IF(2&lt;fb_n,(IF(fb_n=1,0,-fb_bw/2+(fb_h-fb_d)+2*(fb_bw-2*(fb_h-fb_d))/MAX(fb_n-1,1)))+(fb_phi/2)*-1.000000,NA()),NA())</f>
        <v/>
      </c>
      <c r="AC8">
        <f>IF(2&lt;fb_n,((fb_h-fb_d))+(fb_phi/2)*0.000000,NA())</f>
        <v/>
      </c>
      <c r="AE8">
        <f>IF(inputs_ok,IF(3&lt;fb_n,(IF(fb_n=1,0,-fb_bw/2+(fb_h-fb_d)+3*(fb_bw-2*(fb_h-fb_d))/MAX(fb_n-1,1)))+(fb_phi/2)*-1.000000,NA()),NA())</f>
        <v/>
      </c>
      <c r="AF8">
        <f>IF(3&lt;fb_n,((fb_h-fb_d))+(fb_phi/2)*0.000000,NA())</f>
        <v/>
      </c>
      <c r="AH8">
        <f>IF(inputs_ok,IF(4&lt;fb_n,(IF(fb_n=1,0,-fb_bw/2+(fb_h-fb_d)+4*(fb_bw-2*(fb_h-fb_d))/MAX(fb_n-1,1)))+(fb_phi/2)*-1.000000,NA()),NA())</f>
        <v/>
      </c>
      <c r="AI8">
        <f>IF(4&lt;fb_n,((fb_h-fb_d))+(fb_phi/2)*0.000000,NA())</f>
        <v/>
      </c>
      <c r="AK8">
        <f>IF(inputs_ok,IF(5&lt;fb_n,(IF(fb_n=1,0,-fb_bw/2+(fb_h-fb_d)+5*(fb_bw-2*(fb_h-fb_d))/MAX(fb_n-1,1)))+(fb_phi/2)*-1.000000,NA()),NA())</f>
        <v/>
      </c>
      <c r="AL8">
        <f>IF(5&lt;fb_n,((fb_h-fb_d))+(fb_phi/2)*0.000000,NA())</f>
        <v/>
      </c>
      <c r="AN8">
        <f>IF(inputs_ok,IF(6&lt;fb_n,(IF(fb_n=1,0,-fb_bw/2+(fb_h-fb_d)+6*(fb_bw-2*(fb_h-fb_d))/MAX(fb_n-1,1)))+(fb_phi/2)*-1.000000,NA()),NA())</f>
        <v/>
      </c>
      <c r="AO8">
        <f>IF(6&lt;fb_n,((fb_h-fb_d))+(fb_phi/2)*0.000000,NA())</f>
        <v/>
      </c>
      <c r="AQ8">
        <f>IF(inputs_ok,IF(7&lt;fb_n,(IF(fb_n=1,0,-fb_bw/2+(fb_h-fb_d)+7*(fb_bw-2*(fb_h-fb_d))/MAX(fb_n-1,1)))+(fb_phi/2)*-1.000000,NA()),NA())</f>
        <v/>
      </c>
      <c r="AR8">
        <f>IF(7&lt;fb_n,((fb_h-fb_d))+(fb_phi/2)*0.000000,NA())</f>
        <v/>
      </c>
    </row>
    <row r="9">
      <c r="D9">
        <f>IF(inputs_ok,(-fb_bw/2-fb_e1L),NA())</f>
        <v/>
      </c>
      <c r="E9">
        <f>fb_h-fb_hf</f>
        <v/>
      </c>
      <c r="V9">
        <f>IF(inputs_ok,IF(0&lt;fb_n,(IF(fb_n=1,0,-fb_bw/2+(fb_h-fb_d)+0*(fb_bw-2*(fb_h-fb_d))/MAX(fb_n-1,1)))+(fb_phi/2)*-0.809017,NA()),NA())</f>
        <v/>
      </c>
      <c r="W9">
        <f>IF(0&lt;fb_n,((fb_h-fb_d))+(fb_phi/2)*-0.587785,NA())</f>
        <v/>
      </c>
      <c r="Y9">
        <f>IF(inputs_ok,IF(1&lt;fb_n,(IF(fb_n=1,0,-fb_bw/2+(fb_h-fb_d)+1*(fb_bw-2*(fb_h-fb_d))/MAX(fb_n-1,1)))+(fb_phi/2)*-0.809017,NA()),NA())</f>
        <v/>
      </c>
      <c r="Z9">
        <f>IF(1&lt;fb_n,((fb_h-fb_d))+(fb_phi/2)*-0.587785,NA())</f>
        <v/>
      </c>
      <c r="AB9">
        <f>IF(inputs_ok,IF(2&lt;fb_n,(IF(fb_n=1,0,-fb_bw/2+(fb_h-fb_d)+2*(fb_bw-2*(fb_h-fb_d))/MAX(fb_n-1,1)))+(fb_phi/2)*-0.809017,NA()),NA())</f>
        <v/>
      </c>
      <c r="AC9">
        <f>IF(2&lt;fb_n,((fb_h-fb_d))+(fb_phi/2)*-0.587785,NA())</f>
        <v/>
      </c>
      <c r="AE9">
        <f>IF(inputs_ok,IF(3&lt;fb_n,(IF(fb_n=1,0,-fb_bw/2+(fb_h-fb_d)+3*(fb_bw-2*(fb_h-fb_d))/MAX(fb_n-1,1)))+(fb_phi/2)*-0.809017,NA()),NA())</f>
        <v/>
      </c>
      <c r="AF9">
        <f>IF(3&lt;fb_n,((fb_h-fb_d))+(fb_phi/2)*-0.587785,NA())</f>
        <v/>
      </c>
      <c r="AH9">
        <f>IF(inputs_ok,IF(4&lt;fb_n,(IF(fb_n=1,0,-fb_bw/2+(fb_h-fb_d)+4*(fb_bw-2*(fb_h-fb_d))/MAX(fb_n-1,1)))+(fb_phi/2)*-0.809017,NA()),NA())</f>
        <v/>
      </c>
      <c r="AI9">
        <f>IF(4&lt;fb_n,((fb_h-fb_d))+(fb_phi/2)*-0.587785,NA())</f>
        <v/>
      </c>
      <c r="AK9">
        <f>IF(inputs_ok,IF(5&lt;fb_n,(IF(fb_n=1,0,-fb_bw/2+(fb_h-fb_d)+5*(fb_bw-2*(fb_h-fb_d))/MAX(fb_n-1,1)))+(fb_phi/2)*-0.809017,NA()),NA())</f>
        <v/>
      </c>
      <c r="AL9">
        <f>IF(5&lt;fb_n,((fb_h-fb_d))+(fb_phi/2)*-0.587785,NA())</f>
        <v/>
      </c>
      <c r="AN9">
        <f>IF(inputs_ok,IF(6&lt;fb_n,(IF(fb_n=1,0,-fb_bw/2+(fb_h-fb_d)+6*(fb_bw-2*(fb_h-fb_d))/MAX(fb_n-1,1)))+(fb_phi/2)*-0.809017,NA()),NA())</f>
        <v/>
      </c>
      <c r="AO9">
        <f>IF(6&lt;fb_n,((fb_h-fb_d))+(fb_phi/2)*-0.587785,NA())</f>
        <v/>
      </c>
      <c r="AQ9">
        <f>IF(inputs_ok,IF(7&lt;fb_n,(IF(fb_n=1,0,-fb_bw/2+(fb_h-fb_d)+7*(fb_bw-2*(fb_h-fb_d))/MAX(fb_n-1,1)))+(fb_phi/2)*-0.809017,NA()),NA())</f>
        <v/>
      </c>
      <c r="AR9">
        <f>IF(7&lt;fb_n,((fb_h-fb_d))+(fb_phi/2)*-0.587785,NA())</f>
        <v/>
      </c>
    </row>
    <row r="10">
      <c r="D10">
        <f>IF(inputs_ok,-fb_bw/2,NA())</f>
        <v/>
      </c>
      <c r="E10">
        <f>fb_h-fb_hf</f>
        <v/>
      </c>
      <c r="V10">
        <f>IF(inputs_ok,IF(0&lt;fb_n,(IF(fb_n=1,0,-fb_bw/2+(fb_h-fb_d)+0*(fb_bw-2*(fb_h-fb_d))/MAX(fb_n-1,1)))+(fb_phi/2)*-0.309017,NA()),NA())</f>
        <v/>
      </c>
      <c r="W10">
        <f>IF(0&lt;fb_n,((fb_h-fb_d))+(fb_phi/2)*-0.951057,NA())</f>
        <v/>
      </c>
      <c r="Y10">
        <f>IF(inputs_ok,IF(1&lt;fb_n,(IF(fb_n=1,0,-fb_bw/2+(fb_h-fb_d)+1*(fb_bw-2*(fb_h-fb_d))/MAX(fb_n-1,1)))+(fb_phi/2)*-0.309017,NA()),NA())</f>
        <v/>
      </c>
      <c r="Z10">
        <f>IF(1&lt;fb_n,((fb_h-fb_d))+(fb_phi/2)*-0.951057,NA())</f>
        <v/>
      </c>
      <c r="AB10">
        <f>IF(inputs_ok,IF(2&lt;fb_n,(IF(fb_n=1,0,-fb_bw/2+(fb_h-fb_d)+2*(fb_bw-2*(fb_h-fb_d))/MAX(fb_n-1,1)))+(fb_phi/2)*-0.309017,NA()),NA())</f>
        <v/>
      </c>
      <c r="AC10">
        <f>IF(2&lt;fb_n,((fb_h-fb_d))+(fb_phi/2)*-0.951057,NA())</f>
        <v/>
      </c>
      <c r="AE10">
        <f>IF(inputs_ok,IF(3&lt;fb_n,(IF(fb_n=1,0,-fb_bw/2+(fb_h-fb_d)+3*(fb_bw-2*(fb_h-fb_d))/MAX(fb_n-1,1)))+(fb_phi/2)*-0.309017,NA()),NA())</f>
        <v/>
      </c>
      <c r="AF10">
        <f>IF(3&lt;fb_n,((fb_h-fb_d))+(fb_phi/2)*-0.951057,NA())</f>
        <v/>
      </c>
      <c r="AH10">
        <f>IF(inputs_ok,IF(4&lt;fb_n,(IF(fb_n=1,0,-fb_bw/2+(fb_h-fb_d)+4*(fb_bw-2*(fb_h-fb_d))/MAX(fb_n-1,1)))+(fb_phi/2)*-0.309017,NA()),NA())</f>
        <v/>
      </c>
      <c r="AI10">
        <f>IF(4&lt;fb_n,((fb_h-fb_d))+(fb_phi/2)*-0.951057,NA())</f>
        <v/>
      </c>
      <c r="AK10">
        <f>IF(inputs_ok,IF(5&lt;fb_n,(IF(fb_n=1,0,-fb_bw/2+(fb_h-fb_d)+5*(fb_bw-2*(fb_h-fb_d))/MAX(fb_n-1,1)))+(fb_phi/2)*-0.309017,NA()),NA())</f>
        <v/>
      </c>
      <c r="AL10">
        <f>IF(5&lt;fb_n,((fb_h-fb_d))+(fb_phi/2)*-0.951057,NA())</f>
        <v/>
      </c>
      <c r="AN10">
        <f>IF(inputs_ok,IF(6&lt;fb_n,(IF(fb_n=1,0,-fb_bw/2+(fb_h-fb_d)+6*(fb_bw-2*(fb_h-fb_d))/MAX(fb_n-1,1)))+(fb_phi/2)*-0.309017,NA()),NA())</f>
        <v/>
      </c>
      <c r="AO10">
        <f>IF(6&lt;fb_n,((fb_h-fb_d))+(fb_phi/2)*-0.951057,NA())</f>
        <v/>
      </c>
      <c r="AQ10">
        <f>IF(inputs_ok,IF(7&lt;fb_n,(IF(fb_n=1,0,-fb_bw/2+(fb_h-fb_d)+7*(fb_bw-2*(fb_h-fb_d))/MAX(fb_n-1,1)))+(fb_phi/2)*-0.309017,NA()),NA())</f>
        <v/>
      </c>
      <c r="AR10">
        <f>IF(7&lt;fb_n,((fb_h-fb_d))+(fb_phi/2)*-0.951057,NA())</f>
        <v/>
      </c>
    </row>
    <row r="11">
      <c r="D11">
        <f>IF(inputs_ok,-fb_bw/2,NA())</f>
        <v/>
      </c>
      <c r="E11">
        <f>0</f>
        <v/>
      </c>
      <c r="V11">
        <f>IF(inputs_ok,IF(0&lt;fb_n,(IF(fb_n=1,0,-fb_bw/2+(fb_h-fb_d)+0*(fb_bw-2*(fb_h-fb_d))/MAX(fb_n-1,1)))+(fb_phi/2)*0.309017,NA()),NA())</f>
        <v/>
      </c>
      <c r="W11">
        <f>IF(0&lt;fb_n,((fb_h-fb_d))+(fb_phi/2)*-0.951057,NA())</f>
        <v/>
      </c>
      <c r="Y11">
        <f>IF(inputs_ok,IF(1&lt;fb_n,(IF(fb_n=1,0,-fb_bw/2+(fb_h-fb_d)+1*(fb_bw-2*(fb_h-fb_d))/MAX(fb_n-1,1)))+(fb_phi/2)*0.309017,NA()),NA())</f>
        <v/>
      </c>
      <c r="Z11">
        <f>IF(1&lt;fb_n,((fb_h-fb_d))+(fb_phi/2)*-0.951057,NA())</f>
        <v/>
      </c>
      <c r="AB11">
        <f>IF(inputs_ok,IF(2&lt;fb_n,(IF(fb_n=1,0,-fb_bw/2+(fb_h-fb_d)+2*(fb_bw-2*(fb_h-fb_d))/MAX(fb_n-1,1)))+(fb_phi/2)*0.309017,NA()),NA())</f>
        <v/>
      </c>
      <c r="AC11">
        <f>IF(2&lt;fb_n,((fb_h-fb_d))+(fb_phi/2)*-0.951057,NA())</f>
        <v/>
      </c>
      <c r="AE11">
        <f>IF(inputs_ok,IF(3&lt;fb_n,(IF(fb_n=1,0,-fb_bw/2+(fb_h-fb_d)+3*(fb_bw-2*(fb_h-fb_d))/MAX(fb_n-1,1)))+(fb_phi/2)*0.309017,NA()),NA())</f>
        <v/>
      </c>
      <c r="AF11">
        <f>IF(3&lt;fb_n,((fb_h-fb_d))+(fb_phi/2)*-0.951057,NA())</f>
        <v/>
      </c>
      <c r="AH11">
        <f>IF(inputs_ok,IF(4&lt;fb_n,(IF(fb_n=1,0,-fb_bw/2+(fb_h-fb_d)+4*(fb_bw-2*(fb_h-fb_d))/MAX(fb_n-1,1)))+(fb_phi/2)*0.309017,NA()),NA())</f>
        <v/>
      </c>
      <c r="AI11">
        <f>IF(4&lt;fb_n,((fb_h-fb_d))+(fb_phi/2)*-0.951057,NA())</f>
        <v/>
      </c>
      <c r="AK11">
        <f>IF(inputs_ok,IF(5&lt;fb_n,(IF(fb_n=1,0,-fb_bw/2+(fb_h-fb_d)+5*(fb_bw-2*(fb_h-fb_d))/MAX(fb_n-1,1)))+(fb_phi/2)*0.309017,NA()),NA())</f>
        <v/>
      </c>
      <c r="AL11">
        <f>IF(5&lt;fb_n,((fb_h-fb_d))+(fb_phi/2)*-0.951057,NA())</f>
        <v/>
      </c>
      <c r="AN11">
        <f>IF(inputs_ok,IF(6&lt;fb_n,(IF(fb_n=1,0,-fb_bw/2+(fb_h-fb_d)+6*(fb_bw-2*(fb_h-fb_d))/MAX(fb_n-1,1)))+(fb_phi/2)*0.309017,NA()),NA())</f>
        <v/>
      </c>
      <c r="AO11">
        <f>IF(6&lt;fb_n,((fb_h-fb_d))+(fb_phi/2)*-0.951057,NA())</f>
        <v/>
      </c>
      <c r="AQ11">
        <f>IF(inputs_ok,IF(7&lt;fb_n,(IF(fb_n=1,0,-fb_bw/2+(fb_h-fb_d)+7*(fb_bw-2*(fb_h-fb_d))/MAX(fb_n-1,1)))+(fb_phi/2)*0.309017,NA()),NA())</f>
        <v/>
      </c>
      <c r="AR11">
        <f>IF(7&lt;fb_n,((fb_h-fb_d))+(fb_phi/2)*-0.951057,NA())</f>
        <v/>
      </c>
    </row>
    <row r="12">
      <c r="V12">
        <f>IF(inputs_ok,IF(0&lt;fb_n,(IF(fb_n=1,0,-fb_bw/2+(fb_h-fb_d)+0*(fb_bw-2*(fb_h-fb_d))/MAX(fb_n-1,1)))+(fb_phi/2)*0.809017,NA()),NA())</f>
        <v/>
      </c>
      <c r="W12">
        <f>IF(0&lt;fb_n,((fb_h-fb_d))+(fb_phi/2)*-0.587785,NA())</f>
        <v/>
      </c>
      <c r="Y12">
        <f>IF(inputs_ok,IF(1&lt;fb_n,(IF(fb_n=1,0,-fb_bw/2+(fb_h-fb_d)+1*(fb_bw-2*(fb_h-fb_d))/MAX(fb_n-1,1)))+(fb_phi/2)*0.809017,NA()),NA())</f>
        <v/>
      </c>
      <c r="Z12">
        <f>IF(1&lt;fb_n,((fb_h-fb_d))+(fb_phi/2)*-0.587785,NA())</f>
        <v/>
      </c>
      <c r="AB12">
        <f>IF(inputs_ok,IF(2&lt;fb_n,(IF(fb_n=1,0,-fb_bw/2+(fb_h-fb_d)+2*(fb_bw-2*(fb_h-fb_d))/MAX(fb_n-1,1)))+(fb_phi/2)*0.809017,NA()),NA())</f>
        <v/>
      </c>
      <c r="AC12">
        <f>IF(2&lt;fb_n,((fb_h-fb_d))+(fb_phi/2)*-0.587785,NA())</f>
        <v/>
      </c>
      <c r="AE12">
        <f>IF(inputs_ok,IF(3&lt;fb_n,(IF(fb_n=1,0,-fb_bw/2+(fb_h-fb_d)+3*(fb_bw-2*(fb_h-fb_d))/MAX(fb_n-1,1)))+(fb_phi/2)*0.809017,NA()),NA())</f>
        <v/>
      </c>
      <c r="AF12">
        <f>IF(3&lt;fb_n,((fb_h-fb_d))+(fb_phi/2)*-0.587785,NA())</f>
        <v/>
      </c>
      <c r="AH12">
        <f>IF(inputs_ok,IF(4&lt;fb_n,(IF(fb_n=1,0,-fb_bw/2+(fb_h-fb_d)+4*(fb_bw-2*(fb_h-fb_d))/MAX(fb_n-1,1)))+(fb_phi/2)*0.809017,NA()),NA())</f>
        <v/>
      </c>
      <c r="AI12">
        <f>IF(4&lt;fb_n,((fb_h-fb_d))+(fb_phi/2)*-0.587785,NA())</f>
        <v/>
      </c>
      <c r="AK12">
        <f>IF(inputs_ok,IF(5&lt;fb_n,(IF(fb_n=1,0,-fb_bw/2+(fb_h-fb_d)+5*(fb_bw-2*(fb_h-fb_d))/MAX(fb_n-1,1)))+(fb_phi/2)*0.809017,NA()),NA())</f>
        <v/>
      </c>
      <c r="AL12">
        <f>IF(5&lt;fb_n,((fb_h-fb_d))+(fb_phi/2)*-0.587785,NA())</f>
        <v/>
      </c>
      <c r="AN12">
        <f>IF(inputs_ok,IF(6&lt;fb_n,(IF(fb_n=1,0,-fb_bw/2+(fb_h-fb_d)+6*(fb_bw-2*(fb_h-fb_d))/MAX(fb_n-1,1)))+(fb_phi/2)*0.809017,NA()),NA())</f>
        <v/>
      </c>
      <c r="AO12">
        <f>IF(6&lt;fb_n,((fb_h-fb_d))+(fb_phi/2)*-0.587785,NA())</f>
        <v/>
      </c>
      <c r="AQ12">
        <f>IF(inputs_ok,IF(7&lt;fb_n,(IF(fb_n=1,0,-fb_bw/2+(fb_h-fb_d)+7*(fb_bw-2*(fb_h-fb_d))/MAX(fb_n-1,1)))+(fb_phi/2)*0.809017,NA()),NA())</f>
        <v/>
      </c>
      <c r="AR12">
        <f>IF(7&lt;fb_n,((fb_h-fb_d))+(fb_phi/2)*-0.587785,NA())</f>
        <v/>
      </c>
    </row>
    <row r="13">
      <c r="V13">
        <f>IF(inputs_ok,IF(0&lt;fb_n,(IF(fb_n=1,0,-fb_bw/2+(fb_h-fb_d)+0*(fb_bw-2*(fb_h-fb_d))/MAX(fb_n-1,1)))+(fb_phi/2)*1.000000,NA()),NA())</f>
        <v/>
      </c>
      <c r="W13">
        <f>IF(0&lt;fb_n,((fb_h-fb_d))+(fb_phi/2)*-0.000000,NA())</f>
        <v/>
      </c>
      <c r="Y13">
        <f>IF(inputs_ok,IF(1&lt;fb_n,(IF(fb_n=1,0,-fb_bw/2+(fb_h-fb_d)+1*(fb_bw-2*(fb_h-fb_d))/MAX(fb_n-1,1)))+(fb_phi/2)*1.000000,NA()),NA())</f>
        <v/>
      </c>
      <c r="Z13">
        <f>IF(1&lt;fb_n,((fb_h-fb_d))+(fb_phi/2)*-0.000000,NA())</f>
        <v/>
      </c>
      <c r="AB13">
        <f>IF(inputs_ok,IF(2&lt;fb_n,(IF(fb_n=1,0,-fb_bw/2+(fb_h-fb_d)+2*(fb_bw-2*(fb_h-fb_d))/MAX(fb_n-1,1)))+(fb_phi/2)*1.000000,NA()),NA())</f>
        <v/>
      </c>
      <c r="AC13">
        <f>IF(2&lt;fb_n,((fb_h-fb_d))+(fb_phi/2)*-0.000000,NA())</f>
        <v/>
      </c>
      <c r="AE13">
        <f>IF(inputs_ok,IF(3&lt;fb_n,(IF(fb_n=1,0,-fb_bw/2+(fb_h-fb_d)+3*(fb_bw-2*(fb_h-fb_d))/MAX(fb_n-1,1)))+(fb_phi/2)*1.000000,NA()),NA())</f>
        <v/>
      </c>
      <c r="AF13">
        <f>IF(3&lt;fb_n,((fb_h-fb_d))+(fb_phi/2)*-0.000000,NA())</f>
        <v/>
      </c>
      <c r="AH13">
        <f>IF(inputs_ok,IF(4&lt;fb_n,(IF(fb_n=1,0,-fb_bw/2+(fb_h-fb_d)+4*(fb_bw-2*(fb_h-fb_d))/MAX(fb_n-1,1)))+(fb_phi/2)*1.000000,NA()),NA())</f>
        <v/>
      </c>
      <c r="AI13">
        <f>IF(4&lt;fb_n,((fb_h-fb_d))+(fb_phi/2)*-0.000000,NA())</f>
        <v/>
      </c>
      <c r="AK13">
        <f>IF(inputs_ok,IF(5&lt;fb_n,(IF(fb_n=1,0,-fb_bw/2+(fb_h-fb_d)+5*(fb_bw-2*(fb_h-fb_d))/MAX(fb_n-1,1)))+(fb_phi/2)*1.000000,NA()),NA())</f>
        <v/>
      </c>
      <c r="AL13">
        <f>IF(5&lt;fb_n,((fb_h-fb_d))+(fb_phi/2)*-0.000000,NA())</f>
        <v/>
      </c>
      <c r="AN13">
        <f>IF(inputs_ok,IF(6&lt;fb_n,(IF(fb_n=1,0,-fb_bw/2+(fb_h-fb_d)+6*(fb_bw-2*(fb_h-fb_d))/MAX(fb_n-1,1)))+(fb_phi/2)*1.000000,NA()),NA())</f>
        <v/>
      </c>
      <c r="AO13">
        <f>IF(6&lt;fb_n,((fb_h-fb_d))+(fb_phi/2)*-0.000000,NA())</f>
        <v/>
      </c>
      <c r="AQ13">
        <f>IF(inputs_ok,IF(7&lt;fb_n,(IF(fb_n=1,0,-fb_bw/2+(fb_h-fb_d)+7*(fb_bw-2*(fb_h-fb_d))/MAX(fb_n-1,1)))+(fb_phi/2)*1.000000,NA()),NA())</f>
        <v/>
      </c>
      <c r="AR13">
        <f>IF(7&lt;fb_n,((fb_h-fb_d))+(fb_phi/2)*-0.000000,NA())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&amp;K8A8A8ANAE-RC-031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NAE-RC-031 Flanged beam</dc:title>
  <dc:subject xmlns:dc="http://purl.org/dc/elements/1.1/">T and L beams in sagging  ·  EN 1992-1-1 §5.3.2.1, §6.1, §6.2.4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