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f_yk">'Calculation'!$E$13</definedName>
    <definedName name="B_f">'Calculation'!$E$14</definedName>
    <definedName name="h_f">'Calculation'!$E$15</definedName>
    <definedName name="wall_type">'Calculation'!$E$16</definedName>
    <definedName name="t_w">'Calculation'!$E$17</definedName>
    <definedName name="o_w">'Calculation'!$E$18</definedName>
    <definedName name="c_nom">'Calculation'!$E$19</definedName>
    <definedName name="d_g">'Calculation'!$E$20</definedName>
    <definedName name="phi_t">'Calculation'!$E$21</definedName>
    <definedName name="s_t">'Calculation'!$E$22</definedName>
    <definedName name="phi_l">'Calculation'!$E$23</definedName>
    <definedName name="s_l">'Calculation'!$E$24</definedName>
    <definedName name="G_k">'Calculation'!$E$27</definedName>
    <definedName name="Q_k">'Calculation'!$E$28</definedName>
    <definedName name="M_Gk">'Calculation'!$E$29</definedName>
    <definedName name="M_Qk">'Calculation'!$E$30</definedName>
    <definedName name="gamma_G">'Calculation'!$E$31</definedName>
    <definedName name="gamma_Q">'Calculation'!$E$32</definedName>
    <definedName name="D_s">'Calculation'!$E$33</definedName>
    <definedName name="gamma_soil">'Calculation'!$E$34</definedName>
    <definedName name="q_allow">'Calculation'!$E$35</definedName>
    <definedName name="inputs_ok">IFERROR(AND(OR(NA_sel="UK NA (BS EN)",NA_sel="PL NA (PN-EN)"),OR(conc_class="C20/25",conc_class="C25/30",conc_class="C28/35",conc_class="C30/37",conc_class="C32/40",conc_class="C35/45",conc_class="C40/50",conc_class="C45/55",conc_class="C50/60"),ISNUMBER(f_yk),f_yk&gt;0,ISNUMBER(B_f),B_f&gt;0,ISNUMBER(h_f),h_f&gt;0,OR(wall_type="Concrete",wall_type="Masonry"),ISNUMBER(t_w),t_w&gt;0,ISNUMBER(o_w),o_w&gt;=-100000,ISNUMBER(c_nom),c_nom&gt;0,ISNUMBER(d_g),d_g&gt;0,OR(AND(ISNUMBER(phi_t),phi_t=8),AND(ISNUMBER(phi_t),phi_t=10),AND(ISNUMBER(phi_t),phi_t=12),AND(ISNUMBER(phi_t),phi_t=16),AND(ISNUMBER(phi_t),phi_t=20),AND(ISNUMBER(phi_t),phi_t=25),AND(ISNUMBER(phi_t),phi_t=32),AND(ISNUMBER(phi_t),phi_t=40)),ISNUMBER(s_t),s_t&gt;0,OR(AND(ISNUMBER(phi_l),phi_l=8),AND(ISNUMBER(phi_l),phi_l=10),AND(ISNUMBER(phi_l),phi_l=12),AND(ISNUMBER(phi_l),phi_l=16),AND(ISNUMBER(phi_l),phi_l=20),AND(ISNUMBER(phi_l),phi_l=25),AND(ISNUMBER(phi_l),phi_l=32),AND(ISNUMBER(phi_l),phi_l=40)),ISNUMBER(s_l),s_l&gt;0,ISNUMBER(G_k),G_k&gt;0,ISNUMBER(Q_k),Q_k&gt;=0,ISNUMBER(M_Gk),M_Gk&gt;=-100000,ISNUMBER(M_Qk),M_Qk&gt;=-100000,ISNUMBER(gamma_G),gamma_G&gt;0,ISNUMBER(gamma_Q),gamma_Q&gt;0,ISNUMBER(D_s),D_s&gt;=0,ISNUMBER(gamma_soil),gamma_soil&gt;0,ISNUMBER(q_allow),q_allow&gt;0,AND(f_yk&gt;=400,f_yk&lt;=500,ABS(o_w)+t_w/2&lt;B_f/2,h_f&gt;c_nom+phi_t+phi_l,c_nom&gt;=40,s_t&gt;phi_t,s_l&gt;phi_l,h_f&gt;=2*c_nom+phi_t+phi_l,OR(wall_type="Concrete",AND(M_Gk=0,M_Qk=0)),B_f-2*c_nom-phi_l&gt;=0,INT((B_f-2*c_nom-phi_l)/s_l+1E-9)+1&lt;=80)),FALSE)</definedName>
    <definedName name="input_status">'Calculation'!$G$36</definedName>
    <definedName name="L_m">B_f/1000</definedName>
    <definedName name="g_sg">IF(M_t&lt;0,-1,1)</definedName>
    <definedName name="uls_ok">e_d&lt;=B_f/3</definedName>
    <definedName name="n_ldraw">MIN(80,INT((B_f-2*c_nom-phi_l)/s_l+1E-9)+1)</definedName>
    <definedName name="bend_ok">IFERROR(AND(uls_ok,K_t&lt;=K_lim,As_prov&gt;=MAX(As_req,As_min)),FALSE)</definedName>
    <definedName name="shear_ok">IFERROR(AND(uls_ok,V_Ed&lt;=V_Rd,V_face&lt;=V_Rmax),FALSE)</definedName>
    <definedName name="long_ok">IFERROR(Asl_prov&gt;=Asl_req,FALSE)</definedName>
    <definedName name="det_ok">IFERROR(AND(s_t-phi_t&gt;=gap_min,s_l-phi_l&gt;=gap_min,s_t&lt;=st_max,s_l&lt;=sl_max),FALSE)</definedName>
    <definedName name="bearing_status">'Calculation'!$G$39</definedName>
    <definedName name="ecc_status">'Calculation'!$G$40</definedName>
    <definedName name="bend_status">'Calculation'!$G$41</definedName>
    <definedName name="top_status">'Calculation'!$G$42</definedName>
    <definedName name="shear_status">'Calculation'!$G$43</definedName>
    <definedName name="long_status">'Calculation'!$G$44</definedName>
    <definedName name="det_status">'Calculation'!$G$45</definedName>
    <definedName name="W_f">'Calculation'!$E$71</definedName>
    <definedName name="W_s">'Calculation'!$E$72</definedName>
    <definedName name="M_ws">'Calculation'!$E$73</definedName>
    <definedName name="N_k">'Calculation'!$E$74</definedName>
    <definedName name="M_k">'Calculation'!$E$75</definedName>
    <definedName name="e_k">'Calculation'!$E$76</definedName>
    <definedName name="q_maxk">'Calculation'!$E$77</definedName>
    <definedName name="chk_bearing">'Calculation'!$G$78</definedName>
    <definedName name="gamma_c">'Calculation'!$E$81</definedName>
    <definedName name="gamma_s">'Calculation'!$E$82</definedName>
    <definedName name="alpha_cc">'Calculation'!$E$83</definedName>
    <definedName name="alpha_cc_shear">'Calculation'!$E$84</definedName>
    <definedName name="C_Rdc">'Calculation'!$E$85</definedName>
    <definedName name="k1_red">'Calculation'!$E$86</definedName>
    <definedName name="k2_red">'Calculation'!$E$87</definedName>
    <definedName name="f_ck">'Calculation'!$E$88</definedName>
    <definedName name="f_ctm">'Calculation'!$E$89</definedName>
    <definedName name="N_Ed">'Calculation'!$E$90</definedName>
    <definedName name="M_Ed">'Calculation'!$E$91</definedName>
    <definedName name="w_d">'Calculation'!$E$92</definedName>
    <definedName name="N_t">'Calculation'!$E$93</definedName>
    <definedName name="M_t">'Calculation'!$E$94</definedName>
    <definedName name="e_d">'Calculation'!$E$95</definedName>
    <definedName name="o_m">'Calculation'!$E$98</definedName>
    <definedName name="L_c">'Calculation'!$E$99</definedName>
    <definedName name="q_Ed">'Calculation'!$E$100</definedName>
    <definedName name="q_b">'Calculation'!$E$101</definedName>
    <definedName name="q_a">'Calculation'!$E$102</definedName>
    <definedName name="x_0">'Calculation'!$E$103</definedName>
    <definedName name="q_min">'Calculation'!$E$104</definedName>
    <definedName name="d_t">'Calculation'!$E$107</definedName>
    <definedName name="xf_R">'Calculation'!$E$108</definedName>
    <definedName name="xf_L">'Calculation'!$E$109</definedName>
    <definedName name="a_w">'Calculation'!$E$110</definedName>
    <definedName name="x_R">'Calculation'!$E$111</definedName>
    <definedName name="x_L">'Calculation'!$E$112</definedName>
    <definedName name="M_R">'Calculation'!$E$113</definedName>
    <definedName name="M_L">'Calculation'!$E$114</definedName>
    <definedName name="M_Edt">'Calculation'!$E$115</definedName>
    <definedName name="tq_B">q_a-w_d</definedName>
    <definedName name="tq_C">-(q_a*x_0+q_b*x_0^2/2+w_d*L_m/2)</definedName>
    <definedName name="tq_D">MAX(0,tq_B^2-2*q_b*tq_C)</definedName>
    <definedName name="x_s">'Calculation'!$E$116</definedName>
    <definedName name="M_s">'Calculation'!$E$117</definedName>
    <definedName name="hog_p0">q_a+q_b*x_0</definedName>
    <definedName name="hog_W0">w_d*(xf_L+L_m/2)</definedName>
    <definedName name="x_sw">'Calculation'!$E$118</definedName>
    <definedName name="M_sw">'Calculation'!$E$119</definedName>
    <definedName name="hog_WR">w_d*(L_m/2-xf_R)</definedName>
    <definedName name="hog_DR">q_Ed^2-2*q_b*hog_WR</definedName>
    <definedName name="x_hw">'Calculation'!$E$120</definedName>
    <definedName name="M_hw">'Calculation'!$E$121</definedName>
    <definedName name="M_top">'Calculation'!$E$122</definedName>
    <definedName name="f_yd">'Calculation'!$E$123</definedName>
    <definedName name="xi_y">'Calculation'!$E$124</definedName>
    <definedName name="xi_lim">'Calculation'!$E$125</definedName>
    <definedName name="K_lim">'Calculation'!$E$126</definedName>
    <definedName name="K_t">'Calculation'!$E$127</definedName>
    <definedName name="z_t">'Calculation'!$E$128</definedName>
    <definedName name="As_req">'Calculation'!$E$129</definedName>
    <definedName name="As_min">'Calculation'!$E$130</definedName>
    <definedName name="As_prov">'Calculation'!$E$131</definedName>
    <definedName name="chk_bend">'Calculation'!$G$132</definedName>
    <definedName name="V_R">'Calculation'!$E$135</definedName>
    <definedName name="V_L">'Calculation'!$E$136</definedName>
    <definedName name="V_Ed">'Calculation'!$E$137</definedName>
    <definedName name="rho_t">'Calculation'!$E$138</definedName>
    <definedName name="V_Rd">'Calculation'!$E$139</definedName>
    <definedName name="V_face">'Calculation'!$E$140</definedName>
    <definedName name="V_Rmax">'Calculation'!$E$141</definedName>
    <definedName name="chk_shear">'Calculation'!$G$142</definedName>
    <definedName name="Asl_req">'Calculation'!$E$143</definedName>
    <definedName name="Asl_prov">'Calculation'!$E$144</definedName>
    <definedName name="chk_long">'Calculation'!$G$145</definedName>
    <definedName name="gap_min">'Calculation'!$E$146</definedName>
    <definedName name="st_max">'Calculation'!$E$147</definedName>
    <definedName name="sl_max">'Calculation'!$E$148</definedName>
    <definedName name="chk_det">'Calculation'!$G$149</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'Calculation'!$A$1:$H$153</definedName>
    <definedName name="_xlnm.Print_Area" localSheetId="3">'NDP'!$A$1:$G$29</definedName>
  </definedNames>
  <calcPr calcId="124519" fullCalcOnLoad="1"/>
</workbook>
</file>

<file path=xl/styles.xml><?xml version="1.0" encoding="utf-8"?>
<styleSheet xmlns="http://schemas.openxmlformats.org/spreadsheetml/2006/main">
  <numFmts count="4">
    <numFmt numFmtId="164" formatCode="dd mmm yyyy"/>
    <numFmt numFmtId="165" formatCode="0.0"/>
    <numFmt numFmtId="166" formatCode="0.000"/>
    <numFmt numFmtId="167" formatCode="0.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color rgb="002B2B2B"/>
      <sz val="11"/>
    </font>
    <font>
      <name val="Calibri"/>
      <b val="1"/>
      <color rgb="002B2B2B"/>
      <sz val="15"/>
    </font>
    <font>
      <name val="Calibri"/>
      <family val="2"/>
      <i val="1"/>
      <color rgb="008A8A8A"/>
      <sz val="9"/>
      <scheme val="minor"/>
    </font>
    <font>
      <name val="Calibri"/>
      <i val="1"/>
      <color rgb="008A8A8A"/>
      <sz val="8.5"/>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5">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165" fontId="12" fillId="3" borderId="1" applyAlignment="1" applyProtection="1" pivotButton="0" quotePrefix="0" xfId="0">
      <alignment horizontal="center" vertical="center"/>
      <protection locked="0" hidden="0"/>
    </xf>
    <xf numFmtId="2" fontId="12" fillId="3" borderId="1" applyAlignment="1" applyProtection="1" pivotButton="0" quotePrefix="0" xfId="0">
      <alignment horizontal="center" vertical="center"/>
      <protection locked="0" hidden="0"/>
    </xf>
    <xf numFmtId="1"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0" fillId="4" borderId="0" pivotButton="0" quotePrefix="0" xfId="0"/>
    <xf numFmtId="0" fontId="15" fillId="4" borderId="0" applyAlignment="1" pivotButton="0" quotePrefix="0" xfId="0">
      <alignment vertical="center"/>
    </xf>
    <xf numFmtId="0" fontId="0" fillId="4" borderId="0" applyAlignment="1" pivotButton="0" quotePrefix="0" xfId="0">
      <alignment horizontal="center" vertical="center"/>
    </xf>
    <xf numFmtId="2" fontId="16"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166" fontId="16" fillId="4" borderId="0" applyAlignment="1" pivotButton="0" quotePrefix="0" xfId="0">
      <alignment horizontal="center" vertical="center"/>
    </xf>
    <xf numFmtId="165" fontId="16" fillId="4" borderId="0" applyAlignment="1" pivotButton="0" quotePrefix="0" xfId="0">
      <alignment horizontal="center" vertical="center"/>
    </xf>
    <xf numFmtId="0" fontId="17" fillId="0" borderId="0" pivotButton="0" quotePrefix="0" xfId="0"/>
    <xf numFmtId="2" fontId="5" fillId="0" borderId="1" applyAlignment="1" pivotButton="0" quotePrefix="0" xfId="0">
      <alignment horizontal="center" vertical="center"/>
    </xf>
    <xf numFmtId="166" fontId="5" fillId="0" borderId="1" applyAlignment="1" pivotButton="0" quotePrefix="0" xfId="0">
      <alignment horizontal="center" vertical="center"/>
    </xf>
    <xf numFmtId="165" fontId="5" fillId="0" borderId="1" applyAlignment="1" pivotButton="0" quotePrefix="0" xfId="0">
      <alignment horizontal="center" vertical="center"/>
    </xf>
    <xf numFmtId="1" fontId="5" fillId="0" borderId="1" applyAlignment="1" pivotButton="0" quotePrefix="0" xfId="0">
      <alignment horizontal="center" vertical="center"/>
    </xf>
    <xf numFmtId="165" fontId="12" fillId="0" borderId="1" applyAlignment="1" pivotButton="0" quotePrefix="0" xfId="0">
      <alignment horizontal="center" vertical="center"/>
    </xf>
    <xf numFmtId="0" fontId="18" fillId="0" borderId="0" applyAlignment="1" pivotButton="0" quotePrefix="0" xfId="0">
      <alignment vertical="top" wrapText="1"/>
    </xf>
    <xf numFmtId="2" fontId="12" fillId="0" borderId="1" applyAlignment="1" pivotButton="0" quotePrefix="0" xfId="0">
      <alignment horizontal="center" vertical="center"/>
    </xf>
    <xf numFmtId="167" fontId="5" fillId="0" borderId="1" applyAlignment="1" pivotButton="0" quotePrefix="0" xfId="0">
      <alignment horizontal="center" vertical="center"/>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base</v>
          </tx>
          <spPr>
            <a:ln xmlns:a="http://schemas.openxmlformats.org/drawingml/2006/main" w="28575">
              <a:solidFill>
                <a:srgbClr val="2B2B2B"/>
              </a:solidFill>
              <a:prstDash val="solid"/>
            </a:ln>
          </spPr>
          <marker>
            <symbol val="none"/>
            <spPr>
              <a:ln xmlns:a="http://schemas.openxmlformats.org/drawingml/2006/main">
                <a:prstDash val="solid"/>
              </a:ln>
            </spPr>
          </marker>
          <xVal>
            <numRef>
              <f>'Geometry'!$D$3:$D$7</f>
            </numRef>
          </xVal>
          <yVal>
            <numRef>
              <f>'Geometry'!$E$3:$E$7</f>
            </numRef>
          </yVal>
          <smooth val="0"/>
        </ser>
        <ser>
          <idx val="2"/>
          <order val="2"/>
          <tx>
            <v>wall</v>
          </tx>
          <spPr>
            <a:ln xmlns:a="http://schemas.openxmlformats.org/drawingml/2006/main" w="28575">
              <a:solidFill>
                <a:srgbClr val="2B2B2B"/>
              </a:solidFill>
              <a:prstDash val="solid"/>
            </a:ln>
          </spPr>
          <marker>
            <symbol val="none"/>
            <spPr>
              <a:ln xmlns:a="http://schemas.openxmlformats.org/drawingml/2006/main">
                <a:prstDash val="solid"/>
              </a:ln>
            </spPr>
          </marker>
          <xVal>
            <numRef>
              <f>'Geometry'!$G$3:$G$6</f>
            </numRef>
          </xVal>
          <yVal>
            <numRef>
              <f>'Geometry'!$H$3:$H$6</f>
            </numRef>
          </yVal>
          <smooth val="0"/>
        </ser>
        <ser>
          <idx val="3"/>
          <order val="3"/>
          <tx>
            <v>ground</v>
          </tx>
          <spPr>
            <a:ln xmlns:a="http://schemas.openxmlformats.org/drawingml/2006/main" w="12700">
              <a:solidFill>
                <a:srgbClr val="9A9A9A"/>
              </a:solidFill>
              <a:prstDash val="dash"/>
            </a:ln>
          </spPr>
          <marker>
            <symbol val="none"/>
            <spPr>
              <a:ln xmlns:a="http://schemas.openxmlformats.org/drawingml/2006/main">
                <a:prstDash val="solid"/>
              </a:ln>
            </spPr>
          </marker>
          <xVal>
            <numRef>
              <f>'Geometry'!$J$3:$J$4</f>
            </numRef>
          </xVal>
          <yVal>
            <numRef>
              <f>'Geometry'!$K$3:$K$4</f>
            </numRef>
          </yVal>
          <smooth val="0"/>
        </ser>
        <ser>
          <idx val="4"/>
          <order val="4"/>
          <tx>
            <v>transverse bars</v>
          </tx>
          <spPr>
            <a:ln xmlns:a="http://schemas.openxmlformats.org/drawingml/2006/main" w="22225">
              <a:solidFill>
                <a:srgbClr val="5B7F8A"/>
              </a:solidFill>
              <a:prstDash val="solid"/>
            </a:ln>
          </spPr>
          <marker>
            <symbol val="none"/>
            <spPr>
              <a:ln xmlns:a="http://schemas.openxmlformats.org/drawingml/2006/main">
                <a:prstDash val="solid"/>
              </a:ln>
            </spPr>
          </marker>
          <xVal>
            <numRef>
              <f>'Geometry'!$M$3:$M$4</f>
            </numRef>
          </xVal>
          <yVal>
            <numRef>
              <f>'Geometry'!$N$3:$N$4</f>
            </numRef>
          </yVal>
          <smooth val="0"/>
        </ser>
        <ser>
          <idx val="5"/>
          <order val="5"/>
          <tx>
            <v>longitudinal bars</v>
          </tx>
          <spPr>
            <a:ln xmlns:a="http://schemas.openxmlformats.org/drawingml/2006/main">
              <a:noFill/>
              <a:prstDash val="solid"/>
            </a:ln>
          </spPr>
          <marker>
            <symbol val="circle"/>
            <size val="4"/>
            <spPr>
              <a:solidFill xmlns:a="http://schemas.openxmlformats.org/drawingml/2006/main">
                <a:srgbClr val="5B7F8A"/>
              </a:solidFill>
              <a:ln xmlns:a="http://schemas.openxmlformats.org/drawingml/2006/main">
                <a:solidFill>
                  <a:srgbClr val="5B7F8A"/>
                </a:solidFill>
                <a:prstDash val="solid"/>
              </a:ln>
            </spPr>
          </marker>
          <xVal>
            <numRef>
              <f>'Geometry'!$P$3:$P$82</f>
            </numRef>
          </xVal>
          <yVal>
            <numRef>
              <f>'Geometry'!$Q$3:$Q$82</f>
            </numRef>
          </yVal>
          <smooth val="0"/>
        </ser>
        <ser>
          <idx val="6"/>
          <order val="6"/>
          <tx>
            <v>bending section</v>
          </tx>
          <spPr>
            <a:ln xmlns:a="http://schemas.openxmlformats.org/drawingml/2006/main" w="12700">
              <a:solidFill>
                <a:srgbClr val="B3261E"/>
              </a:solidFill>
              <a:prstDash val="solid"/>
            </a:ln>
          </spPr>
          <marker>
            <symbol val="none"/>
            <spPr>
              <a:ln xmlns:a="http://schemas.openxmlformats.org/drawingml/2006/main">
                <a:prstDash val="solid"/>
              </a:ln>
            </spPr>
          </marker>
          <xVal>
            <numRef>
              <f>'Geometry'!$S$3:$S$4</f>
            </numRef>
          </xVal>
          <yVal>
            <numRef>
              <f>'Geometry'!$T$3:$T$4</f>
            </numRef>
          </yVal>
          <smooth val="0"/>
        </ser>
        <ser>
          <idx val="7"/>
          <order val="7"/>
          <tx>
            <v>shear section</v>
          </tx>
          <spPr>
            <a:ln xmlns:a="http://schemas.openxmlformats.org/drawingml/2006/main" w="12700">
              <a:solidFill>
                <a:srgbClr val="B3261E"/>
              </a:solidFill>
              <a:prstDash val="dash"/>
            </a:ln>
          </spPr>
          <marker>
            <symbol val="none"/>
            <spPr>
              <a:ln xmlns:a="http://schemas.openxmlformats.org/drawingml/2006/main">
                <a:prstDash val="solid"/>
              </a:ln>
            </spPr>
          </marker>
          <xVal>
            <numRef>
              <f>'Geometry'!$V$3:$V$4</f>
            </numRef>
          </xVal>
          <yVal>
            <numRef>
              <f>'Geometry'!$W$3:$W$4</f>
            </numRef>
          </yVal>
          <smooth val="0"/>
        </ser>
        <ser>
          <idx val="8"/>
          <order val="8"/>
          <tx>
            <v>pressure</v>
          </tx>
          <spPr>
            <a:ln xmlns:a="http://schemas.openxmlformats.org/drawingml/2006/main" w="19050">
              <a:solidFill>
                <a:srgbClr val="B3261E"/>
              </a:solidFill>
              <a:prstDash val="solid"/>
            </a:ln>
          </spPr>
          <marker>
            <symbol val="none"/>
            <spPr>
              <a:ln xmlns:a="http://schemas.openxmlformats.org/drawingml/2006/main">
                <a:prstDash val="solid"/>
              </a:ln>
            </spPr>
          </marker>
          <xVal>
            <numRef>
              <f>'Geometry'!$Y$3:$Y$8</f>
            </numRef>
          </xVal>
          <yVal>
            <numRef>
              <f>'Geometry'!$Z$3:$Z$8</f>
            </numRef>
          </yVal>
          <smooth val="0"/>
        </ser>
        <ser>
          <idx val="9"/>
          <order val="9"/>
          <tx>
            <strRef>
              <f>'Geometry'!$AB$2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b"/>
            <showLegendKey val="0"/>
            <showVal val="0"/>
            <showCatName val="0"/>
            <showSerName val="1"/>
            <showPercent val="0"/>
          </dLbls>
          <xVal>
            <numRef>
              <f>'Geometry'!$AB$3</f>
            </numRef>
          </xVal>
          <yVal>
            <numRef>
              <f>'Geometry'!$AC$3</f>
            </numRef>
          </yVal>
          <smooth val="0"/>
        </ser>
        <ser>
          <idx val="10"/>
          <order val="10"/>
          <tx>
            <strRef>
              <f>'Geometry'!$AE$2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b"/>
            <showLegendKey val="0"/>
            <showVal val="0"/>
            <showCatName val="0"/>
            <showSerName val="1"/>
            <showPercent val="0"/>
          </dLbls>
          <xVal>
            <numRef>
              <f>'Geometry'!$AE$3</f>
            </numRef>
          </xVal>
          <yVal>
            <numRef>
              <f>'Geometry'!$AF$3</f>
            </numRef>
          </yVal>
          <smooth val="0"/>
        </ser>
        <ser>
          <idx val="11"/>
          <order val="11"/>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'Geometry'!$AH$3:$AH$4</f>
            </numRef>
          </xVal>
          <yVal>
            <numRef>
              <f>'Geometry'!$AI$3:$AI$4</f>
            </numRef>
          </yVal>
          <smooth val="0"/>
        </ser>
        <ser>
          <idx val="12"/>
          <order val="12"/>
          <tx>
            <strRef>
              <f>'Geometry'!$AK$2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'Geometry'!$AK$3</f>
            </numRef>
          </xVal>
          <yVal>
            <numRef>
              <f>'Geometry'!$AL$3</f>
            </numRef>
          </yVal>
          <smooth val="0"/>
        </ser>
        <ser>
          <idx val="13"/>
          <order val="13"/>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'Geometry'!$AN$3:$AN$4</f>
            </numRef>
          </xVal>
          <yVal>
            <numRef>
              <f>'Geometry'!$AO$3:$AO$4</f>
            </numRef>
          </yVal>
          <smooth val="0"/>
        </ser>
        <ser>
          <idx val="14"/>
          <order val="14"/>
          <tx>
            <strRef>
              <f>'Geometry'!$AQ$2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'Geometry'!$AQ$3</f>
            </numRef>
          </xVal>
          <yVal>
            <numRef>
              <f>'Geometry'!$AR$3</f>
            </numRef>
          </yVal>
          <smooth val="0"/>
        </ser>
        <ser>
          <idx val="15"/>
          <order val="15"/>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'Geometry'!$AT$3:$AT$4</f>
            </numRef>
          </xVal>
          <yVal>
            <numRef>
              <f>'Geometry'!$AU$3:$AU$4</f>
            </numRef>
          </yVal>
          <smooth val="0"/>
        </ser>
        <ser>
          <idx val="16"/>
          <order val="16"/>
          <tx>
            <strRef>
              <f>'Geometry'!$AW$2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'Geometry'!$AW$3</f>
            </numRef>
          </xVal>
          <yVal>
            <numRef>
              <f>'Geometry'!$AX$3</f>
            </numRef>
          </yVal>
          <smooth val="0"/>
        </ser>
        <ser>
          <idx val="17"/>
          <order val="17"/>
          <tx>
            <strRef>
              <f>'Geometry'!$AZ$2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t"/>
            <showLegendKey val="0"/>
            <showVal val="0"/>
            <showCatName val="0"/>
            <showSerName val="1"/>
            <showPercent val="0"/>
          </dLbls>
          <xVal>
            <numRef>
              <f>'Geometry'!$AZ$3</f>
            </numRef>
          </xVal>
          <yVal>
            <numRef>
              <f>'Geometry'!$BA$3</f>
            </numRef>
          </yVal>
          <smooth val="0"/>
        </ser>
        <ser>
          <idx val="18"/>
          <order val="18"/>
          <tx>
            <v>frame</v>
          </tx>
          <spPr>
            <a:ln xmlns:a="http://schemas.openxmlformats.org/drawingml/2006/main">
              <a:noFill/>
              <a:prstDash val="solid"/>
            </a:ln>
          </spPr>
          <marker>
            <symbol val="none"/>
            <spPr>
              <a:ln xmlns:a="http://schemas.openxmlformats.org/drawingml/2006/main">
                <a:prstDash val="solid"/>
              </a:ln>
            </spPr>
          </marker>
          <xVal>
            <numRef>
              <f>'Geometry'!$BC$3:$BC$4</f>
            </numRef>
          </xVal>
          <yVal>
            <numRef>
              <f>'Geometry'!$BD$3:$BD$4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47</row>
      <rowOff>0</rowOff>
    </from>
    <ext cx="6138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Strip footing</t>
        </is>
      </c>
    </row>
    <row r="8" ht="20" customHeight="1">
      <c r="B8" s="4" t="inlineStr">
        <is>
          <t>Reinforced concrete strip footing under a wall  ·  EN 1992-1-1 §6.2, §9.3, §9.8  ·  UK NA / PN-EN</t>
        </is>
      </c>
    </row>
    <row r="10">
      <c r="B10" s="5" t="inlineStr">
        <is>
          <t>Reference</t>
        </is>
      </c>
      <c r="C10" s="6" t="inlineStr">
        <is>
          <t>NAE-RC-030  ·  version 1.0</t>
        </is>
      </c>
    </row>
    <row r="11" ht="31" customHeight="1">
      <c r="B11" s="5" t="inlineStr">
        <is>
          <t>Standards</t>
        </is>
      </c>
      <c r="C11" s="7" t="inlineStr">
        <is>
          <t>BS EN 1992-1-1:2004 with UK NA  ·  PN-EN 1992-1-1:2008 with Polish NA (NDP sources listed on the NDP sheet)  ·  EN 1990 load combination by the user</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47.5" customHeight="1">
      <c r="B16" s="7" t="inlineStr">
        <is>
          <t>Reinforced strip footing under a long concrete or masonry wall, per metre run: gross bearing pressure against an allowable value, transverse bending and one-way shear of the projections, the bottom transverse bars and the longitudinal distribution bars, with the wall anywhere on the footing and a moment across the footing.</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308.5" customHeight="1">
      <c r="B22" s="7" t="inlineStr">
        <is>
          <t>Long footing of uniform section under a uniform wall load (plane strain, per metre run). Rigid footing, linear soil pressure, no tension at the base (partial contact when e &gt; B/6); eccentricities above B/3 need special precautions (EN 1997-1 6.5.4) and are not covered: the sheet reports FAIL. Bearing is checked with characteristic loads against an allowable gross pressure from the geotechnical engineer; EN 1997-1 bearing resistance, sliding and settlement are not covered. Structural checks take the design contact pressure from the wall loads, footing and backfill (γG on the weights), less the downward load of footing and backfill. Bending at the face of a concrete wall, and a quarter of the wall thickness inside the face of a masonry wall (halfway between the centre and the face of the wall, the critical section of ACI 318-11 15.4.2(b) / ACI 318-19 13.2.7.1, EN 1992-1-1 giving none; one-way shear then at d from that section, as ACI 318-19 13.2.7.2 measures it). A masonry wall is taken to deliver its load without moment (the moment inputs must be zero; the wall may be off centre); its load spreads over the wall thickness in bearing on the footing. Under the wall only the contact pressure counts, the footing weight there being ignored for the sagging moment (conservative); the hogging search uses the same load model on both projections and under the wall. A hogging moment is reported as top tension, top bars are not designed. One-way shear at d from the bending section without the av/2d reduction (conservative), and the unreduced shear at the face against 0.5 ν fcd b d (6.2.1(8), ν from (6.6N)), no shear reinforcement. Longitudinal bars: at least 20 % of the transverse steel (9.3.1.1(2)); footings over soft spots, changes of ground or with point loads on the wall need a longitudinal design, not covered. Bar spacing to 8.2 and 9.3.1.1(3) for the region of maximum moment (one spacing throughout): transverse ≤ min(2h; 250), longitudinal ≤ min(3h; 400); the cover c applies to the top of the cage as well. Cover for durability, crack control, uplift and the choice of the governing combination (one combination per run, favourable permanent actions with their own factor) are for the designer. Concrete classes up to C50/60.
The second-generation EN 1992-1-1:2023 is not yet implemented.</t>
        </is>
      </c>
    </row>
    <row r="24" ht="20" customHeight="1">
      <c r="B24" s="8" t="inlineStr">
        <is>
          <t>Further reading and independent cross-check</t>
        </is>
      </c>
      <c r="C24" s="9" t="n"/>
    </row>
    <row r="25" ht="76.5" customHeight="1">
      <c r="B25" s="10" t="inlineStr">
        <is>
          <t>•  The Concrete Centre, How to design concrete structures using Eurocode 2: Foundations.
•  IStructE, Manual for the design of concrete building structures to Eurocode 2 (foundations).
•  The Concrete Centre, RC Spreadsheets v4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&amp;K8A8A8ANAE-RC-030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152"/>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Strip footing</t>
        </is>
      </c>
      <c r="H2" s="1" t="n"/>
    </row>
    <row r="3" ht="16" customHeight="1">
      <c r="A3" s="1" t="n"/>
      <c r="B3" s="1" t="n"/>
      <c r="C3" s="15" t="inlineStr">
        <is>
          <t>NAE-RC-030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geometry</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C30/37</t>
        </is>
      </c>
      <c r="F12" s="23" t="n"/>
      <c r="G12" s="23" t="n"/>
    </row>
    <row r="13" ht="17" customHeight="1">
      <c r="B13" s="26" t="inlineStr">
        <is>
          <t>3.2.2</t>
        </is>
      </c>
      <c r="C13" s="24" t="inlineStr">
        <is>
          <t>Reinforcement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3" t="n"/>
      <c r="C14" s="24" t="inlineStr">
        <is>
          <t>Footing width</t>
        </is>
      </c>
      <c r="D14" s="27" t="inlineStr">
        <is>
          <r>
            <rPr>
              <rFont val="Calibri"/>
              <i val="1"/>
              <color rgb="002B2B2B"/>
              <sz val="10"/>
            </rPr>
            <t>B</t>
          </r>
        </is>
      </c>
      <c r="E14" s="25" t="n">
        <v>1200</v>
      </c>
      <c r="F14" s="28" t="inlineStr">
        <is>
          <t>mm</t>
        </is>
      </c>
      <c r="G14" s="23" t="n"/>
    </row>
    <row r="15" ht="17" customHeight="1">
      <c r="B15" s="23" t="n"/>
      <c r="C15" s="24" t="inlineStr">
        <is>
          <t>Footing depth</t>
        </is>
      </c>
      <c r="D15" s="27" t="inlineStr">
        <is>
          <r>
            <rPr>
              <rFont val="Calibri"/>
              <i val="1"/>
              <color rgb="002B2B2B"/>
              <sz val="10"/>
            </rPr>
            <t>h</t>
          </r>
        </is>
      </c>
      <c r="E15" s="25" t="n">
        <v>400</v>
      </c>
      <c r="F15" s="28" t="inlineStr">
        <is>
          <t>mm</t>
        </is>
      </c>
      <c r="G15" s="23" t="n"/>
    </row>
    <row r="16" ht="17" customHeight="1">
      <c r="B16" s="23" t="n"/>
      <c r="C16" s="24" t="inlineStr">
        <is>
          <t>Wall</t>
        </is>
      </c>
      <c r="D16" s="23" t="n"/>
      <c r="E16" s="25" t="inlineStr">
        <is>
          <t>Concrete</t>
        </is>
      </c>
      <c r="F16" s="23" t="n"/>
      <c r="G16" s="26" t="inlineStr">
        <is>
          <t>masonry: section t/4 inside</t>
        </is>
      </c>
    </row>
    <row r="17" ht="17" customHeight="1">
      <c r="B17" s="23" t="n"/>
      <c r="C17" s="24" t="inlineStr">
        <is>
          <t>Wall thickness</t>
        </is>
      </c>
      <c r="D17" s="27" t="inlineStr">
        <is>
          <r>
            <rPr>
              <rFont val="Calibri"/>
              <i val="1"/>
              <color rgb="002B2B2B"/>
              <sz val="10"/>
            </rPr>
            <t>t</t>
          </r>
        </is>
      </c>
      <c r="E17" s="25" t="n">
        <v>250</v>
      </c>
      <c r="F17" s="28" t="inlineStr">
        <is>
          <t>mm</t>
        </is>
      </c>
      <c r="G17" s="23" t="n"/>
    </row>
    <row r="18" ht="17" customHeight="1">
      <c r="B18" s="23" t="n"/>
      <c r="C18" s="24" t="inlineStr">
        <is>
          <t>Wall offset from the footing centre  (+ / −)</t>
        </is>
      </c>
      <c r="D18" s="27" t="inlineStr">
        <is>
          <r>
            <rPr>
              <rFont val="Calibri"/>
              <i val="1"/>
              <color rgb="002B2B2B"/>
              <sz val="10"/>
            </rPr>
            <t>o</t>
          </r>
        </is>
      </c>
      <c r="E18" s="25" t="n">
        <v>0</v>
      </c>
      <c r="F18" s="28" t="inlineStr">
        <is>
          <t>mm</t>
        </is>
      </c>
      <c r="G18" s="26" t="inlineStr">
        <is>
          <t>0 = central wall</t>
        </is>
      </c>
    </row>
    <row r="19" ht="17" customHeight="1">
      <c r="B19" s="26" t="inlineStr">
        <is>
          <t>4.4.1.3(4)</t>
        </is>
      </c>
      <c r="C19" s="24" t="inlineStr">
        <is>
          <t>Nominal cover to the bottom bars  (≥ 40 on blinding)</t>
        </is>
      </c>
      <c r="D19" s="27" t="inlineStr">
        <is>
          <r>
            <rPr>
              <rFont val="Calibri"/>
              <i val="1"/>
              <color rgb="002B2B2B"/>
              <sz val="10"/>
            </rPr>
            <t>c</t>
          </r>
          <r>
            <rPr>
              <rFont val="Calibri"/>
              <i val="1"/>
              <color rgb="002B2B2B"/>
              <sz val="10"/>
              <vertAlign val="subscript"/>
            </rPr>
            <t>nom</t>
          </r>
        </is>
      </c>
      <c r="E19" s="25" t="n">
        <v>50</v>
      </c>
      <c r="F19" s="28" t="inlineStr">
        <is>
          <t>mm</t>
        </is>
      </c>
      <c r="G19" s="26" t="inlineStr">
        <is>
          <t>75 if cast on soil</t>
        </is>
      </c>
    </row>
    <row r="20" ht="17" customHeight="1">
      <c r="B20" s="26" t="inlineStr">
        <is>
          <t>8.2(2)</t>
        </is>
      </c>
      <c r="C20" s="24" t="inlineStr">
        <is>
          <t>Maximum aggregate size</t>
        </is>
      </c>
      <c r="D20" s="27" t="inlineStr">
        <is>
          <r>
            <rPr>
              <rFont val="Calibri"/>
              <i val="1"/>
              <color rgb="002B2B2B"/>
              <sz val="10"/>
            </rPr>
            <t>d</t>
          </r>
          <r>
            <rPr>
              <rFont val="Calibri"/>
              <i val="1"/>
              <color rgb="002B2B2B"/>
              <sz val="10"/>
              <vertAlign val="subscript"/>
            </rPr>
            <t>g</t>
          </r>
        </is>
      </c>
      <c r="E20" s="25" t="n">
        <v>20</v>
      </c>
      <c r="F20" s="28" t="inlineStr">
        <is>
          <t>mm</t>
        </is>
      </c>
      <c r="G20" s="23" t="n"/>
    </row>
    <row r="21" ht="17" customHeight="1">
      <c r="B21" s="23" t="n"/>
      <c r="C21" s="24" t="inlineStr">
        <is>
          <t>Transverse bottom bars (lower layer), diameter</t>
        </is>
      </c>
      <c r="D21" s="27" t="inlineStr">
        <is>
          <r>
            <rPr>
              <rFont val="Calibri"/>
              <i val="1"/>
              <color rgb="002B2B2B"/>
              <sz val="10"/>
            </rPr>
            <t>φ</t>
          </r>
          <r>
            <rPr>
              <rFont val="Calibri"/>
              <i val="1"/>
              <color rgb="002B2B2B"/>
              <sz val="10"/>
              <vertAlign val="subscript"/>
            </rPr>
            <t>t</t>
          </r>
        </is>
      </c>
      <c r="E21" s="25" t="n">
        <v>12</v>
      </c>
      <c r="F21" s="28" t="inlineStr">
        <is>
          <t>mm</t>
        </is>
      </c>
      <c r="G21" s="23" t="n"/>
    </row>
    <row r="22" ht="17" customHeight="1">
      <c r="B22" s="23" t="n"/>
      <c r="C22" s="24" t="inlineStr">
        <is>
          <t>Transverse bars, centres</t>
        </is>
      </c>
      <c r="D22" s="27" t="inlineStr">
        <is>
          <r>
            <rPr>
              <rFont val="Calibri"/>
              <i val="1"/>
              <color rgb="002B2B2B"/>
              <sz val="10"/>
            </rPr>
            <t>s</t>
          </r>
          <r>
            <rPr>
              <rFont val="Calibri"/>
              <i val="1"/>
              <color rgb="002B2B2B"/>
              <sz val="10"/>
              <vertAlign val="subscript"/>
            </rPr>
            <t>t</t>
          </r>
        </is>
      </c>
      <c r="E22" s="25" t="n">
        <v>200</v>
      </c>
      <c r="F22" s="28" t="inlineStr">
        <is>
          <t>mm</t>
        </is>
      </c>
      <c r="G22" s="23" t="n"/>
    </row>
    <row r="23" ht="17" customHeight="1">
      <c r="B23" s="23" t="n"/>
      <c r="C23" s="24" t="inlineStr">
        <is>
          <t>Longitudinal bars (upper layer), diameter</t>
        </is>
      </c>
      <c r="D23" s="27" t="inlineStr">
        <is>
          <r>
            <rPr>
              <rFont val="Calibri"/>
              <i val="1"/>
              <color rgb="002B2B2B"/>
              <sz val="10"/>
            </rPr>
            <t>φ</t>
          </r>
          <r>
            <rPr>
              <rFont val="Calibri"/>
              <i val="1"/>
              <color rgb="002B2B2B"/>
              <sz val="10"/>
              <vertAlign val="subscript"/>
            </rPr>
            <t>l</t>
          </r>
        </is>
      </c>
      <c r="E23" s="25" t="n">
        <v>10</v>
      </c>
      <c r="F23" s="28" t="inlineStr">
        <is>
          <t>mm</t>
        </is>
      </c>
      <c r="G23" s="23" t="n"/>
    </row>
    <row r="24" ht="17" customHeight="1">
      <c r="B24" s="23" t="n"/>
      <c r="C24" s="24" t="inlineStr">
        <is>
          <t>Longitudinal bars, centres</t>
        </is>
      </c>
      <c r="D24" s="27" t="inlineStr">
        <is>
          <r>
            <rPr>
              <rFont val="Calibri"/>
              <i val="1"/>
              <color rgb="002B2B2B"/>
              <sz val="10"/>
            </rPr>
            <t>s</t>
          </r>
          <r>
            <rPr>
              <rFont val="Calibri"/>
              <i val="1"/>
              <color rgb="002B2B2B"/>
              <sz val="10"/>
              <vertAlign val="subscript"/>
            </rPr>
            <t>l</t>
          </r>
        </is>
      </c>
      <c r="E24" s="25" t="n">
        <v>200</v>
      </c>
      <c r="F24" s="28" t="inlineStr">
        <is>
          <t>mm</t>
        </is>
      </c>
      <c r="G24" s="23" t="n"/>
    </row>
    <row r="26" ht="22" customHeight="1">
      <c r="B26" s="20" t="inlineStr">
        <is>
          <t>Inputs  ·  loads and ground</t>
        </is>
      </c>
      <c r="C26" s="21" t="n"/>
      <c r="D26" s="21" t="n"/>
      <c r="E26" s="21" t="n"/>
      <c r="F26" s="21" t="n"/>
      <c r="G26" s="22" t="inlineStr">
        <is>
          <t>Wall loads per metre run, at the top of the footing</t>
        </is>
      </c>
    </row>
    <row r="27" ht="17" customHeight="1">
      <c r="B27" s="23" t="n"/>
      <c r="C27" s="24" t="inlineStr">
        <is>
          <t>Wall load, permanent</t>
        </is>
      </c>
      <c r="D27" s="27" t="inlineStr">
        <is>
          <r>
            <rPr>
              <rFont val="Calibri"/>
              <i val="1"/>
              <color rgb="002B2B2B"/>
              <sz val="10"/>
            </rPr>
            <t>G</t>
          </r>
          <r>
            <rPr>
              <rFont val="Calibri"/>
              <i val="1"/>
              <color rgb="002B2B2B"/>
              <sz val="10"/>
              <vertAlign val="subscript"/>
            </rPr>
            <t>k</t>
          </r>
        </is>
      </c>
      <c r="E27" s="29" t="n">
        <v>150</v>
      </c>
      <c r="F27" s="28" t="inlineStr">
        <is>
          <t>kN/m</t>
        </is>
      </c>
      <c r="G27" s="23" t="n"/>
    </row>
    <row r="28" ht="17" customHeight="1">
      <c r="B28" s="23" t="n"/>
      <c r="C28" s="24" t="inlineStr">
        <is>
          <t>Wall load, variable</t>
        </is>
      </c>
      <c r="D28" s="27" t="inlineStr">
        <is>
          <r>
            <rPr>
              <rFont val="Calibri"/>
              <i val="1"/>
              <color rgb="002B2B2B"/>
              <sz val="10"/>
            </rPr>
            <t>Q</t>
          </r>
          <r>
            <rPr>
              <rFont val="Calibri"/>
              <i val="1"/>
              <color rgb="002B2B2B"/>
              <sz val="10"/>
              <vertAlign val="subscript"/>
            </rPr>
            <t>k</t>
          </r>
        </is>
      </c>
      <c r="E28" s="29" t="n">
        <v>60</v>
      </c>
      <c r="F28" s="28" t="inlineStr">
        <is>
          <t>kN/m</t>
        </is>
      </c>
      <c r="G28" s="23" t="n"/>
    </row>
    <row r="29" ht="17" customHeight="1">
      <c r="B29" s="23" t="n"/>
      <c r="C29" s="24" t="inlineStr">
        <is>
          <t>Moment across the footing, permanent  (+ = pressure up at +x)</t>
        </is>
      </c>
      <c r="D29" s="27" t="inlineStr">
        <is>
          <r>
            <rPr>
              <rFont val="Calibri"/>
              <i val="1"/>
              <color rgb="002B2B2B"/>
              <sz val="10"/>
            </rPr>
            <t>M</t>
          </r>
          <r>
            <rPr>
              <rFont val="Calibri"/>
              <i val="1"/>
              <color rgb="002B2B2B"/>
              <sz val="10"/>
              <vertAlign val="subscript"/>
            </rPr>
            <t>G,k</t>
          </r>
        </is>
      </c>
      <c r="E29" s="29" t="n">
        <v>0</v>
      </c>
      <c r="F29" s="28" t="inlineStr">
        <is>
          <t>kNm/m</t>
        </is>
      </c>
      <c r="G29" s="23" t="n"/>
    </row>
    <row r="30" ht="17" customHeight="1">
      <c r="B30" s="23" t="n"/>
      <c r="C30" s="24" t="inlineStr">
        <is>
          <t>Moment across the footing, variable</t>
        </is>
      </c>
      <c r="D30" s="27" t="inlineStr">
        <is>
          <r>
            <rPr>
              <rFont val="Calibri"/>
              <i val="1"/>
              <color rgb="002B2B2B"/>
              <sz val="10"/>
            </rPr>
            <t>M</t>
          </r>
          <r>
            <rPr>
              <rFont val="Calibri"/>
              <i val="1"/>
              <color rgb="002B2B2B"/>
              <sz val="10"/>
              <vertAlign val="subscript"/>
            </rPr>
            <t>Q,k</t>
          </r>
        </is>
      </c>
      <c r="E30" s="29" t="n">
        <v>0</v>
      </c>
      <c r="F30" s="28" t="inlineStr">
        <is>
          <t>kNm/m</t>
        </is>
      </c>
      <c r="G30" s="23" t="n"/>
    </row>
    <row r="31" ht="17" customHeight="1">
      <c r="B31" s="26" t="inlineStr">
        <is>
          <t>EN 1990 A1.2(B)</t>
        </is>
      </c>
      <c r="C31" s="24" t="inlineStr">
        <is>
          <t>Partial factor, permanent</t>
        </is>
      </c>
      <c r="D31" s="27" t="inlineStr">
        <is>
          <r>
            <rPr>
              <rFont val="Calibri"/>
              <i val="1"/>
              <color rgb="002B2B2B"/>
              <sz val="10"/>
            </rPr>
            <t>γ</t>
          </r>
          <r>
            <rPr>
              <rFont val="Calibri"/>
              <i val="1"/>
              <color rgb="002B2B2B"/>
              <sz val="10"/>
              <vertAlign val="subscript"/>
            </rPr>
            <t>G</t>
          </r>
        </is>
      </c>
      <c r="E31" s="30" t="n">
        <v>1.35</v>
      </c>
      <c r="F31" s="23" t="n"/>
      <c r="G31" s="23" t="n"/>
    </row>
    <row r="32" ht="17" customHeight="1">
      <c r="B32" s="26" t="inlineStr">
        <is>
          <t>EN 1990 A1.2(B)</t>
        </is>
      </c>
      <c r="C32" s="24" t="inlineStr">
        <is>
          <t>Partial factor, variable</t>
        </is>
      </c>
      <c r="D32" s="27" t="inlineStr">
        <is>
          <r>
            <rPr>
              <rFont val="Calibri"/>
              <i val="1"/>
              <color rgb="002B2B2B"/>
              <sz val="10"/>
            </rPr>
            <t>γ</t>
          </r>
          <r>
            <rPr>
              <rFont val="Calibri"/>
              <i val="1"/>
              <color rgb="002B2B2B"/>
              <sz val="10"/>
              <vertAlign val="subscript"/>
            </rPr>
            <t>Q</t>
          </r>
        </is>
      </c>
      <c r="E32" s="30" t="n">
        <v>1.5</v>
      </c>
      <c r="F32" s="23" t="n"/>
      <c r="G32" s="23" t="n"/>
    </row>
    <row r="33" ht="17" customHeight="1">
      <c r="B33" s="23" t="n"/>
      <c r="C33" s="24" t="inlineStr">
        <is>
          <t>Depth of backfill over the footing</t>
        </is>
      </c>
      <c r="D33" s="27" t="inlineStr">
        <is>
          <r>
            <rPr>
              <rFont val="Calibri"/>
              <i val="1"/>
              <color rgb="002B2B2B"/>
              <sz val="10"/>
            </rPr>
            <t>D</t>
          </r>
          <r>
            <rPr>
              <rFont val="Calibri"/>
              <i val="1"/>
              <color rgb="002B2B2B"/>
              <sz val="10"/>
              <vertAlign val="subscript"/>
            </rPr>
            <t>s</t>
          </r>
        </is>
      </c>
      <c r="E33" s="25" t="n">
        <v>500</v>
      </c>
      <c r="F33" s="28" t="inlineStr">
        <is>
          <t>mm</t>
        </is>
      </c>
      <c r="G33" s="23" t="n"/>
    </row>
    <row r="34" ht="17" customHeight="1">
      <c r="B34" s="23" t="n"/>
      <c r="C34" s="24" t="inlineStr">
        <is>
          <t>Unit weight of backfill</t>
        </is>
      </c>
      <c r="D34" s="27" t="inlineStr">
        <is>
          <r>
            <rPr>
              <rFont val="Calibri"/>
              <i val="1"/>
              <color rgb="002B2B2B"/>
              <sz val="10"/>
            </rPr>
            <t>γ</t>
          </r>
          <r>
            <rPr>
              <rFont val="Calibri"/>
              <i val="1"/>
              <color rgb="002B2B2B"/>
              <sz val="10"/>
              <vertAlign val="subscript"/>
            </rPr>
            <t>soil</t>
          </r>
        </is>
      </c>
      <c r="E34" s="29" t="n">
        <v>18</v>
      </c>
      <c r="F34" s="28" t="inlineStr">
        <is>
          <t>kN/m³</t>
        </is>
      </c>
      <c r="G34" s="23" t="n"/>
    </row>
    <row r="35" ht="17" customHeight="1">
      <c r="B35" s="23" t="n"/>
      <c r="C35" s="24" t="inlineStr">
        <is>
          <t>Allowable gross bearing pressure</t>
        </is>
      </c>
      <c r="D35" s="27" t="inlineStr">
        <is>
          <r>
            <rPr>
              <rFont val="Calibri"/>
              <i val="1"/>
              <color rgb="002B2B2B"/>
              <sz val="10"/>
            </rPr>
            <t>q</t>
          </r>
          <r>
            <rPr>
              <rFont val="Calibri"/>
              <i val="1"/>
              <color rgb="002B2B2B"/>
              <sz val="10"/>
              <vertAlign val="subscript"/>
            </rPr>
            <t>allow</t>
          </r>
        </is>
      </c>
      <c r="E35" s="31" t="n">
        <v>200</v>
      </c>
      <c r="F35" s="28" t="inlineStr">
        <is>
          <t>kPa</t>
        </is>
      </c>
      <c r="G35" s="26" t="inlineStr">
        <is>
          <t>From the ground investigation</t>
        </is>
      </c>
    </row>
    <row r="36" ht="17" customHeight="1">
      <c r="B36" s="23" t="n"/>
      <c r="C36" s="24" t="inlineStr">
        <is>
          <t>Inputs valid and consistent</t>
        </is>
      </c>
      <c r="D36" s="23" t="n"/>
      <c r="E36" s="9" t="n"/>
      <c r="F36" s="23" t="n"/>
      <c r="G36" s="32">
        <f>IF(inputs_ok,"OK","FAIL")</f>
        <v/>
      </c>
    </row>
    <row r="38" ht="22" customHeight="1">
      <c r="B38" s="20" t="inlineStr">
        <is>
          <t>Results</t>
        </is>
      </c>
      <c r="C38" s="21" t="n"/>
      <c r="D38" s="21" t="n"/>
      <c r="E38" s="21" t="n"/>
      <c r="F38" s="21" t="n"/>
      <c r="G38" s="21" t="n"/>
    </row>
    <row r="39" ht="26" customHeight="1">
      <c r="B39" s="33" t="n"/>
      <c r="C39" s="34" t="inlineStr">
        <is>
          <t>Bearing pressure, characteristic  q / q_allow</t>
        </is>
      </c>
      <c r="D39" s="35" t="inlineStr">
        <is>
          <r>
            <rPr>
              <rFont val="Calibri"/>
              <i val="1"/>
              <color rgb="002B2B2B"/>
              <sz val="11"/>
            </rPr>
            <t>q</t>
          </r>
          <r>
            <rPr>
              <rFont val="Calibri"/>
              <i val="1"/>
              <color rgb="002B2B2B"/>
              <sz val="11"/>
              <vertAlign val="subscript"/>
            </rPr>
            <t>max</t>
          </r>
        </is>
      </c>
      <c r="E39" s="36">
        <f>IF(inputs_ok,IFERROR(q_maxk/q_allow,"no equilibrium"),"–")</f>
        <v/>
      </c>
      <c r="F39" s="37" t="inlineStr"/>
      <c r="G39" s="38">
        <f>IF(NOT(inputs_ok),"FAIL",IF(e_k&lt;=B_f/3,IF(q_maxk&lt;=q_allow,"OK","FAIL"),"FAIL"))</f>
        <v/>
      </c>
    </row>
    <row r="40" ht="26" customHeight="1">
      <c r="B40" s="33" t="n"/>
      <c r="C40" s="34" t="inlineStr">
        <is>
          <t>Eccentricity, characteristic  e / B</t>
        </is>
      </c>
      <c r="D40" s="35" t="inlineStr">
        <is>
          <r>
            <rPr>
              <rFont val="Calibri"/>
              <i val="1"/>
              <color rgb="002B2B2B"/>
              <sz val="11"/>
            </rPr>
            <t>e</t>
          </r>
        </is>
      </c>
      <c r="E40" s="39">
        <f>IF(inputs_ok,e_k/B_f,"–")</f>
        <v/>
      </c>
      <c r="F40" s="37" t="inlineStr"/>
      <c r="G40" s="38">
        <f>IF(NOT(inputs_ok),"FAIL",IF(e_k&lt;=B_f/6,"OK",IF(e_k&lt;=B_f/3,"! Partial contact","FAIL")))</f>
        <v/>
      </c>
    </row>
    <row r="41" ht="26" customHeight="1">
      <c r="B41" s="33" t="n"/>
      <c r="C41" s="34" t="inlineStr">
        <is>
          <t>Bending, transverse bars  As,req / As,prov</t>
        </is>
      </c>
      <c r="D41" s="33" t="n"/>
      <c r="E41" s="36">
        <f>IF(inputs_ok,IF(uls_ok,IFERROR(MAX(As_req,As_min)/As_prov,"K &gt; K′"),"–"),"–")</f>
        <v/>
      </c>
      <c r="F41" s="37" t="inlineStr"/>
      <c r="G41" s="38">
        <f>IF(NOT(inputs_ok),"FAIL",IF(bend_ok,"OK","FAIL"))</f>
        <v/>
      </c>
    </row>
    <row r="42" ht="26" customHeight="1">
      <c r="B42" s="33" t="n"/>
      <c r="C42" s="34" t="inlineStr">
        <is>
          <t>Top face: hogging moment</t>
        </is>
      </c>
      <c r="D42" s="35" t="inlineStr">
        <is>
          <r>
            <rPr>
              <rFont val="Calibri"/>
              <i val="1"/>
              <color rgb="002B2B2B"/>
              <sz val="11"/>
            </rPr>
            <t>M</t>
          </r>
          <r>
            <rPr>
              <rFont val="Calibri"/>
              <i val="1"/>
              <color rgb="002B2B2B"/>
              <sz val="11"/>
              <vertAlign val="subscript"/>
            </rPr>
            <t>top</t>
          </r>
        </is>
      </c>
      <c r="E42" s="40">
        <f>IF(inputs_ok,IF(uls_ok,M_top,"–"),"–")</f>
        <v/>
      </c>
      <c r="F42" s="37" t="inlineStr">
        <is>
          <t>kNm/m</t>
        </is>
      </c>
      <c r="G42" s="38">
        <f>IF(NOT(inputs_ok),"FAIL",IF(NOT(uls_ok),"FAIL",IF(M_top&lt;0,"! Top bars needed","OK")))</f>
        <v/>
      </c>
    </row>
    <row r="43" ht="26" customHeight="1">
      <c r="B43" s="33" t="n"/>
      <c r="C43" s="34" t="inlineStr">
        <is>
          <t>Shear  max(VEd / VRd,c at d; Vface / 0.5 ν fcd b d)</t>
        </is>
      </c>
      <c r="D43" s="33" t="n"/>
      <c r="E43" s="36">
        <f>IF(inputs_ok,IF(uls_ok,MAX(V_Ed/V_Rd,V_face/V_Rmax),"–"),"–")</f>
        <v/>
      </c>
      <c r="F43" s="37" t="inlineStr"/>
      <c r="G43" s="38">
        <f>IF(NOT(inputs_ok),"FAIL",IF(shear_ok,"OK","FAIL"))</f>
        <v/>
      </c>
    </row>
    <row r="44" ht="26" customHeight="1">
      <c r="B44" s="33" t="n"/>
      <c r="C44" s="34" t="inlineStr">
        <is>
          <t>Longitudinal bars  need / provided</t>
        </is>
      </c>
      <c r="D44" s="33" t="n"/>
      <c r="E44" s="36">
        <f>IF(inputs_ok,Asl_req/Asl_prov,"–")</f>
        <v/>
      </c>
      <c r="F44" s="37" t="inlineStr"/>
      <c r="G44" s="38">
        <f>IF(NOT(inputs_ok),"FAIL",IF(long_ok,"OK","FAIL"))</f>
        <v/>
      </c>
    </row>
    <row r="45" ht="26" customHeight="1">
      <c r="B45" s="33" t="n"/>
      <c r="C45" s="34" t="inlineStr">
        <is>
          <t>Bar spacing  (largest of the four ratios)</t>
        </is>
      </c>
      <c r="D45" s="33" t="n"/>
      <c r="E45" s="36">
        <f>IF(inputs_ok,MAX(gap_min/(s_t-phi_t),gap_min/(s_l-phi_l),s_t/st_max,s_l/sl_max),"–")</f>
        <v/>
      </c>
      <c r="F45" s="37" t="inlineStr"/>
      <c r="G45" s="38">
        <f>IF(NOT(inputs_ok),"FAIL",IF(det_ok,"OK","FAIL"))</f>
        <v/>
      </c>
    </row>
    <row r="46"/>
    <row r="47">
      <c r="B47" s="41" t="inlineStr">
        <is>
          <t>Your strip footing, to scale  ·  cross-section with the wall, the bars, the sections for bending (solid) and shear at d (dashed), and the ULS contact pressure below (ordinates not to scale)</t>
        </is>
      </c>
    </row>
    <row r="48"/>
    <row r="49"/>
    <row r="50"/>
    <row r="51"/>
    <row r="52"/>
    <row r="53"/>
    <row r="54"/>
    <row r="55"/>
    <row r="56"/>
    <row r="57"/>
    <row r="58"/>
    <row r="59"/>
    <row r="60"/>
    <row r="61"/>
    <row r="62"/>
    <row r="63"/>
    <row r="64"/>
    <row r="65"/>
    <row r="66"/>
    <row r="67"/>
    <row r="68"/>
    <row r="69"/>
    <row r="70" ht="22" customHeight="1">
      <c r="B70" s="20" t="inlineStr">
        <is>
          <t>Calculation  ·  bearing (characteristic, per metre)</t>
        </is>
      </c>
      <c r="C70" s="21" t="n"/>
      <c r="D70" s="21" t="n"/>
      <c r="E70" s="21" t="n"/>
      <c r="F70" s="21" t="n"/>
      <c r="G70" s="21" t="n"/>
    </row>
    <row r="71" ht="17" customHeight="1">
      <c r="B71" s="23" t="n"/>
      <c r="C71" s="24" t="inlineStr">
        <is>
          <t>Self weight of footing  25 kN/m³ · B h</t>
        </is>
      </c>
      <c r="D71" s="27" t="inlineStr">
        <is>
          <r>
            <rPr>
              <rFont val="Calibri"/>
              <i val="1"/>
              <color rgb="002B2B2B"/>
              <sz val="10"/>
            </rPr>
            <t>W</t>
          </r>
          <r>
            <rPr>
              <rFont val="Calibri"/>
              <i val="1"/>
              <color rgb="002B2B2B"/>
              <sz val="10"/>
              <vertAlign val="subscript"/>
            </rPr>
            <t>f</t>
          </r>
        </is>
      </c>
      <c r="E71" s="42">
        <f>IF(inputs_ok,25*B_f*h_f/1E6,NA())</f>
        <v/>
      </c>
      <c r="F71" s="28" t="inlineStr">
        <is>
          <t>kN/m</t>
        </is>
      </c>
      <c r="G71" s="23" t="n"/>
    </row>
    <row r="72" ht="17" customHeight="1">
      <c r="B72" s="23" t="n"/>
      <c r="C72" s="24" t="inlineStr">
        <is>
          <t>Backfill over the footing  γsoil (B − t) Ds</t>
        </is>
      </c>
      <c r="D72" s="27" t="inlineStr">
        <is>
          <r>
            <rPr>
              <rFont val="Calibri"/>
              <i val="1"/>
              <color rgb="002B2B2B"/>
              <sz val="10"/>
            </rPr>
            <t>W</t>
          </r>
          <r>
            <rPr>
              <rFont val="Calibri"/>
              <i val="1"/>
              <color rgb="002B2B2B"/>
              <sz val="10"/>
              <vertAlign val="subscript"/>
            </rPr>
            <t>s</t>
          </r>
        </is>
      </c>
      <c r="E72" s="42">
        <f>IF(inputs_ok,gamma_soil*(B_f-t_w)*D_s/1E6,NA())</f>
        <v/>
      </c>
      <c r="F72" s="28" t="inlineStr">
        <is>
          <t>kN/m</t>
        </is>
      </c>
      <c r="G72" s="23" t="n"/>
    </row>
    <row r="73" ht="17" customHeight="1">
      <c r="B73" s="23" t="n"/>
      <c r="C73" s="24" t="inlineStr">
        <is>
          <t>Moment of the backfill (none over the wall)  −γsoil t Ds o</t>
        </is>
      </c>
      <c r="D73" s="27" t="inlineStr">
        <is>
          <r>
            <rPr>
              <rFont val="Calibri"/>
              <i val="1"/>
              <color rgb="002B2B2B"/>
              <sz val="10"/>
            </rPr>
            <t>M</t>
          </r>
          <r>
            <rPr>
              <rFont val="Calibri"/>
              <i val="1"/>
              <color rgb="002B2B2B"/>
              <sz val="10"/>
              <vertAlign val="subscript"/>
            </rPr>
            <t>ws</t>
          </r>
        </is>
      </c>
      <c r="E73" s="43">
        <f>IF(inputs_ok,-gamma_soil*t_w*D_s/1E6*o_w/1000,NA())</f>
        <v/>
      </c>
      <c r="F73" s="28" t="inlineStr">
        <is>
          <t>kNm/m</t>
        </is>
      </c>
      <c r="G73" s="23" t="n"/>
    </row>
    <row r="74" ht="17" customHeight="1">
      <c r="B74" s="23" t="n"/>
      <c r="C74" s="24" t="inlineStr">
        <is>
          <t>Total vertical load at the base  Gk + Qk + Wf + Ws</t>
        </is>
      </c>
      <c r="D74" s="27" t="inlineStr">
        <is>
          <r>
            <rPr>
              <rFont val="Calibri"/>
              <i val="1"/>
              <color rgb="002B2B2B"/>
              <sz val="10"/>
            </rPr>
            <t>N</t>
          </r>
          <r>
            <rPr>
              <rFont val="Calibri"/>
              <i val="1"/>
              <color rgb="002B2B2B"/>
              <sz val="10"/>
              <vertAlign val="subscript"/>
            </rPr>
            <t>k</t>
          </r>
        </is>
      </c>
      <c r="E74" s="44">
        <f>IF(inputs_ok,G_k+Q_k+W_f+W_s,NA())</f>
        <v/>
      </c>
      <c r="F74" s="28" t="inlineStr">
        <is>
          <t>kN/m</t>
        </is>
      </c>
      <c r="G74" s="23" t="n"/>
    </row>
    <row r="75" ht="17" customHeight="1">
      <c r="B75" s="23" t="n"/>
      <c r="C75" s="24" t="inlineStr">
        <is>
          <t>Moment about the base centre  MG,k + MQ,k + (Gk + Qk) o + Mws</t>
        </is>
      </c>
      <c r="D75" s="27" t="inlineStr">
        <is>
          <r>
            <rPr>
              <rFont val="Calibri"/>
              <i val="1"/>
              <color rgb="002B2B2B"/>
              <sz val="10"/>
            </rPr>
            <t>M</t>
          </r>
          <r>
            <rPr>
              <rFont val="Calibri"/>
              <i val="1"/>
              <color rgb="002B2B2B"/>
              <sz val="10"/>
              <vertAlign val="subscript"/>
            </rPr>
            <t>k</t>
          </r>
        </is>
      </c>
      <c r="E75" s="42">
        <f>IF(inputs_ok,M_Gk+M_Qk+(G_k+Q_k)*o_w/1000+M_ws,NA())</f>
        <v/>
      </c>
      <c r="F75" s="28" t="inlineStr">
        <is>
          <t>kNm/m</t>
        </is>
      </c>
      <c r="G75" s="23" t="n"/>
    </row>
    <row r="76" ht="17" customHeight="1">
      <c r="B76" s="23" t="n"/>
      <c r="C76" s="24" t="inlineStr">
        <is>
          <t>Eccentricity  |Mk| / Nk</t>
        </is>
      </c>
      <c r="D76" s="27" t="inlineStr">
        <is>
          <r>
            <rPr>
              <rFont val="Calibri"/>
              <i val="1"/>
              <color rgb="002B2B2B"/>
              <sz val="10"/>
            </rPr>
            <t>e</t>
          </r>
          <r>
            <rPr>
              <rFont val="Calibri"/>
              <i val="1"/>
              <color rgb="002B2B2B"/>
              <sz val="10"/>
              <vertAlign val="subscript"/>
            </rPr>
            <t>k</t>
          </r>
        </is>
      </c>
      <c r="E76" s="45">
        <f>IF(inputs_ok,ABS(M_k)/N_k*1000,NA())</f>
        <v/>
      </c>
      <c r="F76" s="28" t="inlineStr">
        <is>
          <t>mm</t>
        </is>
      </c>
      <c r="G76" s="23" t="n"/>
    </row>
    <row r="77" ht="17" customHeight="1">
      <c r="B77" s="23" t="n"/>
      <c r="C77" s="24" t="inlineStr">
        <is>
          <t>Maximum pressure  (e ≤ B/6: N/B (1 + 6e/B); else 2N / (3(B/2 − e)))</t>
        </is>
      </c>
      <c r="D77" s="27" t="inlineStr">
        <is>
          <r>
            <rPr>
              <rFont val="Calibri"/>
              <i val="1"/>
              <color rgb="002B2B2B"/>
              <sz val="10"/>
            </rPr>
            <t>q</t>
          </r>
          <r>
            <rPr>
              <rFont val="Calibri"/>
              <i val="1"/>
              <color rgb="002B2B2B"/>
              <sz val="10"/>
              <vertAlign val="subscript"/>
            </rPr>
            <t>max</t>
          </r>
        </is>
      </c>
      <c r="E77" s="46">
        <f>IF(inputs_ok,IF(e_k&gt;=B_f/2,NA(),IF(e_k&lt;=B_f/6,N_k/B_f*1000*(1+6*e_k/B_f),2*N_k/(3*(B_f/2-e_k))*1000)),NA())</f>
        <v/>
      </c>
      <c r="F77" s="28" t="inlineStr">
        <is>
          <t>kPa</t>
        </is>
      </c>
      <c r="G77" s="23" t="n"/>
    </row>
    <row r="78" ht="17" customHeight="1">
      <c r="B78" s="23" t="n"/>
      <c r="C78" s="24" t="inlineStr">
        <is>
          <t>Maximum pressure against the allowable</t>
        </is>
      </c>
      <c r="D78" s="27" t="inlineStr">
        <is>
          <r>
            <rPr>
              <rFont val="Calibri"/>
              <i val="1"/>
              <color rgb="002B2B2B"/>
              <sz val="10"/>
            </rPr>
            <t>q</t>
          </r>
          <r>
            <rPr>
              <rFont val="Calibri"/>
              <i val="1"/>
              <color rgb="002B2B2B"/>
              <sz val="10"/>
              <vertAlign val="subscript"/>
            </rPr>
            <t>allow</t>
          </r>
        </is>
      </c>
      <c r="E78" s="45">
        <f>IF(inputs_ok,q_allow,NA())</f>
        <v/>
      </c>
      <c r="F78" s="28" t="inlineStr">
        <is>
          <t>kPa</t>
        </is>
      </c>
      <c r="G78" s="32">
        <f>IF(NOT(inputs_ok),"FAIL",IF(AND(e_k&lt;=B_f/3,q_maxk&lt;=q_allow),"OK","FAIL"))</f>
        <v/>
      </c>
    </row>
    <row r="79"/>
    <row r="80" ht="22" customHeight="1">
      <c r="B80" s="20" t="inlineStr">
        <is>
          <t>Calculation  ·  ULS contact pressure</t>
        </is>
      </c>
      <c r="C80" s="21" t="n"/>
      <c r="D80" s="21" t="n"/>
      <c r="E80" s="21" t="n"/>
      <c r="F80" s="21" t="n"/>
      <c r="G80" s="21" t="n"/>
    </row>
    <row r="81" ht="17" customHeight="1">
      <c r="B81" s="26" t="inlineStr">
        <is>
          <t>2.4.2.4(1)</t>
        </is>
      </c>
      <c r="C81" s="24" t="inlineStr">
        <is>
          <t>Partial factor, concrete</t>
        </is>
      </c>
      <c r="D81" s="27" t="inlineStr">
        <is>
          <r>
            <rPr>
              <rFont val="Calibri"/>
              <i val="1"/>
              <color rgb="002B2B2B"/>
              <sz val="10"/>
            </rPr>
            <t>γ</t>
          </r>
          <r>
            <rPr>
              <rFont val="Calibri"/>
              <i val="1"/>
              <color rgb="002B2B2B"/>
              <sz val="10"/>
              <vertAlign val="subscript"/>
            </rPr>
            <t>c</t>
          </r>
        </is>
      </c>
      <c r="E81" s="42">
        <f>IF(inputs_ok,ndp_gamma_c,NA())</f>
        <v/>
      </c>
      <c r="F81" s="23" t="n"/>
      <c r="G81" s="26" t="inlineStr">
        <is>
          <t>NDP sheet</t>
        </is>
      </c>
    </row>
    <row r="82" ht="17" customHeight="1">
      <c r="B82" s="26" t="inlineStr">
        <is>
          <t>2.4.2.4(1)</t>
        </is>
      </c>
      <c r="C82" s="24" t="inlineStr">
        <is>
          <t>Partial factor, reinforcement</t>
        </is>
      </c>
      <c r="D82" s="27" t="inlineStr">
        <is>
          <r>
            <rPr>
              <rFont val="Calibri"/>
              <i val="1"/>
              <color rgb="002B2B2B"/>
              <sz val="10"/>
            </rPr>
            <t>γ</t>
          </r>
          <r>
            <rPr>
              <rFont val="Calibri"/>
              <i val="1"/>
              <color rgb="002B2B2B"/>
              <sz val="10"/>
              <vertAlign val="subscript"/>
            </rPr>
            <t>s</t>
          </r>
        </is>
      </c>
      <c r="E82" s="42">
        <f>IF(inputs_ok,ndp_gamma_s,NA())</f>
        <v/>
      </c>
      <c r="F82" s="23" t="n"/>
      <c r="G82" s="26" t="inlineStr">
        <is>
          <t>NDP sheet</t>
        </is>
      </c>
    </row>
    <row r="83" ht="17" customHeight="1">
      <c r="B83" s="26" t="inlineStr">
        <is>
          <t>3.1.6(1)</t>
        </is>
      </c>
      <c r="C83" s="24" t="inlineStr">
        <is>
          <t>Coefficient on compressive strength (flexure)</t>
        </is>
      </c>
      <c r="D83" s="27" t="inlineStr">
        <is>
          <r>
            <rPr>
              <rFont val="Calibri"/>
              <i val="1"/>
              <color rgb="002B2B2B"/>
              <sz val="10"/>
            </rPr>
            <t>α</t>
          </r>
          <r>
            <rPr>
              <rFont val="Calibri"/>
              <i val="1"/>
              <color rgb="002B2B2B"/>
              <sz val="10"/>
              <vertAlign val="subscript"/>
            </rPr>
            <t>cc</t>
          </r>
        </is>
      </c>
      <c r="E83" s="42">
        <f>IF(inputs_ok,ndp_alpha_cc,NA())</f>
        <v/>
      </c>
      <c r="F83" s="23" t="n"/>
      <c r="G83" s="26" t="inlineStr">
        <is>
          <t>NDP sheet</t>
        </is>
      </c>
    </row>
    <row r="84" ht="17" customHeight="1">
      <c r="B84" s="26" t="inlineStr">
        <is>
          <t>3.1.6(1)</t>
        </is>
      </c>
      <c r="C84" s="24" t="inlineStr">
        <is>
          <t>Coefficient on compressive strength (shear)</t>
        </is>
      </c>
      <c r="D84" s="27" t="inlineStr">
        <is>
          <r>
            <rPr>
              <rFont val="Calibri"/>
              <i val="1"/>
              <color rgb="002B2B2B"/>
              <sz val="10"/>
            </rPr>
            <t>α</t>
          </r>
          <r>
            <rPr>
              <rFont val="Calibri"/>
              <i val="1"/>
              <color rgb="002B2B2B"/>
              <sz val="10"/>
              <vertAlign val="subscript"/>
            </rPr>
            <t>cc</t>
          </r>
        </is>
      </c>
      <c r="E84" s="42">
        <f>IF(inputs_ok,ndp_alpha_cc_shear,NA())</f>
        <v/>
      </c>
      <c r="F84" s="23" t="n"/>
      <c r="G84" s="26" t="inlineStr">
        <is>
          <t>NDP sheet</t>
        </is>
      </c>
    </row>
    <row r="85" ht="17" customHeight="1">
      <c r="B85" s="26" t="inlineStr">
        <is>
          <t>6.2.2(1), 6.4.4(1)</t>
        </is>
      </c>
      <c r="C85" s="24" t="inlineStr">
        <is>
          <t>Coefficient  0.18 / γc</t>
        </is>
      </c>
      <c r="D85" s="27" t="inlineStr">
        <is>
          <r>
            <rPr>
              <rFont val="Calibri"/>
              <i val="1"/>
              <color rgb="002B2B2B"/>
              <sz val="10"/>
            </rPr>
            <t>C</t>
          </r>
          <r>
            <rPr>
              <rFont val="Calibri"/>
              <i val="1"/>
              <color rgb="002B2B2B"/>
              <sz val="10"/>
              <vertAlign val="subscript"/>
            </rPr>
            <t>Rd,c</t>
          </r>
        </is>
      </c>
      <c r="E85" s="43">
        <f>IF(inputs_ok,ndp_C_Rdc/ndp_gamma_c,NA())</f>
        <v/>
      </c>
      <c r="F85" s="23" t="n"/>
      <c r="G85" s="26" t="inlineStr">
        <is>
          <t>NDP sheet</t>
        </is>
      </c>
    </row>
    <row r="86" ht="17" customHeight="1">
      <c r="B86" s="26" t="inlineStr">
        <is>
          <t>5.5(4)</t>
        </is>
      </c>
      <c r="C86" s="24" t="inlineStr">
        <is>
          <t>Coefficient for x/d limit</t>
        </is>
      </c>
      <c r="D86" s="27" t="inlineStr">
        <is>
          <r>
            <rPr>
              <rFont val="Calibri"/>
              <i val="1"/>
              <color rgb="002B2B2B"/>
              <sz val="10"/>
            </rPr>
            <t>k</t>
          </r>
          <r>
            <rPr>
              <rFont val="Calibri"/>
              <i val="1"/>
              <color rgb="002B2B2B"/>
              <sz val="10"/>
              <vertAlign val="subscript"/>
            </rPr>
            <t>1</t>
          </r>
        </is>
      </c>
      <c r="E86" s="42">
        <f>IF(inputs_ok,ndp_k1_red,NA())</f>
        <v/>
      </c>
      <c r="F86" s="23" t="n"/>
      <c r="G86" s="26" t="inlineStr">
        <is>
          <t>NDP sheet</t>
        </is>
      </c>
    </row>
    <row r="87" ht="17" customHeight="1">
      <c r="B87" s="26" t="inlineStr">
        <is>
          <t>5.5(4)</t>
        </is>
      </c>
      <c r="C87" s="24" t="inlineStr">
        <is>
          <t>Coefficient for x/d limit</t>
        </is>
      </c>
      <c r="D87" s="27" t="inlineStr">
        <is>
          <r>
            <rPr>
              <rFont val="Calibri"/>
              <i val="1"/>
              <color rgb="002B2B2B"/>
              <sz val="10"/>
            </rPr>
            <t>k</t>
          </r>
          <r>
            <rPr>
              <rFont val="Calibri"/>
              <i val="1"/>
              <color rgb="002B2B2B"/>
              <sz val="10"/>
              <vertAlign val="subscript"/>
            </rPr>
            <t>2</t>
          </r>
        </is>
      </c>
      <c r="E87" s="42">
        <f>IF(inputs_ok,ndp_k2_red,NA())</f>
        <v/>
      </c>
      <c r="F87" s="23" t="n"/>
      <c r="G87" s="26" t="inlineStr">
        <is>
          <t>NDP sheet</t>
        </is>
      </c>
    </row>
    <row r="88" ht="17" customHeight="1">
      <c r="B88" s="26" t="inlineStr">
        <is>
          <t>Table 3.1</t>
        </is>
      </c>
      <c r="C88" s="24" t="inlineStr">
        <is>
          <t>Characteristic cylinder strength</t>
        </is>
      </c>
      <c r="D88" s="27" t="inlineStr">
        <is>
          <r>
            <rPr>
              <rFont val="Calibri"/>
              <i val="1"/>
              <color rgb="002B2B2B"/>
              <sz val="10"/>
            </rPr>
            <t>f</t>
          </r>
          <r>
            <rPr>
              <rFont val="Calibri"/>
              <i val="1"/>
              <color rgb="002B2B2B"/>
              <sz val="10"/>
              <vertAlign val="subscript"/>
            </rPr>
            <t>ck</t>
          </r>
        </is>
      </c>
      <c r="E88" s="45">
        <f>IF(inputs_ok,VALUE(MID(conc_class,2,FIND("/",conc_class)-2)),NA())</f>
        <v/>
      </c>
      <c r="F88" s="28" t="inlineStr">
        <is>
          <t>MPa</t>
        </is>
      </c>
      <c r="G88" s="23" t="n"/>
    </row>
    <row r="89" ht="17" customHeight="1">
      <c r="B89" s="26" t="inlineStr">
        <is>
          <t>Table 3.1</t>
        </is>
      </c>
      <c r="C89" s="24" t="inlineStr">
        <is>
          <t>Mean tensile strength</t>
        </is>
      </c>
      <c r="D89" s="27" t="inlineStr">
        <is>
          <r>
            <rPr>
              <rFont val="Calibri"/>
              <i val="1"/>
              <color rgb="002B2B2B"/>
              <sz val="10"/>
            </rPr>
            <t>f</t>
          </r>
          <r>
            <rPr>
              <rFont val="Calibri"/>
              <i val="1"/>
              <color rgb="002B2B2B"/>
              <sz val="10"/>
              <vertAlign val="subscript"/>
            </rPr>
            <t>ctm</t>
          </r>
        </is>
      </c>
      <c r="E89" s="42">
        <f>IF(inputs_ok,IF(f_ck&lt;=50,0.3*f_ck^(2/3),2.12*LN(1+(f_ck+8)/10)),NA())</f>
        <v/>
      </c>
      <c r="F89" s="28" t="inlineStr">
        <is>
          <t>MPa</t>
        </is>
      </c>
      <c r="G89" s="23" t="n"/>
    </row>
    <row r="90" ht="17" customHeight="1">
      <c r="B90" s="26" t="inlineStr">
        <is>
          <t>EN 1990 (6.10)</t>
        </is>
      </c>
      <c r="C90" s="24" t="inlineStr">
        <is>
          <t>Design wall load  γG Gk + γQ Qk</t>
        </is>
      </c>
      <c r="D90" s="27" t="inlineStr">
        <is>
          <r>
            <rPr>
              <rFont val="Calibri"/>
              <i val="1"/>
              <color rgb="002B2B2B"/>
              <sz val="10"/>
            </rPr>
            <t>N</t>
          </r>
          <r>
            <rPr>
              <rFont val="Calibri"/>
              <i val="1"/>
              <color rgb="002B2B2B"/>
              <sz val="10"/>
              <vertAlign val="subscript"/>
            </rPr>
            <t>Ed</t>
          </r>
        </is>
      </c>
      <c r="E90" s="44">
        <f>IF(inputs_ok,gamma_G*G_k+gamma_Q*Q_k,NA())</f>
        <v/>
      </c>
      <c r="F90" s="28" t="inlineStr">
        <is>
          <t>kN/m</t>
        </is>
      </c>
      <c r="G90" s="23" t="n"/>
    </row>
    <row r="91" ht="17" customHeight="1">
      <c r="B91" s="26" t="inlineStr">
        <is>
          <t>EN 1990 (6.10)</t>
        </is>
      </c>
      <c r="C91" s="24" t="inlineStr">
        <is>
          <t>Design moment  γG MG,k + γQ MQ,k</t>
        </is>
      </c>
      <c r="D91" s="27" t="inlineStr">
        <is>
          <r>
            <rPr>
              <rFont val="Calibri"/>
              <i val="1"/>
              <color rgb="002B2B2B"/>
              <sz val="10"/>
            </rPr>
            <t>M</t>
          </r>
          <r>
            <rPr>
              <rFont val="Calibri"/>
              <i val="1"/>
              <color rgb="002B2B2B"/>
              <sz val="10"/>
              <vertAlign val="subscript"/>
            </rPr>
            <t>Ed</t>
          </r>
        </is>
      </c>
      <c r="E91" s="42">
        <f>IF(inputs_ok,gamma_G*M_Gk+gamma_Q*M_Qk,NA())</f>
        <v/>
      </c>
      <c r="F91" s="28" t="inlineStr">
        <is>
          <t>kNm/m</t>
        </is>
      </c>
      <c r="G91" s="23" t="n"/>
    </row>
    <row r="92" ht="17" customHeight="1">
      <c r="B92" s="23" t="n"/>
      <c r="C92" s="24" t="inlineStr">
        <is>
          <t>Downward load of footing and backfill  γG (25 h + γsoil Ds)</t>
        </is>
      </c>
      <c r="D92" s="27" t="inlineStr">
        <is>
          <r>
            <rPr>
              <rFont val="Calibri"/>
              <i val="1"/>
              <color rgb="002B2B2B"/>
              <sz val="10"/>
            </rPr>
            <t>w</t>
          </r>
          <r>
            <rPr>
              <rFont val="Calibri"/>
              <i val="1"/>
              <color rgb="002B2B2B"/>
              <sz val="10"/>
              <vertAlign val="subscript"/>
            </rPr>
            <t>d</t>
          </r>
        </is>
      </c>
      <c r="E92" s="42">
        <f>IF(inputs_ok,gamma_G*(25*h_f+gamma_soil*D_s)/1000,NA())</f>
        <v/>
      </c>
      <c r="F92" s="28" t="inlineStr">
        <is>
          <t>kPa</t>
        </is>
      </c>
      <c r="G92" s="23" t="n"/>
    </row>
    <row r="93" ht="17" customHeight="1">
      <c r="B93" s="23" t="n"/>
      <c r="C93" s="24" t="inlineStr">
        <is>
          <t>Total design load at the base  NEd + γG (Wf + Ws)</t>
        </is>
      </c>
      <c r="D93" s="27" t="inlineStr">
        <is>
          <r>
            <rPr>
              <rFont val="Calibri"/>
              <i val="1"/>
              <color rgb="002B2B2B"/>
              <sz val="10"/>
            </rPr>
            <t>N</t>
          </r>
          <r>
            <rPr>
              <rFont val="Calibri"/>
              <i val="1"/>
              <color rgb="002B2B2B"/>
              <sz val="10"/>
              <vertAlign val="subscript"/>
            </rPr>
            <t>t</t>
          </r>
        </is>
      </c>
      <c r="E93" s="44">
        <f>IF(inputs_ok,N_Ed+gamma_G*(W_f+W_s),NA())</f>
        <v/>
      </c>
      <c r="F93" s="28" t="inlineStr">
        <is>
          <t>kN/m</t>
        </is>
      </c>
      <c r="G93" s="23" t="n"/>
    </row>
    <row r="94" ht="17" customHeight="1">
      <c r="B94" s="23" t="n"/>
      <c r="C94" s="24" t="inlineStr">
        <is>
          <t>Moment about the base centre  MEd + NEd o + γG Mws</t>
        </is>
      </c>
      <c r="D94" s="27" t="inlineStr">
        <is>
          <r>
            <rPr>
              <rFont val="Calibri"/>
              <i val="1"/>
              <color rgb="002B2B2B"/>
              <sz val="10"/>
            </rPr>
            <t>M</t>
          </r>
          <r>
            <rPr>
              <rFont val="Calibri"/>
              <i val="1"/>
              <color rgb="002B2B2B"/>
              <sz val="10"/>
              <vertAlign val="subscript"/>
            </rPr>
            <t>t</t>
          </r>
        </is>
      </c>
      <c r="E94" s="42">
        <f>IF(inputs_ok,M_Ed+N_Ed*o_w/1000+gamma_G*M_ws,NA())</f>
        <v/>
      </c>
      <c r="F94" s="28" t="inlineStr">
        <is>
          <t>kNm/m</t>
        </is>
      </c>
      <c r="G94" s="23" t="n"/>
    </row>
    <row r="95" ht="17" customHeight="1">
      <c r="B95" s="23" t="n"/>
      <c r="C95" s="24" t="inlineStr">
        <is>
          <t>Eccentricity  |Mt| / Nt</t>
        </is>
      </c>
      <c r="D95" s="27" t="inlineStr">
        <is>
          <r>
            <rPr>
              <rFont val="Calibri"/>
              <i val="1"/>
              <color rgb="002B2B2B"/>
              <sz val="10"/>
            </rPr>
            <t>e</t>
          </r>
          <r>
            <rPr>
              <rFont val="Calibri"/>
              <i val="1"/>
              <color rgb="002B2B2B"/>
              <sz val="10"/>
              <vertAlign val="subscript"/>
            </rPr>
            <t>d</t>
          </r>
        </is>
      </c>
      <c r="E95" s="45">
        <f>IF(inputs_ok,ABS(M_t)/N_t*1000,NA())</f>
        <v/>
      </c>
      <c r="F95" s="28" t="inlineStr">
        <is>
          <t>mm</t>
        </is>
      </c>
      <c r="G95" s="23" t="n"/>
    </row>
    <row r="96" ht="17" customHeight="1">
      <c r="B96" s="26" t="inlineStr">
        <is>
          <t>EN 1997-1 6.5.4</t>
        </is>
      </c>
      <c r="C96" s="24" t="inlineStr">
        <is>
          <t>Design eccentricity  e ≤ B/3  (beyond: special precautions, not covered)</t>
        </is>
      </c>
      <c r="D96" s="27" t="inlineStr">
        <is>
          <r>
            <rPr>
              <rFont val="Calibri"/>
              <i val="1"/>
              <color rgb="002B2B2B"/>
              <sz val="10"/>
            </rPr>
            <t>B/3</t>
          </r>
        </is>
      </c>
      <c r="E96" s="45">
        <f>IF(inputs_ok,B_f/3,NA())</f>
        <v/>
      </c>
      <c r="F96" s="28" t="inlineStr">
        <is>
          <t>mm</t>
        </is>
      </c>
      <c r="G96" s="32">
        <f>IF(NOT(inputs_ok),"FAIL",IF(e_d&lt;=B_f/3,"OK","FAIL"))</f>
        <v/>
      </c>
    </row>
    <row r="97" ht="41.5" customHeight="1">
      <c r="B97" s="47" t="inlineStr">
        <is>
          <t>Below, x is measured from the base centre in metres towards the more heavily loaded edge; a wall offset against the moment is mirrored accordingly. Footing and backfill (factored by γG) are included in the contact pressure and subtracted again as the downward load w on the projections.</t>
        </is>
      </c>
    </row>
    <row r="98" ht="17" customHeight="1">
      <c r="B98" s="23" t="n"/>
      <c r="C98" s="24" t="inlineStr">
        <is>
          <t>Wall centre  o, towards the heavier edge</t>
        </is>
      </c>
      <c r="D98" s="27" t="inlineStr">
        <is>
          <r>
            <rPr>
              <rFont val="Calibri"/>
              <i val="1"/>
              <color rgb="002B2B2B"/>
              <sz val="10"/>
            </rPr>
            <t>x</t>
          </r>
          <r>
            <rPr>
              <rFont val="Calibri"/>
              <i val="1"/>
              <color rgb="002B2B2B"/>
              <sz val="10"/>
              <vertAlign val="subscript"/>
            </rPr>
            <t>w</t>
          </r>
        </is>
      </c>
      <c r="E98" s="43">
        <f>IF(inputs_ok,g_sg*o_w/1000,NA())</f>
        <v/>
      </c>
      <c r="F98" s="28" t="inlineStr">
        <is>
          <t>m</t>
        </is>
      </c>
      <c r="G98" s="23" t="n"/>
    </row>
    <row r="99" ht="17" customHeight="1">
      <c r="B99" s="23" t="n"/>
      <c r="C99" s="24" t="inlineStr">
        <is>
          <t>Width in contact  (B, or 3(B/2 − e))</t>
        </is>
      </c>
      <c r="D99" s="27" t="inlineStr">
        <is>
          <r>
            <rPr>
              <rFont val="Calibri"/>
              <i val="1"/>
              <color rgb="002B2B2B"/>
              <sz val="10"/>
            </rPr>
            <t>B</t>
          </r>
          <r>
            <rPr>
              <rFont val="Calibri"/>
              <i val="1"/>
              <color rgb="002B2B2B"/>
              <sz val="10"/>
              <vertAlign val="subscript"/>
            </rPr>
            <t>c</t>
          </r>
        </is>
      </c>
      <c r="E99" s="43">
        <f>IF(inputs_ok,IF(e_d&gt;B_f/3,NA(),IF(e_d&lt;=B_f/6,L_m,3*(L_m/2-e_d/1000))),NA())</f>
        <v/>
      </c>
      <c r="F99" s="28" t="inlineStr">
        <is>
          <t>m</t>
        </is>
      </c>
      <c r="G99" s="26" t="inlineStr">
        <is>
          <t>N/A: e &gt; B/3, not covered</t>
        </is>
      </c>
    </row>
    <row r="100" ht="17" customHeight="1">
      <c r="B100" s="23" t="n"/>
      <c r="C100" s="24" t="inlineStr">
        <is>
          <t>Maximum design pressure (gross)</t>
        </is>
      </c>
      <c r="D100" s="27" t="inlineStr">
        <is>
          <r>
            <rPr>
              <rFont val="Calibri"/>
              <i val="1"/>
              <color rgb="002B2B2B"/>
              <sz val="10"/>
            </rPr>
            <t>q</t>
          </r>
          <r>
            <rPr>
              <rFont val="Calibri"/>
              <i val="1"/>
              <color rgb="002B2B2B"/>
              <sz val="10"/>
              <vertAlign val="subscript"/>
            </rPr>
            <t>Ed,max</t>
          </r>
        </is>
      </c>
      <c r="E100" s="46">
        <f>IF(inputs_ok,IF(e_d&lt;=B_f/6,N_t/L_m*(1+6*e_d/B_f),2*N_t/L_c),NA())</f>
        <v/>
      </c>
      <c r="F100" s="28" t="inlineStr">
        <is>
          <t>kPa</t>
        </is>
      </c>
      <c r="G100" s="23" t="n"/>
    </row>
    <row r="101" ht="17" customHeight="1">
      <c r="B101" s="23" t="n"/>
      <c r="C101" s="24" t="inlineStr">
        <is>
          <t>Pressure gradient</t>
        </is>
      </c>
      <c r="D101" s="27" t="inlineStr">
        <is>
          <r>
            <rPr>
              <rFont val="Calibri"/>
              <i val="1"/>
              <color rgb="002B2B2B"/>
              <sz val="10"/>
            </rPr>
            <t>q</t>
          </r>
          <r>
            <rPr>
              <rFont val="Calibri"/>
              <i val="1"/>
              <color rgb="002B2B2B"/>
              <sz val="10"/>
              <vertAlign val="subscript"/>
            </rPr>
            <t>b</t>
          </r>
        </is>
      </c>
      <c r="E101" s="44">
        <f>IF(inputs_ok,IF(e_d&lt;=B_f/6,12*ABS(M_t)/L_m^3,q_Ed/L_c),NA())</f>
        <v/>
      </c>
      <c r="F101" s="28" t="inlineStr">
        <is>
          <t>kPa/m</t>
        </is>
      </c>
      <c r="G101" s="23" t="n"/>
    </row>
    <row r="102" ht="17" customHeight="1">
      <c r="B102" s="23" t="n"/>
      <c r="C102" s="24" t="inlineStr">
        <is>
          <t>Pressure at the base centre (linear)</t>
        </is>
      </c>
      <c r="D102" s="27" t="inlineStr">
        <is>
          <r>
            <rPr>
              <rFont val="Calibri"/>
              <i val="1"/>
              <color rgb="002B2B2B"/>
              <sz val="10"/>
            </rPr>
            <t>q</t>
          </r>
          <r>
            <rPr>
              <rFont val="Calibri"/>
              <i val="1"/>
              <color rgb="002B2B2B"/>
              <sz val="10"/>
              <vertAlign val="subscript"/>
            </rPr>
            <t>a</t>
          </r>
        </is>
      </c>
      <c r="E102" s="44">
        <f>IF(inputs_ok,q_Ed-q_b*L_m/2,NA())</f>
        <v/>
      </c>
      <c r="F102" s="28" t="inlineStr">
        <is>
          <t>kPa</t>
        </is>
      </c>
      <c r="G102" s="23" t="n"/>
    </row>
    <row r="103" ht="17" customHeight="1">
      <c r="B103" s="23" t="n"/>
      <c r="C103" s="24" t="inlineStr">
        <is>
          <t>Start of contact  x0 = B/2 − Bc</t>
        </is>
      </c>
      <c r="D103" s="27" t="inlineStr">
        <is>
          <r>
            <rPr>
              <rFont val="Calibri"/>
              <i val="1"/>
              <color rgb="002B2B2B"/>
              <sz val="10"/>
            </rPr>
            <t>x</t>
          </r>
          <r>
            <rPr>
              <rFont val="Calibri"/>
              <i val="1"/>
              <color rgb="002B2B2B"/>
              <sz val="10"/>
              <vertAlign val="subscript"/>
            </rPr>
            <t>0</t>
          </r>
        </is>
      </c>
      <c r="E103" s="43">
        <f>IF(inputs_ok,L_m/2-L_c,NA())</f>
        <v/>
      </c>
      <c r="F103" s="28" t="inlineStr">
        <is>
          <t>m</t>
        </is>
      </c>
      <c r="G103" s="23" t="n"/>
    </row>
    <row r="104" ht="17" customHeight="1">
      <c r="B104" s="23" t="n"/>
      <c r="C104" s="24" t="inlineStr">
        <is>
          <t>Minimum design pressure (gross)</t>
        </is>
      </c>
      <c r="D104" s="27" t="inlineStr">
        <is>
          <r>
            <rPr>
              <rFont val="Calibri"/>
              <i val="1"/>
              <color rgb="002B2B2B"/>
              <sz val="10"/>
            </rPr>
            <t>q</t>
          </r>
          <r>
            <rPr>
              <rFont val="Calibri"/>
              <i val="1"/>
              <color rgb="002B2B2B"/>
              <sz val="10"/>
              <vertAlign val="subscript"/>
            </rPr>
            <t>Ed,min</t>
          </r>
        </is>
      </c>
      <c r="E104" s="44">
        <f>IF(inputs_ok,MAX(0,q_a-q_b*L_m/2),NA())</f>
        <v/>
      </c>
      <c r="F104" s="28" t="inlineStr">
        <is>
          <t>kPa</t>
        </is>
      </c>
      <c r="G104" s="23" t="n"/>
    </row>
    <row r="105"/>
    <row r="106" ht="22" customHeight="1">
      <c r="B106" s="20" t="inlineStr">
        <is>
          <t>Calculation  ·  bending of the projections</t>
        </is>
      </c>
      <c r="C106" s="21" t="n"/>
      <c r="D106" s="21" t="n"/>
      <c r="E106" s="21" t="n"/>
      <c r="F106" s="21" t="n"/>
      <c r="G106" s="21" t="n"/>
    </row>
    <row r="107" ht="17" customHeight="1">
      <c r="B107" s="23" t="n"/>
      <c r="C107" s="24" t="inlineStr">
        <is>
          <t>Effective depth, transverse bars  h − c − φt/2</t>
        </is>
      </c>
      <c r="D107" s="27" t="inlineStr">
        <is>
          <r>
            <rPr>
              <rFont val="Calibri"/>
              <i val="1"/>
              <color rgb="002B2B2B"/>
              <sz val="10"/>
            </rPr>
            <t>d</t>
          </r>
        </is>
      </c>
      <c r="E107" s="45">
        <f>IF(inputs_ok,h_f-c_nom-phi_t/2,NA())</f>
        <v/>
      </c>
      <c r="F107" s="28" t="inlineStr">
        <is>
          <t>mm</t>
        </is>
      </c>
      <c r="G107" s="23" t="n"/>
    </row>
    <row r="108" ht="17" customHeight="1">
      <c r="B108" s="23" t="n"/>
      <c r="C108" s="24" t="inlineStr">
        <is>
          <t>Wall faces, heavier and lighter side</t>
        </is>
      </c>
      <c r="D108" s="27" t="inlineStr">
        <is>
          <r>
            <rPr>
              <rFont val="Calibri"/>
              <i val="1"/>
              <color rgb="002B2B2B"/>
              <sz val="10"/>
            </rPr>
            <t>x</t>
          </r>
          <r>
            <rPr>
              <rFont val="Calibri"/>
              <i val="1"/>
              <color rgb="002B2B2B"/>
              <sz val="10"/>
              <vertAlign val="subscript"/>
            </rPr>
            <t>f,R</t>
          </r>
        </is>
      </c>
      <c r="E108" s="43">
        <f>IF(inputs_ok,o_m+t_w/2000,NA())</f>
        <v/>
      </c>
      <c r="F108" s="28" t="inlineStr">
        <is>
          <t>m</t>
        </is>
      </c>
      <c r="G108" s="23" t="n"/>
    </row>
    <row r="109" ht="17" customHeight="1">
      <c r="B109" s="23" t="n"/>
      <c r="C109" s="24" t="inlineStr"/>
      <c r="D109" s="27" t="inlineStr">
        <is>
          <r>
            <rPr>
              <rFont val="Calibri"/>
              <i val="1"/>
              <color rgb="002B2B2B"/>
              <sz val="10"/>
            </rPr>
            <t>x</t>
          </r>
          <r>
            <rPr>
              <rFont val="Calibri"/>
              <i val="1"/>
              <color rgb="002B2B2B"/>
              <sz val="10"/>
              <vertAlign val="subscript"/>
            </rPr>
            <t>f,L</t>
          </r>
        </is>
      </c>
      <c r="E109" s="43">
        <f>IF(inputs_ok,o_m-t_w/2000,NA())</f>
        <v/>
      </c>
      <c r="F109" s="28" t="inlineStr">
        <is>
          <t>m</t>
        </is>
      </c>
      <c r="G109" s="23" t="n"/>
    </row>
    <row r="110" ht="17" customHeight="1">
      <c r="B110" s="23" t="n"/>
      <c r="C110" s="24" t="inlineStr">
        <is>
          <t>Section inside the wall face  (masonry t/4, concrete 0)</t>
        </is>
      </c>
      <c r="D110" s="27" t="inlineStr">
        <is>
          <r>
            <rPr>
              <rFont val="Calibri"/>
              <i val="1"/>
              <color rgb="002B2B2B"/>
              <sz val="10"/>
            </rPr>
            <t>a</t>
          </r>
          <r>
            <rPr>
              <rFont val="Calibri"/>
              <i val="1"/>
              <color rgb="002B2B2B"/>
              <sz val="10"/>
              <vertAlign val="subscript"/>
            </rPr>
            <t>w</t>
          </r>
        </is>
      </c>
      <c r="E110" s="45">
        <f>IF(inputs_ok,IF(wall_type="Masonry",t_w/4,0),NA())</f>
        <v/>
      </c>
      <c r="F110" s="28" t="inlineStr">
        <is>
          <t>mm</t>
        </is>
      </c>
      <c r="G110" s="23" t="n"/>
    </row>
    <row r="111" ht="17" customHeight="1">
      <c r="B111" s="23" t="n"/>
      <c r="C111" s="24" t="inlineStr">
        <is>
          <t>Bending section, heavier side</t>
        </is>
      </c>
      <c r="D111" s="27" t="inlineStr">
        <is>
          <r>
            <rPr>
              <rFont val="Calibri"/>
              <i val="1"/>
              <color rgb="002B2B2B"/>
              <sz val="10"/>
            </rPr>
            <t>x</t>
          </r>
          <r>
            <rPr>
              <rFont val="Calibri"/>
              <i val="1"/>
              <color rgb="002B2B2B"/>
              <sz val="10"/>
              <vertAlign val="subscript"/>
            </rPr>
            <t>R</t>
          </r>
        </is>
      </c>
      <c r="E111" s="43">
        <f>IF(inputs_ok,o_m+(t_w/2-a_w)/1000,NA())</f>
        <v/>
      </c>
      <c r="F111" s="28" t="inlineStr">
        <is>
          <t>m</t>
        </is>
      </c>
      <c r="G111" s="23" t="n"/>
    </row>
    <row r="112" ht="17" customHeight="1">
      <c r="B112" s="23" t="n"/>
      <c r="C112" s="24" t="inlineStr">
        <is>
          <t>Bending section, lighter side</t>
        </is>
      </c>
      <c r="D112" s="27" t="inlineStr">
        <is>
          <r>
            <rPr>
              <rFont val="Calibri"/>
              <i val="1"/>
              <color rgb="002B2B2B"/>
              <sz val="10"/>
            </rPr>
            <t>x</t>
          </r>
          <r>
            <rPr>
              <rFont val="Calibri"/>
              <i val="1"/>
              <color rgb="002B2B2B"/>
              <sz val="10"/>
              <vertAlign val="subscript"/>
            </rPr>
            <t>L</t>
          </r>
        </is>
      </c>
      <c r="E112" s="43">
        <f>IF(inputs_ok,o_m-(t_w/2-a_w)/1000,NA())</f>
        <v/>
      </c>
      <c r="F112" s="28" t="inlineStr">
        <is>
          <t>m</t>
        </is>
      </c>
      <c r="G112" s="23" t="n"/>
    </row>
    <row r="113" ht="17" customHeight="1">
      <c r="B113" s="23" t="n"/>
      <c r="C113" s="24" t="inlineStr">
        <is>
          <t>Moment, heavier side  ∫ q (x − xR) dx − w over the projection beyond the face</t>
        </is>
      </c>
      <c r="D113" s="27" t="inlineStr">
        <is>
          <r>
            <rPr>
              <rFont val="Calibri"/>
              <i val="1"/>
              <color rgb="002B2B2B"/>
              <sz val="10"/>
            </rPr>
            <t>M</t>
          </r>
          <r>
            <rPr>
              <rFont val="Calibri"/>
              <i val="1"/>
              <color rgb="002B2B2B"/>
              <sz val="10"/>
              <vertAlign val="subscript"/>
            </rPr>
            <t>R</t>
          </r>
        </is>
      </c>
      <c r="E113" s="42">
        <f>IF(inputs_ok,IF(MAX(x_R,x_0)&gt;=(L_m/2),0,q_a*((L_m/2)^2/2-MAX(x_R,x_0)^2/2-(x_R)*((L_m/2)-MAX(x_R,x_0)))+q_b*((L_m/2)^3/3-MAX(x_R,x_0)^3/3-(x_R)*((L_m/2)^2-MAX(x_R,x_0)^2)/2))-w_d*(L_m/2-xf_R)*((L_m/2+xf_R)/2-x_R),NA())</f>
        <v/>
      </c>
      <c r="F113" s="28" t="inlineStr">
        <is>
          <t>kNm/m</t>
        </is>
      </c>
      <c r="G113" s="23" t="n"/>
    </row>
    <row r="114" ht="17" customHeight="1">
      <c r="B114" s="23" t="n"/>
      <c r="C114" s="24" t="inlineStr">
        <is>
          <t>Moment, lighter side  ∫ q (xL − x) dx − w beyond the face</t>
        </is>
      </c>
      <c r="D114" s="27" t="inlineStr">
        <is>
          <r>
            <rPr>
              <rFont val="Calibri"/>
              <i val="1"/>
              <color rgb="002B2B2B"/>
              <sz val="10"/>
            </rPr>
            <t>M</t>
          </r>
          <r>
            <rPr>
              <rFont val="Calibri"/>
              <i val="1"/>
              <color rgb="002B2B2B"/>
              <sz val="10"/>
              <vertAlign val="subscript"/>
            </rPr>
            <t>L</t>
          </r>
        </is>
      </c>
      <c r="E114" s="42">
        <f>IF(inputs_ok,IF(x_0&gt;=(x_L),0,q_a*((x_L)*((x_L)-x_0)-((x_L)^2-x_0^2)/2)+q_b*((x_L)*((x_L)^2-x_0^2)/2-((x_L)^3-x_0^3)/3))-w_d*(xf_L+L_m/2)*(x_L-(xf_L-L_m/2)/2),NA())</f>
        <v/>
      </c>
      <c r="F114" s="28" t="inlineStr">
        <is>
          <t>kNm/m</t>
        </is>
      </c>
      <c r="G114" s="23" t="n"/>
    </row>
    <row r="115" ht="17" customHeight="1">
      <c r="B115" s="23" t="n"/>
      <c r="C115" s="24" t="inlineStr">
        <is>
          <t>Design moment, bottom bars</t>
        </is>
      </c>
      <c r="D115" s="27" t="inlineStr">
        <is>
          <r>
            <rPr>
              <rFont val="Calibri"/>
              <i val="1"/>
              <color rgb="002B2B2B"/>
              <sz val="10"/>
            </rPr>
            <t>M</t>
          </r>
          <r>
            <rPr>
              <rFont val="Calibri"/>
              <i val="1"/>
              <color rgb="002B2B2B"/>
              <sz val="10"/>
              <vertAlign val="subscript"/>
            </rPr>
            <t>Ed,t</t>
          </r>
        </is>
      </c>
      <c r="E115" s="48">
        <f>IF(inputs_ok,MAX(M_R,M_L,0),NA())</f>
        <v/>
      </c>
      <c r="F115" s="28" t="inlineStr">
        <is>
          <t>kNm/m</t>
        </is>
      </c>
      <c r="G115" s="23" t="n"/>
    </row>
    <row r="116" ht="17" customHeight="1">
      <c r="B116" s="23" t="n"/>
      <c r="C116" s="24" t="inlineStr">
        <is>
          <t>Zero shear beyond the light wall face (hogging extremum)</t>
        </is>
      </c>
      <c r="D116" s="27" t="inlineStr">
        <is>
          <r>
            <rPr>
              <rFont val="Calibri"/>
              <i val="1"/>
              <color rgb="002B2B2B"/>
              <sz val="10"/>
            </rPr>
            <t>x</t>
          </r>
          <r>
            <rPr>
              <rFont val="Calibri"/>
              <i val="1"/>
              <color rgb="002B2B2B"/>
              <sz val="10"/>
              <vertAlign val="subscript"/>
            </rPr>
            <t>s</t>
          </r>
        </is>
      </c>
      <c r="E116" s="43">
        <f>IF(inputs_ok,IF(tq_B+SQRT(tq_D)&gt;0,-2*tq_C/(tq_B+SQRT(tq_D)),x_L),NA())</f>
        <v/>
      </c>
      <c r="F116" s="28" t="inlineStr">
        <is>
          <t>m</t>
        </is>
      </c>
      <c r="G116" s="23" t="n"/>
    </row>
    <row r="117" ht="17" customHeight="1">
      <c r="B117" s="23" t="n"/>
      <c r="C117" s="24" t="inlineStr">
        <is>
          <t>Moment there  (negative = top tension)</t>
        </is>
      </c>
      <c r="D117" s="27" t="inlineStr">
        <is>
          <r>
            <rPr>
              <rFont val="Calibri"/>
              <i val="1"/>
              <color rgb="002B2B2B"/>
              <sz val="10"/>
            </rPr>
            <t>M</t>
          </r>
          <r>
            <rPr>
              <rFont val="Calibri"/>
              <i val="1"/>
              <color rgb="002B2B2B"/>
              <sz val="10"/>
              <vertAlign val="subscript"/>
            </rPr>
            <t>s</t>
          </r>
        </is>
      </c>
      <c r="E117" s="42">
        <f>IF(inputs_ok,IF(AND(x_s&gt;-L_m/2,x_s&lt;xf_L),IF(x_0&gt;=(x_s),0,q_a*((x_s)*((x_s)-x_0)-((x_s)^2-x_0^2)/2)+q_b*((x_s)*((x_s)^2-x_0^2)/2-((x_s)^3-x_0^3)/3))-w_d*(x_s+L_m/2)^2/2,0),NA())</f>
        <v/>
      </c>
      <c r="F117" s="28" t="inlineStr">
        <is>
          <t>kNm/m</t>
        </is>
      </c>
      <c r="G117" s="23" t="n"/>
    </row>
    <row r="118" ht="17" customHeight="1">
      <c r="B118" s="23" t="n"/>
      <c r="C118" s="24" t="inlineStr">
        <is>
          <t>Zero shear under the wall, between its face and the section</t>
        </is>
      </c>
      <c r="D118" s="27" t="inlineStr">
        <is>
          <r>
            <rPr>
              <rFont val="Calibri"/>
              <i val="1"/>
              <color rgb="002B2B2B"/>
              <sz val="10"/>
            </rPr>
            <t>x</t>
          </r>
          <r>
            <rPr>
              <rFont val="Calibri"/>
              <i val="1"/>
              <color rgb="002B2B2B"/>
              <sz val="10"/>
              <vertAlign val="subscript"/>
            </rPr>
            <t>s,w</t>
          </r>
        </is>
      </c>
      <c r="E118" s="43">
        <f>IF(inputs_ok,x_0+IFERROR(2*hog_W0/(hog_p0+SQRT(hog_p0^2+2*q_b*hog_W0)),1E9),NA())</f>
        <v/>
      </c>
      <c r="F118" s="28" t="inlineStr">
        <is>
          <t>m</t>
        </is>
      </c>
      <c r="G118" s="23" t="n"/>
    </row>
    <row r="119" ht="17" customHeight="1">
      <c r="B119" s="23" t="n"/>
      <c r="C119" s="24" t="inlineStr">
        <is>
          <t>Moment there</t>
        </is>
      </c>
      <c r="D119" s="27" t="inlineStr">
        <is>
          <r>
            <rPr>
              <rFont val="Calibri"/>
              <i val="1"/>
              <color rgb="002B2B2B"/>
              <sz val="10"/>
            </rPr>
            <t>M</t>
          </r>
          <r>
            <rPr>
              <rFont val="Calibri"/>
              <i val="1"/>
              <color rgb="002B2B2B"/>
              <sz val="10"/>
              <vertAlign val="subscript"/>
            </rPr>
            <t>s,w</t>
          </r>
        </is>
      </c>
      <c r="E119" s="42">
        <f>IF(inputs_ok,IF(AND(x_sw&gt;xf_L,x_sw&lt;x_L),IF(x_0&gt;=(x_sw),0,q_a*((x_sw)*((x_sw)-x_0)-((x_sw)^2-x_0^2)/2)+q_b*((x_sw)*((x_sw)^2-x_0^2)/2-((x_sw)^3-x_0^3)/3))-hog_W0*(x_sw-(xf_L-L_m/2)/2),0),NA())</f>
        <v/>
      </c>
      <c r="F119" s="28" t="inlineStr">
        <is>
          <t>kNm/m</t>
        </is>
      </c>
      <c r="G119" s="23" t="n"/>
    </row>
    <row r="120" ht="17" customHeight="1">
      <c r="B120" s="23" t="n"/>
      <c r="C120" s="24" t="inlineStr">
        <is>
          <t>Heavier side: zero shear under the wall  L/2 − u,  pR u − qb u²/2 = w (L/2 − xf,R)</t>
        </is>
      </c>
      <c r="D120" s="27" t="inlineStr">
        <is>
          <r>
            <rPr>
              <rFont val="Calibri"/>
              <i val="1"/>
              <color rgb="002B2B2B"/>
              <sz val="10"/>
            </rPr>
            <t>x</t>
          </r>
          <r>
            <rPr>
              <rFont val="Calibri"/>
              <i val="1"/>
              <color rgb="002B2B2B"/>
              <sz val="10"/>
              <vertAlign val="subscript"/>
            </rPr>
            <t>h,w</t>
          </r>
        </is>
      </c>
      <c r="E120" s="43">
        <f>IF(inputs_ok,L_m/2-IF(hog_DR&gt;=0,2*hog_WR/(q_Ed+SQRT(hog_DR)),1E9),NA())</f>
        <v/>
      </c>
      <c r="F120" s="28" t="inlineStr">
        <is>
          <t>m</t>
        </is>
      </c>
      <c r="G120" s="23" t="n"/>
    </row>
    <row r="121" ht="17" customHeight="1">
      <c r="B121" s="23" t="n"/>
      <c r="C121" s="24" t="inlineStr">
        <is>
          <t>Moment there</t>
        </is>
      </c>
      <c r="D121" s="27" t="inlineStr">
        <is>
          <r>
            <rPr>
              <rFont val="Calibri"/>
              <i val="1"/>
              <color rgb="002B2B2B"/>
              <sz val="10"/>
            </rPr>
            <t>M</t>
          </r>
          <r>
            <rPr>
              <rFont val="Calibri"/>
              <i val="1"/>
              <color rgb="002B2B2B"/>
              <sz val="10"/>
              <vertAlign val="subscript"/>
            </rPr>
            <t>h,w</t>
          </r>
        </is>
      </c>
      <c r="E121" s="42">
        <f>IF(inputs_ok,IF(AND(x_hw&gt;x_R,x_hw&lt;xf_R,x_hw&gt;=x_0),IF(MAX(x_hw,x_0)&gt;=(L_m/2),0,q_a*((L_m/2)^2/2-MAX(x_hw,x_0)^2/2-(x_hw)*((L_m/2)-MAX(x_hw,x_0)))+q_b*((L_m/2)^3/3-MAX(x_hw,x_0)^3/3-(x_hw)*((L_m/2)^2-MAX(x_hw,x_0)^2)/2))-hog_WR*((L_m/2+xf_R)/2-x_hw),0),NA())</f>
        <v/>
      </c>
      <c r="F121" s="28" t="inlineStr">
        <is>
          <t>kNm/m</t>
        </is>
      </c>
      <c r="G121" s="23" t="n"/>
    </row>
    <row r="122" ht="17" customHeight="1">
      <c r="B122" s="26" t="inlineStr">
        <is>
          <t>9.8.2.1(3)</t>
        </is>
      </c>
      <c r="C122" s="24" t="inlineStr">
        <is>
          <t>Largest hogging moment (top tension, negative)</t>
        </is>
      </c>
      <c r="D122" s="27" t="inlineStr">
        <is>
          <r>
            <rPr>
              <rFont val="Calibri"/>
              <i val="1"/>
              <color rgb="002B2B2B"/>
              <sz val="10"/>
            </rPr>
            <t>M</t>
          </r>
          <r>
            <rPr>
              <rFont val="Calibri"/>
              <i val="1"/>
              <color rgb="002B2B2B"/>
              <sz val="10"/>
              <vertAlign val="subscript"/>
            </rPr>
            <t>top</t>
          </r>
        </is>
      </c>
      <c r="E122" s="42">
        <f>IF(inputs_ok,MIN(M_R,M_L,M_s,M_sw,M_hw,0),NA())</f>
        <v/>
      </c>
      <c r="F122" s="28" t="inlineStr">
        <is>
          <t>kNm/m</t>
        </is>
      </c>
      <c r="G122" s="23" t="n"/>
    </row>
    <row r="123" ht="17" customHeight="1">
      <c r="B123" s="26" t="inlineStr">
        <is>
          <t>3.2.7</t>
        </is>
      </c>
      <c r="C123" s="24" t="inlineStr">
        <is>
          <t>Design yield strength</t>
        </is>
      </c>
      <c r="D123" s="27" t="inlineStr">
        <is>
          <r>
            <rPr>
              <rFont val="Calibri"/>
              <i val="1"/>
              <color rgb="002B2B2B"/>
              <sz val="10"/>
            </rPr>
            <t>f</t>
          </r>
          <r>
            <rPr>
              <rFont val="Calibri"/>
              <i val="1"/>
              <color rgb="002B2B2B"/>
              <sz val="10"/>
              <vertAlign val="subscript"/>
            </rPr>
            <t>yd</t>
          </r>
        </is>
      </c>
      <c r="E123" s="44">
        <f>IF(inputs_ok,f_yk/gamma_s,NA())</f>
        <v/>
      </c>
      <c r="F123" s="28" t="inlineStr">
        <is>
          <t>MPa</t>
        </is>
      </c>
      <c r="G123" s="23" t="n"/>
    </row>
    <row r="124" ht="17" customHeight="1">
      <c r="B124" s="26" t="inlineStr">
        <is>
          <t>3.2.7</t>
        </is>
      </c>
      <c r="C124" s="24" t="inlineStr">
        <is>
          <t>Neutral axis depth at first yield</t>
        </is>
      </c>
      <c r="D124" s="27" t="inlineStr">
        <is>
          <r>
            <rPr>
              <rFont val="Calibri"/>
              <i val="1"/>
              <color rgb="002B2B2B"/>
              <sz val="10"/>
            </rPr>
            <t>ξ</t>
          </r>
          <r>
            <rPr>
              <rFont val="Calibri"/>
              <i val="1"/>
              <color rgb="002B2B2B"/>
              <sz val="10"/>
              <vertAlign val="subscript"/>
            </rPr>
            <t>y</t>
          </r>
        </is>
      </c>
      <c r="E124" s="43">
        <f>IF(inputs_ok,0.0035/(0.0035+f_yd/200000),NA())</f>
        <v/>
      </c>
      <c r="F124" s="23" t="n"/>
      <c r="G124" s="23" t="n"/>
    </row>
    <row r="125" ht="17" customHeight="1">
      <c r="B125" s="26" t="inlineStr">
        <is>
          <t>5.5(4)</t>
        </is>
      </c>
      <c r="C125" s="24" t="inlineStr">
        <is>
          <t>Limiting neutral axis depth, no redistribution  min((1 − k1)/k2; ξy)</t>
        </is>
      </c>
      <c r="D125" s="27" t="inlineStr">
        <is>
          <r>
            <rPr>
              <rFont val="Calibri"/>
              <i val="1"/>
              <color rgb="002B2B2B"/>
              <sz val="10"/>
            </rPr>
            <t>x</t>
          </r>
          <r>
            <rPr>
              <rFont val="Calibri"/>
              <i val="1"/>
              <color rgb="002B2B2B"/>
              <sz val="10"/>
              <vertAlign val="subscript"/>
            </rPr>
            <t>u/d</t>
          </r>
        </is>
      </c>
      <c r="E125" s="43">
        <f>IF(inputs_ok,MIN(xi_y,(1-k1_red)/k2_red),NA())</f>
        <v/>
      </c>
      <c r="F125" s="23" t="n"/>
      <c r="G125" s="23" t="n"/>
    </row>
    <row r="126" ht="17" customHeight="1">
      <c r="B126" s="26" t="inlineStr">
        <is>
          <t>3.1.7(3)</t>
        </is>
      </c>
      <c r="C126" s="24" t="inlineStr">
        <is>
          <t>Limiting K  (αcc/γc) 0.8 ξ (1 − 0.4 ξ)</t>
        </is>
      </c>
      <c r="D126" s="27" t="inlineStr">
        <is>
          <r>
            <rPr>
              <rFont val="Calibri"/>
              <i val="1"/>
              <color rgb="002B2B2B"/>
              <sz val="10"/>
            </rPr>
            <t>K'</t>
          </r>
        </is>
      </c>
      <c r="E126" s="43">
        <f>IF(inputs_ok,alpha_cc/gamma_c*0.8*xi_lim*(1-0.4*xi_lim),NA())</f>
        <v/>
      </c>
      <c r="F126" s="23" t="n"/>
      <c r="G126" s="23" t="n"/>
    </row>
    <row r="127" ht="17" customHeight="1">
      <c r="B127" s="23" t="n"/>
      <c r="C127" s="24" t="inlineStr">
        <is>
          <t>K  MEd,t / (b d² fck),  b = 1000</t>
        </is>
      </c>
      <c r="D127" s="27" t="inlineStr">
        <is>
          <r>
            <rPr>
              <rFont val="Calibri"/>
              <i val="1"/>
              <color rgb="002B2B2B"/>
              <sz val="10"/>
            </rPr>
            <t>K</t>
          </r>
        </is>
      </c>
      <c r="E127" s="43">
        <f>IF(inputs_ok,M_Edt*1E6/(1000*d_t^2*f_ck),NA())</f>
        <v/>
      </c>
      <c r="F127" s="23" t="n"/>
      <c r="G127" s="23" t="n"/>
    </row>
    <row r="128" ht="17" customHeight="1">
      <c r="B128" s="23" t="n"/>
      <c r="C128" s="24" t="inlineStr">
        <is>
          <t>Lever arm  ≤ 0.95 d</t>
        </is>
      </c>
      <c r="D128" s="27" t="inlineStr">
        <is>
          <r>
            <rPr>
              <rFont val="Calibri"/>
              <i val="1"/>
              <color rgb="002B2B2B"/>
              <sz val="10"/>
            </rPr>
            <t>z</t>
          </r>
        </is>
      </c>
      <c r="E128" s="45">
        <f>IF(inputs_ok,IF(K_t&lt;=K_lim,MIN(0.95*d_t,d_t*(1-0.4*(1-SQRT(1-2*K_t/(alpha_cc/gamma_c)))/0.8)),NA()),NA())</f>
        <v/>
      </c>
      <c r="F128" s="28" t="inlineStr">
        <is>
          <t>mm</t>
        </is>
      </c>
      <c r="G128" s="26" t="inlineStr">
        <is>
          <t>N/A: K &gt; K′</t>
        </is>
      </c>
    </row>
    <row r="129" ht="17" customHeight="1">
      <c r="B129" s="23" t="n"/>
      <c r="C129" s="24" t="inlineStr">
        <is>
          <t>Required  MEd,t / (fyd z)</t>
        </is>
      </c>
      <c r="D129" s="27" t="inlineStr">
        <is>
          <r>
            <rPr>
              <rFont val="Calibri"/>
              <i val="1"/>
              <color rgb="002B2B2B"/>
              <sz val="10"/>
            </rPr>
            <t>A</t>
          </r>
          <r>
            <rPr>
              <rFont val="Calibri"/>
              <i val="1"/>
              <color rgb="002B2B2B"/>
              <sz val="10"/>
              <vertAlign val="subscript"/>
            </rPr>
            <t>s,req</t>
          </r>
        </is>
      </c>
      <c r="E129" s="45">
        <f>IF(inputs_ok,M_Edt*1E6/(f_yd*z_t),NA())</f>
        <v/>
      </c>
      <c r="F129" s="28" t="inlineStr">
        <is>
          <t>mm²/m</t>
        </is>
      </c>
      <c r="G129" s="23" t="n"/>
    </row>
    <row r="130" ht="17" customHeight="1">
      <c r="B130" s="26" t="inlineStr">
        <is>
          <t>(9.1N)</t>
        </is>
      </c>
      <c r="C130" s="24" t="inlineStr">
        <is>
          <t>Minimum  max(0.26 fctm/fyk; 0.0013) b d</t>
        </is>
      </c>
      <c r="D130" s="27" t="inlineStr">
        <is>
          <r>
            <rPr>
              <rFont val="Calibri"/>
              <i val="1"/>
              <color rgb="002B2B2B"/>
              <sz val="10"/>
            </rPr>
            <t>A</t>
          </r>
          <r>
            <rPr>
              <rFont val="Calibri"/>
              <i val="1"/>
              <color rgb="002B2B2B"/>
              <sz val="10"/>
              <vertAlign val="subscript"/>
            </rPr>
            <t>s,min</t>
          </r>
        </is>
      </c>
      <c r="E130" s="45">
        <f>IF(inputs_ok,MAX(0.26*f_ctm/f_yk,0.0013)*1000*d_t,NA())</f>
        <v/>
      </c>
      <c r="F130" s="28" t="inlineStr">
        <is>
          <t>mm²/m</t>
        </is>
      </c>
      <c r="G130" s="23" t="n"/>
    </row>
    <row r="131" ht="17" customHeight="1">
      <c r="B131" s="23" t="n"/>
      <c r="C131" s="24" t="inlineStr">
        <is>
          <t>Provided  π φt²/4 · 1000 / st</t>
        </is>
      </c>
      <c r="D131" s="27" t="inlineStr">
        <is>
          <r>
            <rPr>
              <rFont val="Calibri"/>
              <i val="1"/>
              <color rgb="002B2B2B"/>
              <sz val="10"/>
            </rPr>
            <t>A</t>
          </r>
          <r>
            <rPr>
              <rFont val="Calibri"/>
              <i val="1"/>
              <color rgb="002B2B2B"/>
              <sz val="10"/>
              <vertAlign val="subscript"/>
            </rPr>
            <t>s,prov</t>
          </r>
        </is>
      </c>
      <c r="E131" s="45">
        <f>IF(inputs_ok,PI()*phi_t^2/4*1000/s_t,NA())</f>
        <v/>
      </c>
      <c r="F131" s="28" t="inlineStr">
        <is>
          <t>mm²/m</t>
        </is>
      </c>
      <c r="G131" s="23" t="n"/>
    </row>
    <row r="132" ht="17" customHeight="1">
      <c r="B132" s="26" t="inlineStr">
        <is>
          <t>3.1.7, 9.2.1.1</t>
        </is>
      </c>
      <c r="C132" s="24" t="inlineStr">
        <is>
          <t>Transverse bars: K ≤ K′, provided ≥ max(required; minimum)</t>
        </is>
      </c>
      <c r="D132" s="23" t="n"/>
      <c r="E132" s="45">
        <f>IF(inputs_ok,As_prov,NA())</f>
        <v/>
      </c>
      <c r="F132" s="28" t="inlineStr">
        <is>
          <t>mm²/m</t>
        </is>
      </c>
      <c r="G132" s="32">
        <f>IF(NOT(inputs_ok),"FAIL",IF(bend_ok,"OK","FAIL"))</f>
        <v/>
      </c>
    </row>
    <row r="133"/>
    <row r="134" ht="22" customHeight="1">
      <c r="B134" s="20" t="inlineStr">
        <is>
          <t>Calculation  ·  one-way shear and the longitudinal bars</t>
        </is>
      </c>
      <c r="C134" s="21" t="n"/>
      <c r="D134" s="21" t="n"/>
      <c r="E134" s="21" t="n"/>
      <c r="F134" s="21" t="n"/>
      <c r="G134" s="21" t="n"/>
    </row>
    <row r="135" ht="17" customHeight="1">
      <c r="B135" s="23" t="n"/>
      <c r="C135" s="24" t="inlineStr">
        <is>
          <t>Shear at d from the bending section, heavier side</t>
        </is>
      </c>
      <c r="D135" s="27" t="inlineStr">
        <is>
          <r>
            <rPr>
              <rFont val="Calibri"/>
              <i val="1"/>
              <color rgb="002B2B2B"/>
              <sz val="10"/>
            </rPr>
            <t>V</t>
          </r>
          <r>
            <rPr>
              <rFont val="Calibri"/>
              <i val="1"/>
              <color rgb="002B2B2B"/>
              <sz val="10"/>
              <vertAlign val="subscript"/>
            </rPr>
            <t>R</t>
          </r>
        </is>
      </c>
      <c r="E135" s="44">
        <f>IF(inputs_ok,IF(MAX(x_R+d_t/1000,x_0)&gt;=(L_m/2),0,q_a*((L_m/2)-MAX(x_R+d_t/1000,x_0))+q_b*((L_m/2)^2-MAX(x_R+d_t/1000,x_0)^2)/2)-w_d*MAX(0,L_m/2-MAX(x_R+d_t/1000,xf_R)),NA())</f>
        <v/>
      </c>
      <c r="F135" s="28" t="inlineStr">
        <is>
          <t>kN/m</t>
        </is>
      </c>
      <c r="G135" s="23" t="n"/>
    </row>
    <row r="136" ht="17" customHeight="1">
      <c r="B136" s="23" t="n"/>
      <c r="C136" s="24" t="inlineStr">
        <is>
          <t>Shear at d from the bending section, lighter side</t>
        </is>
      </c>
      <c r="D136" s="27" t="inlineStr">
        <is>
          <r>
            <rPr>
              <rFont val="Calibri"/>
              <i val="1"/>
              <color rgb="002B2B2B"/>
              <sz val="10"/>
            </rPr>
            <t>V</t>
          </r>
          <r>
            <rPr>
              <rFont val="Calibri"/>
              <i val="1"/>
              <color rgb="002B2B2B"/>
              <sz val="10"/>
              <vertAlign val="subscript"/>
            </rPr>
            <t>L</t>
          </r>
        </is>
      </c>
      <c r="E136" s="44">
        <f>IF(inputs_ok,IF(x_0&gt;=(x_L-d_t/1000),0,q_a*((x_L-d_t/1000)-x_0)+q_b*((x_L-d_t/1000)^2-x_0^2)/2)-w_d*MAX(0,MIN(x_L-d_t/1000,xf_L)+L_m/2),NA())</f>
        <v/>
      </c>
      <c r="F136" s="28" t="inlineStr">
        <is>
          <t>kN/m</t>
        </is>
      </c>
      <c r="G136" s="23" t="n"/>
    </row>
    <row r="137" ht="17" customHeight="1">
      <c r="B137" s="23" t="n"/>
      <c r="C137" s="24" t="inlineStr">
        <is>
          <t>Design shear</t>
        </is>
      </c>
      <c r="D137" s="27" t="inlineStr">
        <is>
          <r>
            <rPr>
              <rFont val="Calibri"/>
              <i val="1"/>
              <color rgb="002B2B2B"/>
              <sz val="10"/>
            </rPr>
            <t>V</t>
          </r>
          <r>
            <rPr>
              <rFont val="Calibri"/>
              <i val="1"/>
              <color rgb="002B2B2B"/>
              <sz val="10"/>
              <vertAlign val="subscript"/>
            </rPr>
            <t>Ed</t>
          </r>
        </is>
      </c>
      <c r="E137" s="46">
        <f>IF(inputs_ok,MAX(ABS(V_R),ABS(V_L)),NA())</f>
        <v/>
      </c>
      <c r="F137" s="28" t="inlineStr">
        <is>
          <t>kN/m</t>
        </is>
      </c>
      <c r="G137" s="23" t="n"/>
    </row>
    <row r="138" ht="17" customHeight="1">
      <c r="B138" s="26" t="inlineStr">
        <is>
          <t>6.2.2(1)</t>
        </is>
      </c>
      <c r="C138" s="24" t="inlineStr">
        <is>
          <t>Reinforcement ratio  As,prov / (b d)  ≤ 0.02</t>
        </is>
      </c>
      <c r="D138" s="27" t="inlineStr">
        <is>
          <r>
            <rPr>
              <rFont val="Calibri"/>
              <i val="1"/>
              <color rgb="002B2B2B"/>
              <sz val="10"/>
            </rPr>
            <t>ρ</t>
          </r>
          <r>
            <rPr>
              <rFont val="Calibri"/>
              <i val="1"/>
              <color rgb="002B2B2B"/>
              <sz val="10"/>
              <vertAlign val="subscript"/>
            </rPr>
            <t>l</t>
          </r>
        </is>
      </c>
      <c r="E138" s="49">
        <f>IF(inputs_ok,MIN(0.02,As_prov/(1000*d_t)),NA())</f>
        <v/>
      </c>
      <c r="F138" s="23" t="n"/>
      <c r="G138" s="23" t="n"/>
    </row>
    <row r="139" ht="17" customHeight="1">
      <c r="B139" s="26" t="inlineStr">
        <is>
          <t>(6.2)</t>
        </is>
      </c>
      <c r="C139" s="24" t="inlineStr">
        <is>
          <t>Resistance  max(CRd,c k (100ρ fck)^⅓; vmin) b d</t>
        </is>
      </c>
      <c r="D139" s="27" t="inlineStr">
        <is>
          <r>
            <rPr>
              <rFont val="Calibri"/>
              <i val="1"/>
              <color rgb="002B2B2B"/>
              <sz val="10"/>
            </rPr>
            <t>V</t>
          </r>
          <r>
            <rPr>
              <rFont val="Calibri"/>
              <i val="1"/>
              <color rgb="002B2B2B"/>
              <sz val="10"/>
              <vertAlign val="subscript"/>
            </rPr>
            <t>Rd,c</t>
          </r>
        </is>
      </c>
      <c r="E139" s="44">
        <f>IF(inputs_ok,MAX(C_Rdc*MIN(2,1+SQRT(200/d_t))*(100*rho_t*f_ck)^(1/3),0.035*MIN(2,1+SQRT(200/d_t))^1.5*SQRT(f_ck))*d_t,NA())</f>
        <v/>
      </c>
      <c r="F139" s="28" t="inlineStr">
        <is>
          <t>kN/m</t>
        </is>
      </c>
      <c r="G139" s="23" t="n"/>
    </row>
    <row r="140" ht="17" customHeight="1">
      <c r="B140" s="26" t="inlineStr">
        <is>
          <t>6.2.1(8)</t>
        </is>
      </c>
      <c r="C140" s="24" t="inlineStr">
        <is>
          <t>Unreduced shear at the wall faces  max(|Vf,R|; |Vf,L|)</t>
        </is>
      </c>
      <c r="D140" s="27" t="inlineStr">
        <is>
          <r>
            <rPr>
              <rFont val="Calibri"/>
              <i val="1"/>
              <color rgb="002B2B2B"/>
              <sz val="10"/>
            </rPr>
            <t>V</t>
          </r>
          <r>
            <rPr>
              <rFont val="Calibri"/>
              <i val="1"/>
              <color rgb="002B2B2B"/>
              <sz val="10"/>
              <vertAlign val="subscript"/>
            </rPr>
            <t>face</t>
          </r>
        </is>
      </c>
      <c r="E140" s="44">
        <f>IF(inputs_ok,MAX(ABS(IF(MAX(xf_R,x_0)&gt;=(L_m/2),0,q_a*((L_m/2)-MAX(xf_R,x_0))+q_b*((L_m/2)^2-MAX(xf_R,x_0)^2)/2)-w_d*(L_m/2-xf_R)),ABS(IF(x_0&gt;=(xf_L),0,q_a*((xf_L)-x_0)+q_b*((xf_L)^2-x_0^2)/2)-w_d*(xf_L+L_m/2))),NA())</f>
        <v/>
      </c>
      <c r="F140" s="28" t="inlineStr">
        <is>
          <t>kN/m</t>
        </is>
      </c>
      <c r="G140" s="23" t="n"/>
    </row>
    <row r="141" ht="17" customHeight="1">
      <c r="B141" s="26" t="inlineStr">
        <is>
          <t>6.2.1(8), (6.6N)</t>
        </is>
      </c>
      <c r="C141" s="24" t="inlineStr">
        <is>
          <t>Its limit  0.5 b d ν fcd,  ν = 0.6 (1 − fck/250)</t>
        </is>
      </c>
      <c r="D141" s="27" t="inlineStr">
        <is>
          <r>
            <rPr>
              <rFont val="Calibri"/>
              <i val="1"/>
              <color rgb="002B2B2B"/>
              <sz val="10"/>
            </rPr>
            <t>V</t>
          </r>
          <r>
            <rPr>
              <rFont val="Calibri"/>
              <i val="1"/>
              <color rgb="002B2B2B"/>
              <sz val="10"/>
              <vertAlign val="subscript"/>
            </rPr>
            <t>max</t>
          </r>
        </is>
      </c>
      <c r="E141" s="44">
        <f>IF(inputs_ok,0.5*d_t*0.6*(1-f_ck/250)*alpha_cc_shear*f_ck/gamma_c,NA())</f>
        <v/>
      </c>
      <c r="F141" s="28" t="inlineStr">
        <is>
          <t>kN/m</t>
        </is>
      </c>
      <c r="G141" s="23" t="n"/>
    </row>
    <row r="142" ht="17" customHeight="1">
      <c r="B142" s="26" t="inlineStr">
        <is>
          <t>(6.2), 6.2.1(8)</t>
        </is>
      </c>
      <c r="C142" s="24" t="inlineStr">
        <is>
          <t>VEd ≤ VRd,c at d; Vface ≤ 0.5 b d ν fcd</t>
        </is>
      </c>
      <c r="D142" s="23" t="n"/>
      <c r="E142" s="44">
        <f>IF(inputs_ok,V_Ed,NA())</f>
        <v/>
      </c>
      <c r="F142" s="28" t="inlineStr">
        <is>
          <t>kN/m</t>
        </is>
      </c>
      <c r="G142" s="32">
        <f>IF(NOT(inputs_ok),"FAIL",IF(shear_ok,"OK","FAIL"))</f>
        <v/>
      </c>
    </row>
    <row r="143" ht="17" customHeight="1">
      <c r="B143" s="26" t="inlineStr">
        <is>
          <t>9.3.1.1(2)</t>
        </is>
      </c>
      <c r="C143" s="24" t="inlineStr">
        <is>
          <t>Longitudinal bars needed  0.2 As,prov · B / 1000</t>
        </is>
      </c>
      <c r="D143" s="27" t="inlineStr">
        <is>
          <r>
            <rPr>
              <rFont val="Calibri"/>
              <i val="1"/>
              <color rgb="002B2B2B"/>
              <sz val="10"/>
            </rPr>
            <t>A</t>
          </r>
          <r>
            <rPr>
              <rFont val="Calibri"/>
              <i val="1"/>
              <color rgb="002B2B2B"/>
              <sz val="10"/>
              <vertAlign val="subscript"/>
            </rPr>
            <t>s,l</t>
          </r>
        </is>
      </c>
      <c r="E143" s="45">
        <f>IF(inputs_ok,0.2*As_prov*B_f/1000,NA())</f>
        <v/>
      </c>
      <c r="F143" s="28" t="inlineStr">
        <is>
          <t>mm²</t>
        </is>
      </c>
      <c r="G143" s="23" t="n"/>
    </row>
    <row r="144" ht="17" customHeight="1">
      <c r="B144" s="23" t="n"/>
      <c r="C144" s="24" t="inlineStr">
        <is>
          <t>Provided across the width  π φl²/4 · n,  n = (B − 2c − φl)/sl + 1</t>
        </is>
      </c>
      <c r="D144" s="27" t="inlineStr">
        <is>
          <r>
            <rPr>
              <rFont val="Calibri"/>
              <i val="1"/>
              <color rgb="002B2B2B"/>
              <sz val="10"/>
            </rPr>
            <t>A</t>
          </r>
          <r>
            <rPr>
              <rFont val="Calibri"/>
              <i val="1"/>
              <color rgb="002B2B2B"/>
              <sz val="10"/>
              <vertAlign val="subscript"/>
            </rPr>
            <t>s,l,prov</t>
          </r>
        </is>
      </c>
      <c r="E144" s="45">
        <f>IF(inputs_ok,PI()*phi_l^2/4*(INT((B_f-2*c_nom-phi_l)/s_l+1E-9)+1),NA())</f>
        <v/>
      </c>
      <c r="F144" s="28" t="inlineStr">
        <is>
          <t>mm²</t>
        </is>
      </c>
      <c r="G144" s="23" t="n"/>
    </row>
    <row r="145" ht="17" customHeight="1">
      <c r="B145" s="26" t="inlineStr">
        <is>
          <t>9.3.1.1(2)</t>
        </is>
      </c>
      <c r="C145" s="24" t="inlineStr">
        <is>
          <t>Longitudinal: provided ≥ needed</t>
        </is>
      </c>
      <c r="D145" s="23" t="n"/>
      <c r="E145" s="45">
        <f>IF(inputs_ok,Asl_prov,NA())</f>
        <v/>
      </c>
      <c r="F145" s="28" t="inlineStr">
        <is>
          <t>mm²</t>
        </is>
      </c>
      <c r="G145" s="32">
        <f>IF(NOT(inputs_ok),"FAIL",IF(long_ok,"OK","FAIL"))</f>
        <v/>
      </c>
    </row>
    <row r="146" ht="17" customHeight="1">
      <c r="B146" s="26" t="inlineStr">
        <is>
          <t>8.2(2)</t>
        </is>
      </c>
      <c r="C146" s="24" t="inlineStr">
        <is>
          <t>Minimum clear gap between bars  max(φ; dg + 5; 20)</t>
        </is>
      </c>
      <c r="D146" s="27" t="inlineStr">
        <is>
          <r>
            <rPr>
              <rFont val="Calibri"/>
              <i val="1"/>
              <color rgb="002B2B2B"/>
              <sz val="10"/>
            </rPr>
            <t>a</t>
          </r>
          <r>
            <rPr>
              <rFont val="Calibri"/>
              <i val="1"/>
              <color rgb="002B2B2B"/>
              <sz val="10"/>
              <vertAlign val="subscript"/>
            </rPr>
            <t>min</t>
          </r>
        </is>
      </c>
      <c r="E146" s="45">
        <f>IF(inputs_ok,MAX(phi_t,phi_l,d_g+5,20),NA())</f>
        <v/>
      </c>
      <c r="F146" s="28" t="inlineStr">
        <is>
          <t>mm</t>
        </is>
      </c>
      <c r="G146" s="23" t="n"/>
    </row>
    <row r="147" ht="17" customHeight="1">
      <c r="B147" s="26" t="inlineStr">
        <is>
          <t>9.3.1.1(3)</t>
        </is>
      </c>
      <c r="C147" s="24" t="inlineStr">
        <is>
          <t>Largest spacing, transverse (maximum moment)  min(2h; 250)</t>
        </is>
      </c>
      <c r="D147" s="27" t="inlineStr">
        <is>
          <r>
            <rPr>
              <rFont val="Calibri"/>
              <i val="1"/>
              <color rgb="002B2B2B"/>
              <sz val="10"/>
            </rPr>
            <t>s</t>
          </r>
          <r>
            <rPr>
              <rFont val="Calibri"/>
              <i val="1"/>
              <color rgb="002B2B2B"/>
              <sz val="10"/>
              <vertAlign val="subscript"/>
            </rPr>
            <t>max,t</t>
          </r>
        </is>
      </c>
      <c r="E147" s="45">
        <f>IF(inputs_ok,MIN(2*h_f,250),NA())</f>
        <v/>
      </c>
      <c r="F147" s="28" t="inlineStr">
        <is>
          <t>mm</t>
        </is>
      </c>
      <c r="G147" s="23" t="n"/>
    </row>
    <row r="148" ht="17" customHeight="1">
      <c r="B148" s="26" t="inlineStr">
        <is>
          <t>9.3.1.1(3)</t>
        </is>
      </c>
      <c r="C148" s="24" t="inlineStr">
        <is>
          <t>Largest spacing, longitudinal (maximum moment)  min(3h; 400)</t>
        </is>
      </c>
      <c r="D148" s="27" t="inlineStr">
        <is>
          <r>
            <rPr>
              <rFont val="Calibri"/>
              <i val="1"/>
              <color rgb="002B2B2B"/>
              <sz val="10"/>
            </rPr>
            <t>s</t>
          </r>
          <r>
            <rPr>
              <rFont val="Calibri"/>
              <i val="1"/>
              <color rgb="002B2B2B"/>
              <sz val="10"/>
              <vertAlign val="subscript"/>
            </rPr>
            <t>max,l</t>
          </r>
        </is>
      </c>
      <c r="E148" s="45">
        <f>IF(inputs_ok,MIN(3*h_f,400),NA())</f>
        <v/>
      </c>
      <c r="F148" s="28" t="inlineStr">
        <is>
          <t>mm</t>
        </is>
      </c>
      <c r="G148" s="23" t="n"/>
    </row>
    <row r="149" ht="17" customHeight="1">
      <c r="B149" s="26" t="inlineStr">
        <is>
          <t>8.2, 9.3.1.1(3)</t>
        </is>
      </c>
      <c r="C149" s="24" t="inlineStr">
        <is>
          <t>Clear gaps ≥ a_min, spacings ≤ s_max</t>
        </is>
      </c>
      <c r="D149" s="23" t="n"/>
      <c r="E149" s="45">
        <f>IF(inputs_ok,s_t,NA())</f>
        <v/>
      </c>
      <c r="F149" s="28" t="inlineStr">
        <is>
          <t>mm</t>
        </is>
      </c>
      <c r="G149" s="32">
        <f>IF(NOT(inputs_ok),"FAIL",IF(det_ok,"OK","FAIL"))</f>
        <v/>
      </c>
    </row>
    <row r="150" ht="41.5" customHeight="1">
      <c r="B150" s="47" t="inlineStr">
        <is>
          <t>Anchor the transverse bars beyond the bending section to 9.8.2.2 (a bend or hook at the ends of short projections) and provide starter bars for a concrete wall. The longitudinal bars are a minimum for robustness; design them as a beam where the ground or the wall load varies along the footing.</t>
        </is>
      </c>
    </row>
    <row r="151"/>
    <row r="152" ht="29" customHeight="1">
      <c r="B152" s="47"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8">
    <mergeCell ref="B150:G150"/>
    <mergeCell ref="E5:G5"/>
    <mergeCell ref="B152:G152"/>
    <mergeCell ref="B97:G97"/>
    <mergeCell ref="D2:G2"/>
    <mergeCell ref="E7:G7"/>
    <mergeCell ref="E6:G6"/>
    <mergeCell ref="C3:G3"/>
  </mergeCells>
  <conditionalFormatting sqref="G9:G153">
    <cfRule type="expression" priority="1" dxfId="0">
      <formula>G9="OK"</formula>
    </cfRule>
    <cfRule type="expression" priority="2" dxfId="1">
      <formula>G9="FAIL"</formula>
    </cfRule>
    <cfRule type="expression" priority="3" dxfId="2">
      <formula>LEFT(G9,1)="!"</formula>
    </cfRule>
  </conditionalFormatting>
  <dataValidations count="22">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Pick a value from the list." type="list" errorStyle="stop">
      <formula1>"Concrete,Masonry"</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 -100000." type="decimal" errorStyle="stop" operator="greaterThanOrEqual">
      <formula1>-100000</formula1>
    </dataValidation>
    <dataValidation sqref="E19" showDropDown="0" showInputMessage="0" showErrorMessage="1" allowBlank="0" errorTitle="NA Engineering" error="Enter a number greater than 0." type="decimal" errorStyle="stop" operator="greaterThan">
      <formula1>0</formula1>
    </dataValidation>
    <dataValidation sqref="E20" showDropDown="0" showInputMessage="0" showErrorMessage="1" allowBlank="0" errorTitle="NA Engineering" error="Enter a number greater than 0." type="decimal" errorStyle="stop" operator="greaterThan">
      <formula1>0</formula1>
    </dataValidation>
    <dataValidation sqref="E21 E23" showDropDown="0" showInputMessage="0" showErrorMessage="1" allowBlank="0" errorTitle="NA Engineering" error="Pick a value from the list." type="list" errorStyle="stop">
      <formula1>"8,10,12,16,20,25,32,40"</formula1>
    </dataValidation>
    <dataValidation sqref="E22" showDropDown="0" showInputMessage="0" showErrorMessage="1" allowBlank="0" errorTitle="NA Engineering" error="Enter a number greater than 0." type="decimal" errorStyle="stop" operator="greaterThan">
      <formula1>0</formula1>
    </dataValidation>
    <dataValidation sqref="E24" showDropDown="0" showInputMessage="0" showErrorMessage="1" allowBlank="0" errorTitle="NA Engineering" error="Enter a number greater than 0." type="decimal" errorStyle="stop" operator="greaterThan">
      <formula1>0</formula1>
    </dataValidation>
    <dataValidation sqref="E27" showDropDown="0" showInputMessage="0" showErrorMessage="1" allowBlank="0" errorTitle="NA Engineering" error="Enter a number greater than 0." type="decimal" errorStyle="stop" operator="greaterThan">
      <formula1>0</formula1>
    </dataValidation>
    <dataValidation sqref="E28" showDropDown="0" showInputMessage="0" showErrorMessage="1" allowBlank="0" errorTitle="NA Engineering" error="Enter a number ≥ 0." type="decimal" errorStyle="stop" operator="greaterThanOrEqual">
      <formula1>0</formula1>
    </dataValidation>
    <dataValidation sqref="E29" showDropDown="0" showInputMessage="0" showErrorMessage="1" allowBlank="0" errorTitle="NA Engineering" error="Enter a number ≥ -100000." type="decimal" errorStyle="stop" operator="greaterThanOrEqual">
      <formula1>-100000</formula1>
    </dataValidation>
    <dataValidation sqref="E30" showDropDown="0" showInputMessage="0" showErrorMessage="1" allowBlank="0" errorTitle="NA Engineering" error="Enter a number ≥ -100000." type="decimal" errorStyle="stop" operator="greaterThanOrEqual">
      <formula1>-100000</formula1>
    </dataValidation>
    <dataValidation sqref="E31" showDropDown="0" showInputMessage="0" showErrorMessage="1" allowBlank="0" errorTitle="NA Engineering" error="Enter a number greater than 0." type="decimal" errorStyle="stop" operator="greaterThan">
      <formula1>0</formula1>
    </dataValidation>
    <dataValidation sqref="E32" showDropDown="0" showInputMessage="0" showErrorMessage="1" allowBlank="0" errorTitle="NA Engineering" error="Enter a number greater than 0." type="decimal" errorStyle="stop" operator="greaterThan">
      <formula1>0</formula1>
    </dataValidation>
    <dataValidation sqref="E33" showDropDown="0" showInputMessage="0" showErrorMessage="1" allowBlank="0" errorTitle="NA Engineering" error="Enter a number ≥ 0." type="decimal" errorStyle="stop" operator="greaterThanOrEqual">
      <formula1>0</formula1>
    </dataValidation>
    <dataValidation sqref="E34" showDropDown="0" showInputMessage="0" showErrorMessage="1" allowBlank="0" errorTitle="NA Engineering" error="Enter a number greater than 0." type="decimal" errorStyle="stop" operator="greaterThan">
      <formula1>0</formula1>
    </dataValidation>
    <dataValidation sqref="E35" showDropDown="0" showInputMessage="0" showErrorMessage="1" allowBlank="0" errorTitle="NA Engineering" error="Enter a number greater than 0." type="decimal" errorStyle="stop" operator="greaterThan">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&amp;K8A8A8ANAE-RC-030  v1.0</oddFooter>
    <evenHeader/>
    <evenFooter/>
    <firstHeader/>
    <firstFooter/>
  </headerFooter>
  <rowBreaks count="1" manualBreakCount="1">
    <brk id="37"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BD82"/>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base</t>
        </is>
      </c>
      <c r="G2" t="inlineStr">
        <is>
          <t>wall</t>
        </is>
      </c>
      <c r="J2" t="inlineStr">
        <is>
          <t>ground</t>
        </is>
      </c>
      <c r="M2" t="inlineStr">
        <is>
          <t>transverse bars</t>
        </is>
      </c>
      <c r="P2" t="inlineStr">
        <is>
          <t>longitudinal bars</t>
        </is>
      </c>
      <c r="S2" t="inlineStr">
        <is>
          <t>bending section</t>
        </is>
      </c>
      <c r="V2" t="inlineStr">
        <is>
          <t>shear section</t>
        </is>
      </c>
      <c r="Y2" t="inlineStr">
        <is>
          <t>pressure</t>
        </is>
      </c>
      <c r="AB2">
        <f>IF(inputs_ok,"q max "&amp;TEXT(q_Ed,"0")&amp;" kPa","")</f>
        <v/>
      </c>
      <c r="AE2">
        <f>IF(inputs_ok,IF(q_min&gt;0,"q min "&amp;TEXT(q_min,"0"),"no contact"),"")</f>
        <v/>
      </c>
      <c r="AH2" t="inlineStr">
        <is>
          <t>dim</t>
        </is>
      </c>
      <c r="AK2">
        <f>IF(inputs_ok,"B "&amp;TEXT(B_f,"0"),"")</f>
        <v/>
      </c>
      <c r="AN2" t="inlineStr">
        <is>
          <t>dim</t>
        </is>
      </c>
      <c r="AQ2">
        <f>IF(inputs_ok,"h "&amp;TEXT(h_f,"0"),"")</f>
        <v/>
      </c>
      <c r="AT2" t="inlineStr">
        <is>
          <t>dim</t>
        </is>
      </c>
      <c r="AW2">
        <f>IF(inputs_ok,"D_s "&amp;TEXT(D_s,"0"),"")</f>
        <v/>
      </c>
      <c r="AZ2">
        <f>IF(inputs_ok,wall_type&amp;" wall "&amp;t_w,"")</f>
        <v/>
      </c>
      <c r="BC2" t="inlineStr">
        <is>
          <t>frame</t>
        </is>
      </c>
    </row>
    <row r="3">
      <c r="A3">
        <f>0</f>
        <v/>
      </c>
      <c r="B3">
        <f>0</f>
        <v/>
      </c>
      <c r="D3">
        <f>IF(inputs_ok,-B_f/2,NA())</f>
        <v/>
      </c>
      <c r="E3">
        <f>0</f>
        <v/>
      </c>
      <c r="G3">
        <f>IF(inputs_ok,o_w-t_w/2,NA())</f>
        <v/>
      </c>
      <c r="H3">
        <f>h_f+MAX(D_s,0.5*h_f)+0.2*h_f</f>
        <v/>
      </c>
      <c r="J3">
        <f>IF(inputs_ok,IF(D_s&gt;0,-B_f/2-0.08*B_f,NA()),NA())</f>
        <v/>
      </c>
      <c r="K3">
        <f>IF(D_s&gt;0,h_f+D_s,NA())</f>
        <v/>
      </c>
      <c r="M3">
        <f>IF(inputs_ok,-B_f/2+c_nom,NA())</f>
        <v/>
      </c>
      <c r="N3">
        <f>c_nom+phi_t/2</f>
        <v/>
      </c>
      <c r="P3">
        <f>IF(inputs_ok,IF(0&lt;n_ldraw,-B_f/2+c_nom+phi_l/2+0*s_l,NA()),NA())</f>
        <v/>
      </c>
      <c r="Q3">
        <f>IF(0&lt;n_ldraw,c_nom+phi_t+phi_l/2,NA())</f>
        <v/>
      </c>
      <c r="S3">
        <f>IF(inputs_ok,IF(ABS(g_sg*x_R*1000)&lt;B_f/2,g_sg*x_R*1000,NA()),NA())</f>
        <v/>
      </c>
      <c r="T3">
        <f>IF(ABS(g_sg*x_R*1000)&lt;B_f/2,0,NA())</f>
        <v/>
      </c>
      <c r="V3">
        <f>IF(inputs_ok,IF(ABS(g_sg*(x_R*1000+d_t))&lt;B_f/2,g_sg*(x_R*1000+d_t),NA()),NA())</f>
        <v/>
      </c>
      <c r="W3">
        <f>IF(ABS(g_sg*(x_R*1000+d_t))&lt;B_f/2,0,NA())</f>
        <v/>
      </c>
      <c r="Y3">
        <f>IF(inputs_ok,IF(uls_ok,-g_sg*B_f/2,NA()),NA())</f>
        <v/>
      </c>
      <c r="Z3">
        <f>IF(uls_ok,0,NA())</f>
        <v/>
      </c>
      <c r="AB3">
        <f>IF(inputs_ok,IF(uls_ok,g_sg*B_f/2,NA()),NA())</f>
        <v/>
      </c>
      <c r="AC3">
        <f>-(0.25*B_f/MAX(q_Ed,1))*q_Ed</f>
        <v/>
      </c>
      <c r="AE3">
        <f>IF(inputs_ok,IF(uls_ok,-g_sg*B_f/2,NA()),NA())</f>
        <v/>
      </c>
      <c r="AF3">
        <f>-(0.25*B_f/MAX(q_Ed,1))*q_min</f>
        <v/>
      </c>
      <c r="AH3">
        <f>IF(inputs_ok,IF(TRUE,-B_f/2,NA()),NA())</f>
        <v/>
      </c>
      <c r="AI3">
        <f>IF(TRUE,h_f+MAX(D_s,0.5*h_f)+0.35*h_f,NA())</f>
        <v/>
      </c>
      <c r="AK3">
        <f>IF(inputs_ok,IF(TRUE,((-B_f/2)+(B_f/2))/2,NA()),NA())</f>
        <v/>
      </c>
      <c r="AL3">
        <f>IF(TRUE,((h_f+MAX(D_s,0.5*h_f)+0.35*h_f)+(h_f+MAX(D_s,0.5*h_f)+0.35*h_f))/2,NA())</f>
        <v/>
      </c>
      <c r="AN3">
        <f>IF(inputs_ok,IF(TRUE,B_f/2+0.05*B_f,NA()),NA())</f>
        <v/>
      </c>
      <c r="AO3">
        <f>IF(TRUE,0,NA())</f>
        <v/>
      </c>
      <c r="AQ3">
        <f>IF(inputs_ok,IF(TRUE,((B_f/2+0.05*B_f)+(B_f/2+0.05*B_f))/2,NA()),NA())</f>
        <v/>
      </c>
      <c r="AR3">
        <f>IF(TRUE,((0)+(h_f))/2,NA())</f>
        <v/>
      </c>
      <c r="AT3">
        <f>IF(inputs_ok,IF(D_s&gt;0,-B_f/2-0.05*B_f,NA()),NA())</f>
        <v/>
      </c>
      <c r="AU3">
        <f>IF(D_s&gt;0,h_f,NA())</f>
        <v/>
      </c>
      <c r="AW3">
        <f>IF(inputs_ok,IF(D_s&gt;0,((-B_f/2-0.05*B_f)+(-B_f/2-0.05*B_f))/2,NA()),NA())</f>
        <v/>
      </c>
      <c r="AX3">
        <f>IF(D_s&gt;0,((h_f)+(h_f+D_s))/2,NA())</f>
        <v/>
      </c>
      <c r="AZ3">
        <f>IF(inputs_ok,o_w,NA())</f>
        <v/>
      </c>
      <c r="BA3">
        <f>h_f+MAX(D_s,0.5*h_f)+0.2*h_f</f>
        <v/>
      </c>
      <c r="BC3">
        <f>((-B_f/2-4*0.05*B_f)+(B_f/2+4*0.05*B_f))/2-MAX((h_f+MAX(D_s,0.5*h_f)+0.2*h_f+0.5*h_f)-(-0.32*B_f),((B_f/2+4*0.05*B_f)-(-B_f/2-4*0.05*B_f))/1.55)*0.53*1.55</f>
        <v/>
      </c>
      <c r="BD3">
        <f>((-0.32*B_f)+(h_f+MAX(D_s,0.5*h_f)+0.2*h_f+0.5*h_f))/2-MAX((h_f+MAX(D_s,0.5*h_f)+0.2*h_f+0.5*h_f)-(-0.32*B_f),((B_f/2+4*0.05*B_f)-(-B_f/2-4*0.05*B_f))/1.55)*0.53</f>
        <v/>
      </c>
    </row>
    <row r="4">
      <c r="D4">
        <f>IF(inputs_ok,B_f/2,NA())</f>
        <v/>
      </c>
      <c r="E4">
        <f>0</f>
        <v/>
      </c>
      <c r="G4">
        <f>IF(inputs_ok,o_w-t_w/2,NA())</f>
        <v/>
      </c>
      <c r="H4">
        <f>h_f</f>
        <v/>
      </c>
      <c r="J4">
        <f>IF(inputs_ok,IF(D_s&gt;0,B_f/2+0.08*B_f,NA()),NA())</f>
        <v/>
      </c>
      <c r="K4">
        <f>IF(D_s&gt;0,h_f+D_s,NA())</f>
        <v/>
      </c>
      <c r="M4">
        <f>IF(inputs_ok,B_f/2-c_nom,NA())</f>
        <v/>
      </c>
      <c r="N4">
        <f>c_nom+phi_t/2</f>
        <v/>
      </c>
      <c r="P4">
        <f>IF(inputs_ok,IF(1&lt;n_ldraw,-B_f/2+c_nom+phi_l/2+1*s_l,NA()),NA())</f>
        <v/>
      </c>
      <c r="Q4">
        <f>IF(1&lt;n_ldraw,c_nom+phi_t+phi_l/2,NA())</f>
        <v/>
      </c>
      <c r="S4">
        <f>IF(inputs_ok,IF(ABS(g_sg*x_R*1000)&lt;B_f/2,g_sg*x_R*1000,NA()),NA())</f>
        <v/>
      </c>
      <c r="T4">
        <f>IF(ABS(g_sg*x_R*1000)&lt;B_f/2,h_f,NA())</f>
        <v/>
      </c>
      <c r="V4">
        <f>IF(inputs_ok,IF(ABS(g_sg*(x_R*1000+d_t))&lt;B_f/2,g_sg*(x_R*1000+d_t),NA()),NA())</f>
        <v/>
      </c>
      <c r="W4">
        <f>IF(ABS(g_sg*(x_R*1000+d_t))&lt;B_f/2,h_f,NA())</f>
        <v/>
      </c>
      <c r="Y4">
        <f>IF(inputs_ok,IF(uls_ok,g_sg*x_0*1000,NA()),NA())</f>
        <v/>
      </c>
      <c r="Z4">
        <f>IF(uls_ok,0,NA())</f>
        <v/>
      </c>
      <c r="AH4">
        <f>IF(inputs_ok,IF(TRUE,B_f/2,NA()),NA())</f>
        <v/>
      </c>
      <c r="AI4">
        <f>IF(TRUE,h_f+MAX(D_s,0.5*h_f)+0.35*h_f,NA())</f>
        <v/>
      </c>
      <c r="AN4">
        <f>IF(inputs_ok,IF(TRUE,B_f/2+0.05*B_f,NA()),NA())</f>
        <v/>
      </c>
      <c r="AO4">
        <f>IF(TRUE,h_f,NA())</f>
        <v/>
      </c>
      <c r="AT4">
        <f>IF(inputs_ok,IF(D_s&gt;0,-B_f/2-0.05*B_f,NA()),NA())</f>
        <v/>
      </c>
      <c r="AU4">
        <f>IF(D_s&gt;0,h_f+D_s,NA())</f>
        <v/>
      </c>
      <c r="BC4">
        <f>((-B_f/2-4*0.05*B_f)+(B_f/2+4*0.05*B_f))/2+MAX((h_f+MAX(D_s,0.5*h_f)+0.2*h_f+0.5*h_f)-(-0.32*B_f),((B_f/2+4*0.05*B_f)-(-B_f/2-4*0.05*B_f))/1.55)*0.53*1.55</f>
        <v/>
      </c>
      <c r="BD4">
        <f>((-0.32*B_f)+(h_f+MAX(D_s,0.5*h_f)+0.2*h_f+0.5*h_f))/2+MAX((h_f+MAX(D_s,0.5*h_f)+0.2*h_f+0.5*h_f)-(-0.32*B_f),((B_f/2+4*0.05*B_f)-(-B_f/2-4*0.05*B_f))/1.55)*0.53</f>
        <v/>
      </c>
    </row>
    <row r="5">
      <c r="D5">
        <f>IF(inputs_ok,B_f/2,NA())</f>
        <v/>
      </c>
      <c r="E5">
        <f>h_f</f>
        <v/>
      </c>
      <c r="G5">
        <f>IF(inputs_ok,o_w+t_w/2,NA())</f>
        <v/>
      </c>
      <c r="H5">
        <f>h_f</f>
        <v/>
      </c>
      <c r="P5">
        <f>IF(inputs_ok,IF(2&lt;n_ldraw,-B_f/2+c_nom+phi_l/2+2*s_l,NA()),NA())</f>
        <v/>
      </c>
      <c r="Q5">
        <f>IF(2&lt;n_ldraw,c_nom+phi_t+phi_l/2,NA())</f>
        <v/>
      </c>
      <c r="Y5">
        <f>IF(inputs_ok,IF(uls_ok,g_sg*x_0*1000,NA()),NA())</f>
        <v/>
      </c>
      <c r="Z5">
        <f>IF(uls_ok,-(0.25*B_f/MAX(q_Ed,1))*(q_a+q_b*x_0),NA())</f>
        <v/>
      </c>
    </row>
    <row r="6">
      <c r="D6">
        <f>IF(inputs_ok,-B_f/2,NA())</f>
        <v/>
      </c>
      <c r="E6">
        <f>h_f</f>
        <v/>
      </c>
      <c r="G6">
        <f>IF(inputs_ok,o_w+t_w/2,NA())</f>
        <v/>
      </c>
      <c r="H6">
        <f>h_f+MAX(D_s,0.5*h_f)+0.2*h_f</f>
        <v/>
      </c>
      <c r="P6">
        <f>IF(inputs_ok,IF(3&lt;n_ldraw,-B_f/2+c_nom+phi_l/2+3*s_l,NA()),NA())</f>
        <v/>
      </c>
      <c r="Q6">
        <f>IF(3&lt;n_ldraw,c_nom+phi_t+phi_l/2,NA())</f>
        <v/>
      </c>
      <c r="Y6">
        <f>IF(inputs_ok,IF(uls_ok,g_sg*B_f/2,NA()),NA())</f>
        <v/>
      </c>
      <c r="Z6">
        <f>IF(uls_ok,-(0.25*B_f/MAX(q_Ed,1))*q_Ed,NA())</f>
        <v/>
      </c>
    </row>
    <row r="7">
      <c r="D7">
        <f>IF(inputs_ok,-B_f/2,NA())</f>
        <v/>
      </c>
      <c r="E7">
        <f>0</f>
        <v/>
      </c>
      <c r="P7">
        <f>IF(inputs_ok,IF(4&lt;n_ldraw,-B_f/2+c_nom+phi_l/2+4*s_l,NA()),NA())</f>
        <v/>
      </c>
      <c r="Q7">
        <f>IF(4&lt;n_ldraw,c_nom+phi_t+phi_l/2,NA())</f>
        <v/>
      </c>
      <c r="Y7">
        <f>IF(inputs_ok,IF(uls_ok,g_sg*B_f/2,NA()),NA())</f>
        <v/>
      </c>
      <c r="Z7">
        <f>IF(uls_ok,0,NA())</f>
        <v/>
      </c>
    </row>
    <row r="8">
      <c r="P8">
        <f>IF(inputs_ok,IF(5&lt;n_ldraw,-B_f/2+c_nom+phi_l/2+5*s_l,NA()),NA())</f>
        <v/>
      </c>
      <c r="Q8">
        <f>IF(5&lt;n_ldraw,c_nom+phi_t+phi_l/2,NA())</f>
        <v/>
      </c>
      <c r="Y8">
        <f>IF(inputs_ok,IF(uls_ok,-g_sg*B_f/2,NA()),NA())</f>
        <v/>
      </c>
      <c r="Z8">
        <f>IF(uls_ok,0,NA())</f>
        <v/>
      </c>
    </row>
    <row r="9">
      <c r="P9">
        <f>IF(inputs_ok,IF(6&lt;n_ldraw,-B_f/2+c_nom+phi_l/2+6*s_l,NA()),NA())</f>
        <v/>
      </c>
      <c r="Q9">
        <f>IF(6&lt;n_ldraw,c_nom+phi_t+phi_l/2,NA())</f>
        <v/>
      </c>
    </row>
    <row r="10">
      <c r="P10">
        <f>IF(inputs_ok,IF(7&lt;n_ldraw,-B_f/2+c_nom+phi_l/2+7*s_l,NA()),NA())</f>
        <v/>
      </c>
      <c r="Q10">
        <f>IF(7&lt;n_ldraw,c_nom+phi_t+phi_l/2,NA())</f>
        <v/>
      </c>
    </row>
    <row r="11">
      <c r="P11">
        <f>IF(inputs_ok,IF(8&lt;n_ldraw,-B_f/2+c_nom+phi_l/2+8*s_l,NA()),NA())</f>
        <v/>
      </c>
      <c r="Q11">
        <f>IF(8&lt;n_ldraw,c_nom+phi_t+phi_l/2,NA())</f>
        <v/>
      </c>
    </row>
    <row r="12">
      <c r="P12">
        <f>IF(inputs_ok,IF(9&lt;n_ldraw,-B_f/2+c_nom+phi_l/2+9*s_l,NA()),NA())</f>
        <v/>
      </c>
      <c r="Q12">
        <f>IF(9&lt;n_ldraw,c_nom+phi_t+phi_l/2,NA())</f>
        <v/>
      </c>
    </row>
    <row r="13">
      <c r="P13">
        <f>IF(inputs_ok,IF(10&lt;n_ldraw,-B_f/2+c_nom+phi_l/2+10*s_l,NA()),NA())</f>
        <v/>
      </c>
      <c r="Q13">
        <f>IF(10&lt;n_ldraw,c_nom+phi_t+phi_l/2,NA())</f>
        <v/>
      </c>
    </row>
    <row r="14">
      <c r="P14">
        <f>IF(inputs_ok,IF(11&lt;n_ldraw,-B_f/2+c_nom+phi_l/2+11*s_l,NA()),NA())</f>
        <v/>
      </c>
      <c r="Q14">
        <f>IF(11&lt;n_ldraw,c_nom+phi_t+phi_l/2,NA())</f>
        <v/>
      </c>
    </row>
    <row r="15">
      <c r="P15">
        <f>IF(inputs_ok,IF(12&lt;n_ldraw,-B_f/2+c_nom+phi_l/2+12*s_l,NA()),NA())</f>
        <v/>
      </c>
      <c r="Q15">
        <f>IF(12&lt;n_ldraw,c_nom+phi_t+phi_l/2,NA())</f>
        <v/>
      </c>
    </row>
    <row r="16">
      <c r="P16">
        <f>IF(inputs_ok,IF(13&lt;n_ldraw,-B_f/2+c_nom+phi_l/2+13*s_l,NA()),NA())</f>
        <v/>
      </c>
      <c r="Q16">
        <f>IF(13&lt;n_ldraw,c_nom+phi_t+phi_l/2,NA())</f>
        <v/>
      </c>
    </row>
    <row r="17">
      <c r="P17">
        <f>IF(inputs_ok,IF(14&lt;n_ldraw,-B_f/2+c_nom+phi_l/2+14*s_l,NA()),NA())</f>
        <v/>
      </c>
      <c r="Q17">
        <f>IF(14&lt;n_ldraw,c_nom+phi_t+phi_l/2,NA())</f>
        <v/>
      </c>
    </row>
    <row r="18">
      <c r="P18">
        <f>IF(inputs_ok,IF(15&lt;n_ldraw,-B_f/2+c_nom+phi_l/2+15*s_l,NA()),NA())</f>
        <v/>
      </c>
      <c r="Q18">
        <f>IF(15&lt;n_ldraw,c_nom+phi_t+phi_l/2,NA())</f>
        <v/>
      </c>
    </row>
    <row r="19">
      <c r="P19">
        <f>IF(inputs_ok,IF(16&lt;n_ldraw,-B_f/2+c_nom+phi_l/2+16*s_l,NA()),NA())</f>
        <v/>
      </c>
      <c r="Q19">
        <f>IF(16&lt;n_ldraw,c_nom+phi_t+phi_l/2,NA())</f>
        <v/>
      </c>
    </row>
    <row r="20">
      <c r="P20">
        <f>IF(inputs_ok,IF(17&lt;n_ldraw,-B_f/2+c_nom+phi_l/2+17*s_l,NA()),NA())</f>
        <v/>
      </c>
      <c r="Q20">
        <f>IF(17&lt;n_ldraw,c_nom+phi_t+phi_l/2,NA())</f>
        <v/>
      </c>
    </row>
    <row r="21">
      <c r="P21">
        <f>IF(inputs_ok,IF(18&lt;n_ldraw,-B_f/2+c_nom+phi_l/2+18*s_l,NA()),NA())</f>
        <v/>
      </c>
      <c r="Q21">
        <f>IF(18&lt;n_ldraw,c_nom+phi_t+phi_l/2,NA())</f>
        <v/>
      </c>
    </row>
    <row r="22">
      <c r="P22">
        <f>IF(inputs_ok,IF(19&lt;n_ldraw,-B_f/2+c_nom+phi_l/2+19*s_l,NA()),NA())</f>
        <v/>
      </c>
      <c r="Q22">
        <f>IF(19&lt;n_ldraw,c_nom+phi_t+phi_l/2,NA())</f>
        <v/>
      </c>
    </row>
    <row r="23">
      <c r="P23">
        <f>IF(inputs_ok,IF(20&lt;n_ldraw,-B_f/2+c_nom+phi_l/2+20*s_l,NA()),NA())</f>
        <v/>
      </c>
      <c r="Q23">
        <f>IF(20&lt;n_ldraw,c_nom+phi_t+phi_l/2,NA())</f>
        <v/>
      </c>
    </row>
    <row r="24">
      <c r="P24">
        <f>IF(inputs_ok,IF(21&lt;n_ldraw,-B_f/2+c_nom+phi_l/2+21*s_l,NA()),NA())</f>
        <v/>
      </c>
      <c r="Q24">
        <f>IF(21&lt;n_ldraw,c_nom+phi_t+phi_l/2,NA())</f>
        <v/>
      </c>
    </row>
    <row r="25">
      <c r="P25">
        <f>IF(inputs_ok,IF(22&lt;n_ldraw,-B_f/2+c_nom+phi_l/2+22*s_l,NA()),NA())</f>
        <v/>
      </c>
      <c r="Q25">
        <f>IF(22&lt;n_ldraw,c_nom+phi_t+phi_l/2,NA())</f>
        <v/>
      </c>
    </row>
    <row r="26">
      <c r="P26">
        <f>IF(inputs_ok,IF(23&lt;n_ldraw,-B_f/2+c_nom+phi_l/2+23*s_l,NA()),NA())</f>
        <v/>
      </c>
      <c r="Q26">
        <f>IF(23&lt;n_ldraw,c_nom+phi_t+phi_l/2,NA())</f>
        <v/>
      </c>
    </row>
    <row r="27">
      <c r="P27">
        <f>IF(inputs_ok,IF(24&lt;n_ldraw,-B_f/2+c_nom+phi_l/2+24*s_l,NA()),NA())</f>
        <v/>
      </c>
      <c r="Q27">
        <f>IF(24&lt;n_ldraw,c_nom+phi_t+phi_l/2,NA())</f>
        <v/>
      </c>
    </row>
    <row r="28">
      <c r="P28">
        <f>IF(inputs_ok,IF(25&lt;n_ldraw,-B_f/2+c_nom+phi_l/2+25*s_l,NA()),NA())</f>
        <v/>
      </c>
      <c r="Q28">
        <f>IF(25&lt;n_ldraw,c_nom+phi_t+phi_l/2,NA())</f>
        <v/>
      </c>
    </row>
    <row r="29">
      <c r="P29">
        <f>IF(inputs_ok,IF(26&lt;n_ldraw,-B_f/2+c_nom+phi_l/2+26*s_l,NA()),NA())</f>
        <v/>
      </c>
      <c r="Q29">
        <f>IF(26&lt;n_ldraw,c_nom+phi_t+phi_l/2,NA())</f>
        <v/>
      </c>
    </row>
    <row r="30">
      <c r="P30">
        <f>IF(inputs_ok,IF(27&lt;n_ldraw,-B_f/2+c_nom+phi_l/2+27*s_l,NA()),NA())</f>
        <v/>
      </c>
      <c r="Q30">
        <f>IF(27&lt;n_ldraw,c_nom+phi_t+phi_l/2,NA())</f>
        <v/>
      </c>
    </row>
    <row r="31">
      <c r="P31">
        <f>IF(inputs_ok,IF(28&lt;n_ldraw,-B_f/2+c_nom+phi_l/2+28*s_l,NA()),NA())</f>
        <v/>
      </c>
      <c r="Q31">
        <f>IF(28&lt;n_ldraw,c_nom+phi_t+phi_l/2,NA())</f>
        <v/>
      </c>
    </row>
    <row r="32">
      <c r="P32">
        <f>IF(inputs_ok,IF(29&lt;n_ldraw,-B_f/2+c_nom+phi_l/2+29*s_l,NA()),NA())</f>
        <v/>
      </c>
      <c r="Q32">
        <f>IF(29&lt;n_ldraw,c_nom+phi_t+phi_l/2,NA())</f>
        <v/>
      </c>
    </row>
    <row r="33">
      <c r="P33">
        <f>IF(inputs_ok,IF(30&lt;n_ldraw,-B_f/2+c_nom+phi_l/2+30*s_l,NA()),NA())</f>
        <v/>
      </c>
      <c r="Q33">
        <f>IF(30&lt;n_ldraw,c_nom+phi_t+phi_l/2,NA())</f>
        <v/>
      </c>
    </row>
    <row r="34">
      <c r="P34">
        <f>IF(inputs_ok,IF(31&lt;n_ldraw,-B_f/2+c_nom+phi_l/2+31*s_l,NA()),NA())</f>
        <v/>
      </c>
      <c r="Q34">
        <f>IF(31&lt;n_ldraw,c_nom+phi_t+phi_l/2,NA())</f>
        <v/>
      </c>
    </row>
    <row r="35">
      <c r="P35">
        <f>IF(inputs_ok,IF(32&lt;n_ldraw,-B_f/2+c_nom+phi_l/2+32*s_l,NA()),NA())</f>
        <v/>
      </c>
      <c r="Q35">
        <f>IF(32&lt;n_ldraw,c_nom+phi_t+phi_l/2,NA())</f>
        <v/>
      </c>
    </row>
    <row r="36">
      <c r="P36">
        <f>IF(inputs_ok,IF(33&lt;n_ldraw,-B_f/2+c_nom+phi_l/2+33*s_l,NA()),NA())</f>
        <v/>
      </c>
      <c r="Q36">
        <f>IF(33&lt;n_ldraw,c_nom+phi_t+phi_l/2,NA())</f>
        <v/>
      </c>
    </row>
    <row r="37">
      <c r="P37">
        <f>IF(inputs_ok,IF(34&lt;n_ldraw,-B_f/2+c_nom+phi_l/2+34*s_l,NA()),NA())</f>
        <v/>
      </c>
      <c r="Q37">
        <f>IF(34&lt;n_ldraw,c_nom+phi_t+phi_l/2,NA())</f>
        <v/>
      </c>
    </row>
    <row r="38">
      <c r="P38">
        <f>IF(inputs_ok,IF(35&lt;n_ldraw,-B_f/2+c_nom+phi_l/2+35*s_l,NA()),NA())</f>
        <v/>
      </c>
      <c r="Q38">
        <f>IF(35&lt;n_ldraw,c_nom+phi_t+phi_l/2,NA())</f>
        <v/>
      </c>
    </row>
    <row r="39">
      <c r="P39">
        <f>IF(inputs_ok,IF(36&lt;n_ldraw,-B_f/2+c_nom+phi_l/2+36*s_l,NA()),NA())</f>
        <v/>
      </c>
      <c r="Q39">
        <f>IF(36&lt;n_ldraw,c_nom+phi_t+phi_l/2,NA())</f>
        <v/>
      </c>
    </row>
    <row r="40">
      <c r="P40">
        <f>IF(inputs_ok,IF(37&lt;n_ldraw,-B_f/2+c_nom+phi_l/2+37*s_l,NA()),NA())</f>
        <v/>
      </c>
      <c r="Q40">
        <f>IF(37&lt;n_ldraw,c_nom+phi_t+phi_l/2,NA())</f>
        <v/>
      </c>
    </row>
    <row r="41">
      <c r="P41">
        <f>IF(inputs_ok,IF(38&lt;n_ldraw,-B_f/2+c_nom+phi_l/2+38*s_l,NA()),NA())</f>
        <v/>
      </c>
      <c r="Q41">
        <f>IF(38&lt;n_ldraw,c_nom+phi_t+phi_l/2,NA())</f>
        <v/>
      </c>
    </row>
    <row r="42">
      <c r="P42">
        <f>IF(inputs_ok,IF(39&lt;n_ldraw,-B_f/2+c_nom+phi_l/2+39*s_l,NA()),NA())</f>
        <v/>
      </c>
      <c r="Q42">
        <f>IF(39&lt;n_ldraw,c_nom+phi_t+phi_l/2,NA())</f>
        <v/>
      </c>
    </row>
    <row r="43">
      <c r="P43">
        <f>IF(inputs_ok,IF(40&lt;n_ldraw,-B_f/2+c_nom+phi_l/2+40*s_l,NA()),NA())</f>
        <v/>
      </c>
      <c r="Q43">
        <f>IF(40&lt;n_ldraw,c_nom+phi_t+phi_l/2,NA())</f>
        <v/>
      </c>
    </row>
    <row r="44">
      <c r="P44">
        <f>IF(inputs_ok,IF(41&lt;n_ldraw,-B_f/2+c_nom+phi_l/2+41*s_l,NA()),NA())</f>
        <v/>
      </c>
      <c r="Q44">
        <f>IF(41&lt;n_ldraw,c_nom+phi_t+phi_l/2,NA())</f>
        <v/>
      </c>
    </row>
    <row r="45">
      <c r="P45">
        <f>IF(inputs_ok,IF(42&lt;n_ldraw,-B_f/2+c_nom+phi_l/2+42*s_l,NA()),NA())</f>
        <v/>
      </c>
      <c r="Q45">
        <f>IF(42&lt;n_ldraw,c_nom+phi_t+phi_l/2,NA())</f>
        <v/>
      </c>
    </row>
    <row r="46">
      <c r="P46">
        <f>IF(inputs_ok,IF(43&lt;n_ldraw,-B_f/2+c_nom+phi_l/2+43*s_l,NA()),NA())</f>
        <v/>
      </c>
      <c r="Q46">
        <f>IF(43&lt;n_ldraw,c_nom+phi_t+phi_l/2,NA())</f>
        <v/>
      </c>
    </row>
    <row r="47">
      <c r="P47">
        <f>IF(inputs_ok,IF(44&lt;n_ldraw,-B_f/2+c_nom+phi_l/2+44*s_l,NA()),NA())</f>
        <v/>
      </c>
      <c r="Q47">
        <f>IF(44&lt;n_ldraw,c_nom+phi_t+phi_l/2,NA())</f>
        <v/>
      </c>
    </row>
    <row r="48">
      <c r="P48">
        <f>IF(inputs_ok,IF(45&lt;n_ldraw,-B_f/2+c_nom+phi_l/2+45*s_l,NA()),NA())</f>
        <v/>
      </c>
      <c r="Q48">
        <f>IF(45&lt;n_ldraw,c_nom+phi_t+phi_l/2,NA())</f>
        <v/>
      </c>
    </row>
    <row r="49">
      <c r="P49">
        <f>IF(inputs_ok,IF(46&lt;n_ldraw,-B_f/2+c_nom+phi_l/2+46*s_l,NA()),NA())</f>
        <v/>
      </c>
      <c r="Q49">
        <f>IF(46&lt;n_ldraw,c_nom+phi_t+phi_l/2,NA())</f>
        <v/>
      </c>
    </row>
    <row r="50">
      <c r="P50">
        <f>IF(inputs_ok,IF(47&lt;n_ldraw,-B_f/2+c_nom+phi_l/2+47*s_l,NA()),NA())</f>
        <v/>
      </c>
      <c r="Q50">
        <f>IF(47&lt;n_ldraw,c_nom+phi_t+phi_l/2,NA())</f>
        <v/>
      </c>
    </row>
    <row r="51">
      <c r="P51">
        <f>IF(inputs_ok,IF(48&lt;n_ldraw,-B_f/2+c_nom+phi_l/2+48*s_l,NA()),NA())</f>
        <v/>
      </c>
      <c r="Q51">
        <f>IF(48&lt;n_ldraw,c_nom+phi_t+phi_l/2,NA())</f>
        <v/>
      </c>
    </row>
    <row r="52">
      <c r="P52">
        <f>IF(inputs_ok,IF(49&lt;n_ldraw,-B_f/2+c_nom+phi_l/2+49*s_l,NA()),NA())</f>
        <v/>
      </c>
      <c r="Q52">
        <f>IF(49&lt;n_ldraw,c_nom+phi_t+phi_l/2,NA())</f>
        <v/>
      </c>
    </row>
    <row r="53">
      <c r="P53">
        <f>IF(inputs_ok,IF(50&lt;n_ldraw,-B_f/2+c_nom+phi_l/2+50*s_l,NA()),NA())</f>
        <v/>
      </c>
      <c r="Q53">
        <f>IF(50&lt;n_ldraw,c_nom+phi_t+phi_l/2,NA())</f>
        <v/>
      </c>
    </row>
    <row r="54">
      <c r="P54">
        <f>IF(inputs_ok,IF(51&lt;n_ldraw,-B_f/2+c_nom+phi_l/2+51*s_l,NA()),NA())</f>
        <v/>
      </c>
      <c r="Q54">
        <f>IF(51&lt;n_ldraw,c_nom+phi_t+phi_l/2,NA())</f>
        <v/>
      </c>
    </row>
    <row r="55">
      <c r="P55">
        <f>IF(inputs_ok,IF(52&lt;n_ldraw,-B_f/2+c_nom+phi_l/2+52*s_l,NA()),NA())</f>
        <v/>
      </c>
      <c r="Q55">
        <f>IF(52&lt;n_ldraw,c_nom+phi_t+phi_l/2,NA())</f>
        <v/>
      </c>
    </row>
    <row r="56">
      <c r="P56">
        <f>IF(inputs_ok,IF(53&lt;n_ldraw,-B_f/2+c_nom+phi_l/2+53*s_l,NA()),NA())</f>
        <v/>
      </c>
      <c r="Q56">
        <f>IF(53&lt;n_ldraw,c_nom+phi_t+phi_l/2,NA())</f>
        <v/>
      </c>
    </row>
    <row r="57">
      <c r="P57">
        <f>IF(inputs_ok,IF(54&lt;n_ldraw,-B_f/2+c_nom+phi_l/2+54*s_l,NA()),NA())</f>
        <v/>
      </c>
      <c r="Q57">
        <f>IF(54&lt;n_ldraw,c_nom+phi_t+phi_l/2,NA())</f>
        <v/>
      </c>
    </row>
    <row r="58">
      <c r="P58">
        <f>IF(inputs_ok,IF(55&lt;n_ldraw,-B_f/2+c_nom+phi_l/2+55*s_l,NA()),NA())</f>
        <v/>
      </c>
      <c r="Q58">
        <f>IF(55&lt;n_ldraw,c_nom+phi_t+phi_l/2,NA())</f>
        <v/>
      </c>
    </row>
    <row r="59">
      <c r="P59">
        <f>IF(inputs_ok,IF(56&lt;n_ldraw,-B_f/2+c_nom+phi_l/2+56*s_l,NA()),NA())</f>
        <v/>
      </c>
      <c r="Q59">
        <f>IF(56&lt;n_ldraw,c_nom+phi_t+phi_l/2,NA())</f>
        <v/>
      </c>
    </row>
    <row r="60">
      <c r="P60">
        <f>IF(inputs_ok,IF(57&lt;n_ldraw,-B_f/2+c_nom+phi_l/2+57*s_l,NA()),NA())</f>
        <v/>
      </c>
      <c r="Q60">
        <f>IF(57&lt;n_ldraw,c_nom+phi_t+phi_l/2,NA())</f>
        <v/>
      </c>
    </row>
    <row r="61">
      <c r="P61">
        <f>IF(inputs_ok,IF(58&lt;n_ldraw,-B_f/2+c_nom+phi_l/2+58*s_l,NA()),NA())</f>
        <v/>
      </c>
      <c r="Q61">
        <f>IF(58&lt;n_ldraw,c_nom+phi_t+phi_l/2,NA())</f>
        <v/>
      </c>
    </row>
    <row r="62">
      <c r="P62">
        <f>IF(inputs_ok,IF(59&lt;n_ldraw,-B_f/2+c_nom+phi_l/2+59*s_l,NA()),NA())</f>
        <v/>
      </c>
      <c r="Q62">
        <f>IF(59&lt;n_ldraw,c_nom+phi_t+phi_l/2,NA())</f>
        <v/>
      </c>
    </row>
    <row r="63">
      <c r="P63">
        <f>IF(inputs_ok,IF(60&lt;n_ldraw,-B_f/2+c_nom+phi_l/2+60*s_l,NA()),NA())</f>
        <v/>
      </c>
      <c r="Q63">
        <f>IF(60&lt;n_ldraw,c_nom+phi_t+phi_l/2,NA())</f>
        <v/>
      </c>
    </row>
    <row r="64">
      <c r="P64">
        <f>IF(inputs_ok,IF(61&lt;n_ldraw,-B_f/2+c_nom+phi_l/2+61*s_l,NA()),NA())</f>
        <v/>
      </c>
      <c r="Q64">
        <f>IF(61&lt;n_ldraw,c_nom+phi_t+phi_l/2,NA())</f>
        <v/>
      </c>
    </row>
    <row r="65">
      <c r="P65">
        <f>IF(inputs_ok,IF(62&lt;n_ldraw,-B_f/2+c_nom+phi_l/2+62*s_l,NA()),NA())</f>
        <v/>
      </c>
      <c r="Q65">
        <f>IF(62&lt;n_ldraw,c_nom+phi_t+phi_l/2,NA())</f>
        <v/>
      </c>
    </row>
    <row r="66">
      <c r="P66">
        <f>IF(inputs_ok,IF(63&lt;n_ldraw,-B_f/2+c_nom+phi_l/2+63*s_l,NA()),NA())</f>
        <v/>
      </c>
      <c r="Q66">
        <f>IF(63&lt;n_ldraw,c_nom+phi_t+phi_l/2,NA())</f>
        <v/>
      </c>
    </row>
    <row r="67">
      <c r="P67">
        <f>IF(inputs_ok,IF(64&lt;n_ldraw,-B_f/2+c_nom+phi_l/2+64*s_l,NA()),NA())</f>
        <v/>
      </c>
      <c r="Q67">
        <f>IF(64&lt;n_ldraw,c_nom+phi_t+phi_l/2,NA())</f>
        <v/>
      </c>
    </row>
    <row r="68">
      <c r="P68">
        <f>IF(inputs_ok,IF(65&lt;n_ldraw,-B_f/2+c_nom+phi_l/2+65*s_l,NA()),NA())</f>
        <v/>
      </c>
      <c r="Q68">
        <f>IF(65&lt;n_ldraw,c_nom+phi_t+phi_l/2,NA())</f>
        <v/>
      </c>
    </row>
    <row r="69">
      <c r="P69">
        <f>IF(inputs_ok,IF(66&lt;n_ldraw,-B_f/2+c_nom+phi_l/2+66*s_l,NA()),NA())</f>
        <v/>
      </c>
      <c r="Q69">
        <f>IF(66&lt;n_ldraw,c_nom+phi_t+phi_l/2,NA())</f>
        <v/>
      </c>
    </row>
    <row r="70">
      <c r="P70">
        <f>IF(inputs_ok,IF(67&lt;n_ldraw,-B_f/2+c_nom+phi_l/2+67*s_l,NA()),NA())</f>
        <v/>
      </c>
      <c r="Q70">
        <f>IF(67&lt;n_ldraw,c_nom+phi_t+phi_l/2,NA())</f>
        <v/>
      </c>
    </row>
    <row r="71">
      <c r="P71">
        <f>IF(inputs_ok,IF(68&lt;n_ldraw,-B_f/2+c_nom+phi_l/2+68*s_l,NA()),NA())</f>
        <v/>
      </c>
      <c r="Q71">
        <f>IF(68&lt;n_ldraw,c_nom+phi_t+phi_l/2,NA())</f>
        <v/>
      </c>
    </row>
    <row r="72">
      <c r="P72">
        <f>IF(inputs_ok,IF(69&lt;n_ldraw,-B_f/2+c_nom+phi_l/2+69*s_l,NA()),NA())</f>
        <v/>
      </c>
      <c r="Q72">
        <f>IF(69&lt;n_ldraw,c_nom+phi_t+phi_l/2,NA())</f>
        <v/>
      </c>
    </row>
    <row r="73">
      <c r="P73">
        <f>IF(inputs_ok,IF(70&lt;n_ldraw,-B_f/2+c_nom+phi_l/2+70*s_l,NA()),NA())</f>
        <v/>
      </c>
      <c r="Q73">
        <f>IF(70&lt;n_ldraw,c_nom+phi_t+phi_l/2,NA())</f>
        <v/>
      </c>
    </row>
    <row r="74">
      <c r="P74">
        <f>IF(inputs_ok,IF(71&lt;n_ldraw,-B_f/2+c_nom+phi_l/2+71*s_l,NA()),NA())</f>
        <v/>
      </c>
      <c r="Q74">
        <f>IF(71&lt;n_ldraw,c_nom+phi_t+phi_l/2,NA())</f>
        <v/>
      </c>
    </row>
    <row r="75">
      <c r="P75">
        <f>IF(inputs_ok,IF(72&lt;n_ldraw,-B_f/2+c_nom+phi_l/2+72*s_l,NA()),NA())</f>
        <v/>
      </c>
      <c r="Q75">
        <f>IF(72&lt;n_ldraw,c_nom+phi_t+phi_l/2,NA())</f>
        <v/>
      </c>
    </row>
    <row r="76">
      <c r="P76">
        <f>IF(inputs_ok,IF(73&lt;n_ldraw,-B_f/2+c_nom+phi_l/2+73*s_l,NA()),NA())</f>
        <v/>
      </c>
      <c r="Q76">
        <f>IF(73&lt;n_ldraw,c_nom+phi_t+phi_l/2,NA())</f>
        <v/>
      </c>
    </row>
    <row r="77">
      <c r="P77">
        <f>IF(inputs_ok,IF(74&lt;n_ldraw,-B_f/2+c_nom+phi_l/2+74*s_l,NA()),NA())</f>
        <v/>
      </c>
      <c r="Q77">
        <f>IF(74&lt;n_ldraw,c_nom+phi_t+phi_l/2,NA())</f>
        <v/>
      </c>
    </row>
    <row r="78">
      <c r="P78">
        <f>IF(inputs_ok,IF(75&lt;n_ldraw,-B_f/2+c_nom+phi_l/2+75*s_l,NA()),NA())</f>
        <v/>
      </c>
      <c r="Q78">
        <f>IF(75&lt;n_ldraw,c_nom+phi_t+phi_l/2,NA())</f>
        <v/>
      </c>
    </row>
    <row r="79">
      <c r="P79">
        <f>IF(inputs_ok,IF(76&lt;n_ldraw,-B_f/2+c_nom+phi_l/2+76*s_l,NA()),NA())</f>
        <v/>
      </c>
      <c r="Q79">
        <f>IF(76&lt;n_ldraw,c_nom+phi_t+phi_l/2,NA())</f>
        <v/>
      </c>
    </row>
    <row r="80">
      <c r="P80">
        <f>IF(inputs_ok,IF(77&lt;n_ldraw,-B_f/2+c_nom+phi_l/2+77*s_l,NA()),NA())</f>
        <v/>
      </c>
      <c r="Q80">
        <f>IF(77&lt;n_ldraw,c_nom+phi_t+phi_l/2,NA())</f>
        <v/>
      </c>
    </row>
    <row r="81">
      <c r="P81">
        <f>IF(inputs_ok,IF(78&lt;n_ldraw,-B_f/2+c_nom+phi_l/2+78*s_l,NA()),NA())</f>
        <v/>
      </c>
      <c r="Q81">
        <f>IF(78&lt;n_ldraw,c_nom+phi_t+phi_l/2,NA())</f>
        <v/>
      </c>
    </row>
    <row r="82">
      <c r="P82">
        <f>IF(inputs_ok,IF(79&lt;n_ldraw,-B_f/2+c_nom+phi_l/2+79*s_l,NA()),NA())</f>
        <v/>
      </c>
      <c r="Q82">
        <f>IF(79&lt;n_ldraw,c_nom+phi_t+phi_l/2,NA())</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50"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51" t="inlineStr">
        <is>
          <t>Parameter</t>
        </is>
      </c>
      <c r="C5" s="51" t="inlineStr">
        <is>
          <t>Clause</t>
        </is>
      </c>
      <c r="D5" s="51" t="inlineStr">
        <is>
          <t>UK NA</t>
        </is>
      </c>
      <c r="E5" s="51" t="inlineStr">
        <is>
          <t>PL NA</t>
        </is>
      </c>
      <c r="F5" s="51" t="inlineStr">
        <is>
          <t>Notes</t>
        </is>
      </c>
    </row>
    <row r="6">
      <c r="B6" s="52" t="inlineStr">
        <is>
          <t>Partial factor, concrete  γc</t>
        </is>
      </c>
      <c r="C6" s="53" t="inlineStr">
        <is>
          <t>2.4.2.4(1)</t>
        </is>
      </c>
      <c r="D6" s="54" t="n">
        <v>1.5</v>
      </c>
      <c r="E6" s="54" t="n">
        <v>1.4</v>
      </c>
      <c r="F6" s="53" t="inlineStr">
        <is>
          <t>Persistent &amp; transient. UK NA: recommended; PL: NA.2, Table NA.2</t>
        </is>
      </c>
    </row>
    <row r="7">
      <c r="B7" s="52" t="inlineStr">
        <is>
          <t>Partial factor, reinforcement  γs</t>
        </is>
      </c>
      <c r="C7" s="53" t="inlineStr">
        <is>
          <t>2.4.2.4(1)</t>
        </is>
      </c>
      <c r="D7" s="54" t="n">
        <v>1.15</v>
      </c>
      <c r="E7" s="54" t="n">
        <v>1.15</v>
      </c>
      <c r="F7" s="53" t="inlineStr">
        <is>
          <t>UK NA: recommended; PL: NA.2, Table NA.2</t>
        </is>
      </c>
    </row>
    <row r="8">
      <c r="B8" s="52" t="inlineStr">
        <is>
          <t>αcc  (compression in flexure / axial)</t>
        </is>
      </c>
      <c r="C8" s="53" t="inlineStr">
        <is>
          <t>3.1.6(1)</t>
        </is>
      </c>
      <c r="D8" s="54" t="n">
        <v>0.85</v>
      </c>
      <c r="E8" s="54" t="n">
        <v>1</v>
      </c>
      <c r="F8" s="53" t="inlineStr">
        <is>
          <t>UK NA: 0.85; PL: recommended (NA.9)</t>
        </is>
      </c>
    </row>
    <row r="9">
      <c r="B9" s="52" t="inlineStr">
        <is>
          <t>αcc,pl  (plain concrete, compression)</t>
        </is>
      </c>
      <c r="C9" s="53" t="inlineStr">
        <is>
          <t>12.3.1(1)</t>
        </is>
      </c>
      <c r="D9" s="54" t="n">
        <v>0.6</v>
      </c>
      <c r="E9" s="54" t="n">
        <v>0.8</v>
      </c>
      <c r="F9" s="53" t="inlineStr">
        <is>
          <t>UK NA Table NA.1: 0.6; PL: recommended (NA.9)</t>
        </is>
      </c>
    </row>
    <row r="10">
      <c r="B10" s="52" t="inlineStr">
        <is>
          <t>αcc  (shear and punching)</t>
        </is>
      </c>
      <c r="C10" s="53" t="inlineStr">
        <is>
          <t>3.1.6(1)</t>
        </is>
      </c>
      <c r="D10" s="54" t="n">
        <v>1</v>
      </c>
      <c r="E10" s="54" t="n">
        <v>1</v>
      </c>
      <c r="F10" s="53" t="inlineStr">
        <is>
          <t>UK NA: 1.0 for other phenomena; PL: recommended (NA.9)</t>
        </is>
      </c>
    </row>
    <row r="11">
      <c r="B11" s="52" t="inlineStr">
        <is>
          <t>αct  (design tensile strength)</t>
        </is>
      </c>
      <c r="C11" s="53" t="inlineStr">
        <is>
          <t>3.1.6(2)</t>
        </is>
      </c>
      <c r="D11" s="54" t="n">
        <v>1</v>
      </c>
      <c r="E11" s="54" t="n">
        <v>1</v>
      </c>
      <c r="F11" s="53" t="inlineStr">
        <is>
          <t>Recommended value in both annexes</t>
        </is>
      </c>
    </row>
    <row r="12">
      <c r="B12" s="52" t="inlineStr">
        <is>
          <t>CRd,c numerator  (CRd,c = value / γc)</t>
        </is>
      </c>
      <c r="C12" s="53" t="inlineStr">
        <is>
          <t>6.2.2(1), 6.4.4(1)</t>
        </is>
      </c>
      <c r="D12" s="54" t="n">
        <v>0.18</v>
      </c>
      <c r="E12" s="54" t="n">
        <v>0.18</v>
      </c>
      <c r="F12" s="53" t="inlineStr">
        <is>
          <t>Recommended value in both annexes</t>
        </is>
      </c>
    </row>
    <row r="13">
      <c r="B13" s="52" t="inlineStr">
        <is>
          <t>k1  (axial stress term, punching)</t>
        </is>
      </c>
      <c r="C13" s="53" t="inlineStr">
        <is>
          <t>6.4.4(1)</t>
        </is>
      </c>
      <c r="D13" s="54" t="n">
        <v>0.1</v>
      </c>
      <c r="E13" s="54" t="n">
        <v>0.1</v>
      </c>
      <c r="F13" s="53" t="inlineStr">
        <is>
          <t>Recommended value in both annexes</t>
        </is>
      </c>
    </row>
    <row r="14">
      <c r="B14" s="52" t="inlineStr">
        <is>
          <t>vRd,max factor  (vRd,max = factor · ν · fcd)</t>
        </is>
      </c>
      <c r="C14" s="53" t="inlineStr">
        <is>
          <t>6.4.5(3)</t>
        </is>
      </c>
      <c r="D14" s="54" t="n">
        <v>0.5</v>
      </c>
      <c r="E14" s="54" t="n">
        <v>0.4</v>
      </c>
      <c r="F14" s="53" t="inlineStr">
        <is>
          <t>UK NA: 0.5 ν fcd; PL: recommended value (NA.9), 0.4 ν fcd since EN 1992-1-1 AC:2010 (PN-EN 1992-1-1:2008/AC:2011)</t>
        </is>
      </c>
    </row>
    <row r="15">
      <c r="B15" s="52" t="inlineStr">
        <is>
          <t>kmax  (vEd ≤ kmax · vRd,c at u1)</t>
        </is>
      </c>
      <c r="C15" s="53" t="inlineStr">
        <is>
          <t>6.4.5</t>
        </is>
      </c>
      <c r="D15" s="54" t="n">
        <v>2</v>
      </c>
      <c r="E15" s="54" t="n">
        <v>1.5</v>
      </c>
      <c r="F15" s="53" t="inlineStr">
        <is>
          <t>UK NA 6.4.5(3): 2 vRd,c. PL: no limit in PN-EN 1992-1-1:2008; 1.5 (A1:2014 recommendation) applied conservatively</t>
        </is>
      </c>
    </row>
    <row r="16">
      <c r="B16" s="52" t="inlineStr">
        <is>
          <t>φlarge  (large bar threshold, mm)</t>
        </is>
      </c>
      <c r="C16" s="53" t="inlineStr">
        <is>
          <t>8.8(1)</t>
        </is>
      </c>
      <c r="D16" s="54" t="n">
        <v>40</v>
      </c>
      <c r="E16" s="54" t="n">
        <v>32</v>
      </c>
      <c r="F16" s="53" t="inlineStr">
        <is>
          <t>UK NA: 40 mm; PL: 32 mm recommended (NA.9)</t>
        </is>
      </c>
    </row>
    <row r="17">
      <c r="B17" s="52" t="inlineStr">
        <is>
          <t>cot θ upper limit  (variable strut)</t>
        </is>
      </c>
      <c r="C17" s="53" t="inlineStr">
        <is>
          <t>6.2.3(2)</t>
        </is>
      </c>
      <c r="D17" s="54" t="n">
        <v>2.5</v>
      </c>
      <c r="E17" s="54" t="n">
        <v>2</v>
      </c>
      <c r="F17" s="53" t="inlineStr">
        <is>
          <t>UK NA: 2.5 (1.25 with axial tension); PL: NA.4, 1 ≤ cot θ ≤ 2.0</t>
        </is>
      </c>
    </row>
    <row r="18">
      <c r="B18" s="52" t="inlineStr">
        <is>
          <t>k1  (x/d limit, δ ≥ k1 + k2 xu/d)</t>
        </is>
      </c>
      <c r="C18" s="53" t="inlineStr">
        <is>
          <t>5.5(4)</t>
        </is>
      </c>
      <c r="D18" s="54" t="n">
        <v>0.4</v>
      </c>
      <c r="E18" s="54" t="n">
        <v>0.44</v>
      </c>
      <c r="F18" s="53" t="inlineStr">
        <is>
          <t>UK NA for fyk ≤ 500 MPa; PL: recommended (NA.9)</t>
        </is>
      </c>
    </row>
    <row r="19">
      <c r="B19" s="52" t="inlineStr">
        <is>
          <t>k2  (x/d limit, εcu2 = 0.0035)</t>
        </is>
      </c>
      <c r="C19" s="53" t="inlineStr">
        <is>
          <t>5.5(4)</t>
        </is>
      </c>
      <c r="D19" s="54" t="n">
        <v>1</v>
      </c>
      <c r="E19" s="54" t="n">
        <v>1.25</v>
      </c>
      <c r="F19" s="53" t="inlineStr">
        <is>
          <t>UK NA: 0.6 + 0.0014/εcu2; PL: 1.25(0.6 + 0.0014/εcu2)</t>
        </is>
      </c>
    </row>
    <row r="20">
      <c r="B20" s="52" t="inlineStr">
        <is>
          <t>Upper limit on the (310/σs) factor  (0 = none)</t>
        </is>
      </c>
      <c r="C20" s="53" t="inlineStr">
        <is>
          <t>7.4.2(2)</t>
        </is>
      </c>
      <c r="D20" s="54" t="n">
        <v>1.5</v>
      </c>
      <c r="E20" s="54" t="n">
        <v>0</v>
      </c>
      <c r="F20" s="53" t="inlineStr">
        <is>
          <t>UK NA Table NA.5 Note 5: (310/σs) or (500/fyk)(As,prov/As,req) ≤ 1.5; PL: none</t>
        </is>
      </c>
    </row>
    <row r="21">
      <c r="B21" s="52" t="inlineStr">
        <is>
          <t>L/d not to exceed 40 K  (1 = applies)</t>
        </is>
      </c>
      <c r="C21" s="53" t="inlineStr">
        <is>
          <t>7.4.2(2)</t>
        </is>
      </c>
      <c r="D21" s="54" t="n">
        <v>1</v>
      </c>
      <c r="E21" s="54" t="n">
        <v>0</v>
      </c>
      <c r="F21" s="53" t="inlineStr">
        <is>
          <t>UK NA Table NA.5 Note 6; not in EN text</t>
        </is>
      </c>
    </row>
    <row r="22">
      <c r="B22" s="52" t="inlineStr">
        <is>
          <t>φmin  (longitudinal bars in columns, mm)</t>
        </is>
      </c>
      <c r="C22" s="53" t="inlineStr">
        <is>
          <t>9.5.2(1)</t>
        </is>
      </c>
      <c r="D22" s="54" t="n">
        <v>12</v>
      </c>
      <c r="E22" s="54" t="n">
        <v>6</v>
      </c>
      <c r="F22" s="53" t="inlineStr">
        <is>
          <t>UK NA: 12 mm; PL: NA.6, 6 mm</t>
        </is>
      </c>
    </row>
    <row r="23">
      <c r="B23" s="52" t="inlineStr">
        <is>
          <t>k3  (crack spacing)</t>
        </is>
      </c>
      <c r="C23" s="53" t="inlineStr">
        <is>
          <t>7.3.4(3)</t>
        </is>
      </c>
      <c r="D23" s="54" t="n">
        <v>3.4</v>
      </c>
      <c r="E23" s="54" t="n">
        <v>3.4</v>
      </c>
      <c r="F23" s="53" t="inlineStr">
        <is>
          <t>Recommended value in both annexes</t>
        </is>
      </c>
    </row>
    <row r="24">
      <c r="B24" s="52" t="inlineStr">
        <is>
          <t>k4  (crack spacing)</t>
        </is>
      </c>
      <c r="C24" s="53" t="inlineStr">
        <is>
          <t>7.3.4(3)</t>
        </is>
      </c>
      <c r="D24" s="54" t="n">
        <v>0.425</v>
      </c>
      <c r="E24" s="54" t="n">
        <v>0.425</v>
      </c>
      <c r="F24" s="53" t="inlineStr">
        <is>
          <t>Recommended value in both annexes</t>
        </is>
      </c>
    </row>
    <row r="25">
      <c r="B25" s="52" t="inlineStr">
        <is>
          <t>k1  (concrete stress, characteristic; XD, XF, XS)</t>
        </is>
      </c>
      <c r="C25" s="53" t="inlineStr">
        <is>
          <t>7.2(2)</t>
        </is>
      </c>
      <c r="D25" s="54" t="n">
        <v>0.6</v>
      </c>
      <c r="E25" s="54" t="n">
        <v>1</v>
      </c>
      <c r="F25" s="53" t="inlineStr">
        <is>
          <t>UK NA: recommended; PL: NA.5, k1 = 1.0</t>
        </is>
      </c>
    </row>
    <row r="26">
      <c r="B26" s="52" t="inlineStr">
        <is>
          <t>k2  (concrete stress, quasi-permanent; linear creep)</t>
        </is>
      </c>
      <c r="C26" s="53" t="inlineStr">
        <is>
          <t>7.2(3)</t>
        </is>
      </c>
      <c r="D26" s="54" t="n">
        <v>0.45</v>
      </c>
      <c r="E26" s="54" t="n">
        <v>0.45</v>
      </c>
      <c r="F26" s="53" t="inlineStr">
        <is>
          <t>Recommended value in both annexes (UK NA; PL NA.9)</t>
        </is>
      </c>
    </row>
    <row r="27">
      <c r="B27" s="52" t="inlineStr">
        <is>
          <t>k3  (steel stress, characteristic)</t>
        </is>
      </c>
      <c r="C27" s="53" t="inlineStr">
        <is>
          <t>7.2(5)</t>
        </is>
      </c>
      <c r="D27" s="54" t="n">
        <v>0.8</v>
      </c>
      <c r="E27" s="54" t="n">
        <v>0.8</v>
      </c>
      <c r="F27" s="53" t="inlineStr">
        <is>
          <t>Recommended value in both annexes (UK NA; PL NA.9)</t>
        </is>
      </c>
    </row>
    <row r="28">
      <c r="B28" s="52" t="inlineStr">
        <is>
          <t>k4  (steel stress, imposed deformation)</t>
        </is>
      </c>
      <c r="C28" s="53" t="inlineStr">
        <is>
          <t>7.2(5)</t>
        </is>
      </c>
      <c r="D28" s="54" t="n">
        <v>1</v>
      </c>
      <c r="E28" s="54" t="n">
        <v>1</v>
      </c>
      <c r="F28" s="53"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&amp;K8A8A8ANAE-RC-030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NAE-RC-030 Strip footing</dc:title>
  <dc:subject xmlns:dc="http://purl.org/dc/elements/1.1/">Reinforced concrete strip footing under a wall  ·  EN 1992-1-1 §6.2, §9.3, §9.8  ·  UK NA / PN-EN</dc:subject>
  <dcterms:created xmlns:dcterms="http://purl.org/dc/terms/" xmlns:xsi="http://www.w3.org/2001/XMLSchema-instance" xsi:type="dcterms:W3CDTF">2026-10-30T10:58:39Z</dcterms:created>
  <dcterms:modified xmlns:dcterms="http://purl.org/dc/terms/" xmlns:xsi="http://www.w3.org/2001/XMLSchema-instance" xsi:type="dcterms:W3CDTF">2026-10-30T10:58:39Z</dcterms:modified>
  <cp:lastModifiedBy>NA Engineering sp. z o.o.</cp:lastModifiedBy>
  <cp:keywords>NA Engineering; Eurocode 2; EN 1992-1-1</cp:keywords>
</cp:coreProperties>
</file>