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la_ax">'Calculation'!$E$14</definedName>
    <definedName name="la_ay">'Calculation'!$E$15</definedName>
    <definedName name="la_Bx">'Calculation'!$E$16</definedName>
    <definedName name="la_By">'Calculation'!$E$17</definedName>
    <definedName name="la_ex">'Calculation'!$E$18</definedName>
    <definedName name="la_ey">'Calculation'!$E$19</definedName>
    <definedName name="la_H">'Calculation'!$E$20</definedName>
    <definedName name="la_nx">'Calculation'!$E$21</definedName>
    <definedName name="la_px">'Calculation'!$E$22</definedName>
    <definedName name="la_ny">'Calculation'!$E$23</definedName>
    <definedName name="la_py">'Calculation'!$E$24</definedName>
    <definedName name="la_F">'Calculation'!$E$27</definedName>
    <definedName name="inputs_ok">IFERROR(AND(OR(NA_sel="UK NA (BS EN)",NA_sel="PL NA (PN-EN)"),OR(conc_class="C20/25",conc_class="C25/30",conc_class="C28/35",conc_class="C30/37",conc_class="C32/40",conc_class="C35/45",conc_class="C40/50",conc_class="C45/55",conc_class="C50/60"),ISNUMBER(f_yk),f_yk&gt;0,ISNUMBER(la_ax),la_ax&gt;0,ISNUMBER(la_ay),la_ay&gt;0,ISNUMBER(la_Bx),la_Bx&gt;0,ISNUMBER(la_By),la_By&gt;0,ISNUMBER(la_ex),la_ex&gt;=0,ISNUMBER(la_ey),la_ey&gt;=0,ISNUMBER(la_H),la_H&gt;0,ISNUMBER(la_nx),la_nx&gt;=0,OR(AND(ISNUMBER(la_px),la_px=8),AND(ISNUMBER(la_px),la_px=10),AND(ISNUMBER(la_px),la_px=12),AND(ISNUMBER(la_px),la_px=16),AND(ISNUMBER(la_px),la_px=20),AND(ISNUMBER(la_px),la_px=25),AND(ISNUMBER(la_px),la_px=32),AND(ISNUMBER(la_px),la_px=40)),ISNUMBER(la_ny),la_ny&gt;=0,OR(AND(ISNUMBER(la_py),la_py=8),AND(ISNUMBER(la_py),la_py=10),AND(ISNUMBER(la_py),la_py=12),AND(ISNUMBER(la_py),la_py=16),AND(ISNUMBER(la_py),la_py=20),AND(ISNUMBER(la_py),la_py=25),AND(ISNUMBER(la_py),la_py=32),AND(ISNUMBER(la_py),la_py=40)),ISNUMBER(la_F),la_F&gt;0,AND(f_yk&gt;=400,f_yk&lt;=500,INT(la_nx)=la_nx,la_nx&lt;=20,INT(la_ny)=la_ny,la_ny&lt;=20,la_ax+la_ex&lt;=la_Bx,la_ay+la_ey&lt;=la_By)),FALSE)</definedName>
    <definedName name="input_status">'Calculation'!$G$28</definedName>
    <definedName name="bear_ok">IFERROR(la_F&lt;=FRdu_la,FALSE)</definedName>
    <definedName name="tx_ok">IFERROR(AND(NOT(outx_la),Asx_prov&gt;=Asx_req),FALSE)</definedName>
    <definedName name="ty_ok">IFERROR(AND(NOT(outy_la),Asy_prov&gt;=Asy_req),FALSE)</definedName>
    <definedName name="bear_status">'Calculation'!$G$31</definedName>
    <definedName name="tx_status">'Calculation'!$G$32</definedName>
    <definedName name="ty_status">'Calculation'!$G$33</definedName>
    <definedName name="gamma_c">'Calculation'!$E$62</definedName>
    <definedName name="gamma_s">'Calculation'!$E$63</definedName>
    <definedName name="alpha_cc">'Calculation'!$E$64</definedName>
    <definedName name="f_ck">'Calculation'!$E$65</definedName>
    <definedName name="f_ctm">'Calculation'!$E$66</definedName>
    <definedName name="fcd_la">'Calculation'!$E$67</definedName>
    <definedName name="fyd_la">'Calculation'!$E$68</definedName>
    <definedName name="Ac0_la">'Calculation'!$E$69</definedName>
    <definedName name="exm_la">'Calculation'!$E$70</definedName>
    <definedName name="eym_la">'Calculation'!$E$71</definedName>
    <definedName name="kx_la">'Calculation'!$E$72</definedName>
    <definedName name="ky_la">'Calculation'!$E$73</definedName>
    <definedName name="kh_la">'Calculation'!$E$74</definedName>
    <definedName name="k_la">'Calculation'!$E$75</definedName>
    <definedName name="la_b2">'Calculation'!$E$76</definedName>
    <definedName name="la_d2">'Calculation'!$E$77</definedName>
    <definedName name="FRdu_la">'Calculation'!$E$78</definedName>
    <definedName name="chk_bear">'Calculation'!$G$79</definedName>
    <definedName name="bx_la">'Calculation'!$E$82</definedName>
    <definedName name="discx_la">'Calculation'!$E$83</definedName>
    <definedName name="outx_la">AND(bx_la&gt;la_H/2,la_ax&gt;la_H/2)</definedName>
    <definedName name="ztx_la">'Calculation'!$E$85</definedName>
    <definedName name="Tx_la">'Calculation'!$E$87</definedName>
    <definedName name="Asx_req">'Calculation'!$E$88</definedName>
    <definedName name="Asx_prov">'Calculation'!$E$89</definedName>
    <definedName name="chk_tx">'Calculation'!$G$90</definedName>
    <definedName name="edgex_st">'Calculation'!$G$91</definedName>
    <definedName name="by_la">'Calculation'!$E$92</definedName>
    <definedName name="discy_la">'Calculation'!$E$93</definedName>
    <definedName name="outy_la">AND(by_la&gt;la_H/2,la_ay&gt;la_H/2)</definedName>
    <definedName name="zty_la">'Calculation'!$E$95</definedName>
    <definedName name="Ty_la">'Calculation'!$E$97</definedName>
    <definedName name="Asy_req">'Calculation'!$E$98</definedName>
    <definedName name="Asy_prov">'Calculation'!$E$99</definedName>
    <definedName name="chk_ty">'Calculation'!$G$100</definedName>
    <definedName name="edgey_st">'Calculation'!$G$101</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'Calculation'!$A$1:$H$105</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3">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49"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65" fontId="12" fillId="0" borderId="1" applyAlignment="1" pivotButton="0" quotePrefix="0" xfId="0">
      <alignment horizontal="center" vertical="center"/>
    </xf>
    <xf numFmtId="49"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member</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distribution area</v>
          </tx>
          <spPr>
            <a:ln xmlns:a="http://schemas.openxmlformats.org/drawingml/2006/main" w="15875">
              <a:solidFill>
                <a:srgbClr val="5B7F8A"/>
              </a:solidFill>
              <a:prstDash val="dash"/>
            </a:ln>
          </spPr>
          <marker>
            <symbol val="none"/>
            <spPr>
              <a:ln xmlns:a="http://schemas.openxmlformats.org/drawingml/2006/main">
                <a:prstDash val="solid"/>
              </a:ln>
            </spPr>
          </marker>
          <xVal>
            <numRef>
              <f>'Geometry'!$G$3:$G$7</f>
            </numRef>
          </xVal>
          <yVal>
            <numRef>
              <f>'Geometry'!$H$3:$H$7</f>
            </numRef>
          </yVal>
          <smooth val="0"/>
        </ser>
        <ser>
          <idx val="3"/>
          <order val="3"/>
          <tx>
            <v>prism x</v>
          </tx>
          <spPr>
            <a:ln xmlns:a="http://schemas.openxmlformats.org/drawingml/2006/main" w="12700">
              <a:solidFill>
                <a:srgbClr val="9A9A9A"/>
              </a:solidFill>
              <a:prstDash val="sysDot"/>
            </a:ln>
          </spPr>
          <marker>
            <symbol val="none"/>
            <spPr>
              <a:ln xmlns:a="http://schemas.openxmlformats.org/drawingml/2006/main">
                <a:prstDash val="solid"/>
              </a:ln>
            </spPr>
          </marker>
          <xVal>
            <numRef>
              <f>'Geometry'!$J$3:$J$7</f>
            </numRef>
          </xVal>
          <yVal>
            <numRef>
              <f>'Geometry'!$K$3:$K$7</f>
            </numRef>
          </yVal>
          <smooth val="0"/>
        </ser>
        <ser>
          <idx val="4"/>
          <order val="4"/>
          <tx>
            <v>prism y</v>
          </tx>
          <spPr>
            <a:ln xmlns:a="http://schemas.openxmlformats.org/drawingml/2006/main" w="12700">
              <a:solidFill>
                <a:srgbClr val="9A9A9A"/>
              </a:solidFill>
              <a:prstDash val="sysDot"/>
            </a:ln>
          </spPr>
          <marker>
            <symbol val="none"/>
            <spPr>
              <a:ln xmlns:a="http://schemas.openxmlformats.org/drawingml/2006/main">
                <a:prstDash val="solid"/>
              </a:ln>
            </spPr>
          </marker>
          <xVal>
            <numRef>
              <f>'Geometry'!$M$3:$M$7</f>
            </numRef>
          </xVal>
          <yVal>
            <numRef>
              <f>'Geometry'!$N$3:$N$7</f>
            </numRef>
          </yVal>
          <smooth val="0"/>
        </ser>
        <ser>
          <idx val="5"/>
          <order val="5"/>
          <tx>
            <v>loaded area</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'Geometry'!$P$3:$P$7</f>
            </numRef>
          </xVal>
          <yVal>
            <numRef>
              <f>'Geometry'!$Q$3:$Q$7</f>
            </numRef>
          </yVal>
          <smooth val="0"/>
        </ser>
        <ser>
          <idx val="6"/>
          <order val="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'Geometry'!$S$3:$S$4</f>
            </numRef>
          </xVal>
          <yVal>
            <numRef>
              <f>'Geometry'!$T$3:$T$4</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'Geometry'!$V$3</f>
            </numRef>
          </xVal>
          <yVal>
            <numRef>
              <f>'Geometry'!$W$3</f>
            </numRef>
          </yVal>
          <smooth val="0"/>
        </ser>
        <ser>
          <idx val="8"/>
          <order val="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'Geometry'!$AB$3</f>
            </numRef>
          </xVal>
          <yVal>
            <numRef>
              <f>'Geometry'!$AC$3</f>
            </numRef>
          </yVal>
          <smooth val="0"/>
        </ser>
        <ser>
          <idx val="10"/>
          <order val="1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'Geometry'!$AH$3</f>
            </numRef>
          </xVal>
          <yVal>
            <numRef>
              <f>'Geometry'!$AI$3</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'Geometry'!$AN$3</f>
            </numRef>
          </xVal>
          <yVal>
            <numRef>
              <f>'Geometry'!$AO$3</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'Geometry'!$AQ$3</f>
            </numRef>
          </xVal>
          <yVal>
            <numRef>
              <f>'Geometry'!$AR$3</f>
            </numRef>
          </yVal>
          <smooth val="0"/>
        </ser>
        <ser>
          <idx val="15"/>
          <order val="15"/>
          <tx>
            <v>frame</v>
          </tx>
          <spPr>
            <a:ln xmlns:a="http://schemas.openxmlformats.org/drawingml/2006/main">
              <a:noFill/>
              <a:prstDash val="solid"/>
            </a:ln>
          </spPr>
          <marker>
            <symbol val="none"/>
            <spPr>
              <a:ln xmlns:a="http://schemas.openxmlformats.org/drawingml/2006/main">
                <a:prstDash val="solid"/>
              </a:ln>
            </spPr>
          </marker>
          <xVal>
            <numRef>
              <f>'Geometry'!$AT$3:$AT$4</f>
            </numRef>
          </xVal>
          <yVal>
            <numRef>
              <f>'Geometry'!$AU$3:$AU$4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38</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Partially loaded area</t>
        </is>
      </c>
    </row>
    <row r="8" ht="20" customHeight="1">
      <c r="B8" s="4" t="inlineStr">
        <is>
          <t>Concentrated force on a partially loaded area  ·  EN 1992-1-1 §6.7, §6.5.3  ·  UK NA / PN-EN</t>
        </is>
      </c>
    </row>
    <row r="10">
      <c r="B10" s="5" t="inlineStr">
        <is>
          <t>Reference</t>
        </is>
      </c>
      <c r="C10" s="6" t="inlineStr">
        <is>
          <t>NAE-RC-029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Bearing resistance of concrete under a concentrated force on the end face of a member (a bearing, a column or beam seat, an anchor plate), with the transverse tension from the spreading of the force and the ties to carry it in the two directions across the force.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50.5" customHeight="1">
      <c r="B22" s="7" t="inlineStr">
        <is>
          <t>Uniform force on a rectangular loaded area Ac0 = ax ay on the end face of a rectangular member Bx × By, of length H in the direction of the force. Bearing: FRdu = Ac0 fcd √(Ac1/Ac0) ≤ 3.0 fcd Ac0 (6.63) with Ac1 the largest design distribution area of the same shape and centre (6.7(3), Figure 6.29): sides at most three times those of Ac0, inside the member (the nearer edge on each axis), and the spreading height H at least the increase of each side. fcd = αcc fck / γc with the αcc of the National Annex for compression (UK 0.85, conservative against the 1.0 the UK NA allows for other phenomena; PL 1.0). Ties: a local bursting calculation on the symmetric prism about the force (the idealisation used for anchorage zones: width b = a + 2 × the nearer edge distance, i.e. the member width less twice the eccentricity), with the stress fields of 6.5.3(3), Figure 6.25; Ac1 serves the bearing only. Partial discontinuity (b ≤ H/2): T = 0.25 (1 − a/b) F (6.58), ties spread over the depth about 0.1 b to b below the face. Full discontinuity (b &gt; H/2) with a ≤ H/2: the larger of (6.58) and 0.25 (1 − 0.7 a/H) F, i.e. (6.59) with its printed h read as H (the reading of the SIS interpretation service, the more onerous one), ties spread over 0.1 to 1.0 × H/2. Full discontinuity with a &gt; H/2 is outside Figure 6.25: the sheet reports FAIL (use a strut-and-tie model). The tie check is an area check: the spread of the bars, their anchorage (8.4) and the node resistance (6.5.4) are to be verified separately. The prism idealisation can understate the bursting of a highly eccentric force, and a force at an edge (b = a) gives no bursting tension from it: the sheet flags such a direction for a separate check. Spalling at the loaded face, a force not uniform on Ac0, high shear forces and several forces close together (6.7(2), (3)) need further checks. fyk 400 – 500 MPa.
The second-generation EN 1992-1-1:2023 is not yet implemented.</t>
        </is>
      </c>
    </row>
    <row r="24" ht="20" customHeight="1">
      <c r="B24" s="8" t="inlineStr">
        <is>
          <t>Further reading and independent cross-check</t>
        </is>
      </c>
      <c r="C24" s="9" t="n"/>
    </row>
    <row r="25" ht="105.5" customHeight="1">
      <c r="B25" s="10" t="inlineStr">
        <is>
          <t>•  The Concrete Centre, Concise Eurocode 2, 7.7 (partially loaded areas).
•  SIS, Swedish Institute for Standards, interpretation questions on SS-EN 1992-1-1, transverse tension (6.59) ("Dragkraft"): h read as H. Check the corrigenda and the National Annex edition in use.
•  IStructE, Manual for the design of concrete building structures to Eurocode 2 (bearings and local effects).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&amp;K8A8A8ANAE-RC-029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04"/>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Partially loaded area</t>
        </is>
      </c>
      <c r="H2" s="1" t="n"/>
    </row>
    <row r="3" ht="16" customHeight="1">
      <c r="A3" s="1" t="n"/>
      <c r="B3" s="1" t="n"/>
      <c r="C3" s="15" t="inlineStr">
        <is>
          <t>NAE-RC-029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loaded area and member</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Ties: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6.7(2)</t>
        </is>
      </c>
      <c r="C14" s="24" t="inlineStr">
        <is>
          <t>Loaded area: side along x</t>
        </is>
      </c>
      <c r="D14" s="27" t="inlineStr">
        <is>
          <r>
            <rPr>
              <rFont val="Calibri"/>
              <i val="1"/>
              <color rgb="002B2B2B"/>
              <sz val="10"/>
            </rPr>
            <t>a</t>
          </r>
          <r>
            <rPr>
              <rFont val="Calibri"/>
              <i val="1"/>
              <color rgb="002B2B2B"/>
              <sz val="10"/>
              <vertAlign val="subscript"/>
            </rPr>
            <t>x</t>
          </r>
        </is>
      </c>
      <c r="E14" s="25" t="n">
        <v>300</v>
      </c>
      <c r="F14" s="28" t="inlineStr">
        <is>
          <t>mm</t>
        </is>
      </c>
      <c r="G14" s="23" t="n"/>
    </row>
    <row r="15" ht="17" customHeight="1">
      <c r="B15" s="26" t="inlineStr">
        <is>
          <t>6.7(2)</t>
        </is>
      </c>
      <c r="C15" s="24" t="inlineStr">
        <is>
          <t>Loaded area: side along y</t>
        </is>
      </c>
      <c r="D15" s="27" t="inlineStr">
        <is>
          <r>
            <rPr>
              <rFont val="Calibri"/>
              <i val="1"/>
              <color rgb="002B2B2B"/>
              <sz val="10"/>
            </rPr>
            <t>a</t>
          </r>
          <r>
            <rPr>
              <rFont val="Calibri"/>
              <i val="1"/>
              <color rgb="002B2B2B"/>
              <sz val="10"/>
              <vertAlign val="subscript"/>
            </rPr>
            <t>y</t>
          </r>
        </is>
      </c>
      <c r="E15" s="25" t="n">
        <v>200</v>
      </c>
      <c r="F15" s="28" t="inlineStr">
        <is>
          <t>mm</t>
        </is>
      </c>
      <c r="G15" s="23" t="n"/>
    </row>
    <row r="16" ht="17" customHeight="1">
      <c r="B16" s="23" t="n"/>
      <c r="C16" s="24" t="inlineStr">
        <is>
          <t>Member: width along x</t>
        </is>
      </c>
      <c r="D16" s="27" t="inlineStr">
        <is>
          <r>
            <rPr>
              <rFont val="Calibri"/>
              <i val="1"/>
              <color rgb="002B2B2B"/>
              <sz val="10"/>
            </rPr>
            <t>B</t>
          </r>
          <r>
            <rPr>
              <rFont val="Calibri"/>
              <i val="1"/>
              <color rgb="002B2B2B"/>
              <sz val="10"/>
              <vertAlign val="subscript"/>
            </rPr>
            <t>x</t>
          </r>
        </is>
      </c>
      <c r="E16" s="25" t="n">
        <v>600</v>
      </c>
      <c r="F16" s="28" t="inlineStr">
        <is>
          <t>mm</t>
        </is>
      </c>
      <c r="G16" s="23" t="n"/>
    </row>
    <row r="17" ht="17" customHeight="1">
      <c r="B17" s="23" t="n"/>
      <c r="C17" s="24" t="inlineStr">
        <is>
          <t>Member: width along y</t>
        </is>
      </c>
      <c r="D17" s="27" t="inlineStr">
        <is>
          <r>
            <rPr>
              <rFont val="Calibri"/>
              <i val="1"/>
              <color rgb="002B2B2B"/>
              <sz val="10"/>
            </rPr>
            <t>B</t>
          </r>
          <r>
            <rPr>
              <rFont val="Calibri"/>
              <i val="1"/>
              <color rgb="002B2B2B"/>
              <sz val="10"/>
              <vertAlign val="subscript"/>
            </rPr>
            <t>y</t>
          </r>
        </is>
      </c>
      <c r="E17" s="25" t="n">
        <v>800</v>
      </c>
      <c r="F17" s="28" t="inlineStr">
        <is>
          <t>mm</t>
        </is>
      </c>
      <c r="G17" s="23" t="n"/>
    </row>
    <row r="18" ht="17" customHeight="1">
      <c r="B18" s="26" t="inlineStr">
        <is>
          <t>Figure 6.29</t>
        </is>
      </c>
      <c r="C18" s="24" t="inlineStr">
        <is>
          <t>Loaded area from the −x edge of the member</t>
        </is>
      </c>
      <c r="D18" s="27" t="inlineStr">
        <is>
          <r>
            <rPr>
              <rFont val="Calibri"/>
              <i val="1"/>
              <color rgb="002B2B2B"/>
              <sz val="10"/>
            </rPr>
            <t>e</t>
          </r>
          <r>
            <rPr>
              <rFont val="Calibri"/>
              <i val="1"/>
              <color rgb="002B2B2B"/>
              <sz val="10"/>
              <vertAlign val="subscript"/>
            </rPr>
            <t>x</t>
          </r>
        </is>
      </c>
      <c r="E18" s="25" t="n">
        <v>150</v>
      </c>
      <c r="F18" s="28" t="inlineStr">
        <is>
          <t>mm</t>
        </is>
      </c>
      <c r="G18" s="23" t="n"/>
    </row>
    <row r="19" ht="17" customHeight="1">
      <c r="B19" s="26" t="inlineStr">
        <is>
          <t>Figure 6.29</t>
        </is>
      </c>
      <c r="C19" s="24" t="inlineStr">
        <is>
          <t>Loaded area from the −y edge of the member</t>
        </is>
      </c>
      <c r="D19" s="27" t="inlineStr">
        <is>
          <r>
            <rPr>
              <rFont val="Calibri"/>
              <i val="1"/>
              <color rgb="002B2B2B"/>
              <sz val="10"/>
            </rPr>
            <t>e</t>
          </r>
          <r>
            <rPr>
              <rFont val="Calibri"/>
              <i val="1"/>
              <color rgb="002B2B2B"/>
              <sz val="10"/>
              <vertAlign val="subscript"/>
            </rPr>
            <t>y</t>
          </r>
        </is>
      </c>
      <c r="E19" s="25" t="n">
        <v>300</v>
      </c>
      <c r="F19" s="28" t="inlineStr">
        <is>
          <t>mm</t>
        </is>
      </c>
      <c r="G19" s="23" t="n"/>
    </row>
    <row r="20" ht="17" customHeight="1">
      <c r="B20" s="26" t="inlineStr">
        <is>
          <t>Figure 6.25</t>
        </is>
      </c>
      <c r="C20" s="24" t="inlineStr">
        <is>
          <t>Member length in the direction of the force</t>
        </is>
      </c>
      <c r="D20" s="27" t="inlineStr">
        <is>
          <r>
            <rPr>
              <rFont val="Calibri"/>
              <i val="1"/>
              <color rgb="002B2B2B"/>
              <sz val="10"/>
            </rPr>
            <t>H</t>
          </r>
        </is>
      </c>
      <c r="E20" s="25" t="n">
        <v>1500</v>
      </c>
      <c r="F20" s="28" t="inlineStr">
        <is>
          <t>mm</t>
        </is>
      </c>
      <c r="G20" s="23" t="n"/>
    </row>
    <row r="21" ht="17" customHeight="1">
      <c r="B21" s="26" t="inlineStr">
        <is>
          <t>6.7(4)</t>
        </is>
      </c>
      <c r="C21" s="24" t="inlineStr">
        <is>
          <t>Ties across x  (bars within the tie zone below the face)</t>
        </is>
      </c>
      <c r="D21" s="27" t="inlineStr">
        <is>
          <r>
            <rPr>
              <rFont val="Calibri"/>
              <i val="1"/>
              <color rgb="002B2B2B"/>
              <sz val="10"/>
            </rPr>
            <t>n</t>
          </r>
          <r>
            <rPr>
              <rFont val="Calibri"/>
              <i val="1"/>
              <color rgb="002B2B2B"/>
              <sz val="10"/>
              <vertAlign val="subscript"/>
            </rPr>
            <t>x</t>
          </r>
        </is>
      </c>
      <c r="E21" s="25" t="n">
        <v>4</v>
      </c>
      <c r="F21" s="23" t="n"/>
      <c r="G21" s="23" t="n"/>
    </row>
    <row r="22" ht="17" customHeight="1">
      <c r="B22" s="23" t="n"/>
      <c r="C22" s="24" t="inlineStr">
        <is>
          <t>Diameter</t>
        </is>
      </c>
      <c r="D22" s="27" t="inlineStr">
        <is>
          <r>
            <rPr>
              <rFont val="Calibri"/>
              <i val="1"/>
              <color rgb="002B2B2B"/>
              <sz val="10"/>
            </rPr>
            <t>φ</t>
          </r>
          <r>
            <rPr>
              <rFont val="Calibri"/>
              <i val="1"/>
              <color rgb="002B2B2B"/>
              <sz val="10"/>
              <vertAlign val="subscript"/>
            </rPr>
            <t>x</t>
          </r>
        </is>
      </c>
      <c r="E22" s="25" t="n">
        <v>12</v>
      </c>
      <c r="F22" s="28" t="inlineStr">
        <is>
          <t>mm</t>
        </is>
      </c>
      <c r="G22" s="23" t="n"/>
    </row>
    <row r="23" ht="17" customHeight="1">
      <c r="B23" s="26" t="inlineStr">
        <is>
          <t>6.7(4)</t>
        </is>
      </c>
      <c r="C23" s="24" t="inlineStr">
        <is>
          <t>Ties across y</t>
        </is>
      </c>
      <c r="D23" s="27" t="inlineStr">
        <is>
          <r>
            <rPr>
              <rFont val="Calibri"/>
              <i val="1"/>
              <color rgb="002B2B2B"/>
              <sz val="10"/>
            </rPr>
            <t>n</t>
          </r>
          <r>
            <rPr>
              <rFont val="Calibri"/>
              <i val="1"/>
              <color rgb="002B2B2B"/>
              <sz val="10"/>
              <vertAlign val="subscript"/>
            </rPr>
            <t>y</t>
          </r>
        </is>
      </c>
      <c r="E23" s="25" t="n">
        <v>4</v>
      </c>
      <c r="F23" s="23" t="n"/>
      <c r="G23" s="23" t="n"/>
    </row>
    <row r="24" ht="17" customHeight="1">
      <c r="B24" s="23" t="n"/>
      <c r="C24" s="24" t="inlineStr">
        <is>
          <t>Diameter</t>
        </is>
      </c>
      <c r="D24" s="27" t="inlineStr">
        <is>
          <r>
            <rPr>
              <rFont val="Calibri"/>
              <i val="1"/>
              <color rgb="002B2B2B"/>
              <sz val="10"/>
            </rPr>
            <t>φ</t>
          </r>
          <r>
            <rPr>
              <rFont val="Calibri"/>
              <i val="1"/>
              <color rgb="002B2B2B"/>
              <sz val="10"/>
              <vertAlign val="subscript"/>
            </rPr>
            <t>y</t>
          </r>
        </is>
      </c>
      <c r="E24" s="25" t="n">
        <v>16</v>
      </c>
      <c r="F24" s="28" t="inlineStr">
        <is>
          <t>mm</t>
        </is>
      </c>
      <c r="G24" s="23" t="n"/>
    </row>
    <row r="26" ht="22" customHeight="1">
      <c r="B26" s="20" t="inlineStr">
        <is>
          <t>Inputs  ·  design action</t>
        </is>
      </c>
      <c r="C26" s="21" t="n"/>
      <c r="D26" s="21" t="n"/>
      <c r="E26" s="21" t="n"/>
      <c r="F26" s="21" t="n"/>
      <c r="G26" s="22" t="inlineStr">
        <is>
          <t>Ultimate limit state</t>
        </is>
      </c>
    </row>
    <row r="27" ht="17" customHeight="1">
      <c r="B27" s="23" t="n"/>
      <c r="C27" s="24" t="inlineStr">
        <is>
          <t>Concentrated force, uniform on the loaded area</t>
        </is>
      </c>
      <c r="D27" s="27" t="inlineStr">
        <is>
          <r>
            <rPr>
              <rFont val="Calibri"/>
              <i val="1"/>
              <color rgb="002B2B2B"/>
              <sz val="10"/>
            </rPr>
            <t>F</t>
          </r>
          <r>
            <rPr>
              <rFont val="Calibri"/>
              <i val="1"/>
              <color rgb="002B2B2B"/>
              <sz val="10"/>
              <vertAlign val="subscript"/>
            </rPr>
            <t>Ed</t>
          </r>
        </is>
      </c>
      <c r="E27" s="29" t="n">
        <v>1500</v>
      </c>
      <c r="F27" s="28" t="inlineStr">
        <is>
          <t>kN</t>
        </is>
      </c>
      <c r="G27" s="23" t="n"/>
    </row>
    <row r="28" ht="17" customHeight="1">
      <c r="B28" s="23" t="n"/>
      <c r="C28" s="24" t="inlineStr">
        <is>
          <t>Inputs valid and consistent</t>
        </is>
      </c>
      <c r="D28" s="23" t="n"/>
      <c r="E28" s="9" t="n"/>
      <c r="F28" s="23" t="n"/>
      <c r="G28" s="30">
        <f>IF(inputs_ok,"OK","FAIL")</f>
        <v/>
      </c>
    </row>
    <row r="30" ht="22" customHeight="1">
      <c r="B30" s="20" t="inlineStr">
        <is>
          <t>Results</t>
        </is>
      </c>
      <c r="C30" s="21" t="n"/>
      <c r="D30" s="21" t="n"/>
      <c r="E30" s="21" t="n"/>
      <c r="F30" s="21" t="n"/>
      <c r="G30" s="21" t="n"/>
    </row>
    <row r="31" ht="26" customHeight="1">
      <c r="B31" s="31" t="n"/>
      <c r="C31" s="32" t="inlineStr">
        <is>
          <t>Bearing  FEd / FRdu  (6.63)</t>
        </is>
      </c>
      <c r="D31" s="31" t="n"/>
      <c r="E31" s="33">
        <f>IF(inputs_ok,la_F/FRdu_la,"–")</f>
        <v/>
      </c>
      <c r="F31" s="34" t="inlineStr"/>
      <c r="G31" s="35">
        <f>IF(NOT(inputs_ok),"FAIL",IF(bear_ok,"OK","FAIL"))</f>
        <v/>
      </c>
    </row>
    <row r="32" ht="26" customHeight="1">
      <c r="B32" s="31" t="n"/>
      <c r="C32" s="32" t="inlineStr">
        <is>
          <t>Ties across x, area  need / provided</t>
        </is>
      </c>
      <c r="D32" s="31" t="n"/>
      <c r="E32" s="33">
        <f>IF(inputs_ok,IF(outx_la,"outside Fig. 6.25",IF(Asx_req=0,0,IF(Asx_prov=0,"no ties",Asx_req/Asx_prov))),"–")</f>
        <v/>
      </c>
      <c r="F32" s="34" t="inlineStr"/>
      <c r="G32" s="35">
        <f>IF(NOT(inputs_ok),"FAIL",IF(tx_ok,IF(exm_la=0,"! Edge load","OK"),"FAIL"))</f>
        <v/>
      </c>
    </row>
    <row r="33" ht="26" customHeight="1">
      <c r="B33" s="31" t="n"/>
      <c r="C33" s="32" t="inlineStr">
        <is>
          <t>Ties across y, area  need / provided</t>
        </is>
      </c>
      <c r="D33" s="31" t="n"/>
      <c r="E33" s="33">
        <f>IF(inputs_ok,IF(outy_la,"outside Fig. 6.25",IF(Asy_req=0,0,IF(Asy_prov=0,"no ties",Asy_req/Asy_prov))),"–")</f>
        <v/>
      </c>
      <c r="F33" s="34" t="inlineStr"/>
      <c r="G33" s="35">
        <f>IF(NOT(inputs_ok),"FAIL",IF(ty_ok,IF(eym_la=0,"! Edge load","OK"),"FAIL"))</f>
        <v/>
      </c>
    </row>
    <row r="34" ht="26" customHeight="1">
      <c r="B34" s="31" t="n"/>
      <c r="C34" s="32" t="inlineStr">
        <is>
          <t>Bearing resistance</t>
        </is>
      </c>
      <c r="D34" s="36" t="inlineStr">
        <is>
          <r>
            <rPr>
              <rFont val="Calibri"/>
              <i val="1"/>
              <color rgb="002B2B2B"/>
              <sz val="11"/>
            </rPr>
            <t>F</t>
          </r>
          <r>
            <rPr>
              <rFont val="Calibri"/>
              <i val="1"/>
              <color rgb="002B2B2B"/>
              <sz val="11"/>
              <vertAlign val="subscript"/>
            </rPr>
            <t>Rdu</t>
          </r>
        </is>
      </c>
      <c r="E34" s="37">
        <f>IF(inputs_ok,FRdu_la,"–")</f>
        <v/>
      </c>
      <c r="F34" s="34" t="inlineStr">
        <is>
          <t>kN</t>
        </is>
      </c>
      <c r="G34" s="31" t="n"/>
    </row>
    <row r="35" ht="26" customHeight="1">
      <c r="B35" s="31" t="n"/>
      <c r="C35" s="32" t="inlineStr">
        <is>
          <t>Enhancement  √(Ac1 / Ac0)  (≤ 3)</t>
        </is>
      </c>
      <c r="D35" s="31" t="n"/>
      <c r="E35" s="33">
        <f>IF(inputs_ok,k_la,"–")</f>
        <v/>
      </c>
      <c r="F35" s="34" t="inlineStr"/>
      <c r="G35" s="31" t="n"/>
    </row>
    <row r="36" ht="26" customHeight="1">
      <c r="B36" s="31" t="n"/>
      <c r="C36" s="32" t="inlineStr">
        <is>
          <t>Ties needed  across x / across y</t>
        </is>
      </c>
      <c r="D36" s="36" t="inlineStr">
        <is>
          <r>
            <rPr>
              <rFont val="Calibri"/>
              <i val="1"/>
              <color rgb="002B2B2B"/>
              <sz val="11"/>
            </rPr>
            <t>A</t>
          </r>
          <r>
            <rPr>
              <rFont val="Calibri"/>
              <i val="1"/>
              <color rgb="002B2B2B"/>
              <sz val="11"/>
              <vertAlign val="subscript"/>
            </rPr>
            <t>s</t>
          </r>
        </is>
      </c>
      <c r="E36" s="38">
        <f>IF(inputs_ok,TEXT(Asx_req,"0")&amp;" / "&amp;TEXT(Asy_req,"0"),"–")</f>
        <v/>
      </c>
      <c r="F36" s="34" t="inlineStr">
        <is>
          <t>mm²</t>
        </is>
      </c>
      <c r="G36" s="31" t="n"/>
    </row>
    <row r="37"/>
    <row r="38">
      <c r="B38" s="39" t="inlineStr">
        <is>
          <t>Your bearing, to scale  ·  plan of the member: loaded area (solid), design distribution area Ac1 for the bearing (dashed) and the symmetric prisms that size the ties (dotted)</t>
        </is>
      </c>
    </row>
    <row r="39"/>
    <row r="40"/>
    <row r="41"/>
    <row r="42"/>
    <row r="43"/>
    <row r="44"/>
    <row r="45"/>
    <row r="46"/>
    <row r="47"/>
    <row r="48"/>
    <row r="49"/>
    <row r="50"/>
    <row r="51"/>
    <row r="52"/>
    <row r="53"/>
    <row r="54"/>
    <row r="55"/>
    <row r="56"/>
    <row r="57"/>
    <row r="58"/>
    <row r="59"/>
    <row r="60"/>
    <row r="61" ht="22" customHeight="1">
      <c r="B61" s="20" t="inlineStr">
        <is>
          <t>Calculation  ·  bearing</t>
        </is>
      </c>
      <c r="C61" s="21" t="n"/>
      <c r="D61" s="21" t="n"/>
      <c r="E61" s="21" t="n"/>
      <c r="F61" s="21" t="n"/>
      <c r="G61" s="21" t="n"/>
    </row>
    <row r="62" ht="17" customHeight="1">
      <c r="B62" s="26" t="inlineStr">
        <is>
          <t>2.4.2.4(1)</t>
        </is>
      </c>
      <c r="C62" s="24" t="inlineStr">
        <is>
          <t>Partial factor, concrete</t>
        </is>
      </c>
      <c r="D62" s="27" t="inlineStr">
        <is>
          <r>
            <rPr>
              <rFont val="Calibri"/>
              <i val="1"/>
              <color rgb="002B2B2B"/>
              <sz val="10"/>
            </rPr>
            <t>γ</t>
          </r>
          <r>
            <rPr>
              <rFont val="Calibri"/>
              <i val="1"/>
              <color rgb="002B2B2B"/>
              <sz val="10"/>
              <vertAlign val="subscript"/>
            </rPr>
            <t>c</t>
          </r>
        </is>
      </c>
      <c r="E62" s="40">
        <f>IF(inputs_ok,ndp_gamma_c,NA())</f>
        <v/>
      </c>
      <c r="F62" s="23" t="n"/>
      <c r="G62" s="26" t="inlineStr">
        <is>
          <t>NDP sheet</t>
        </is>
      </c>
    </row>
    <row r="63" ht="17" customHeight="1">
      <c r="B63" s="26" t="inlineStr">
        <is>
          <t>2.4.2.4(1)</t>
        </is>
      </c>
      <c r="C63" s="24" t="inlineStr">
        <is>
          <t>Partial factor, reinforcement</t>
        </is>
      </c>
      <c r="D63" s="27" t="inlineStr">
        <is>
          <r>
            <rPr>
              <rFont val="Calibri"/>
              <i val="1"/>
              <color rgb="002B2B2B"/>
              <sz val="10"/>
            </rPr>
            <t>γ</t>
          </r>
          <r>
            <rPr>
              <rFont val="Calibri"/>
              <i val="1"/>
              <color rgb="002B2B2B"/>
              <sz val="10"/>
              <vertAlign val="subscript"/>
            </rPr>
            <t>s</t>
          </r>
        </is>
      </c>
      <c r="E63" s="40">
        <f>IF(inputs_ok,ndp_gamma_s,NA())</f>
        <v/>
      </c>
      <c r="F63" s="23" t="n"/>
      <c r="G63" s="26" t="inlineStr">
        <is>
          <t>NDP sheet</t>
        </is>
      </c>
    </row>
    <row r="64" ht="17" customHeight="1">
      <c r="B64" s="26" t="inlineStr">
        <is>
          <t>3.1.6(1)</t>
        </is>
      </c>
      <c r="C64" s="24" t="inlineStr">
        <is>
          <t>Coefficient on compressive strength (flexure)</t>
        </is>
      </c>
      <c r="D64" s="27" t="inlineStr">
        <is>
          <r>
            <rPr>
              <rFont val="Calibri"/>
              <i val="1"/>
              <color rgb="002B2B2B"/>
              <sz val="10"/>
            </rPr>
            <t>α</t>
          </r>
          <r>
            <rPr>
              <rFont val="Calibri"/>
              <i val="1"/>
              <color rgb="002B2B2B"/>
              <sz val="10"/>
              <vertAlign val="subscript"/>
            </rPr>
            <t>cc</t>
          </r>
        </is>
      </c>
      <c r="E64" s="40">
        <f>IF(inputs_ok,ndp_alpha_cc,NA())</f>
        <v/>
      </c>
      <c r="F64" s="23" t="n"/>
      <c r="G64" s="26" t="inlineStr">
        <is>
          <t>NDP sheet</t>
        </is>
      </c>
    </row>
    <row r="65" ht="17" customHeight="1">
      <c r="B65" s="26" t="inlineStr">
        <is>
          <t>Table 3.1</t>
        </is>
      </c>
      <c r="C65" s="24" t="inlineStr">
        <is>
          <t>Characteristic cylinder strength</t>
        </is>
      </c>
      <c r="D65" s="27" t="inlineStr">
        <is>
          <r>
            <rPr>
              <rFont val="Calibri"/>
              <i val="1"/>
              <color rgb="002B2B2B"/>
              <sz val="10"/>
            </rPr>
            <t>f</t>
          </r>
          <r>
            <rPr>
              <rFont val="Calibri"/>
              <i val="1"/>
              <color rgb="002B2B2B"/>
              <sz val="10"/>
              <vertAlign val="subscript"/>
            </rPr>
            <t>ck</t>
          </r>
        </is>
      </c>
      <c r="E65" s="41">
        <f>IF(inputs_ok,VALUE(MID(conc_class,2,FIND("/",conc_class)-2)),NA())</f>
        <v/>
      </c>
      <c r="F65" s="28" t="inlineStr">
        <is>
          <t>MPa</t>
        </is>
      </c>
      <c r="G65" s="23" t="n"/>
    </row>
    <row r="66" ht="17" customHeight="1">
      <c r="B66" s="26" t="inlineStr">
        <is>
          <t>Table 3.1</t>
        </is>
      </c>
      <c r="C66" s="24" t="inlineStr">
        <is>
          <t>Mean tensile strength</t>
        </is>
      </c>
      <c r="D66" s="27" t="inlineStr">
        <is>
          <r>
            <rPr>
              <rFont val="Calibri"/>
              <i val="1"/>
              <color rgb="002B2B2B"/>
              <sz val="10"/>
            </rPr>
            <t>f</t>
          </r>
          <r>
            <rPr>
              <rFont val="Calibri"/>
              <i val="1"/>
              <color rgb="002B2B2B"/>
              <sz val="10"/>
              <vertAlign val="subscript"/>
            </rPr>
            <t>ctm</t>
          </r>
        </is>
      </c>
      <c r="E66" s="40">
        <f>IF(inputs_ok,IF(f_ck&lt;=50,0.3*f_ck^(2/3),2.12*LN(1+(f_ck+8)/10)),NA())</f>
        <v/>
      </c>
      <c r="F66" s="28" t="inlineStr">
        <is>
          <t>MPa</t>
        </is>
      </c>
      <c r="G66" s="23" t="n"/>
    </row>
    <row r="67" ht="17" customHeight="1">
      <c r="B67" s="26" t="inlineStr">
        <is>
          <t>3.1.6(1)</t>
        </is>
      </c>
      <c r="C67" s="24" t="inlineStr">
        <is>
          <t>Design compressive strength  αcc fck / γc</t>
        </is>
      </c>
      <c r="D67" s="27" t="inlineStr">
        <is>
          <r>
            <rPr>
              <rFont val="Calibri"/>
              <i val="1"/>
              <color rgb="002B2B2B"/>
              <sz val="10"/>
            </rPr>
            <t>f</t>
          </r>
          <r>
            <rPr>
              <rFont val="Calibri"/>
              <i val="1"/>
              <color rgb="002B2B2B"/>
              <sz val="10"/>
              <vertAlign val="subscript"/>
            </rPr>
            <t>cd</t>
          </r>
        </is>
      </c>
      <c r="E67" s="40">
        <f>IF(inputs_ok,alpha_cc*f_ck/gamma_c,NA())</f>
        <v/>
      </c>
      <c r="F67" s="28" t="inlineStr">
        <is>
          <t>MPa</t>
        </is>
      </c>
      <c r="G67" s="23" t="n"/>
    </row>
    <row r="68" ht="17" customHeight="1">
      <c r="B68" s="26" t="inlineStr">
        <is>
          <t>3.2.7</t>
        </is>
      </c>
      <c r="C68" s="24" t="inlineStr">
        <is>
          <t>Design yield strength</t>
        </is>
      </c>
      <c r="D68" s="27" t="inlineStr">
        <is>
          <r>
            <rPr>
              <rFont val="Calibri"/>
              <i val="1"/>
              <color rgb="002B2B2B"/>
              <sz val="10"/>
            </rPr>
            <t>f</t>
          </r>
          <r>
            <rPr>
              <rFont val="Calibri"/>
              <i val="1"/>
              <color rgb="002B2B2B"/>
              <sz val="10"/>
              <vertAlign val="subscript"/>
            </rPr>
            <t>yd</t>
          </r>
        </is>
      </c>
      <c r="E68" s="42">
        <f>IF(inputs_ok,f_yk/gamma_s,NA())</f>
        <v/>
      </c>
      <c r="F68" s="28" t="inlineStr">
        <is>
          <t>MPa</t>
        </is>
      </c>
      <c r="G68" s="23" t="n"/>
    </row>
    <row r="69" ht="17" customHeight="1">
      <c r="B69" s="26" t="inlineStr">
        <is>
          <t>6.7(2)</t>
        </is>
      </c>
      <c r="C69" s="24" t="inlineStr">
        <is>
          <t>Loaded area  ax ay</t>
        </is>
      </c>
      <c r="D69" s="27" t="inlineStr">
        <is>
          <r>
            <rPr>
              <rFont val="Calibri"/>
              <i val="1"/>
              <color rgb="002B2B2B"/>
              <sz val="10"/>
            </rPr>
            <t>A</t>
          </r>
          <r>
            <rPr>
              <rFont val="Calibri"/>
              <i val="1"/>
              <color rgb="002B2B2B"/>
              <sz val="10"/>
              <vertAlign val="subscript"/>
            </rPr>
            <t>c0</t>
          </r>
        </is>
      </c>
      <c r="E69" s="41">
        <f>IF(inputs_ok,la_ax*la_ay,NA())</f>
        <v/>
      </c>
      <c r="F69" s="28" t="inlineStr">
        <is>
          <t>mm²</t>
        </is>
      </c>
      <c r="G69" s="23" t="n"/>
    </row>
    <row r="70" ht="17" customHeight="1">
      <c r="B70" s="23" t="n"/>
      <c r="C70" s="24" t="inlineStr">
        <is>
          <t>Nearer edge distance along x  min(ex; Bx − ax − ex)</t>
        </is>
      </c>
      <c r="D70" s="27" t="inlineStr">
        <is>
          <r>
            <rPr>
              <rFont val="Calibri"/>
              <i val="1"/>
              <color rgb="002B2B2B"/>
              <sz val="10"/>
            </rPr>
            <t>e</t>
          </r>
          <r>
            <rPr>
              <rFont val="Calibri"/>
              <i val="1"/>
              <color rgb="002B2B2B"/>
              <sz val="10"/>
              <vertAlign val="subscript"/>
            </rPr>
            <t>x,min</t>
          </r>
        </is>
      </c>
      <c r="E70" s="41">
        <f>IF(inputs_ok,MIN(la_ex,la_Bx-la_ax-la_ex),NA())</f>
        <v/>
      </c>
      <c r="F70" s="28" t="inlineStr">
        <is>
          <t>mm</t>
        </is>
      </c>
      <c r="G70" s="23" t="n"/>
    </row>
    <row r="71" ht="17" customHeight="1">
      <c r="B71" s="23" t="n"/>
      <c r="C71" s="24" t="inlineStr">
        <is>
          <t>Nearer edge distance along y  min(ey; By − ay − ey)</t>
        </is>
      </c>
      <c r="D71" s="27" t="inlineStr">
        <is>
          <r>
            <rPr>
              <rFont val="Calibri"/>
              <i val="1"/>
              <color rgb="002B2B2B"/>
              <sz val="10"/>
            </rPr>
            <t>e</t>
          </r>
          <r>
            <rPr>
              <rFont val="Calibri"/>
              <i val="1"/>
              <color rgb="002B2B2B"/>
              <sz val="10"/>
              <vertAlign val="subscript"/>
            </rPr>
            <t>y,min</t>
          </r>
        </is>
      </c>
      <c r="E71" s="41">
        <f>IF(inputs_ok,MIN(la_ey,la_By-la_ay-la_ey),NA())</f>
        <v/>
      </c>
      <c r="F71" s="28" t="inlineStr">
        <is>
          <t>mm</t>
        </is>
      </c>
      <c r="G71" s="23" t="n"/>
    </row>
    <row r="72" ht="17" customHeight="1">
      <c r="B72" s="26" t="inlineStr">
        <is>
          <t>Figure 6.29</t>
        </is>
      </c>
      <c r="C72" s="24" t="inlineStr">
        <is>
          <t>Scale of Ac1 within the member along x  1 + 2 ex,min / ax</t>
        </is>
      </c>
      <c r="D72" s="27" t="inlineStr">
        <is>
          <r>
            <rPr>
              <rFont val="Calibri"/>
              <i val="1"/>
              <color rgb="002B2B2B"/>
              <sz val="10"/>
            </rPr>
            <t>k</t>
          </r>
          <r>
            <rPr>
              <rFont val="Calibri"/>
              <i val="1"/>
              <color rgb="002B2B2B"/>
              <sz val="10"/>
              <vertAlign val="subscript"/>
            </rPr>
            <t>x</t>
          </r>
        </is>
      </c>
      <c r="E72" s="43">
        <f>IF(inputs_ok,1+2*exm_la/la_ax,NA())</f>
        <v/>
      </c>
      <c r="F72" s="23" t="n"/>
      <c r="G72" s="23" t="n"/>
    </row>
    <row r="73" ht="17" customHeight="1">
      <c r="B73" s="26" t="inlineStr">
        <is>
          <t>Figure 6.29</t>
        </is>
      </c>
      <c r="C73" s="24" t="inlineStr">
        <is>
          <t>Along y  1 + 2 ey,min / ay</t>
        </is>
      </c>
      <c r="D73" s="27" t="inlineStr">
        <is>
          <r>
            <rPr>
              <rFont val="Calibri"/>
              <i val="1"/>
              <color rgb="002B2B2B"/>
              <sz val="10"/>
            </rPr>
            <t>k</t>
          </r>
          <r>
            <rPr>
              <rFont val="Calibri"/>
              <i val="1"/>
              <color rgb="002B2B2B"/>
              <sz val="10"/>
              <vertAlign val="subscript"/>
            </rPr>
            <t>y</t>
          </r>
        </is>
      </c>
      <c r="E73" s="43">
        <f>IF(inputs_ok,1+2*eym_la/la_ay,NA())</f>
        <v/>
      </c>
      <c r="F73" s="23" t="n"/>
      <c r="G73" s="23" t="n"/>
    </row>
    <row r="74" ht="17" customHeight="1">
      <c r="B74" s="26" t="inlineStr">
        <is>
          <t>Figure 6.29</t>
        </is>
      </c>
      <c r="C74" s="24" t="inlineStr">
        <is>
          <t>Spreading height  H ≥ b2 − ax and d2 − ay:  1 + H / max(ax; ay)</t>
        </is>
      </c>
      <c r="D74" s="27" t="inlineStr">
        <is>
          <r>
            <rPr>
              <rFont val="Calibri"/>
              <i val="1"/>
              <color rgb="002B2B2B"/>
              <sz val="10"/>
            </rPr>
            <t>k</t>
          </r>
          <r>
            <rPr>
              <rFont val="Calibri"/>
              <i val="1"/>
              <color rgb="002B2B2B"/>
              <sz val="10"/>
              <vertAlign val="subscript"/>
            </rPr>
            <t>h</t>
          </r>
        </is>
      </c>
      <c r="E74" s="43">
        <f>IF(inputs_ok,1+la_H/MAX(la_ax,la_ay),NA())</f>
        <v/>
      </c>
      <c r="F74" s="23" t="n"/>
      <c r="G74" s="23" t="n"/>
    </row>
    <row r="75" ht="17" customHeight="1">
      <c r="B75" s="26" t="inlineStr">
        <is>
          <t>6.7(3)</t>
        </is>
      </c>
      <c r="C75" s="24" t="inlineStr">
        <is>
          <t>Scale used  min(3; kx; ky; kh) = √(Ac1/Ac0)</t>
        </is>
      </c>
      <c r="D75" s="27" t="inlineStr">
        <is>
          <r>
            <rPr>
              <rFont val="Calibri"/>
              <i val="1"/>
              <color rgb="002B2B2B"/>
              <sz val="10"/>
            </rPr>
            <t>k</t>
          </r>
        </is>
      </c>
      <c r="E75" s="44">
        <f>IF(inputs_ok,MIN(3,kx_la,ky_la,kh_la),NA())</f>
        <v/>
      </c>
      <c r="F75" s="23" t="n"/>
      <c r="G75" s="23" t="n"/>
    </row>
    <row r="76" ht="17" customHeight="1">
      <c r="B76" s="26" t="inlineStr">
        <is>
          <t>Figure 6.29</t>
        </is>
      </c>
      <c r="C76" s="24" t="inlineStr">
        <is>
          <t>Distribution area sides  k ax,  k ay</t>
        </is>
      </c>
      <c r="D76" s="27" t="inlineStr">
        <is>
          <r>
            <rPr>
              <rFont val="Calibri"/>
              <i val="1"/>
              <color rgb="002B2B2B"/>
              <sz val="10"/>
            </rPr>
            <t>b</t>
          </r>
          <r>
            <rPr>
              <rFont val="Calibri"/>
              <i val="1"/>
              <color rgb="002B2B2B"/>
              <sz val="10"/>
              <vertAlign val="subscript"/>
            </rPr>
            <t>2</t>
          </r>
        </is>
      </c>
      <c r="E76" s="41">
        <f>IF(inputs_ok,k_la*la_ax,NA())</f>
        <v/>
      </c>
      <c r="F76" s="28" t="inlineStr">
        <is>
          <t>mm</t>
        </is>
      </c>
      <c r="G76" s="23" t="n"/>
    </row>
    <row r="77" ht="17" customHeight="1">
      <c r="B77" s="23" t="n"/>
      <c r="C77" s="24" t="inlineStr"/>
      <c r="D77" s="27" t="inlineStr">
        <is>
          <r>
            <rPr>
              <rFont val="Calibri"/>
              <i val="1"/>
              <color rgb="002B2B2B"/>
              <sz val="10"/>
            </rPr>
            <t>d</t>
          </r>
          <r>
            <rPr>
              <rFont val="Calibri"/>
              <i val="1"/>
              <color rgb="002B2B2B"/>
              <sz val="10"/>
              <vertAlign val="subscript"/>
            </rPr>
            <t>2</t>
          </r>
        </is>
      </c>
      <c r="E77" s="41">
        <f>IF(inputs_ok,k_la*la_ay,NA())</f>
        <v/>
      </c>
      <c r="F77" s="28" t="inlineStr">
        <is>
          <t>mm</t>
        </is>
      </c>
      <c r="G77" s="23" t="n"/>
    </row>
    <row r="78" ht="17" customHeight="1">
      <c r="B78" s="26" t="inlineStr">
        <is>
          <t>(6.63)</t>
        </is>
      </c>
      <c r="C78" s="24" t="inlineStr">
        <is>
          <t>FRdu = Ac0 fcd √(Ac1/Ac0) ≤ 3.0 fcd Ac0</t>
        </is>
      </c>
      <c r="D78" s="27" t="inlineStr">
        <is>
          <r>
            <rPr>
              <rFont val="Calibri"/>
              <i val="1"/>
              <color rgb="002B2B2B"/>
              <sz val="10"/>
            </rPr>
            <t>F</t>
          </r>
          <r>
            <rPr>
              <rFont val="Calibri"/>
              <i val="1"/>
              <color rgb="002B2B2B"/>
              <sz val="10"/>
              <vertAlign val="subscript"/>
            </rPr>
            <t>Rdu</t>
          </r>
        </is>
      </c>
      <c r="E78" s="45">
        <f>IF(inputs_ok,Ac0_la*fcd_la*k_la/1000,NA())</f>
        <v/>
      </c>
      <c r="F78" s="28" t="inlineStr">
        <is>
          <t>kN</t>
        </is>
      </c>
      <c r="G78" s="23" t="n"/>
    </row>
    <row r="79" ht="17" customHeight="1">
      <c r="B79" s="26" t="inlineStr">
        <is>
          <t>(6.63)</t>
        </is>
      </c>
      <c r="C79" s="24" t="inlineStr">
        <is>
          <t>FEd ≤ FRdu</t>
        </is>
      </c>
      <c r="D79" s="23" t="n"/>
      <c r="E79" s="42">
        <f>IF(inputs_ok,la_F,NA())</f>
        <v/>
      </c>
      <c r="F79" s="28" t="inlineStr">
        <is>
          <t>kN</t>
        </is>
      </c>
      <c r="G79" s="30">
        <f>IF(NOT(inputs_ok),"FAIL",IF(bear_ok,"OK","FAIL"))</f>
        <v/>
      </c>
    </row>
    <row r="80"/>
    <row r="81" ht="22" customHeight="1">
      <c r="B81" s="20" t="inlineStr">
        <is>
          <t>Calculation  ·  transverse tension, Figure 6.25</t>
        </is>
      </c>
      <c r="C81" s="21" t="n"/>
      <c r="D81" s="21" t="n"/>
      <c r="E81" s="21" t="n"/>
      <c r="F81" s="21" t="n"/>
      <c r="G81" s="21" t="n"/>
    </row>
    <row r="82" ht="17" customHeight="1">
      <c r="B82" s="26" t="inlineStr">
        <is>
          <t>6.5.3(3)</t>
        </is>
      </c>
      <c r="C82" s="24" t="inlineStr">
        <is>
          <t>Symmetric prism across x  b = ax + 2 ex,min</t>
        </is>
      </c>
      <c r="D82" s="27" t="inlineStr">
        <is>
          <r>
            <rPr>
              <rFont val="Calibri"/>
              <i val="1"/>
              <color rgb="002B2B2B"/>
              <sz val="10"/>
            </rPr>
            <t>b</t>
          </r>
          <r>
            <rPr>
              <rFont val="Calibri"/>
              <i val="1"/>
              <color rgb="002B2B2B"/>
              <sz val="10"/>
              <vertAlign val="subscript"/>
            </rPr>
            <t>x</t>
          </r>
        </is>
      </c>
      <c r="E82" s="41">
        <f>IF(inputs_ok,la_ax+2*exm_la,NA())</f>
        <v/>
      </c>
      <c r="F82" s="28" t="inlineStr">
        <is>
          <t>mm</t>
        </is>
      </c>
      <c r="G82" s="23" t="n"/>
    </row>
    <row r="83" ht="17" customHeight="1">
      <c r="B83" s="26" t="inlineStr">
        <is>
          <t>Figure 6.25</t>
        </is>
      </c>
      <c r="C83" s="24" t="inlineStr">
        <is>
          <t>Discontinuity across x  (partial: b ≤ H/2)</t>
        </is>
      </c>
      <c r="D83" s="23" t="n"/>
      <c r="E83" s="46">
        <f>IF(inputs_ok,IF(bx_la&lt;=la_H/2,"partial","full"),NA())</f>
        <v/>
      </c>
      <c r="F83" s="23" t="n"/>
      <c r="G83" s="23" t="n"/>
    </row>
    <row r="84" ht="17" customHeight="1">
      <c r="B84" s="26" t="inlineStr">
        <is>
          <t>Figure 6.25</t>
        </is>
      </c>
      <c r="C84" s="24" t="inlineStr">
        <is>
          <t>Full discontinuity needs ax ≤ H/2: outside otherwise</t>
        </is>
      </c>
      <c r="D84" s="23" t="n"/>
      <c r="E84" s="46">
        <f>IF(inputs_ok,IF(outx_la,"outside","inside"),NA())</f>
        <v/>
      </c>
      <c r="F84" s="23" t="n"/>
      <c r="G84" s="23" t="n"/>
    </row>
    <row r="85" ht="17" customHeight="1">
      <c r="B85" s="26" t="inlineStr">
        <is>
          <t>Figure 6.25</t>
        </is>
      </c>
      <c r="C85" s="24" t="inlineStr">
        <is>
          <t>Depth of the tie zone  (partial b, full H/2)</t>
        </is>
      </c>
      <c r="D85" s="27" t="inlineStr">
        <is>
          <r>
            <rPr>
              <rFont val="Calibri"/>
              <i val="1"/>
              <color rgb="002B2B2B"/>
              <sz val="10"/>
            </rPr>
            <t>z</t>
          </r>
          <r>
            <rPr>
              <rFont val="Calibri"/>
              <i val="1"/>
              <color rgb="002B2B2B"/>
              <sz val="10"/>
              <vertAlign val="subscript"/>
            </rPr>
            <t>t,x</t>
          </r>
        </is>
      </c>
      <c r="E85" s="41">
        <f>IF(inputs_ok,IF(bx_la&lt;=la_H/2,bx_la,la_H/2),NA())</f>
        <v/>
      </c>
      <c r="F85" s="28" t="inlineStr">
        <is>
          <t>mm</t>
        </is>
      </c>
      <c r="G85" s="23" t="n"/>
    </row>
    <row r="86" ht="17" customHeight="1">
      <c r="B86" s="23" t="n"/>
      <c r="C86" s="24" t="inlineStr">
        <is>
          <t>Count only the ties across x between these depths below the face</t>
        </is>
      </c>
      <c r="D86" s="23" t="n"/>
      <c r="E86" s="46">
        <f>IF(inputs_ok,TEXT(0.1*ztx_la,"0")&amp;" – "&amp;TEXT(ztx_la,"0")&amp;" mm",NA())</f>
        <v/>
      </c>
      <c r="F86" s="23" t="n"/>
      <c r="G86" s="23" t="n"/>
    </row>
    <row r="87" ht="17" customHeight="1">
      <c r="B87" s="26" t="inlineStr">
        <is>
          <t>(6.58), (6.59)</t>
        </is>
      </c>
      <c r="C87" s="24" t="inlineStr">
        <is>
          <t>Tx = 0.25 F max(1 − a/b; full: 1 − 0.7 a/H)</t>
        </is>
      </c>
      <c r="D87" s="27" t="inlineStr">
        <is>
          <r>
            <rPr>
              <rFont val="Calibri"/>
              <i val="1"/>
              <color rgb="002B2B2B"/>
              <sz val="10"/>
            </rPr>
            <t>T</t>
          </r>
          <r>
            <rPr>
              <rFont val="Calibri"/>
              <i val="1"/>
              <color rgb="002B2B2B"/>
              <sz val="10"/>
              <vertAlign val="subscript"/>
            </rPr>
            <t>x</t>
          </r>
        </is>
      </c>
      <c r="E87" s="42">
        <f>IF(inputs_ok,0.25*la_F*IF(bx_la&lt;=la_H/2,1-la_ax/bx_la,MAX(1-la_ax/bx_la,1-0.7*la_ax/la_H)),NA())</f>
        <v/>
      </c>
      <c r="F87" s="28" t="inlineStr">
        <is>
          <t>kN</t>
        </is>
      </c>
      <c r="G87" s="23" t="n"/>
    </row>
    <row r="88" ht="17" customHeight="1">
      <c r="B88" s="26" t="inlineStr">
        <is>
          <t>6.5.2</t>
        </is>
      </c>
      <c r="C88" s="24" t="inlineStr">
        <is>
          <t>Ties needed across x  Tx / fyd</t>
        </is>
      </c>
      <c r="D88" s="27" t="inlineStr">
        <is>
          <r>
            <rPr>
              <rFont val="Calibri"/>
              <i val="1"/>
              <color rgb="002B2B2B"/>
              <sz val="10"/>
            </rPr>
            <t>A</t>
          </r>
          <r>
            <rPr>
              <rFont val="Calibri"/>
              <i val="1"/>
              <color rgb="002B2B2B"/>
              <sz val="10"/>
              <vertAlign val="subscript"/>
            </rPr>
            <t>s,x</t>
          </r>
        </is>
      </c>
      <c r="E88" s="41">
        <f>IF(inputs_ok,Tx_la*1000/fyd_la,NA())</f>
        <v/>
      </c>
      <c r="F88" s="28" t="inlineStr">
        <is>
          <t>mm²</t>
        </is>
      </c>
      <c r="G88" s="23" t="n"/>
    </row>
    <row r="89" ht="17" customHeight="1">
      <c r="B89" s="23" t="n"/>
      <c r="C89" s="24" t="inlineStr">
        <is>
          <t>Provided  nx π φx² / 4</t>
        </is>
      </c>
      <c r="D89" s="27" t="inlineStr">
        <is>
          <r>
            <rPr>
              <rFont val="Calibri"/>
              <i val="1"/>
              <color rgb="002B2B2B"/>
              <sz val="10"/>
            </rPr>
            <t>A</t>
          </r>
          <r>
            <rPr>
              <rFont val="Calibri"/>
              <i val="1"/>
              <color rgb="002B2B2B"/>
              <sz val="10"/>
              <vertAlign val="subscript"/>
            </rPr>
            <t>s,x,prov</t>
          </r>
        </is>
      </c>
      <c r="E89" s="41">
        <f>IF(inputs_ok,la_nx*PI()*la_px^2/4,NA())</f>
        <v/>
      </c>
      <c r="F89" s="28" t="inlineStr">
        <is>
          <t>mm²</t>
        </is>
      </c>
      <c r="G89" s="23" t="n"/>
    </row>
    <row r="90" ht="17" customHeight="1">
      <c r="B90" s="26" t="inlineStr">
        <is>
          <t>6.7(4)</t>
        </is>
      </c>
      <c r="C90" s="24" t="inlineStr">
        <is>
          <t>Ties across x: inside Fig. 6.25, area provided ≥ needed</t>
        </is>
      </c>
      <c r="D90" s="23" t="n"/>
      <c r="E90" s="41">
        <f>IF(inputs_ok,Asx_prov,NA())</f>
        <v/>
      </c>
      <c r="F90" s="28" t="inlineStr">
        <is>
          <t>mm²</t>
        </is>
      </c>
      <c r="G90" s="30">
        <f>IF(NOT(inputs_ok),"FAIL",IF(tx_ok,"OK","FAIL"))</f>
        <v/>
      </c>
    </row>
    <row r="91" ht="17" customHeight="1">
      <c r="B91" s="26" t="inlineStr">
        <is>
          <t>6.7(2)</t>
        </is>
      </c>
      <c r="C91" s="24" t="inlineStr">
        <is>
          <t>Force at an edge across x  (the prism proves nothing there)</t>
        </is>
      </c>
      <c r="D91" s="23" t="n"/>
      <c r="E91" s="9" t="n"/>
      <c r="F91" s="23" t="n"/>
      <c r="G91" s="30">
        <f>IF(NOT(inputs_ok),"FAIL",IF(exm_la=0,"! Edge load","no"))</f>
        <v/>
      </c>
    </row>
    <row r="92" ht="17" customHeight="1">
      <c r="B92" s="26" t="inlineStr">
        <is>
          <t>6.5.3(3)</t>
        </is>
      </c>
      <c r="C92" s="24" t="inlineStr">
        <is>
          <t>Symmetric prism across y  b = ay + 2 ey,min</t>
        </is>
      </c>
      <c r="D92" s="27" t="inlineStr">
        <is>
          <r>
            <rPr>
              <rFont val="Calibri"/>
              <i val="1"/>
              <color rgb="002B2B2B"/>
              <sz val="10"/>
            </rPr>
            <t>b</t>
          </r>
          <r>
            <rPr>
              <rFont val="Calibri"/>
              <i val="1"/>
              <color rgb="002B2B2B"/>
              <sz val="10"/>
              <vertAlign val="subscript"/>
            </rPr>
            <t>y</t>
          </r>
        </is>
      </c>
      <c r="E92" s="41">
        <f>IF(inputs_ok,la_ay+2*eym_la,NA())</f>
        <v/>
      </c>
      <c r="F92" s="28" t="inlineStr">
        <is>
          <t>mm</t>
        </is>
      </c>
      <c r="G92" s="23" t="n"/>
    </row>
    <row r="93" ht="17" customHeight="1">
      <c r="B93" s="26" t="inlineStr">
        <is>
          <t>Figure 6.25</t>
        </is>
      </c>
      <c r="C93" s="24" t="inlineStr">
        <is>
          <t>Discontinuity across y  (partial: b ≤ H/2)</t>
        </is>
      </c>
      <c r="D93" s="23" t="n"/>
      <c r="E93" s="46">
        <f>IF(inputs_ok,IF(by_la&lt;=la_H/2,"partial","full"),NA())</f>
        <v/>
      </c>
      <c r="F93" s="23" t="n"/>
      <c r="G93" s="23" t="n"/>
    </row>
    <row r="94" ht="17" customHeight="1">
      <c r="B94" s="26" t="inlineStr">
        <is>
          <t>Figure 6.25</t>
        </is>
      </c>
      <c r="C94" s="24" t="inlineStr">
        <is>
          <t>Full discontinuity needs ay ≤ H/2: outside otherwise</t>
        </is>
      </c>
      <c r="D94" s="23" t="n"/>
      <c r="E94" s="46">
        <f>IF(inputs_ok,IF(outy_la,"outside","inside"),NA())</f>
        <v/>
      </c>
      <c r="F94" s="23" t="n"/>
      <c r="G94" s="23" t="n"/>
    </row>
    <row r="95" ht="17" customHeight="1">
      <c r="B95" s="26" t="inlineStr">
        <is>
          <t>Figure 6.25</t>
        </is>
      </c>
      <c r="C95" s="24" t="inlineStr">
        <is>
          <t>Depth of the tie zone  (partial b, full H/2)</t>
        </is>
      </c>
      <c r="D95" s="27" t="inlineStr">
        <is>
          <r>
            <rPr>
              <rFont val="Calibri"/>
              <i val="1"/>
              <color rgb="002B2B2B"/>
              <sz val="10"/>
            </rPr>
            <t>z</t>
          </r>
          <r>
            <rPr>
              <rFont val="Calibri"/>
              <i val="1"/>
              <color rgb="002B2B2B"/>
              <sz val="10"/>
              <vertAlign val="subscript"/>
            </rPr>
            <t>t,y</t>
          </r>
        </is>
      </c>
      <c r="E95" s="41">
        <f>IF(inputs_ok,IF(by_la&lt;=la_H/2,by_la,la_H/2),NA())</f>
        <v/>
      </c>
      <c r="F95" s="28" t="inlineStr">
        <is>
          <t>mm</t>
        </is>
      </c>
      <c r="G95" s="23" t="n"/>
    </row>
    <row r="96" ht="17" customHeight="1">
      <c r="B96" s="23" t="n"/>
      <c r="C96" s="24" t="inlineStr">
        <is>
          <t>Count only the ties across y between these depths below the face</t>
        </is>
      </c>
      <c r="D96" s="23" t="n"/>
      <c r="E96" s="46">
        <f>IF(inputs_ok,TEXT(0.1*zty_la,"0")&amp;" – "&amp;TEXT(zty_la,"0")&amp;" mm",NA())</f>
        <v/>
      </c>
      <c r="F96" s="23" t="n"/>
      <c r="G96" s="23" t="n"/>
    </row>
    <row r="97" ht="17" customHeight="1">
      <c r="B97" s="26" t="inlineStr">
        <is>
          <t>(6.58), (6.59)</t>
        </is>
      </c>
      <c r="C97" s="24" t="inlineStr">
        <is>
          <t>Ty = 0.25 F max(1 − a/b; full: 1 − 0.7 a/H)</t>
        </is>
      </c>
      <c r="D97" s="27" t="inlineStr">
        <is>
          <r>
            <rPr>
              <rFont val="Calibri"/>
              <i val="1"/>
              <color rgb="002B2B2B"/>
              <sz val="10"/>
            </rPr>
            <t>T</t>
          </r>
          <r>
            <rPr>
              <rFont val="Calibri"/>
              <i val="1"/>
              <color rgb="002B2B2B"/>
              <sz val="10"/>
              <vertAlign val="subscript"/>
            </rPr>
            <t>y</t>
          </r>
        </is>
      </c>
      <c r="E97" s="42">
        <f>IF(inputs_ok,0.25*la_F*IF(by_la&lt;=la_H/2,1-la_ay/by_la,MAX(1-la_ay/by_la,1-0.7*la_ay/la_H)),NA())</f>
        <v/>
      </c>
      <c r="F97" s="28" t="inlineStr">
        <is>
          <t>kN</t>
        </is>
      </c>
      <c r="G97" s="23" t="n"/>
    </row>
    <row r="98" ht="17" customHeight="1">
      <c r="B98" s="26" t="inlineStr">
        <is>
          <t>6.5.2</t>
        </is>
      </c>
      <c r="C98" s="24" t="inlineStr">
        <is>
          <t>Ties needed across y  Ty / fyd</t>
        </is>
      </c>
      <c r="D98" s="27" t="inlineStr">
        <is>
          <r>
            <rPr>
              <rFont val="Calibri"/>
              <i val="1"/>
              <color rgb="002B2B2B"/>
              <sz val="10"/>
            </rPr>
            <t>A</t>
          </r>
          <r>
            <rPr>
              <rFont val="Calibri"/>
              <i val="1"/>
              <color rgb="002B2B2B"/>
              <sz val="10"/>
              <vertAlign val="subscript"/>
            </rPr>
            <t>s,y</t>
          </r>
        </is>
      </c>
      <c r="E98" s="41">
        <f>IF(inputs_ok,Ty_la*1000/fyd_la,NA())</f>
        <v/>
      </c>
      <c r="F98" s="28" t="inlineStr">
        <is>
          <t>mm²</t>
        </is>
      </c>
      <c r="G98" s="23" t="n"/>
    </row>
    <row r="99" ht="17" customHeight="1">
      <c r="B99" s="23" t="n"/>
      <c r="C99" s="24" t="inlineStr">
        <is>
          <t>Provided  ny π φy² / 4</t>
        </is>
      </c>
      <c r="D99" s="27" t="inlineStr">
        <is>
          <r>
            <rPr>
              <rFont val="Calibri"/>
              <i val="1"/>
              <color rgb="002B2B2B"/>
              <sz val="10"/>
            </rPr>
            <t>A</t>
          </r>
          <r>
            <rPr>
              <rFont val="Calibri"/>
              <i val="1"/>
              <color rgb="002B2B2B"/>
              <sz val="10"/>
              <vertAlign val="subscript"/>
            </rPr>
            <t>s,y,prov</t>
          </r>
        </is>
      </c>
      <c r="E99" s="41">
        <f>IF(inputs_ok,la_ny*PI()*la_py^2/4,NA())</f>
        <v/>
      </c>
      <c r="F99" s="28" t="inlineStr">
        <is>
          <t>mm²</t>
        </is>
      </c>
      <c r="G99" s="23" t="n"/>
    </row>
    <row r="100" ht="17" customHeight="1">
      <c r="B100" s="26" t="inlineStr">
        <is>
          <t>6.7(4)</t>
        </is>
      </c>
      <c r="C100" s="24" t="inlineStr">
        <is>
          <t>Ties across y: inside Fig. 6.25, area provided ≥ needed</t>
        </is>
      </c>
      <c r="D100" s="23" t="n"/>
      <c r="E100" s="41">
        <f>IF(inputs_ok,Asy_prov,NA())</f>
        <v/>
      </c>
      <c r="F100" s="28" t="inlineStr">
        <is>
          <t>mm²</t>
        </is>
      </c>
      <c r="G100" s="30">
        <f>IF(NOT(inputs_ok),"FAIL",IF(ty_ok,"OK","FAIL"))</f>
        <v/>
      </c>
    </row>
    <row r="101" ht="17" customHeight="1">
      <c r="B101" s="26" t="inlineStr">
        <is>
          <t>6.7(2)</t>
        </is>
      </c>
      <c r="C101" s="24" t="inlineStr">
        <is>
          <t>Force at an edge across y  (the prism proves nothing there)</t>
        </is>
      </c>
      <c r="D101" s="23" t="n"/>
      <c r="E101" s="9" t="n"/>
      <c r="F101" s="23" t="n"/>
      <c r="G101" s="30">
        <f>IF(NOT(inputs_ok),"FAIL",IF(eym_la=0,"! Edge load","no"))</f>
        <v/>
      </c>
    </row>
    <row r="102" ht="54" customHeight="1">
      <c r="B102" s="47" t="inlineStr">
        <is>
          <t>Spread the ties over about 0.1 to 1.0 of the tie zone depth below the loaded face, each direction its own zone. The check is of the area only: anchor the ties where the compression field curves (8.4) and check the nodes under the plate (6.5.4) separately; at a free edge the bars need end anchorage (bends or loops), as the prism reaches the edge. A direction loaded at an edge (e,min = 0) is flagged: the prism gives b = a, which does not prove that no ties are needed.</t>
        </is>
      </c>
    </row>
    <row r="103"/>
    <row r="104" ht="29" customHeight="1">
      <c r="B104" s="47"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02:G102"/>
    <mergeCell ref="D2:G2"/>
    <mergeCell ref="E7:G7"/>
    <mergeCell ref="E6:G6"/>
    <mergeCell ref="C3:G3"/>
    <mergeCell ref="B104:G104"/>
  </mergeCells>
  <conditionalFormatting sqref="G9:G105">
    <cfRule type="expression" priority="1" dxfId="0">
      <formula>G9="OK"</formula>
    </cfRule>
    <cfRule type="expression" priority="2" dxfId="1">
      <formula>G9="FAIL"</formula>
    </cfRule>
    <cfRule type="expression" priority="3" dxfId="2">
      <formula>LEFT(G9,1)="!"</formula>
    </cfRule>
  </conditionalFormatting>
  <dataValidations count="14">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 0." type="decimal" errorStyle="stop" operator="greaterThanOrEqual">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 0." type="decimal" errorStyle="stop" operator="greaterThanOrEqual">
      <formula1>0</formula1>
    </dataValidation>
    <dataValidation sqref="E22 E24" showDropDown="0" showInputMessage="0" showErrorMessage="1" allowBlank="0" errorTitle="NA Engineering" error="Pick a value from the list." type="list" errorStyle="stop">
      <formula1>"8,10,12,16,20,25,32,40"</formula1>
    </dataValidation>
    <dataValidation sqref="E23"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&amp;K8A8A8ANAE-RC-029  v1.0</oddFooter>
    <evenHeader/>
    <evenFooter/>
    <firstHeader/>
    <firstFooter/>
  </headerFooter>
  <rowBreaks count="1" manualBreakCount="1">
    <brk id="29"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U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member</t>
        </is>
      </c>
      <c r="G2" t="inlineStr">
        <is>
          <t>distribution area</t>
        </is>
      </c>
      <c r="J2" t="inlineStr">
        <is>
          <t>prism x</t>
        </is>
      </c>
      <c r="M2" t="inlineStr">
        <is>
          <t>prism y</t>
        </is>
      </c>
      <c r="P2" t="inlineStr">
        <is>
          <t>loaded area</t>
        </is>
      </c>
      <c r="S2" t="inlineStr">
        <is>
          <t>dim</t>
        </is>
      </c>
      <c r="V2">
        <f>IF(inputs_ok,"B_x "&amp;TEXT(la_Bx,"0"),"")</f>
        <v/>
      </c>
      <c r="Y2" t="inlineStr">
        <is>
          <t>dim</t>
        </is>
      </c>
      <c r="AB2">
        <f>IF(inputs_ok,"B_y "&amp;TEXT(la_By,"0"),"")</f>
        <v/>
      </c>
      <c r="AE2" t="inlineStr">
        <is>
          <t>dim</t>
        </is>
      </c>
      <c r="AH2">
        <f>IF(inputs_ok,"a_x "&amp;TEXT(la_ax,"0"),"")</f>
        <v/>
      </c>
      <c r="AK2" t="inlineStr">
        <is>
          <t>dim</t>
        </is>
      </c>
      <c r="AN2">
        <f>IF(inputs_ok,"a_y "&amp;TEXT(la_ay,"0"),"")</f>
        <v/>
      </c>
      <c r="AQ2">
        <f>IF(inputs_ok,"F_Ed "&amp;TEXT(la_F,"0")&amp;" · F_Rdu "&amp;TEXT(FRdu_la,"0")&amp;" kN","")</f>
        <v/>
      </c>
      <c r="AT2" t="inlineStr">
        <is>
          <t>frame</t>
        </is>
      </c>
    </row>
    <row r="3">
      <c r="A3">
        <f>0</f>
        <v/>
      </c>
      <c r="B3">
        <f>0</f>
        <v/>
      </c>
      <c r="D3">
        <f>IF(inputs_ok,(-la_ex),NA())</f>
        <v/>
      </c>
      <c r="E3">
        <f>(-la_ey)</f>
        <v/>
      </c>
      <c r="G3">
        <f>IF(inputs_ok,(la_ax/2-la_b2/2),NA())</f>
        <v/>
      </c>
      <c r="H3">
        <f>(la_ay/2-la_d2/2)</f>
        <v/>
      </c>
      <c r="J3">
        <f>IF(inputs_ok,(la_ax/2-bx_la/2),NA())</f>
        <v/>
      </c>
      <c r="K3">
        <f>0</f>
        <v/>
      </c>
      <c r="M3">
        <f>IF(inputs_ok,0,NA())</f>
        <v/>
      </c>
      <c r="N3">
        <f>(la_ay/2-by_la/2)</f>
        <v/>
      </c>
      <c r="P3">
        <f>IF(inputs_ok,0,NA())</f>
        <v/>
      </c>
      <c r="Q3">
        <f>0</f>
        <v/>
      </c>
      <c r="S3">
        <f>IF(inputs_ok,IF(TRUE,(-la_ex),NA()),NA())</f>
        <v/>
      </c>
      <c r="T3">
        <f>IF(TRUE,(-la_ey)-0.1*MAX(la_Bx,la_By),NA())</f>
        <v/>
      </c>
      <c r="V3">
        <f>IF(inputs_ok,IF(TRUE,(((-la_ex))+((la_Bx-la_ex)))/2,NA()),NA())</f>
        <v/>
      </c>
      <c r="W3">
        <f>IF(TRUE,(((-la_ey)-0.1*MAX(la_Bx,la_By))+((-la_ey)-0.1*MAX(la_Bx,la_By)))/2,NA())</f>
        <v/>
      </c>
      <c r="Y3">
        <f>IF(inputs_ok,IF(TRUE,(-la_ex)-0.1*MAX(la_Bx,la_By),NA()),NA())</f>
        <v/>
      </c>
      <c r="Z3">
        <f>IF(TRUE,(-la_ey),NA())</f>
        <v/>
      </c>
      <c r="AB3">
        <f>IF(inputs_ok,IF(TRUE,(((-la_ex)-0.1*MAX(la_Bx,la_By))+((-la_ex)-0.1*MAX(la_Bx,la_By)))/2,NA()),NA())</f>
        <v/>
      </c>
      <c r="AC3">
        <f>IF(TRUE,(((-la_ey))+((la_By-la_ey)))/2,NA())</f>
        <v/>
      </c>
      <c r="AE3">
        <f>IF(inputs_ok,IF(TRUE,0,NA()),NA())</f>
        <v/>
      </c>
      <c r="AF3">
        <f>IF(TRUE,0.75*la_ay,NA())</f>
        <v/>
      </c>
      <c r="AH3">
        <f>IF(inputs_ok,IF(TRUE,((0)+(la_ax))/2,NA()),NA())</f>
        <v/>
      </c>
      <c r="AI3">
        <f>IF(TRUE,((0.75*la_ay)+(0.75*la_ay))/2,NA())</f>
        <v/>
      </c>
      <c r="AK3">
        <f>IF(inputs_ok,IF(TRUE,0.25*la_ax,NA()),NA())</f>
        <v/>
      </c>
      <c r="AL3">
        <f>IF(TRUE,0,NA())</f>
        <v/>
      </c>
      <c r="AN3">
        <f>IF(inputs_ok,IF(TRUE,((0.25*la_ax)+(0.25*la_ax))/2,NA()),NA())</f>
        <v/>
      </c>
      <c r="AO3">
        <f>IF(TRUE,((0)+(la_ay))/2,NA())</f>
        <v/>
      </c>
      <c r="AQ3">
        <f>IF(inputs_ok,((-la_ex)+(la_Bx-la_ex))/2,NA())</f>
        <v/>
      </c>
      <c r="AR3">
        <f>(la_By-la_ey)+0.06*MAX(la_Bx,la_By)</f>
        <v/>
      </c>
      <c r="AT3">
        <f>(((-la_ex)-0.3*MAX(la_Bx,la_By))+((la_Bx-la_ex)+0.1*MAX(la_Bx,la_By)))/2-MAX(((la_By-la_ey)+0.2*MAX(la_Bx,la_By))-((-la_ey)-0.3*MAX(la_Bx,la_By)),(((la_Bx-la_ex)+0.1*MAX(la_Bx,la_By))-((-la_ex)-0.3*MAX(la_Bx,la_By)))/1.55)*0.53*1.55</f>
        <v/>
      </c>
      <c r="AU3">
        <f>(((-la_ey)-0.3*MAX(la_Bx,la_By))+((la_By-la_ey)+0.2*MAX(la_Bx,la_By)))/2-MAX(((la_By-la_ey)+0.2*MAX(la_Bx,la_By))-((-la_ey)-0.3*MAX(la_Bx,la_By)),(((la_Bx-la_ex)+0.1*MAX(la_Bx,la_By))-((-la_ex)-0.3*MAX(la_Bx,la_By)))/1.55)*0.53</f>
        <v/>
      </c>
    </row>
    <row r="4">
      <c r="D4">
        <f>IF(inputs_ok,(la_Bx-la_ex),NA())</f>
        <v/>
      </c>
      <c r="E4">
        <f>(-la_ey)</f>
        <v/>
      </c>
      <c r="G4">
        <f>IF(inputs_ok,(la_ax/2+la_b2/2),NA())</f>
        <v/>
      </c>
      <c r="H4">
        <f>(la_ay/2-la_d2/2)</f>
        <v/>
      </c>
      <c r="J4">
        <f>IF(inputs_ok,(la_ax/2+bx_la/2),NA())</f>
        <v/>
      </c>
      <c r="K4">
        <f>0</f>
        <v/>
      </c>
      <c r="M4">
        <f>IF(inputs_ok,la_ax,NA())</f>
        <v/>
      </c>
      <c r="N4">
        <f>(la_ay/2-by_la/2)</f>
        <v/>
      </c>
      <c r="P4">
        <f>IF(inputs_ok,la_ax,NA())</f>
        <v/>
      </c>
      <c r="Q4">
        <f>0</f>
        <v/>
      </c>
      <c r="S4">
        <f>IF(inputs_ok,IF(TRUE,(la_Bx-la_ex),NA()),NA())</f>
        <v/>
      </c>
      <c r="T4">
        <f>IF(TRUE,(-la_ey)-0.1*MAX(la_Bx,la_By),NA())</f>
        <v/>
      </c>
      <c r="Y4">
        <f>IF(inputs_ok,IF(TRUE,(-la_ex)-0.1*MAX(la_Bx,la_By),NA()),NA())</f>
        <v/>
      </c>
      <c r="Z4">
        <f>IF(TRUE,(la_By-la_ey),NA())</f>
        <v/>
      </c>
      <c r="AE4">
        <f>IF(inputs_ok,IF(TRUE,la_ax,NA()),NA())</f>
        <v/>
      </c>
      <c r="AF4">
        <f>IF(TRUE,0.75*la_ay,NA())</f>
        <v/>
      </c>
      <c r="AK4">
        <f>IF(inputs_ok,IF(TRUE,0.25*la_ax,NA()),NA())</f>
        <v/>
      </c>
      <c r="AL4">
        <f>IF(TRUE,la_ay,NA())</f>
        <v/>
      </c>
      <c r="AT4">
        <f>(((-la_ex)-0.3*MAX(la_Bx,la_By))+((la_Bx-la_ex)+0.1*MAX(la_Bx,la_By)))/2+MAX(((la_By-la_ey)+0.2*MAX(la_Bx,la_By))-((-la_ey)-0.3*MAX(la_Bx,la_By)),(((la_Bx-la_ex)+0.1*MAX(la_Bx,la_By))-((-la_ex)-0.3*MAX(la_Bx,la_By)))/1.55)*0.53*1.55</f>
        <v/>
      </c>
      <c r="AU4">
        <f>(((-la_ey)-0.3*MAX(la_Bx,la_By))+((la_By-la_ey)+0.2*MAX(la_Bx,la_By)))/2+MAX(((la_By-la_ey)+0.2*MAX(la_Bx,la_By))-((-la_ey)-0.3*MAX(la_Bx,la_By)),(((la_Bx-la_ex)+0.1*MAX(la_Bx,la_By))-((-la_ex)-0.3*MAX(la_Bx,la_By)))/1.55)*0.53</f>
        <v/>
      </c>
    </row>
    <row r="5">
      <c r="D5">
        <f>IF(inputs_ok,(la_Bx-la_ex),NA())</f>
        <v/>
      </c>
      <c r="E5">
        <f>(la_By-la_ey)</f>
        <v/>
      </c>
      <c r="G5">
        <f>IF(inputs_ok,(la_ax/2+la_b2/2),NA())</f>
        <v/>
      </c>
      <c r="H5">
        <f>(la_ay/2+la_d2/2)</f>
        <v/>
      </c>
      <c r="J5">
        <f>IF(inputs_ok,(la_ax/2+bx_la/2),NA())</f>
        <v/>
      </c>
      <c r="K5">
        <f>la_ay</f>
        <v/>
      </c>
      <c r="M5">
        <f>IF(inputs_ok,la_ax,NA())</f>
        <v/>
      </c>
      <c r="N5">
        <f>(la_ay/2+by_la/2)</f>
        <v/>
      </c>
      <c r="P5">
        <f>IF(inputs_ok,la_ax,NA())</f>
        <v/>
      </c>
      <c r="Q5">
        <f>la_ay</f>
        <v/>
      </c>
    </row>
    <row r="6">
      <c r="D6">
        <f>IF(inputs_ok,(-la_ex),NA())</f>
        <v/>
      </c>
      <c r="E6">
        <f>(la_By-la_ey)</f>
        <v/>
      </c>
      <c r="G6">
        <f>IF(inputs_ok,(la_ax/2-la_b2/2),NA())</f>
        <v/>
      </c>
      <c r="H6">
        <f>(la_ay/2+la_d2/2)</f>
        <v/>
      </c>
      <c r="J6">
        <f>IF(inputs_ok,(la_ax/2-bx_la/2),NA())</f>
        <v/>
      </c>
      <c r="K6">
        <f>la_ay</f>
        <v/>
      </c>
      <c r="M6">
        <f>IF(inputs_ok,0,NA())</f>
        <v/>
      </c>
      <c r="N6">
        <f>(la_ay/2+by_la/2)</f>
        <v/>
      </c>
      <c r="P6">
        <f>IF(inputs_ok,0,NA())</f>
        <v/>
      </c>
      <c r="Q6">
        <f>la_ay</f>
        <v/>
      </c>
    </row>
    <row r="7">
      <c r="D7">
        <f>IF(inputs_ok,(-la_ex),NA())</f>
        <v/>
      </c>
      <c r="E7">
        <f>(-la_ey)</f>
        <v/>
      </c>
      <c r="G7">
        <f>IF(inputs_ok,(la_ax/2-la_b2/2),NA())</f>
        <v/>
      </c>
      <c r="H7">
        <f>(la_ay/2-la_d2/2)</f>
        <v/>
      </c>
      <c r="J7">
        <f>IF(inputs_ok,(la_ax/2-bx_la/2),NA())</f>
        <v/>
      </c>
      <c r="K7">
        <f>0</f>
        <v/>
      </c>
      <c r="M7">
        <f>IF(inputs_ok,0,NA())</f>
        <v/>
      </c>
      <c r="N7">
        <f>(la_ay/2-by_la/2)</f>
        <v/>
      </c>
      <c r="P7">
        <f>IF(inputs_ok,0,NA())</f>
        <v/>
      </c>
      <c r="Q7">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8"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9" t="inlineStr">
        <is>
          <t>Parameter</t>
        </is>
      </c>
      <c r="C5" s="49" t="inlineStr">
        <is>
          <t>Clause</t>
        </is>
      </c>
      <c r="D5" s="49" t="inlineStr">
        <is>
          <t>UK NA</t>
        </is>
      </c>
      <c r="E5" s="49" t="inlineStr">
        <is>
          <t>PL NA</t>
        </is>
      </c>
      <c r="F5" s="49" t="inlineStr">
        <is>
          <t>Notes</t>
        </is>
      </c>
    </row>
    <row r="6">
      <c r="B6" s="50" t="inlineStr">
        <is>
          <t>Partial factor, concrete  γc</t>
        </is>
      </c>
      <c r="C6" s="51" t="inlineStr">
        <is>
          <t>2.4.2.4(1)</t>
        </is>
      </c>
      <c r="D6" s="52" t="n">
        <v>1.5</v>
      </c>
      <c r="E6" s="52" t="n">
        <v>1.4</v>
      </c>
      <c r="F6" s="51" t="inlineStr">
        <is>
          <t>Persistent &amp; transient. UK NA: recommended; PL: NA.2, Table NA.2</t>
        </is>
      </c>
    </row>
    <row r="7">
      <c r="B7" s="50" t="inlineStr">
        <is>
          <t>Partial factor, reinforcement  γs</t>
        </is>
      </c>
      <c r="C7" s="51" t="inlineStr">
        <is>
          <t>2.4.2.4(1)</t>
        </is>
      </c>
      <c r="D7" s="52" t="n">
        <v>1.15</v>
      </c>
      <c r="E7" s="52" t="n">
        <v>1.15</v>
      </c>
      <c r="F7" s="51" t="inlineStr">
        <is>
          <t>UK NA: recommended; PL: NA.2, Table NA.2</t>
        </is>
      </c>
    </row>
    <row r="8">
      <c r="B8" s="50" t="inlineStr">
        <is>
          <t>αcc  (compression in flexure / axial)</t>
        </is>
      </c>
      <c r="C8" s="51" t="inlineStr">
        <is>
          <t>3.1.6(1)</t>
        </is>
      </c>
      <c r="D8" s="52" t="n">
        <v>0.85</v>
      </c>
      <c r="E8" s="52" t="n">
        <v>1</v>
      </c>
      <c r="F8" s="51" t="inlineStr">
        <is>
          <t>UK NA: 0.85; PL: recommended (NA.9)</t>
        </is>
      </c>
    </row>
    <row r="9">
      <c r="B9" s="50" t="inlineStr">
        <is>
          <t>αcc,pl  (plain concrete, compression)</t>
        </is>
      </c>
      <c r="C9" s="51" t="inlineStr">
        <is>
          <t>12.3.1(1)</t>
        </is>
      </c>
      <c r="D9" s="52" t="n">
        <v>0.6</v>
      </c>
      <c r="E9" s="52" t="n">
        <v>0.8</v>
      </c>
      <c r="F9" s="51" t="inlineStr">
        <is>
          <t>UK NA Table NA.1: 0.6; PL: recommended (NA.9)</t>
        </is>
      </c>
    </row>
    <row r="10">
      <c r="B10" s="50" t="inlineStr">
        <is>
          <t>αcc  (shear and punching)</t>
        </is>
      </c>
      <c r="C10" s="51" t="inlineStr">
        <is>
          <t>3.1.6(1)</t>
        </is>
      </c>
      <c r="D10" s="52" t="n">
        <v>1</v>
      </c>
      <c r="E10" s="52" t="n">
        <v>1</v>
      </c>
      <c r="F10" s="51" t="inlineStr">
        <is>
          <t>UK NA: 1.0 for other phenomena; PL: recommended (NA.9)</t>
        </is>
      </c>
    </row>
    <row r="11">
      <c r="B11" s="50" t="inlineStr">
        <is>
          <t>αct  (design tensile strength)</t>
        </is>
      </c>
      <c r="C11" s="51" t="inlineStr">
        <is>
          <t>3.1.6(2)</t>
        </is>
      </c>
      <c r="D11" s="52" t="n">
        <v>1</v>
      </c>
      <c r="E11" s="52" t="n">
        <v>1</v>
      </c>
      <c r="F11" s="51" t="inlineStr">
        <is>
          <t>Recommended value in both annexes</t>
        </is>
      </c>
    </row>
    <row r="12">
      <c r="B12" s="50" t="inlineStr">
        <is>
          <t>CRd,c numerator  (CRd,c = value / γc)</t>
        </is>
      </c>
      <c r="C12" s="51" t="inlineStr">
        <is>
          <t>6.2.2(1), 6.4.4(1)</t>
        </is>
      </c>
      <c r="D12" s="52" t="n">
        <v>0.18</v>
      </c>
      <c r="E12" s="52" t="n">
        <v>0.18</v>
      </c>
      <c r="F12" s="51" t="inlineStr">
        <is>
          <t>Recommended value in both annexes</t>
        </is>
      </c>
    </row>
    <row r="13">
      <c r="B13" s="50" t="inlineStr">
        <is>
          <t>k1  (axial stress term, punching)</t>
        </is>
      </c>
      <c r="C13" s="51" t="inlineStr">
        <is>
          <t>6.4.4(1)</t>
        </is>
      </c>
      <c r="D13" s="52" t="n">
        <v>0.1</v>
      </c>
      <c r="E13" s="52" t="n">
        <v>0.1</v>
      </c>
      <c r="F13" s="51" t="inlineStr">
        <is>
          <t>Recommended value in both annexes</t>
        </is>
      </c>
    </row>
    <row r="14">
      <c r="B14" s="50" t="inlineStr">
        <is>
          <t>vRd,max factor  (vRd,max = factor · ν · fcd)</t>
        </is>
      </c>
      <c r="C14" s="51" t="inlineStr">
        <is>
          <t>6.4.5(3)</t>
        </is>
      </c>
      <c r="D14" s="52" t="n">
        <v>0.5</v>
      </c>
      <c r="E14" s="52" t="n">
        <v>0.4</v>
      </c>
      <c r="F14" s="51" t="inlineStr">
        <is>
          <t>UK NA: 0.5 ν fcd; PL: recommended value (NA.9), 0.4 ν fcd since EN 1992-1-1 AC:2010 (PN-EN 1992-1-1:2008/AC:2011)</t>
        </is>
      </c>
    </row>
    <row r="15">
      <c r="B15" s="50" t="inlineStr">
        <is>
          <t>kmax  (vEd ≤ kmax · vRd,c at u1)</t>
        </is>
      </c>
      <c r="C15" s="51" t="inlineStr">
        <is>
          <t>6.4.5</t>
        </is>
      </c>
      <c r="D15" s="52" t="n">
        <v>2</v>
      </c>
      <c r="E15" s="52" t="n">
        <v>1.5</v>
      </c>
      <c r="F15" s="51" t="inlineStr">
        <is>
          <t>UK NA 6.4.5(3): 2 vRd,c. PL: no limit in PN-EN 1992-1-1:2008; 1.5 (A1:2014 recommendation) applied conservatively</t>
        </is>
      </c>
    </row>
    <row r="16">
      <c r="B16" s="50" t="inlineStr">
        <is>
          <t>φlarge  (large bar threshold, mm)</t>
        </is>
      </c>
      <c r="C16" s="51" t="inlineStr">
        <is>
          <t>8.8(1)</t>
        </is>
      </c>
      <c r="D16" s="52" t="n">
        <v>40</v>
      </c>
      <c r="E16" s="52" t="n">
        <v>32</v>
      </c>
      <c r="F16" s="51" t="inlineStr">
        <is>
          <t>UK NA: 40 mm; PL: 32 mm recommended (NA.9)</t>
        </is>
      </c>
    </row>
    <row r="17">
      <c r="B17" s="50" t="inlineStr">
        <is>
          <t>cot θ upper limit  (variable strut)</t>
        </is>
      </c>
      <c r="C17" s="51" t="inlineStr">
        <is>
          <t>6.2.3(2)</t>
        </is>
      </c>
      <c r="D17" s="52" t="n">
        <v>2.5</v>
      </c>
      <c r="E17" s="52" t="n">
        <v>2</v>
      </c>
      <c r="F17" s="51" t="inlineStr">
        <is>
          <t>UK NA: 2.5 (1.25 with axial tension); PL: NA.4, 1 ≤ cot θ ≤ 2.0</t>
        </is>
      </c>
    </row>
    <row r="18">
      <c r="B18" s="50" t="inlineStr">
        <is>
          <t>k1  (x/d limit, δ ≥ k1 + k2 xu/d)</t>
        </is>
      </c>
      <c r="C18" s="51" t="inlineStr">
        <is>
          <t>5.5(4)</t>
        </is>
      </c>
      <c r="D18" s="52" t="n">
        <v>0.4</v>
      </c>
      <c r="E18" s="52" t="n">
        <v>0.44</v>
      </c>
      <c r="F18" s="51" t="inlineStr">
        <is>
          <t>UK NA for fyk ≤ 500 MPa; PL: recommended (NA.9)</t>
        </is>
      </c>
    </row>
    <row r="19">
      <c r="B19" s="50" t="inlineStr">
        <is>
          <t>k2  (x/d limit, εcu2 = 0.0035)</t>
        </is>
      </c>
      <c r="C19" s="51" t="inlineStr">
        <is>
          <t>5.5(4)</t>
        </is>
      </c>
      <c r="D19" s="52" t="n">
        <v>1</v>
      </c>
      <c r="E19" s="52" t="n">
        <v>1.25</v>
      </c>
      <c r="F19" s="51" t="inlineStr">
        <is>
          <t>UK NA: 0.6 + 0.0014/εcu2; PL: 1.25(0.6 + 0.0014/εcu2)</t>
        </is>
      </c>
    </row>
    <row r="20">
      <c r="B20" s="50" t="inlineStr">
        <is>
          <t>Upper limit on the (310/σs) factor  (0 = none)</t>
        </is>
      </c>
      <c r="C20" s="51" t="inlineStr">
        <is>
          <t>7.4.2(2)</t>
        </is>
      </c>
      <c r="D20" s="52" t="n">
        <v>1.5</v>
      </c>
      <c r="E20" s="52" t="n">
        <v>0</v>
      </c>
      <c r="F20" s="51" t="inlineStr">
        <is>
          <t>UK NA Table NA.5 Note 5: (310/σs) or (500/fyk)(As,prov/As,req) ≤ 1.5; PL: none</t>
        </is>
      </c>
    </row>
    <row r="21">
      <c r="B21" s="50" t="inlineStr">
        <is>
          <t>L/d not to exceed 40 K  (1 = applies)</t>
        </is>
      </c>
      <c r="C21" s="51" t="inlineStr">
        <is>
          <t>7.4.2(2)</t>
        </is>
      </c>
      <c r="D21" s="52" t="n">
        <v>1</v>
      </c>
      <c r="E21" s="52" t="n">
        <v>0</v>
      </c>
      <c r="F21" s="51" t="inlineStr">
        <is>
          <t>UK NA Table NA.5 Note 6; not in EN text</t>
        </is>
      </c>
    </row>
    <row r="22">
      <c r="B22" s="50" t="inlineStr">
        <is>
          <t>φmin  (longitudinal bars in columns, mm)</t>
        </is>
      </c>
      <c r="C22" s="51" t="inlineStr">
        <is>
          <t>9.5.2(1)</t>
        </is>
      </c>
      <c r="D22" s="52" t="n">
        <v>12</v>
      </c>
      <c r="E22" s="52" t="n">
        <v>6</v>
      </c>
      <c r="F22" s="51" t="inlineStr">
        <is>
          <t>UK NA: 12 mm; PL: NA.6, 6 mm</t>
        </is>
      </c>
    </row>
    <row r="23">
      <c r="B23" s="50" t="inlineStr">
        <is>
          <t>k3  (crack spacing)</t>
        </is>
      </c>
      <c r="C23" s="51" t="inlineStr">
        <is>
          <t>7.3.4(3)</t>
        </is>
      </c>
      <c r="D23" s="52" t="n">
        <v>3.4</v>
      </c>
      <c r="E23" s="52" t="n">
        <v>3.4</v>
      </c>
      <c r="F23" s="51" t="inlineStr">
        <is>
          <t>Recommended value in both annexes</t>
        </is>
      </c>
    </row>
    <row r="24">
      <c r="B24" s="50" t="inlineStr">
        <is>
          <t>k4  (crack spacing)</t>
        </is>
      </c>
      <c r="C24" s="51" t="inlineStr">
        <is>
          <t>7.3.4(3)</t>
        </is>
      </c>
      <c r="D24" s="52" t="n">
        <v>0.425</v>
      </c>
      <c r="E24" s="52" t="n">
        <v>0.425</v>
      </c>
      <c r="F24" s="51" t="inlineStr">
        <is>
          <t>Recommended value in both annexes</t>
        </is>
      </c>
    </row>
    <row r="25">
      <c r="B25" s="50" t="inlineStr">
        <is>
          <t>k1  (concrete stress, characteristic; XD, XF, XS)</t>
        </is>
      </c>
      <c r="C25" s="51" t="inlineStr">
        <is>
          <t>7.2(2)</t>
        </is>
      </c>
      <c r="D25" s="52" t="n">
        <v>0.6</v>
      </c>
      <c r="E25" s="52" t="n">
        <v>1</v>
      </c>
      <c r="F25" s="51" t="inlineStr">
        <is>
          <t>UK NA: recommended; PL: NA.5, k1 = 1.0</t>
        </is>
      </c>
    </row>
    <row r="26">
      <c r="B26" s="50" t="inlineStr">
        <is>
          <t>k2  (concrete stress, quasi-permanent; linear creep)</t>
        </is>
      </c>
      <c r="C26" s="51" t="inlineStr">
        <is>
          <t>7.2(3)</t>
        </is>
      </c>
      <c r="D26" s="52" t="n">
        <v>0.45</v>
      </c>
      <c r="E26" s="52" t="n">
        <v>0.45</v>
      </c>
      <c r="F26" s="51" t="inlineStr">
        <is>
          <t>Recommended value in both annexes (UK NA; PL NA.9)</t>
        </is>
      </c>
    </row>
    <row r="27">
      <c r="B27" s="50" t="inlineStr">
        <is>
          <t>k3  (steel stress, characteristic)</t>
        </is>
      </c>
      <c r="C27" s="51" t="inlineStr">
        <is>
          <t>7.2(5)</t>
        </is>
      </c>
      <c r="D27" s="52" t="n">
        <v>0.8</v>
      </c>
      <c r="E27" s="52" t="n">
        <v>0.8</v>
      </c>
      <c r="F27" s="51" t="inlineStr">
        <is>
          <t>Recommended value in both annexes (UK NA; PL NA.9)</t>
        </is>
      </c>
    </row>
    <row r="28">
      <c r="B28" s="50" t="inlineStr">
        <is>
          <t>k4  (steel stress, imposed deformation)</t>
        </is>
      </c>
      <c r="C28" s="51" t="inlineStr">
        <is>
          <t>7.2(5)</t>
        </is>
      </c>
      <c r="D28" s="52" t="n">
        <v>1</v>
      </c>
      <c r="E28" s="52" t="n">
        <v>1</v>
      </c>
      <c r="F28" s="51"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&amp;K8A8A8ANAE-RC-029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NAE-RC-029 Partially loaded area</dc:title>
  <dc:subject xmlns:dc="http://purl.org/dc/elements/1.1/">Concentrated force on a partially loaded area  ·  EN 1992-1-1 §6.7, §6.5.3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