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Punching" sheetId="4" state="hidden" r:id="rId4"/>
    <sheet xmlns:r="http://schemas.openxmlformats.org/officeDocument/2006/relationships" name="NDP" sheetId="5" state="visible" r:id="rId5"/>
  </sheets>
  <definedNames>
    <definedName name="NA_sel">'Calculation'!$E$11</definedName>
    <definedName name="conc_class">'Calculation'!$E$12</definedName>
    <definedName name="f_yk">'Calculation'!$E$13</definedName>
    <definedName name="L_cf">'Calculation'!$E$14</definedName>
    <definedName name="B_cf">'Calculation'!$E$15</definedName>
    <definedName name="h_cf">'Calculation'!$E$16</definedName>
    <definedName name="c_nom">'Calculation'!$E$17</definedName>
    <definedName name="ct_cf">'Calculation'!$E$18</definedName>
    <definedName name="d_g">'Calculation'!$E$19</definedName>
    <definedName name="pbl_cf">'Calculation'!$E$20</definedName>
    <definedName name="sbl_cf">'Calculation'!$E$21</definedName>
    <definedName name="pbt_cf">'Calculation'!$E$22</definedName>
    <definedName name="sbt_cf">'Calculation'!$E$23</definedName>
    <definedName name="ptl_cf">'Calculation'!$E$24</definedName>
    <definedName name="stl_cf">'Calculation'!$E$25</definedName>
    <definedName name="cen_cf">'Calculation'!$E$28</definedName>
    <definedName name="a1_cf">'Calculation'!$E$29</definedName>
    <definedName name="s12_cf">'Calculation'!$E$30</definedName>
    <definedName name="cx1_cf">'Calculation'!$E$31</definedName>
    <definedName name="cy1_cf">'Calculation'!$E$32</definedName>
    <definedName name="G1_cf">'Calculation'!$E$33</definedName>
    <definedName name="Q1_cf">'Calculation'!$E$34</definedName>
    <definedName name="cx2_cf">'Calculation'!$E$35</definedName>
    <definedName name="cy2_cf">'Calculation'!$E$36</definedName>
    <definedName name="G2_cf">'Calculation'!$E$37</definedName>
    <definedName name="Q2_cf">'Calculation'!$E$38</definedName>
    <definedName name="gamma_G">'Calculation'!$E$39</definedName>
    <definedName name="gamma_Q">'Calculation'!$E$40</definedName>
    <definedName name="beta_cf">'Calculation'!$E$41</definedName>
    <definedName name="D_s">'Calculation'!$E$42</definedName>
    <definedName name="gamma_soil">'Calculation'!$E$43</definedName>
    <definedName name="q_allow">'Calculation'!$E$44</definedName>
    <definedName name="N1k_cf">G1_cf+Q1_cf</definedName>
    <definedName name="N2k_cf">G2_cf+Q2_cf</definedName>
    <definedName name="x1_cf">IF(cen_cf="Yes",L_cf/2-N2k_cf*s12_cf/(N1k_cf+N2k_cf),a1_cf)</definedName>
    <definedName name="x2_cf">x1_cf+s12_cf</definedName>
    <definedName name="gap_cf">s12_cf-(cx1_cf+cx2_cf)/2</definedName>
    <definedName name="inputs_ok">IFERROR(AND(OR(NA_sel="UK NA (BS EN)",NA_sel="PL NA (PN-EN)"),OR(conc_class="C20/25",conc_class="C25/30",conc_class="C28/35",conc_class="C30/37",conc_class="C32/40",conc_class="C35/45",conc_class="C40/50",conc_class="C45/55",conc_class="C50/60"),ISNUMBER(f_yk),f_yk&gt;0,ISNUMBER(L_cf),L_cf&gt;0,ISNUMBER(B_cf),B_cf&gt;0,ISNUMBER(h_cf),h_cf&gt;0,ISNUMBER(c_nom),c_nom&gt;0,ISNUMBER(ct_cf),ct_cf&gt;0,ISNUMBER(d_g),d_g&gt;0,OR(AND(ISNUMBER(pbl_cf),pbl_cf=8),AND(ISNUMBER(pbl_cf),pbl_cf=10),AND(ISNUMBER(pbl_cf),pbl_cf=12),AND(ISNUMBER(pbl_cf),pbl_cf=16),AND(ISNUMBER(pbl_cf),pbl_cf=20),AND(ISNUMBER(pbl_cf),pbl_cf=25),AND(ISNUMBER(pbl_cf),pbl_cf=32),AND(ISNUMBER(pbl_cf),pbl_cf=40)),ISNUMBER(sbl_cf),sbl_cf&gt;0,OR(AND(ISNUMBER(pbt_cf),pbt_cf=8),AND(ISNUMBER(pbt_cf),pbt_cf=10),AND(ISNUMBER(pbt_cf),pbt_cf=12),AND(ISNUMBER(pbt_cf),pbt_cf=16),AND(ISNUMBER(pbt_cf),pbt_cf=20),AND(ISNUMBER(pbt_cf),pbt_cf=25),AND(ISNUMBER(pbt_cf),pbt_cf=32),AND(ISNUMBER(pbt_cf),pbt_cf=40)),ISNUMBER(sbt_cf),sbt_cf&gt;0,OR(AND(ISNUMBER(ptl_cf),ptl_cf=8),AND(ISNUMBER(ptl_cf),ptl_cf=10),AND(ISNUMBER(ptl_cf),ptl_cf=12),AND(ISNUMBER(ptl_cf),ptl_cf=16),AND(ISNUMBER(ptl_cf),ptl_cf=20),AND(ISNUMBER(ptl_cf),ptl_cf=25),AND(ISNUMBER(ptl_cf),ptl_cf=32),AND(ISNUMBER(ptl_cf),ptl_cf=40)),ISNUMBER(stl_cf),stl_cf&gt;0,OR(cen_cf="Yes",cen_cf="No"),IF(cen_cf="No",IF(ISNUMBER(a1_cf),a1_cf&gt;0,FALSE),TRUE),ISNUMBER(s12_cf),s12_cf&gt;0,ISNUMBER(cx1_cf),cx1_cf&gt;0,ISNUMBER(cy1_cf),cy1_cf&gt;0,ISNUMBER(G1_cf),G1_cf&gt;0,ISNUMBER(Q1_cf),Q1_cf&gt;=0,ISNUMBER(cx2_cf),cx2_cf&gt;0,ISNUMBER(cy2_cf),cy2_cf&gt;0,ISNUMBER(G2_cf),G2_cf&gt;0,ISNUMBER(Q2_cf),Q2_cf&gt;=0,ISNUMBER(gamma_G),gamma_G&gt;0,ISNUMBER(gamma_Q),gamma_Q&gt;0,ISNUMBER(beta_cf),beta_cf&gt;=1,ISNUMBER(D_s),D_s&gt;=0,ISNUMBER(gamma_soil),gamma_soil&gt;0,ISNUMBER(q_allow),q_allow&gt;0,AND(f_yk&gt;=400,f_yk&lt;=500,c_nom&gt;=40,h_cf&gt;c_nom+pbl_cf+pbt_cf+ct_cf+ptl_cf,x1_cf-cx1_cf/2&gt;=0,x2_cf+cx2_cf/2&lt;=L_cf,gap_cf&gt;0,cy1_cf&lt;=B_cf,cy2_cf&lt;=B_cf)),FALSE)</definedName>
    <definedName name="input_status">'Calculation'!$G$45</definedName>
    <definedName name="Lm_cf">L_cf/1000</definedName>
    <definedName name="Bm_cf">B_cf/1000</definedName>
    <definedName name="x1m_cf">x1_cf/1000</definedName>
    <definedName name="x2m_cf">x2_cf/1000</definedName>
    <definedName name="f1o_cf">(x1_cf-cx1_cf/2)/1000</definedName>
    <definedName name="f1i_cf">(x1_cf+cx1_cf/2)/1000</definedName>
    <definedName name="f2i_cf">(x2_cf-cx2_cf/2)/1000</definedName>
    <definedName name="f2o_cf">(x2_cf+cx2_cf/2)/1000</definedName>
    <definedName name="uls_ok">ABS(eds_cf)&lt;=L_cf/6</definedName>
    <definedName name="contact_ok">AND(ek_cf&lt;=L_cf/6,uls_ok)</definedName>
    <definedName name="dvi_cf">MIN(dbl_cf,dtl_cf)/1000</definedName>
    <definedName name="xs1_cf">f1o_cf-dbl_cf/1000</definedName>
    <definedName name="xs2_cf">MIN(f1i_cf+dvi_cf,(f1i_cf+f2i_cf)/2)</definedName>
    <definedName name="xs3_cf">MAX(f2i_cf-dvi_cf,(f1i_cf+f2i_cf)/2)</definedName>
    <definedName name="xs4_cf">f2o_cf+dbl_cf/1000</definedName>
    <definedName name="xsok1_cf">xs1_cf&gt;0</definedName>
    <definedName name="xsok2_cf">TRUE</definedName>
    <definedName name="xsok3_cf">TRUE</definedName>
    <definedName name="xsok4_cf">xs4_cf&lt;Lm_cf</definedName>
    <definedName name="bot_ok">IFERROR(AND(contact_ok,K_bl&lt;=K_lim,Asp_bl&gt;=MAX(Asr_bl,Asm_bl)),FALSE)</definedName>
    <definedName name="top_ok">IFERROR(AND(contact_ok,K_tl&lt;=K_lim,Asp_tl&gt;=MAX(Asr_tl,Asm_tl)),FALSE)</definedName>
    <definedName name="trans_ok">IFERROR(AND(contact_ok,K_t1&lt;=K_lim,K_t2&lt;=K_lim,K_ty&lt;=K_lim,Asp_t1&gt;=MAX(Asr_t1,Asm_t1),Asp_t2&gt;=MAX(Asr_t2,Asm_t2),Asp_ty&gt;=MAX(Asr_ty,Asm_ty),Vty_cf&lt;=VRty_cf),FALSE)</definedName>
    <definedName name="shear_ok">IFERROR(AND(contact_ok,shu_cf&lt;=1,Vfc_cf&lt;=VRm_cf),FALSE)</definedName>
    <definedName name="det_ok">AND(sbl_cf-pbl_cf&gt;=gbl_cf,sbt_cf-pbt_cf&gt;=gbt_cf,stl_cf-ptl_cf&gt;=gtl_cf,sbl_cf&lt;=smax_cf,stl_cf&lt;=smax_cf,sbt_cf&lt;=smax_cf)</definedName>
    <definedName name="contact_status">'Calculation'!$G$48</definedName>
    <definedName name="bearing_status">'Calculation'!$G$49</definedName>
    <definedName name="bot_status">'Calculation'!$G$50</definedName>
    <definedName name="top_status">'Calculation'!$G$51</definedName>
    <definedName name="trans_status">'Calculation'!$G$52</definedName>
    <definedName name="shear_status">'Calculation'!$G$53</definedName>
    <definedName name="punch1_status">'Calculation'!$G$54</definedName>
    <definedName name="punch2_status">'Calculation'!$G$55</definedName>
    <definedName name="det_status">'Calculation'!$G$56</definedName>
    <definedName name="Wf_cf">'Calculation'!$E$89</definedName>
    <definedName name="Ws_cf">'Calculation'!$E$90</definedName>
    <definedName name="Nk_cf">'Calculation'!$E$91</definedName>
    <definedName name="eks_cf">'Calculation'!$E$92</definedName>
    <definedName name="ek_cf">'Calculation'!$E$93</definedName>
    <definedName name="chk_sls">'Calculation'!$G$94</definedName>
    <definedName name="qkL_cf">'Calculation'!$E$95</definedName>
    <definedName name="qkR_cf">'Calculation'!$E$96</definedName>
    <definedName name="qkmax_cf">'Calculation'!$E$97</definedName>
    <definedName name="chk_bear">'Calculation'!$G$98</definedName>
    <definedName name="gamma_c">'Calculation'!$E$101</definedName>
    <definedName name="gamma_s">'Calculation'!$E$102</definedName>
    <definedName name="alpha_cc">'Calculation'!$E$103</definedName>
    <definedName name="alpha_cc_shear">'Calculation'!$E$104</definedName>
    <definedName name="C_Rdc">'Calculation'!$E$105</definedName>
    <definedName name="vmax">'Calculation'!$E$106</definedName>
    <definedName name="k1_red">'Calculation'!$E$107</definedName>
    <definedName name="k2_red">'Calculation'!$E$108</definedName>
    <definedName name="f_ck">'Calculation'!$E$109</definedName>
    <definedName name="f_ctm">'Calculation'!$E$110</definedName>
    <definedName name="P1_cf">'Calculation'!$E$111</definedName>
    <definedName name="P2_cf">'Calculation'!$E$112</definedName>
    <definedName name="Pt_cf">'Calculation'!$E$113</definedName>
    <definedName name="eds_cf">'Calculation'!$E$114</definedName>
    <definedName name="chk_uls">'Calculation'!$G$115</definedName>
    <definedName name="wa_cf">'Calculation'!$E$117</definedName>
    <definedName name="wb_cf">'Calculation'!$E$118</definedName>
    <definedName name="qL_cf">'Calculation'!$E$119</definedName>
    <definedName name="qR_cf">'Calculation'!$E$120</definedName>
    <definedName name="Psum_cf">'Calculation'!$E$121</definedName>
    <definedName name="Mf1o_cf">'Calculation'!$E$122</definedName>
    <definedName name="Mf1i_cf">'Calculation'!$E$123</definedName>
    <definedName name="Mf2i_cf">'Calculation'!$E$124</definedName>
    <definedName name="Mf2o_cf">'Calculation'!$E$125</definedName>
    <definedName name="Msag_cf">'Calculation'!$E$126</definedName>
    <definedName name="xsag_cf">IF(Mf1o_cf=Msag_cf,f1o_cf,IF(Mf1i_cf=Msag_cf,f1i_cf,IF(Mf2i_cf=Msag_cf,f2i_cf,f2o_cf)))</definedName>
    <definedName name="Dz_cf">wa_cf^2+2*wb_cf*P1_cf</definedName>
    <definedName name="xh_cf">'Calculation'!$E$127</definedName>
    <definedName name="Mhog_cf">'Calculation'!$E$128</definedName>
    <definedName name="Mc1_cf">((x1m_cf)^2*(wa_cf/2+wb_cf*(x1m_cf)/6)-P1_cf*MAX(0,(x1m_cf)-x1m_cf)-P2_cf*MAX(0,(x1m_cf)-x2m_cf))</definedName>
    <definedName name="Mc2_cf">((x2m_cf)^2*(wa_cf/2+wb_cf*(x2m_cf)/6)-P1_cf*MAX(0,(x2m_cf)-x1m_cf)-P2_cf*MAX(0,(x2m_cf)-x2m_cf))</definedName>
    <definedName name="Mdmax_cf">MAX(ABS(Msag_cf),ABS(Mhog_cf),ABS(Mc1_cf),ABS(Mc2_cf))</definedName>
    <definedName name="dsc_cf">IFERROR(0.15*L_cf/MAX(Mdmax_cf,0.001),0)</definedName>
    <definedName name="base_cf">-B_cf/2-0.1*L_cf-IFERROR(dsc_cf*ABS(Mhog_cf),0)</definedName>
    <definedName name="dbl_cf">'Calculation'!$E$129</definedName>
    <definedName name="dbt_cf">'Calculation'!$E$130</definedName>
    <definedName name="dtl_cf">'Calculation'!$E$131</definedName>
    <definedName name="f_yd">'Calculation'!$E$152</definedName>
    <definedName name="xi_y">'Calculation'!$E$153</definedName>
    <definedName name="xi_lim">'Calculation'!$E$154</definedName>
    <definedName name="K_lim">'Calculation'!$E$155</definedName>
    <definedName name="rmin_cf">'Calculation'!$E$156</definedName>
    <definedName name="be1_cf">'Calculation'!$E$157</definedName>
    <definedName name="be2_cf">'Calculation'!$E$158</definedName>
    <definedName name="Mt1_cf">'Calculation'!$E$159</definedName>
    <definedName name="Mty_cf">'Calculation'!$E$160</definedName>
    <definedName name="Mt2_cf">'Calculation'!$E$161</definedName>
    <definedName name="K_bl">'Calculation'!$E$162</definedName>
    <definedName name="z_bl">'Calculation'!$E$163</definedName>
    <definedName name="Asr_bl">'Calculation'!$E$164</definedName>
    <definedName name="Asm_bl">'Calculation'!$E$165</definedName>
    <definedName name="Asp_bl">'Calculation'!$E$166</definedName>
    <definedName name="chk_bot">'Calculation'!$G$167</definedName>
    <definedName name="K_tl">'Calculation'!$E$168</definedName>
    <definedName name="z_tl">'Calculation'!$E$169</definedName>
    <definedName name="Asr_tl">'Calculation'!$E$170</definedName>
    <definedName name="Asm_tl">'Calculation'!$E$171</definedName>
    <definedName name="Asp_tl">'Calculation'!$E$172</definedName>
    <definedName name="chk_top">'Calculation'!$G$173</definedName>
    <definedName name="K_t1">'Calculation'!$E$174</definedName>
    <definedName name="z_t1">'Calculation'!$E$175</definedName>
    <definedName name="Asr_t1">'Calculation'!$E$176</definedName>
    <definedName name="Asm_t1">'Calculation'!$E$177</definedName>
    <definedName name="Asp_t1">'Calculation'!$E$178</definedName>
    <definedName name="K_t2">'Calculation'!$E$179</definedName>
    <definedName name="z_t2">'Calculation'!$E$180</definedName>
    <definedName name="Asr_t2">'Calculation'!$E$181</definedName>
    <definedName name="Asm_t2">'Calculation'!$E$182</definedName>
    <definedName name="Asp_t2">'Calculation'!$E$183</definedName>
    <definedName name="K_ty">'Calculation'!$E$184</definedName>
    <definedName name="z_ty">'Calculation'!$E$185</definedName>
    <definedName name="Asr_ty">'Calculation'!$E$186</definedName>
    <definedName name="Asm_ty">'Calculation'!$E$187</definedName>
    <definedName name="Asp_ty">'Calculation'!$E$188</definedName>
    <definedName name="rbt_cf">'Calculation'!$E$189</definedName>
    <definedName name="Vty_cf">'Calculation'!$E$190</definedName>
    <definedName name="VRty_cf">'Calculation'!$E$191</definedName>
    <definedName name="chk_trans">'Calculation'!$G$192</definedName>
    <definedName name="rbl_cf">'Calculation'!$E$195</definedName>
    <definedName name="rtl_cf">'Calculation'!$E$196</definedName>
    <definedName name="VRb_cf">'Calculation'!$E$197</definedName>
    <definedName name="VRt_cf">'Calculation'!$E$198</definedName>
    <definedName name="Vs1_cf">'Calculation'!$E$199</definedName>
    <definedName name="VR1_cf">'Calculation'!$E$200</definedName>
    <definedName name="Vs2_cf">'Calculation'!$E$201</definedName>
    <definedName name="VR2_cf">'Calculation'!$E$202</definedName>
    <definedName name="Vs3_cf">'Calculation'!$E$203</definedName>
    <definedName name="VR3_cf">'Calculation'!$E$204</definedName>
    <definedName name="Vs4_cf">'Calculation'!$E$205</definedName>
    <definedName name="VR4_cf">'Calculation'!$E$206</definedName>
    <definedName name="shu_cf">'Calculation'!$E$207</definedName>
    <definedName name="Vfc_cf">'Calculation'!$E$208</definedName>
    <definedName name="VRm_cf">'Calculation'!$E$209</definedName>
    <definedName name="chk_shear">'Calculation'!$G$210</definedName>
    <definedName name="dp_cf">'Calculation'!$E$213</definedName>
    <definedName name="rp_cf">'Calculation'!$E$214</definedName>
    <definedName name="vRdc_p">'Calculation'!$E$215</definedName>
    <definedName name="nu_v">'Calculation'!$E$216</definedName>
    <definedName name="v_Rdmax">'Calculation'!$E$217</definedName>
    <definedName name="qc1_cf">'Calculation'!$E$218</definedName>
    <definedName name="amax1_cf">'Calculation'!$E$219</definedName>
    <definedName name="u01_cf">'Calculation'!$E$220</definedName>
    <definedName name="vEd01_cf">'Calculation'!$E$221</definedName>
    <definedName name="pedge1_cf">MIN((B_cf-cy1_cf)/2,gap_cf/2)&lt;2*dp_cf</definedName>
    <definedName name="hie1_cf">MIN(2*dp_cf,(B_cf-cy1_cf)/2,gap_cf/2)</definedName>
    <definedName name="hisd1_cf">MIN(2*dp_cf,x1_cf-cx1_cf/2,(B_cf-cy1_cf)/2,gap_cf/2)</definedName>
    <definedName name="hicn1_cf">MIN(2*dp_cf,(B_cf-cy1_cf)/2,gap_cf/2)</definedName>
    <definedName name="pany1_cf">OR(amax1_cf&gt;0,hie1_cf&gt;0,hisd1_cf&gt;0,hicn1_cf&gt;0)</definedName>
    <definedName name="qc2_cf">'Calculation'!$E$222</definedName>
    <definedName name="amax2_cf">'Calculation'!$E$223</definedName>
    <definedName name="u02_cf">'Calculation'!$E$224</definedName>
    <definedName name="vEd02_cf">'Calculation'!$E$225</definedName>
    <definedName name="pedge2_cf">MIN((B_cf-cy2_cf)/2,gap_cf/2)&lt;2*dp_cf</definedName>
    <definedName name="hie2_cf">MIN(2*dp_cf,(B_cf-cy2_cf)/2,gap_cf/2)</definedName>
    <definedName name="hisd2_cf">MIN(2*dp_cf,L_cf-x2_cf-cx2_cf/2,(B_cf-cy2_cf)/2,gap_cf/2)</definedName>
    <definedName name="hicn2_cf">MIN(2*dp_cf,(B_cf-cy2_cf)/2,gap_cf/2)</definedName>
    <definedName name="pany2_cf">OR(amax2_cf&gt;0,hie2_cf&gt;0,hisd2_cf&gt;0,hicn2_cf&gt;0)</definedName>
    <definedName name="Kp1_cf">IF((qc1_cf/1000)&gt;0,(2*(cx1_cf+cy1_cf))*(P1_cf*1000-(qc1_cf/1000)*cx1_cf*cy1_cf)/(qc1_cf/1000),0)</definedName>
    <definedName name="hip1_cf">MIN(2*dp_cf,amax1_cf)</definedName>
    <definedName name="ag1_cf">'Calculation'!$E$251</definedName>
    <definedName name="pc1_cf">'Calculation'!$E$252</definedName>
    <definedName name="ae1_cf">'Calculation'!$E$253</definedName>
    <definedName name="pe1_cf">'Calculation'!$E$254</definedName>
    <definedName name="asd1_cf">'Calculation'!$E$255</definedName>
    <definedName name="psd1_cf">'Calculation'!$E$256</definedName>
    <definedName name="acn1_cf">'Calculation'!$E$257</definedName>
    <definedName name="pcn1_cf">'Calculation'!$E$258</definedName>
    <definedName name="pu1_cf">MAX(pc1_cf,pe1_cf,psd1_cf,pcn1_cf)</definedName>
    <definedName name="pk1_cf">IF(pu1_cf=pc1_cf,1,IF(pu1_cf=pe1_cf,2,IF(pu1_cf=psd1_cf,3,4)))</definedName>
    <definedName name="Kp2_cf">IF((qc2_cf/1000)&gt;0,(2*(cx2_cf+cy2_cf))*(P2_cf*1000-(qc2_cf/1000)*cx2_cf*cy2_cf)/(qc2_cf/1000),0)</definedName>
    <definedName name="hip2_cf">MIN(2*dp_cf,amax2_cf)</definedName>
    <definedName name="ag2_cf">'Calculation'!$E$259</definedName>
    <definedName name="pc2_cf">'Calculation'!$E$260</definedName>
    <definedName name="ae2_cf">'Calculation'!$E$261</definedName>
    <definedName name="pe2_cf">'Calculation'!$E$262</definedName>
    <definedName name="asd2_cf">'Calculation'!$E$263</definedName>
    <definedName name="psd2_cf">'Calculation'!$E$264</definedName>
    <definedName name="acn2_cf">'Calculation'!$E$265</definedName>
    <definedName name="pcn2_cf">'Calculation'!$E$266</definedName>
    <definedName name="pu2_cf">MAX(pc2_cf,pe2_cf,psd2_cf,pcn2_cf)</definedName>
    <definedName name="pk2_cf">IF(pu2_cf=pc2_cf,1,IF(pu2_cf=pe2_cf,2,IF(pu2_cf=psd2_cf,3,4)))</definedName>
    <definedName name="chk_p1">'Calculation'!$G$267</definedName>
    <definedName name="chk_p2">'Calculation'!$G$268</definedName>
    <definedName name="gbl_cf">'Calculation'!$E$271</definedName>
    <definedName name="gbt_cf">'Calculation'!$E$272</definedName>
    <definedName name="gtl_cf">'Calculation'!$E$273</definedName>
    <definedName name="smax_cf">'Calculation'!$E$274</definedName>
    <definedName name="chk_det">'Calculation'!$G$275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'Calculation'!$A$1:$H$279</definedName>
    <definedName name="_xlnm.Print_Area" localSheetId="4">'NDP'!$A$1:$G$29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
    <numFmt numFmtId="166" formatCode="0.000"/>
    <numFmt numFmtId="167" formatCode="0.00000"/>
    <numFmt numFmtId="168"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8A8A8A"/>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0">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7" fillId="0" borderId="0" pivotButton="0" quotePrefix="0" xfId="0"/>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5" fontId="12" fillId="0" borderId="1" applyAlignment="1" pivotButton="0" quotePrefix="0" xfId="0">
      <alignment horizontal="center" vertical="center"/>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applyAlignment="1" pivotButton="0" quotePrefix="0" xfId="0">
      <alignment horizontal="center"/>
    </xf>
    <xf numFmtId="166" fontId="5" fillId="0" borderId="1" applyAlignment="1" pivotButton="0" quotePrefix="0" xfId="0">
      <alignment horizontal="center"/>
    </xf>
    <xf numFmtId="0" fontId="5" fillId="0" borderId="1" applyAlignment="1" pivotButton="0" quotePrefix="0" xfId="0">
      <alignment horizontal="left"/>
    </xf>
    <xf numFmtId="165" fontId="5" fillId="0" borderId="1" applyAlignment="1" pivotButton="0" quotePrefix="0" xfId="0">
      <alignment horizontal="center"/>
    </xf>
    <xf numFmtId="167" fontId="5" fillId="0" borderId="1" applyAlignment="1" pivotButton="0" quotePrefix="0" xfId="0">
      <alignment horizontal="center" vertical="center"/>
    </xf>
    <xf numFmtId="168" fontId="5" fillId="0" borderId="1" applyAlignment="1" pivotButton="0" quotePrefix="0" xfId="0">
      <alignment horizontal="center" vertical="center"/>
    </xf>
    <xf numFmtId="166" fontId="12" fillId="0" borderId="1" applyAlignment="1" pivotButton="0" quotePrefix="0" xfId="0">
      <alignment horizontal="center" vertical="center"/>
    </xf>
    <xf numFmtId="0" fontId="19" fillId="0" borderId="0" applyAlignment="1" pivotButton="0" quotePrefix="0" xfId="0">
      <alignment horizontal="center" wrapText="1"/>
    </xf>
    <xf numFmtId="1" fontId="5" fillId="0" borderId="1" applyAlignment="1" pivotButton="0" quotePrefix="0" xfId="0">
      <alignment horizontal="center"/>
    </xf>
    <xf numFmtId="2" fontId="12" fillId="0" borderId="1" applyAlignment="1" pivotButton="0" quotePrefix="0" xfId="0">
      <alignment horizontal="center"/>
    </xf>
    <xf numFmtId="0" fontId="20" fillId="0" borderId="0" pivotButton="0" quotePrefix="0" xfId="0"/>
    <xf numFmtId="0" fontId="19"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base</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axis</v>
          </tx>
          <spPr>
            <a:ln xmlns:a="http://schemas.openxmlformats.org/drawingml/2006/main" w="9525">
              <a:solidFill>
                <a:srgbClr val="9A9A9A"/>
              </a:solidFill>
              <a:prstDash val="dashDot"/>
            </a:ln>
          </spPr>
          <marker>
            <symbol val="none"/>
            <spPr>
              <a:ln xmlns:a="http://schemas.openxmlformats.org/drawingml/2006/main">
                <a:prstDash val="solid"/>
              </a:ln>
            </spPr>
          </marker>
          <xVal>
            <numRef>
              <f>'Geometry'!$G$3:$G$4</f>
            </numRef>
          </xVal>
          <yVal>
            <numRef>
              <f>'Geometry'!$H$3:$H$4</f>
            </numRef>
          </yVal>
          <smooth val="0"/>
        </ser>
        <ser>
          <idx val="3"/>
          <order val="3"/>
          <tx>
            <v>column 1</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'Geometry'!$J$3:$J$7</f>
            </numRef>
          </xVal>
          <yVal>
            <numRef>
              <f>'Geometry'!$K$3:$K$7</f>
            </numRef>
          </yVal>
          <smooth val="0"/>
        </ser>
        <ser>
          <idx val="4"/>
          <order val="4"/>
          <tx>
            <v>perimeter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'Geometry'!$M$3:$M$39</f>
            </numRef>
          </xVal>
          <yVal>
            <numRef>
              <f>'Geometry'!$N$3:$N$39</f>
            </numRef>
          </yVal>
          <smooth val="0"/>
        </ser>
        <ser>
          <idx val="5"/>
          <order val="5"/>
          <tx>
            <v>end perimeter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'Geometry'!$P$3:$P$24</f>
            </numRef>
          </xVal>
          <yVal>
            <numRef>
              <f>'Geometry'!$Q$3:$Q$24</f>
            </numRef>
          </yVal>
          <smooth val="0"/>
        </ser>
        <ser>
          <idx val="6"/>
          <order val="6"/>
          <tx>
            <v>side perimeter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'Geometry'!$S$3:$S$23</f>
            </numRef>
          </xVal>
          <yVal>
            <numRef>
              <f>'Geometry'!$T$3:$T$23</f>
            </numRef>
          </yVal>
          <smooth val="0"/>
        </ser>
        <ser>
          <idx val="7"/>
          <order val="7"/>
          <tx>
            <v>corner perimeter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'Geometry'!$V$3:$V$14</f>
            </numRef>
          </xVal>
          <yVal>
            <numRef>
              <f>'Geometry'!$W$3:$W$14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'Geometry'!$Y$3</f>
            </numRef>
          </xVal>
          <yVal>
            <numRef>
              <f>'Geometry'!$Z$3</f>
            </numRef>
          </yVal>
          <smooth val="0"/>
        </ser>
        <ser>
          <idx val="9"/>
          <order val="9"/>
          <tx>
            <v>column 2</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'Geometry'!$AB$3:$AB$7</f>
            </numRef>
          </xVal>
          <yVal>
            <numRef>
              <f>'Geometry'!$AC$3:$AC$7</f>
            </numRef>
          </yVal>
          <smooth val="0"/>
        </ser>
        <ser>
          <idx val="10"/>
          <order val="10"/>
          <tx>
            <v>perimeter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'Geometry'!$AE$3:$AE$39</f>
            </numRef>
          </xVal>
          <yVal>
            <numRef>
              <f>'Geometry'!$AF$3:$AF$39</f>
            </numRef>
          </yVal>
          <smooth val="0"/>
        </ser>
        <ser>
          <idx val="11"/>
          <order val="11"/>
          <tx>
            <v>end perimeter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'Geometry'!$AH$3:$AH$24</f>
            </numRef>
          </xVal>
          <yVal>
            <numRef>
              <f>'Geometry'!$AI$3:$AI$24</f>
            </numRef>
          </yVal>
          <smooth val="0"/>
        </ser>
        <ser>
          <idx val="12"/>
          <order val="12"/>
          <tx>
            <v>side perimeter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'Geometry'!$AK$3:$AK$23</f>
            </numRef>
          </xVal>
          <yVal>
            <numRef>
              <f>'Geometry'!$AL$3:$AL$23</f>
            </numRef>
          </yVal>
          <smooth val="0"/>
        </ser>
        <ser>
          <idx val="13"/>
          <order val="13"/>
          <tx>
            <v>corner perimeter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'Geometry'!$AN$3:$AN$14</f>
            </numRef>
          </xVal>
          <yVal>
            <numRef>
              <f>'Geometry'!$AO$3:$AO$14</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'Geometry'!$AQ$3</f>
            </numRef>
          </xVal>
          <yVal>
            <numRef>
              <f>'Geometry'!$AR$3</f>
            </numRef>
          </yVal>
          <smooth val="0"/>
        </ser>
        <ser>
          <idx val="15"/>
          <order val="15"/>
          <tx>
            <v>shear section 1</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'Geometry'!$AT$3:$AT$4</f>
            </numRef>
          </xVal>
          <yVal>
            <numRef>
              <f>'Geometry'!$AU$3:$AU$4</f>
            </numRef>
          </yVal>
          <smooth val="0"/>
        </ser>
        <ser>
          <idx val="16"/>
          <order val="16"/>
          <tx>
            <v>shear section 2</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'Geometry'!$AW$3:$AW$4</f>
            </numRef>
          </xVal>
          <yVal>
            <numRef>
              <f>'Geometry'!$AX$3:$AX$4</f>
            </numRef>
          </yVal>
          <smooth val="0"/>
        </ser>
        <ser>
          <idx val="17"/>
          <order val="17"/>
          <tx>
            <v>shear section 3</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'Geometry'!$AZ$3:$AZ$4</f>
            </numRef>
          </xVal>
          <yVal>
            <numRef>
              <f>'Geometry'!$BA$3:$BA$4</f>
            </numRef>
          </yVal>
          <smooth val="0"/>
        </ser>
        <ser>
          <idx val="18"/>
          <order val="18"/>
          <tx>
            <v>shear section 4</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'Geometry'!$BC$3:$BC$4</f>
            </numRef>
          </xVal>
          <yVal>
            <numRef>
              <f>'Geometry'!$BD$3:$BD$4</f>
            </numRef>
          </yVal>
          <smooth val="0"/>
        </ser>
        <ser>
          <idx val="19"/>
          <order val="19"/>
          <tx>
            <v>resultant</v>
          </tx>
          <spPr>
            <a:ln xmlns:a="http://schemas.openxmlformats.org/drawingml/2006/main">
              <a:noFill/>
              <a:prstDash val="solid"/>
            </a:ln>
          </spPr>
          <marker>
            <symbol val="circle"/>
            <size val="6"/>
            <spPr>
              <a:solidFill xmlns:a="http://schemas.openxmlformats.org/drawingml/2006/main">
                <a:srgbClr val="B3261E"/>
              </a:solidFill>
              <a:ln xmlns:a="http://schemas.openxmlformats.org/drawingml/2006/main">
                <a:solidFill>
                  <a:srgbClr val="B3261E"/>
                </a:solidFill>
                <a:prstDash val="solid"/>
              </a:ln>
            </spPr>
          </marker>
          <xVal>
            <numRef>
              <f>'Geometry'!$BF$3</f>
            </numRef>
          </xVal>
          <yVal>
            <numRef>
              <f>'Geometry'!$BG$3</f>
            </numRef>
          </yVal>
          <smooth val="0"/>
        </ser>
        <ser>
          <idx val="20"/>
          <order val="20"/>
          <tx>
            <v>R (SLS)</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'Geometry'!$BI$3</f>
            </numRef>
          </xVal>
          <yVal>
            <numRef>
              <f>'Geometry'!$BJ$3</f>
            </numRef>
          </yVal>
          <smooth val="0"/>
        </ser>
        <ser>
          <idx val="21"/>
          <order val="2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'Geometry'!$BL$3:$BL$4</f>
            </numRef>
          </xVal>
          <yVal>
            <numRef>
              <f>'Geometry'!$BM$3:$BM$4</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'Geometry'!$BO$3</f>
            </numRef>
          </xVal>
          <yVal>
            <numRef>
              <f>'Geometry'!$BP$3</f>
            </numRef>
          </yVal>
          <smooth val="0"/>
        </ser>
        <ser>
          <idx val="23"/>
          <order val="2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'Geometry'!$BR$3:$BR$4</f>
            </numRef>
          </xVal>
          <yVal>
            <numRef>
              <f>'Geometry'!$BS$3:$BS$4</f>
            </numRef>
          </yVal>
          <smooth val="0"/>
        </ser>
        <ser>
          <idx val="24"/>
          <order val="24"/>
          <tx>
            <strRef>
              <f>'Geometry'!$BU$2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'Geometry'!$BU$3</f>
            </numRef>
          </xVal>
          <yVal>
            <numRef>
              <f>'Geometry'!$BV$3</f>
            </numRef>
          </yVal>
          <smooth val="0"/>
        </ser>
        <ser>
          <idx val="25"/>
          <order val="2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'Geometry'!$BX$3:$BX$4</f>
            </numRef>
          </xVal>
          <yVal>
            <numRef>
              <f>'Geometry'!$BY$3:$BY$4</f>
            </numRef>
          </yVal>
          <smooth val="0"/>
        </ser>
        <ser>
          <idx val="26"/>
          <order val="26"/>
          <tx>
            <strRef>
              <f>'Geometry'!$CA$2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'Geometry'!$CA$3</f>
            </numRef>
          </xVal>
          <yVal>
            <numRef>
              <f>'Geometry'!$CB$3</f>
            </numRef>
          </yVal>
          <smooth val="0"/>
        </ser>
        <ser>
          <idx val="27"/>
          <order val="2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'Geometry'!$CD$3:$CD$4</f>
            </numRef>
          </xVal>
          <yVal>
            <numRef>
              <f>'Geometry'!$CE$3:$CE$4</f>
            </numRef>
          </yVal>
          <smooth val="0"/>
        </ser>
        <ser>
          <idx val="28"/>
          <order val="28"/>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'Geometry'!$CG$3</f>
            </numRef>
          </xVal>
          <yVal>
            <numRef>
              <f>'Geometry'!$CH$3</f>
            </numRef>
          </yVal>
          <smooth val="0"/>
        </ser>
        <ser>
          <idx val="29"/>
          <order val="29"/>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'Geometry'!$CJ$3</f>
            </numRef>
          </xVal>
          <yVal>
            <numRef>
              <f>'Geometry'!$CK$3</f>
            </numRef>
          </yVal>
          <smooth val="0"/>
        </ser>
        <ser>
          <idx val="30"/>
          <order val="30"/>
          <tx>
            <v>BMD</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'Geometry'!$CM$3:$CM$48</f>
            </numRef>
          </xVal>
          <yVal>
            <numRef>
              <f>'Geometry'!$CN$3:$CN$48</f>
            </numRef>
          </yVal>
          <smooth val="0"/>
        </ser>
        <ser>
          <idx val="31"/>
          <order val="31"/>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'Geometry'!$CS$3</f>
            </numRef>
          </xVal>
          <yVal>
            <numRef>
              <f>'Geometry'!$CT$3</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b"/>
            <showLegendKey val="0"/>
            <showVal val="0"/>
            <showCatName val="0"/>
            <showSerName val="1"/>
            <showPercent val="0"/>
          </dLbls>
          <xVal>
            <numRef>
              <f>'Geometry'!$CY$3</f>
            </numRef>
          </xVal>
          <yVal>
            <numRef>
              <f>'Geometry'!$CZ$3</f>
            </numRef>
          </yVal>
          <smooth val="0"/>
        </ser>
        <ser>
          <idx val="35"/>
          <order val="35"/>
          <tx>
            <v>frame</v>
          </tx>
          <spPr>
            <a:ln xmlns:a="http://schemas.openxmlformats.org/drawingml/2006/main">
              <a:noFill/>
              <a:prstDash val="solid"/>
            </a:ln>
          </spPr>
          <marker>
            <symbol val="none"/>
            <spPr>
              <a:ln xmlns:a="http://schemas.openxmlformats.org/drawingml/2006/main">
                <a:prstDash val="solid"/>
              </a:ln>
            </spPr>
          </marker>
          <xVal>
            <numRef>
              <f>'Geometry'!$DB$3:$DB$4</f>
            </numRef>
          </xVal>
          <yVal>
            <numRef>
              <f>'Geometry'!$DC$3:$DC$4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58</row>
      <rowOff>0</rowOff>
    </from>
    <ext cx="6696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Combined footing</t>
        </is>
      </c>
    </row>
    <row r="8" ht="20" customHeight="1">
      <c r="B8" s="4" t="inlineStr">
        <is>
          <t>Rectangular footing under two columns  ·  EN 1992-1-1 §6.1, §6.2, §6.4.4, §9.3  ·  UK NA / PN-EN</t>
        </is>
      </c>
    </row>
    <row r="10">
      <c r="B10" s="5" t="inlineStr">
        <is>
          <t>Reference</t>
        </is>
      </c>
      <c r="C10" s="6" t="inlineStr">
        <is>
          <t>NAE-RC-028  ·  version 1.0</t>
        </is>
      </c>
    </row>
    <row r="11" ht="31" customHeight="1">
      <c r="B11" s="5" t="inlineStr">
        <is>
          <t>Standards</t>
        </is>
      </c>
      <c r="C11" s="7" t="inlineStr">
        <is>
          <t>BS EN 1992-1-1:2004 with UK NA  ·  PN-EN 1992-1-1:2008 with Polish NA (NDP sources listed on the NDP sheet)  ·  EN 1990 load combination by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Rectangular reinforced concrete footing carrying two columns on its long axis: characteristic bearing pressure (uniform or trapezoidal) against an allowable value, the net design pressure and the shear and bending moment along the footing, bottom and top longitudinal bars, transverse bars under each column, beam shear at d from the column faces, punching at both columns and bar spacing. The footing can be centred on the resultant of the column loads.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540.5" customHeight="1">
      <c r="B22" s="7" t="inlineStr">
        <is>
          <t>Rigid footing on uniform ground: the soil pressure varies linearly along L and is uniform across B. Two columns on the long axis carrying axial loads only (no column moments, no horizontal forces). Full contact is required: if the resultant of the characteristic loads (columns, footing and backfill) lies more than L/6 from the centre, the base loses contact; this is outside the scope: the sheet reports FAIL and shows no Results (the calculation below them is then for diagnosis only). The same L/6 limit on the design column loads alone, whose net pressure is used for the members, is a conservative scope limit (the uniform weight of footing and backfill keeps the gross pressure positive a little further). Geotechnical design to EN 1997-1 is not covered: the bearing check compares the characteristic gross pressure with an allowable pressure from the geotechnical engineer; bearing resistance, settlement and sliding are not checked. ULS: the footing and the backfill (taken over the whole plan area) are uniform loads carried by an equal uniform part of the pressure, so they cause no bending or shear; the footing is designed as a beam along L for the net pressure of the factored column loads (EN 1990 (6.10) with your γG and γQ), the column loads acting at the column centres. Bottom bars are designed for the largest sagging moment at a column face, top bars for the largest hogging moment between the inner faces (at zero shear), both over the whole width B, rectangular stress block without redistribution (5.5(4)), z ≤ 0.95 d, no compression steel (K ≤ K′), As,min to 9.2.1.1 on both faces. Beam shear (6.2.2) at d from each column face over the width B, without the av/2d reduction for loads near a support (conservative); outside the columns with the bottom bars, between them with the smaller of the top and bottom resistances, since either face may be in tension there and |V| falls from the faces towards the point of zero shear; the strut limit 0.5 B d ν fcd is checked at the faces (6.2.2(6)). Transverse bending: each column load is spread uniformly across B and carried by a strip of width cx + d each side (less where the end of the footing or half the clear gap is closer), moment at the column face (a conventional simplification, not derived from a plate analysis); the same bars, which run along the whole footing, are also checked for the bending per metre at the highest net pressure. One-way shear across B is checked per metre of length at the highest net pressure, and near the columns the punching perimeters carry the actual column loads. Punching (6.4.4(2)): stress at the column face against vRd,max, and closed control perimeters at a = 0.1d to 2d that stay inside the footing and short of half the clear gap to the other column, less the net pressure inside (6.48), vRd = vRd,c 2d/a (6.50); the largest ratio over a ≤ min(2d; a_max) is found exactly (stationary point), not on a grid. The shear is multiplied by a factor β that you choose; the sheet does not derive it: 1.0 corresponds to (6.51) with no moment in the column, 6.4.3(6) gives 1.15 for internal columns of braced structures with similar spans, and a column near the end of the footing, with unequal shears on its two sides, or a perimeter running to an edge may call for a higher value such as the 1.4 of an edge column (6.4.3(6)); one β applies to every perimeter. Perimeters running to the near end, to a long side and to that corner (6.4.2(4), Figure 6.15) are also searched up to 2d, each with the net reaction inside it, and the largest ratio of all governs. At the face u0 is the column perimeter, or the edge or corner value of 6.4.5(3) when the face is within d of the end or a side. Perimeters reaching half way to the other column or to both sides are not checked and the sheet warns. No shear or punching reinforcement. Bar spacing: clear gap to 8.2(2), largest spacing to 9.3.1.1(3) for areas of maximum moment and concentrated loads, applied to all three layers (recommended value 2h ≤ 250 mm). Anchorage at the ends (9.8.2.2), crack widths, starter bars and the concrete grade for durability are not covered. Concrete classes up to C50/60, fyk 400 – 500 MPa.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Foundations.
•  The Institution of Structural Engineers, Manual for the design of concrete building structures to Eurocode 2 (foundations).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&amp;K8A8A8ANAE-RC-028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U27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s>
  <sheetData>
    <row r="1" ht="8" customHeight="1">
      <c r="A1" s="1" t="n"/>
      <c r="B1" s="1" t="n"/>
      <c r="C1" s="1" t="n"/>
      <c r="D1" s="1" t="n"/>
      <c r="E1" s="1" t="n"/>
      <c r="F1" s="1" t="n"/>
      <c r="G1" s="1" t="n"/>
      <c r="H1" s="1" t="n"/>
    </row>
    <row r="2" ht="30" customHeight="1">
      <c r="A2" s="1" t="n"/>
      <c r="B2" s="1" t="n"/>
      <c r="C2" s="1" t="n"/>
      <c r="D2" s="14" t="inlineStr">
        <is>
          <t>Combined footing</t>
        </is>
      </c>
      <c r="H2" s="1" t="n"/>
    </row>
    <row r="3" ht="16" customHeight="1">
      <c r="A3" s="1" t="n"/>
      <c r="B3" s="1" t="n"/>
      <c r="C3" s="15" t="inlineStr">
        <is>
          <t>NAE-RC-028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footing and bars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6" t="inlineStr">
        <is>
          <t>3.2.2</t>
        </is>
      </c>
      <c r="C13" s="24" t="inlineStr">
        <is>
          <t>Reinforcement characteristic yield strength  (400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Footing length (x, along the column line)</t>
        </is>
      </c>
      <c r="D14" s="27" t="inlineStr">
        <is>
          <r>
            <rPr>
              <rFont val="Calibri"/>
              <i val="1"/>
              <color rgb="002B2B2B"/>
              <sz val="10"/>
            </rPr>
            <t>L</t>
          </r>
        </is>
      </c>
      <c r="E14" s="25" t="n">
        <v>7200</v>
      </c>
      <c r="F14" s="28" t="inlineStr">
        <is>
          <t>mm</t>
        </is>
      </c>
      <c r="G14" s="23" t="n"/>
    </row>
    <row r="15" ht="17" customHeight="1">
      <c r="B15" s="23" t="n"/>
      <c r="C15" s="24" t="inlineStr">
        <is>
          <t>Footing width (y)</t>
        </is>
      </c>
      <c r="D15" s="27" t="inlineStr">
        <is>
          <r>
            <rPr>
              <rFont val="Calibri"/>
              <i val="1"/>
              <color rgb="002B2B2B"/>
              <sz val="10"/>
            </rPr>
            <t>B</t>
          </r>
        </is>
      </c>
      <c r="E15" s="25" t="n">
        <v>3200</v>
      </c>
      <c r="F15" s="28" t="inlineStr">
        <is>
          <t>mm</t>
        </is>
      </c>
      <c r="G15" s="23" t="n"/>
    </row>
    <row r="16" ht="17" customHeight="1">
      <c r="B16" s="23" t="n"/>
      <c r="C16" s="24" t="inlineStr">
        <is>
          <t>Footing depth</t>
        </is>
      </c>
      <c r="D16" s="27" t="inlineStr">
        <is>
          <r>
            <rPr>
              <rFont val="Calibri"/>
              <i val="1"/>
              <color rgb="002B2B2B"/>
              <sz val="10"/>
            </rPr>
            <t>h</t>
          </r>
        </is>
      </c>
      <c r="E16" s="25" t="n">
        <v>750</v>
      </c>
      <c r="F16" s="28" t="inlineStr">
        <is>
          <t>mm</t>
        </is>
      </c>
      <c r="G16" s="23" t="n"/>
    </row>
    <row r="17" ht="17" customHeight="1">
      <c r="B17" s="26" t="inlineStr">
        <is>
          <t>4.4.1.3(4)</t>
        </is>
      </c>
      <c r="C17" s="24" t="inlineStr">
        <is>
          <t>Nominal cover to the bottom bars  (≥ 40 on blinding)</t>
        </is>
      </c>
      <c r="D17" s="27" t="inlineStr">
        <is>
          <r>
            <rPr>
              <rFont val="Calibri"/>
              <i val="1"/>
              <color rgb="002B2B2B"/>
              <sz val="10"/>
            </rPr>
            <t>c</t>
          </r>
          <r>
            <rPr>
              <rFont val="Calibri"/>
              <i val="1"/>
              <color rgb="002B2B2B"/>
              <sz val="10"/>
              <vertAlign val="subscript"/>
            </rPr>
            <t>nom</t>
          </r>
        </is>
      </c>
      <c r="E17" s="25" t="n">
        <v>50</v>
      </c>
      <c r="F17" s="28" t="inlineStr">
        <is>
          <t>mm</t>
        </is>
      </c>
      <c r="G17" s="26" t="inlineStr">
        <is>
          <t>75 if cast on soil</t>
        </is>
      </c>
    </row>
    <row r="18" ht="17" customHeight="1">
      <c r="B18" s="26" t="inlineStr">
        <is>
          <t>4.4.1</t>
        </is>
      </c>
      <c r="C18" s="24" t="inlineStr">
        <is>
          <t>Nominal cover to the top bars</t>
        </is>
      </c>
      <c r="D18" s="27" t="inlineStr">
        <is>
          <r>
            <rPr>
              <rFont val="Calibri"/>
              <i val="1"/>
              <color rgb="002B2B2B"/>
              <sz val="10"/>
            </rPr>
            <t>c</t>
          </r>
          <r>
            <rPr>
              <rFont val="Calibri"/>
              <i val="1"/>
              <color rgb="002B2B2B"/>
              <sz val="10"/>
              <vertAlign val="subscript"/>
            </rPr>
            <t>top</t>
          </r>
        </is>
      </c>
      <c r="E18" s="25" t="n">
        <v>50</v>
      </c>
      <c r="F18" s="28" t="inlineStr">
        <is>
          <t>mm</t>
        </is>
      </c>
      <c r="G18" s="23" t="n"/>
    </row>
    <row r="19" ht="17" customHeight="1">
      <c r="B19" s="26" t="inlineStr">
        <is>
          <t>8.2(2)</t>
        </is>
      </c>
      <c r="C19" s="24" t="inlineStr">
        <is>
          <t>Maximum aggregate size</t>
        </is>
      </c>
      <c r="D19" s="27" t="inlineStr">
        <is>
          <r>
            <rPr>
              <rFont val="Calibri"/>
              <i val="1"/>
              <color rgb="002B2B2B"/>
              <sz val="10"/>
            </rPr>
            <t>d</t>
          </r>
          <r>
            <rPr>
              <rFont val="Calibri"/>
              <i val="1"/>
              <color rgb="002B2B2B"/>
              <sz val="10"/>
              <vertAlign val="subscript"/>
            </rPr>
            <t>g</t>
          </r>
        </is>
      </c>
      <c r="E19" s="25" t="n">
        <v>20</v>
      </c>
      <c r="F19" s="28" t="inlineStr">
        <is>
          <t>mm</t>
        </is>
      </c>
      <c r="G19" s="23" t="n"/>
    </row>
    <row r="20" ht="17" customHeight="1">
      <c r="B20" s="23" t="n"/>
      <c r="C20" s="24" t="inlineStr">
        <is>
          <t>Bottom bars along L (lower layer), diameter</t>
        </is>
      </c>
      <c r="D20" s="27" t="inlineStr">
        <is>
          <r>
            <rPr>
              <rFont val="Calibri"/>
              <i val="1"/>
              <color rgb="002B2B2B"/>
              <sz val="10"/>
            </rPr>
            <t>φ</t>
          </r>
          <r>
            <rPr>
              <rFont val="Calibri"/>
              <i val="1"/>
              <color rgb="002B2B2B"/>
              <sz val="10"/>
              <vertAlign val="subscript"/>
            </rPr>
            <t>bl</t>
          </r>
        </is>
      </c>
      <c r="E20" s="25" t="n">
        <v>16</v>
      </c>
      <c r="F20" s="28" t="inlineStr">
        <is>
          <t>mm</t>
        </is>
      </c>
      <c r="G20" s="23" t="n"/>
    </row>
    <row r="21" ht="17" customHeight="1">
      <c r="B21" s="23" t="n"/>
      <c r="C21" s="24" t="inlineStr">
        <is>
          <t>Bottom bars along L, centres</t>
        </is>
      </c>
      <c r="D21" s="27" t="inlineStr">
        <is>
          <r>
            <rPr>
              <rFont val="Calibri"/>
              <i val="1"/>
              <color rgb="002B2B2B"/>
              <sz val="10"/>
            </rPr>
            <t>s</t>
          </r>
          <r>
            <rPr>
              <rFont val="Calibri"/>
              <i val="1"/>
              <color rgb="002B2B2B"/>
              <sz val="10"/>
              <vertAlign val="subscript"/>
            </rPr>
            <t>bl</t>
          </r>
        </is>
      </c>
      <c r="E21" s="25" t="n">
        <v>150</v>
      </c>
      <c r="F21" s="28" t="inlineStr">
        <is>
          <t>mm</t>
        </is>
      </c>
      <c r="G21" s="23" t="n"/>
    </row>
    <row r="22" ht="17" customHeight="1">
      <c r="B22" s="23" t="n"/>
      <c r="C22" s="24" t="inlineStr">
        <is>
          <t>Bottom bars across B (upper layer), diameter</t>
        </is>
      </c>
      <c r="D22" s="27" t="inlineStr">
        <is>
          <r>
            <rPr>
              <rFont val="Calibri"/>
              <i val="1"/>
              <color rgb="002B2B2B"/>
              <sz val="10"/>
            </rPr>
            <t>φ</t>
          </r>
          <r>
            <rPr>
              <rFont val="Calibri"/>
              <i val="1"/>
              <color rgb="002B2B2B"/>
              <sz val="10"/>
              <vertAlign val="subscript"/>
            </rPr>
            <t>bt</t>
          </r>
        </is>
      </c>
      <c r="E22" s="25" t="n">
        <v>16</v>
      </c>
      <c r="F22" s="28" t="inlineStr">
        <is>
          <t>mm</t>
        </is>
      </c>
      <c r="G22" s="23" t="n"/>
    </row>
    <row r="23" ht="17" customHeight="1">
      <c r="B23" s="23" t="n"/>
      <c r="C23" s="24" t="inlineStr">
        <is>
          <t>Bottom bars across B, centres</t>
        </is>
      </c>
      <c r="D23" s="27" t="inlineStr">
        <is>
          <r>
            <rPr>
              <rFont val="Calibri"/>
              <i val="1"/>
              <color rgb="002B2B2B"/>
              <sz val="10"/>
            </rPr>
            <t>s</t>
          </r>
          <r>
            <rPr>
              <rFont val="Calibri"/>
              <i val="1"/>
              <color rgb="002B2B2B"/>
              <sz val="10"/>
              <vertAlign val="subscript"/>
            </rPr>
            <t>bt</t>
          </r>
        </is>
      </c>
      <c r="E23" s="25" t="n">
        <v>125</v>
      </c>
      <c r="F23" s="28" t="inlineStr">
        <is>
          <t>mm</t>
        </is>
      </c>
      <c r="G23" s="23" t="n"/>
    </row>
    <row r="24" ht="17" customHeight="1">
      <c r="B24" s="23" t="n"/>
      <c r="C24" s="24" t="inlineStr">
        <is>
          <t>Top bars along L, diameter</t>
        </is>
      </c>
      <c r="D24" s="27" t="inlineStr">
        <is>
          <r>
            <rPr>
              <rFont val="Calibri"/>
              <i val="1"/>
              <color rgb="002B2B2B"/>
              <sz val="10"/>
            </rPr>
            <t>φ</t>
          </r>
          <r>
            <rPr>
              <rFont val="Calibri"/>
              <i val="1"/>
              <color rgb="002B2B2B"/>
              <sz val="10"/>
              <vertAlign val="subscript"/>
            </rPr>
            <t>tl</t>
          </r>
        </is>
      </c>
      <c r="E24" s="25" t="n">
        <v>16</v>
      </c>
      <c r="F24" s="28" t="inlineStr">
        <is>
          <t>mm</t>
        </is>
      </c>
      <c r="G24" s="23" t="n"/>
    </row>
    <row r="25" ht="17" customHeight="1">
      <c r="B25" s="23" t="n"/>
      <c r="C25" s="24" t="inlineStr">
        <is>
          <t>Top bars along L, centres</t>
        </is>
      </c>
      <c r="D25" s="27" t="inlineStr">
        <is>
          <r>
            <rPr>
              <rFont val="Calibri"/>
              <i val="1"/>
              <color rgb="002B2B2B"/>
              <sz val="10"/>
            </rPr>
            <t>s</t>
          </r>
          <r>
            <rPr>
              <rFont val="Calibri"/>
              <i val="1"/>
              <color rgb="002B2B2B"/>
              <sz val="10"/>
              <vertAlign val="subscript"/>
            </rPr>
            <t>tl</t>
          </r>
        </is>
      </c>
      <c r="E25" s="25" t="n">
        <v>175</v>
      </c>
      <c r="F25" s="28" t="inlineStr">
        <is>
          <t>mm</t>
        </is>
      </c>
      <c r="G25" s="23" t="n"/>
    </row>
    <row r="27" ht="22" customHeight="1">
      <c r="B27" s="20" t="inlineStr">
        <is>
          <t>Inputs  ·  columns and loads</t>
        </is>
      </c>
      <c r="C27" s="21" t="n"/>
      <c r="D27" s="21" t="n"/>
      <c r="E27" s="21" t="n"/>
      <c r="F27" s="21" t="n"/>
      <c r="G27" s="22" t="inlineStr">
        <is>
          <t>Characteristic loads at the top of the footing</t>
        </is>
      </c>
    </row>
    <row r="28" ht="17" customHeight="1">
      <c r="B28" s="23" t="n"/>
      <c r="C28" s="24" t="inlineStr">
        <is>
          <t>Centre the footing on the resultant of the column loads</t>
        </is>
      </c>
      <c r="D28" s="23" t="n"/>
      <c r="E28" s="25" t="inlineStr">
        <is>
          <t>No</t>
        </is>
      </c>
      <c r="F28" s="23" t="n"/>
      <c r="G28" s="26" t="inlineStr">
        <is>
          <t>Yes: a1 is calculated</t>
        </is>
      </c>
    </row>
    <row r="29" ht="17" customHeight="1">
      <c r="B29" s="23" t="n"/>
      <c r="C29" s="24" t="inlineStr">
        <is>
          <t>Left end to the centre of column 1  (if not centred)</t>
        </is>
      </c>
      <c r="D29" s="27" t="inlineStr">
        <is>
          <r>
            <rPr>
              <rFont val="Calibri"/>
              <i val="1"/>
              <color rgb="002B2B2B"/>
              <sz val="10"/>
            </rPr>
            <t>a</t>
          </r>
          <r>
            <rPr>
              <rFont val="Calibri"/>
              <i val="1"/>
              <color rgb="002B2B2B"/>
              <sz val="10"/>
              <vertAlign val="subscript"/>
            </rPr>
            <t>1</t>
          </r>
        </is>
      </c>
      <c r="E29" s="25" t="n">
        <v>1600</v>
      </c>
      <c r="F29" s="28" t="inlineStr">
        <is>
          <t>mm</t>
        </is>
      </c>
      <c r="G29" s="23" t="n"/>
    </row>
    <row r="30" ht="17" customHeight="1">
      <c r="B30" s="23" t="n"/>
      <c r="C30" s="24" t="inlineStr">
        <is>
          <t>Column 1 to column 2, centre to centre</t>
        </is>
      </c>
      <c r="D30" s="27" t="inlineStr">
        <is>
          <r>
            <rPr>
              <rFont val="Calibri"/>
              <i val="1"/>
              <color rgb="002B2B2B"/>
              <sz val="10"/>
            </rPr>
            <t>s</t>
          </r>
        </is>
      </c>
      <c r="E30" s="25" t="n">
        <v>4000</v>
      </c>
      <c r="F30" s="28" t="inlineStr">
        <is>
          <t>mm</t>
        </is>
      </c>
      <c r="G30" s="23" t="n"/>
    </row>
    <row r="31" ht="17" customHeight="1">
      <c r="B31" s="23" t="n"/>
      <c r="C31" s="24" t="inlineStr">
        <is>
          <t>Column 1: dimension along L</t>
        </is>
      </c>
      <c r="D31" s="27" t="inlineStr">
        <is>
          <r>
            <rPr>
              <rFont val="Calibri"/>
              <i val="1"/>
              <color rgb="002B2B2B"/>
              <sz val="10"/>
            </rPr>
            <t>c</t>
          </r>
          <r>
            <rPr>
              <rFont val="Calibri"/>
              <i val="1"/>
              <color rgb="002B2B2B"/>
              <sz val="10"/>
              <vertAlign val="subscript"/>
            </rPr>
            <t>x1</t>
          </r>
        </is>
      </c>
      <c r="E31" s="25" t="n">
        <v>400</v>
      </c>
      <c r="F31" s="28" t="inlineStr">
        <is>
          <t>mm</t>
        </is>
      </c>
      <c r="G31" s="23" t="n"/>
    </row>
    <row r="32" ht="17" customHeight="1">
      <c r="B32" s="23" t="n"/>
      <c r="C32" s="24" t="inlineStr">
        <is>
          <t>Column 1: dimension across</t>
        </is>
      </c>
      <c r="D32" s="27" t="inlineStr">
        <is>
          <r>
            <rPr>
              <rFont val="Calibri"/>
              <i val="1"/>
              <color rgb="002B2B2B"/>
              <sz val="10"/>
            </rPr>
            <t>c</t>
          </r>
          <r>
            <rPr>
              <rFont val="Calibri"/>
              <i val="1"/>
              <color rgb="002B2B2B"/>
              <sz val="10"/>
              <vertAlign val="subscript"/>
            </rPr>
            <t>y1</t>
          </r>
        </is>
      </c>
      <c r="E32" s="25" t="n">
        <v>400</v>
      </c>
      <c r="F32" s="28" t="inlineStr">
        <is>
          <t>mm</t>
        </is>
      </c>
      <c r="G32" s="23" t="n"/>
    </row>
    <row r="33" ht="17" customHeight="1">
      <c r="B33" s="23" t="n"/>
      <c r="C33" s="24" t="inlineStr">
        <is>
          <t>Column 1: load, permanent</t>
        </is>
      </c>
      <c r="D33" s="27" t="inlineStr">
        <is>
          <r>
            <rPr>
              <rFont val="Calibri"/>
              <i val="1"/>
              <color rgb="002B2B2B"/>
              <sz val="10"/>
            </rPr>
            <t>G</t>
          </r>
          <r>
            <rPr>
              <rFont val="Calibri"/>
              <i val="1"/>
              <color rgb="002B2B2B"/>
              <sz val="10"/>
              <vertAlign val="subscript"/>
            </rPr>
            <t>k1</t>
          </r>
        </is>
      </c>
      <c r="E33" s="29" t="n">
        <v>800</v>
      </c>
      <c r="F33" s="28" t="inlineStr">
        <is>
          <t>kN</t>
        </is>
      </c>
      <c r="G33" s="23" t="n"/>
    </row>
    <row r="34" ht="17" customHeight="1">
      <c r="B34" s="23" t="n"/>
      <c r="C34" s="24" t="inlineStr">
        <is>
          <t>Column 1: load, variable</t>
        </is>
      </c>
      <c r="D34" s="27" t="inlineStr">
        <is>
          <r>
            <rPr>
              <rFont val="Calibri"/>
              <i val="1"/>
              <color rgb="002B2B2B"/>
              <sz val="10"/>
            </rPr>
            <t>Q</t>
          </r>
          <r>
            <rPr>
              <rFont val="Calibri"/>
              <i val="1"/>
              <color rgb="002B2B2B"/>
              <sz val="10"/>
              <vertAlign val="subscript"/>
            </rPr>
            <t>k1</t>
          </r>
        </is>
      </c>
      <c r="E34" s="29" t="n">
        <v>400</v>
      </c>
      <c r="F34" s="28" t="inlineStr">
        <is>
          <t>kN</t>
        </is>
      </c>
      <c r="G34" s="23" t="n"/>
    </row>
    <row r="35" ht="17" customHeight="1">
      <c r="B35" s="23" t="n"/>
      <c r="C35" s="24" t="inlineStr">
        <is>
          <t>Column 2: dimension along L</t>
        </is>
      </c>
      <c r="D35" s="27" t="inlineStr">
        <is>
          <r>
            <rPr>
              <rFont val="Calibri"/>
              <i val="1"/>
              <color rgb="002B2B2B"/>
              <sz val="10"/>
            </rPr>
            <t>c</t>
          </r>
          <r>
            <rPr>
              <rFont val="Calibri"/>
              <i val="1"/>
              <color rgb="002B2B2B"/>
              <sz val="10"/>
              <vertAlign val="subscript"/>
            </rPr>
            <t>x2</t>
          </r>
        </is>
      </c>
      <c r="E35" s="25" t="n">
        <v>450</v>
      </c>
      <c r="F35" s="28" t="inlineStr">
        <is>
          <t>mm</t>
        </is>
      </c>
      <c r="G35" s="23" t="n"/>
    </row>
    <row r="36" ht="17" customHeight="1">
      <c r="B36" s="23" t="n"/>
      <c r="C36" s="24" t="inlineStr">
        <is>
          <t>Column 2: dimension across</t>
        </is>
      </c>
      <c r="D36" s="27" t="inlineStr">
        <is>
          <r>
            <rPr>
              <rFont val="Calibri"/>
              <i val="1"/>
              <color rgb="002B2B2B"/>
              <sz val="10"/>
            </rPr>
            <t>c</t>
          </r>
          <r>
            <rPr>
              <rFont val="Calibri"/>
              <i val="1"/>
              <color rgb="002B2B2B"/>
              <sz val="10"/>
              <vertAlign val="subscript"/>
            </rPr>
            <t>y2</t>
          </r>
        </is>
      </c>
      <c r="E36" s="25" t="n">
        <v>450</v>
      </c>
      <c r="F36" s="28" t="inlineStr">
        <is>
          <t>mm</t>
        </is>
      </c>
      <c r="G36" s="23" t="n"/>
    </row>
    <row r="37" ht="17" customHeight="1">
      <c r="B37" s="23" t="n"/>
      <c r="C37" s="24" t="inlineStr">
        <is>
          <t>Column 2: load, permanent</t>
        </is>
      </c>
      <c r="D37" s="27" t="inlineStr">
        <is>
          <r>
            <rPr>
              <rFont val="Calibri"/>
              <i val="1"/>
              <color rgb="002B2B2B"/>
              <sz val="10"/>
            </rPr>
            <t>G</t>
          </r>
          <r>
            <rPr>
              <rFont val="Calibri"/>
              <i val="1"/>
              <color rgb="002B2B2B"/>
              <sz val="10"/>
              <vertAlign val="subscript"/>
            </rPr>
            <t>k2</t>
          </r>
        </is>
      </c>
      <c r="E37" s="29" t="n">
        <v>1100</v>
      </c>
      <c r="F37" s="28" t="inlineStr">
        <is>
          <t>kN</t>
        </is>
      </c>
      <c r="G37" s="23" t="n"/>
    </row>
    <row r="38" ht="17" customHeight="1">
      <c r="B38" s="23" t="n"/>
      <c r="C38" s="24" t="inlineStr">
        <is>
          <t>Column 2: load, variable</t>
        </is>
      </c>
      <c r="D38" s="27" t="inlineStr">
        <is>
          <r>
            <rPr>
              <rFont val="Calibri"/>
              <i val="1"/>
              <color rgb="002B2B2B"/>
              <sz val="10"/>
            </rPr>
            <t>Q</t>
          </r>
          <r>
            <rPr>
              <rFont val="Calibri"/>
              <i val="1"/>
              <color rgb="002B2B2B"/>
              <sz val="10"/>
              <vertAlign val="subscript"/>
            </rPr>
            <t>k2</t>
          </r>
        </is>
      </c>
      <c r="E38" s="29" t="n">
        <v>500</v>
      </c>
      <c r="F38" s="28" t="inlineStr">
        <is>
          <t>kN</t>
        </is>
      </c>
      <c r="G38" s="23" t="n"/>
    </row>
    <row r="39" ht="17" customHeight="1">
      <c r="B39" s="26" t="inlineStr">
        <is>
          <t>EN 1990 A1.2(B)</t>
        </is>
      </c>
      <c r="C39" s="24" t="inlineStr">
        <is>
          <t>Partial factor, permanent</t>
        </is>
      </c>
      <c r="D39" s="27" t="inlineStr">
        <is>
          <r>
            <rPr>
              <rFont val="Calibri"/>
              <i val="1"/>
              <color rgb="002B2B2B"/>
              <sz val="10"/>
            </rPr>
            <t>γ</t>
          </r>
          <r>
            <rPr>
              <rFont val="Calibri"/>
              <i val="1"/>
              <color rgb="002B2B2B"/>
              <sz val="10"/>
              <vertAlign val="subscript"/>
            </rPr>
            <t>G</t>
          </r>
        </is>
      </c>
      <c r="E39" s="30" t="n">
        <v>1.35</v>
      </c>
      <c r="F39" s="23" t="n"/>
      <c r="G39" s="23" t="n"/>
    </row>
    <row r="40" ht="17" customHeight="1">
      <c r="B40" s="26" t="inlineStr">
        <is>
          <t>EN 1990 A1.2(B)</t>
        </is>
      </c>
      <c r="C40" s="24" t="inlineStr">
        <is>
          <t>Partial factor, variable</t>
        </is>
      </c>
      <c r="D40" s="27" t="inlineStr">
        <is>
          <r>
            <rPr>
              <rFont val="Calibri"/>
              <i val="1"/>
              <color rgb="002B2B2B"/>
              <sz val="10"/>
            </rPr>
            <t>γ</t>
          </r>
          <r>
            <rPr>
              <rFont val="Calibri"/>
              <i val="1"/>
              <color rgb="002B2B2B"/>
              <sz val="10"/>
              <vertAlign val="subscript"/>
            </rPr>
            <t>Q</t>
          </r>
        </is>
      </c>
      <c r="E40" s="30" t="n">
        <v>1.5</v>
      </c>
      <c r="F40" s="23" t="n"/>
      <c r="G40" s="23" t="n"/>
    </row>
    <row r="41" ht="17" customHeight="1">
      <c r="B41" s="26" t="inlineStr">
        <is>
          <t>6.4.3(6)</t>
        </is>
      </c>
      <c r="C41" s="24" t="inlineStr">
        <is>
          <t>Punching: factor β on the shear  (≥ 1.0)</t>
        </is>
      </c>
      <c r="D41" s="27" t="inlineStr">
        <is>
          <r>
            <rPr>
              <rFont val="Calibri"/>
              <i val="1"/>
              <color rgb="002B2B2B"/>
              <sz val="10"/>
            </rPr>
            <t>β</t>
          </r>
        </is>
      </c>
      <c r="E41" s="30" t="n">
        <v>1.15</v>
      </c>
      <c r="F41" s="23" t="n"/>
      <c r="G41" s="26" t="inlineStr">
        <is>
          <t>Your choice; see the About sheet</t>
        </is>
      </c>
    </row>
    <row r="42" ht="17" customHeight="1">
      <c r="B42" s="23" t="n"/>
      <c r="C42" s="24" t="inlineStr">
        <is>
          <t>Depth of backfill over the footing</t>
        </is>
      </c>
      <c r="D42" s="27" t="inlineStr">
        <is>
          <r>
            <rPr>
              <rFont val="Calibri"/>
              <i val="1"/>
              <color rgb="002B2B2B"/>
              <sz val="10"/>
            </rPr>
            <t>D</t>
          </r>
          <r>
            <rPr>
              <rFont val="Calibri"/>
              <i val="1"/>
              <color rgb="002B2B2B"/>
              <sz val="10"/>
              <vertAlign val="subscript"/>
            </rPr>
            <t>s</t>
          </r>
        </is>
      </c>
      <c r="E42" s="25" t="n">
        <v>500</v>
      </c>
      <c r="F42" s="28" t="inlineStr">
        <is>
          <t>mm</t>
        </is>
      </c>
      <c r="G42" s="23" t="n"/>
    </row>
    <row r="43" ht="17" customHeight="1">
      <c r="B43" s="23" t="n"/>
      <c r="C43" s="24" t="inlineStr">
        <is>
          <t>Unit weight of backfill</t>
        </is>
      </c>
      <c r="D43" s="27" t="inlineStr">
        <is>
          <r>
            <rPr>
              <rFont val="Calibri"/>
              <i val="1"/>
              <color rgb="002B2B2B"/>
              <sz val="10"/>
            </rPr>
            <t>γ</t>
          </r>
          <r>
            <rPr>
              <rFont val="Calibri"/>
              <i val="1"/>
              <color rgb="002B2B2B"/>
              <sz val="10"/>
              <vertAlign val="subscript"/>
            </rPr>
            <t>soil</t>
          </r>
        </is>
      </c>
      <c r="E43" s="31" t="n">
        <v>18</v>
      </c>
      <c r="F43" s="28" t="inlineStr">
        <is>
          <t>kN/m³</t>
        </is>
      </c>
      <c r="G43" s="23" t="n"/>
    </row>
    <row r="44" ht="17" customHeight="1">
      <c r="B44" s="23" t="n"/>
      <c r="C44" s="24" t="inlineStr">
        <is>
          <t>Allowable gross bearing pressure</t>
        </is>
      </c>
      <c r="D44" s="27" t="inlineStr">
        <is>
          <r>
            <rPr>
              <rFont val="Calibri"/>
              <i val="1"/>
              <color rgb="002B2B2B"/>
              <sz val="10"/>
            </rPr>
            <t>q</t>
          </r>
          <r>
            <rPr>
              <rFont val="Calibri"/>
              <i val="1"/>
              <color rgb="002B2B2B"/>
              <sz val="10"/>
              <vertAlign val="subscript"/>
            </rPr>
            <t>allow</t>
          </r>
        </is>
      </c>
      <c r="E44" s="29" t="n">
        <v>200</v>
      </c>
      <c r="F44" s="28" t="inlineStr">
        <is>
          <t>kPa</t>
        </is>
      </c>
      <c r="G44" s="26" t="inlineStr">
        <is>
          <t>From the ground investigation</t>
        </is>
      </c>
    </row>
    <row r="45" ht="17" customHeight="1">
      <c r="B45" s="23" t="n"/>
      <c r="C45" s="24" t="inlineStr">
        <is>
          <t>Inputs valid and consistent</t>
        </is>
      </c>
      <c r="D45" s="23" t="n"/>
      <c r="E45" s="9" t="n"/>
      <c r="F45" s="23" t="n"/>
      <c r="G45" s="32">
        <f>IF(inputs_ok,"OK","FAIL")</f>
        <v/>
      </c>
    </row>
    <row r="47" ht="22" customHeight="1">
      <c r="B47" s="20" t="inlineStr">
        <is>
          <t>Results</t>
        </is>
      </c>
      <c r="C47" s="21" t="n"/>
      <c r="D47" s="21" t="n"/>
      <c r="E47" s="21" t="n"/>
      <c r="F47" s="21" t="n"/>
      <c r="G47" s="21" t="n"/>
    </row>
    <row r="48" ht="26" customHeight="1">
      <c r="B48" s="33" t="n"/>
      <c r="C48" s="34" t="inlineStr">
        <is>
          <t>Scope: e / (L/6), SLS gross and ULS net</t>
        </is>
      </c>
      <c r="D48" s="33" t="n"/>
      <c r="E48" s="35">
        <f>IF(inputs_ok,MAX(ek_cf,ABS(eds_cf))/(L_cf/6),"–")</f>
        <v/>
      </c>
      <c r="F48" s="36" t="inlineStr"/>
      <c r="G48" s="37">
        <f>IF(NOT(inputs_ok),"FAIL",IF(contact_ok,"OK","FAIL"))</f>
        <v/>
      </c>
    </row>
    <row r="49" ht="26" customHeight="1">
      <c r="B49" s="33" t="n"/>
      <c r="C49" s="34" t="inlineStr">
        <is>
          <t>Bearing, characteristic  q_max / q_allow</t>
        </is>
      </c>
      <c r="D49" s="33" t="n"/>
      <c r="E49" s="35">
        <f>IF(inputs_ok,qkmax_cf/q_allow,"–")</f>
        <v/>
      </c>
      <c r="F49" s="36" t="inlineStr"/>
      <c r="G49" s="37">
        <f>IF(NOT(inputs_ok),"FAIL",IF(AND(ek_cf&lt;=L_cf/6,qkmax_cf&lt;=q_allow),"OK","FAIL"))</f>
        <v/>
      </c>
    </row>
    <row r="50" ht="26" customHeight="1">
      <c r="B50" s="33" t="n"/>
      <c r="C50" s="34" t="inlineStr">
        <is>
          <t>Bottom bars along L  (sagging at the faces)</t>
        </is>
      </c>
      <c r="D50" s="33" t="n"/>
      <c r="E50" s="35">
        <f>IF(inputs_ok,IF(contact_ok,IF(ISNA(z_bl),"K &gt; K′",MAX(Asr_bl,Asm_bl)/Asp_bl),"–"),"–")</f>
        <v/>
      </c>
      <c r="F50" s="36" t="inlineStr"/>
      <c r="G50" s="37">
        <f>IF(NOT(inputs_ok),"FAIL",IF(bot_ok,"OK","FAIL"))</f>
        <v/>
      </c>
    </row>
    <row r="51" ht="26" customHeight="1">
      <c r="B51" s="33" t="n"/>
      <c r="C51" s="34" t="inlineStr">
        <is>
          <t>Top bars along L  (hogging between the columns)</t>
        </is>
      </c>
      <c r="D51" s="33" t="n"/>
      <c r="E51" s="35">
        <f>IF(inputs_ok,IF(contact_ok,IF(ISNA(z_tl),"K &gt; K′",MAX(Asr_tl,Asm_tl)/Asp_tl),"–"),"–")</f>
        <v/>
      </c>
      <c r="F51" s="36" t="inlineStr"/>
      <c r="G51" s="37">
        <f>IF(NOT(inputs_ok),"FAIL",IF(top_ok,"OK","FAIL"))</f>
        <v/>
      </c>
    </row>
    <row r="52" ht="26" customHeight="1">
      <c r="B52" s="33" t="n"/>
      <c r="C52" s="34" t="inlineStr">
        <is>
          <t>Bars across B: strips, per metre, shear across B</t>
        </is>
      </c>
      <c r="D52" s="33" t="n"/>
      <c r="E52" s="35">
        <f>IF(inputs_ok,IF(contact_ok,IF(OR(ISNA(z_t1),ISNA(z_t2),ISNA(z_ty)),"K &gt; K′",MAX(MAX(Asr_t1,Asm_t1)/Asp_t1,MAX(Asr_t2,Asm_t2)/Asp_t2,MAX(Asr_ty,Asm_ty)/Asp_ty,Vty_cf/VRty_cf)),"–"),"–")</f>
        <v/>
      </c>
      <c r="F52" s="36" t="inlineStr"/>
      <c r="G52" s="37">
        <f>IF(NOT(inputs_ok),"FAIL",IF(trans_ok,"OK","FAIL"))</f>
        <v/>
      </c>
    </row>
    <row r="53" ht="26" customHeight="1">
      <c r="B53" s="33" t="n"/>
      <c r="C53" s="34" t="inlineStr">
        <is>
          <t>Beam shear  (at d: VRd,c; at the faces: VRd,max)</t>
        </is>
      </c>
      <c r="D53" s="33" t="n"/>
      <c r="E53" s="35">
        <f>IF(inputs_ok,IF(contact_ok,MAX(shu_cf,Vfc_cf/VRm_cf),"–"),"–")</f>
        <v/>
      </c>
      <c r="F53" s="36" t="inlineStr"/>
      <c r="G53" s="37">
        <f>IF(NOT(inputs_ok),"FAIL",IF(shear_ok,"OK","FAIL"))</f>
        <v/>
      </c>
    </row>
    <row r="54" ht="26" customHeight="1">
      <c r="B54" s="33" t="n"/>
      <c r="C54" s="34" t="inlineStr">
        <is>
          <t>Punching at column 1  vEd / vRd  (face, perimeters)</t>
        </is>
      </c>
      <c r="D54" s="33" t="n"/>
      <c r="E54" s="35">
        <f>IF(inputs_ok,IF(contact_ok,IF(pany1_cf,MAX(pu1_cf,vEd01_cf/v_Rdmax),vEd01_cf/v_Rdmax),"–"),"–")</f>
        <v/>
      </c>
      <c r="F54" s="36" t="inlineStr"/>
      <c r="G54" s="37">
        <f>IF(NOT(inputs_ok),"FAIL",IF(NOT(contact_ok),"FAIL",IF(vEd01_cf&gt;v_Rdmax,"FAIL",IF(NOT(pany1_cf),"! No perimeter inside",IF(pu1_cf&gt;1,"FAIL",IF(pedge1_cf,"! Some perimeters not checked","OK"))))))</f>
        <v/>
      </c>
    </row>
    <row r="55" ht="26" customHeight="1">
      <c r="B55" s="33" t="n"/>
      <c r="C55" s="34" t="inlineStr">
        <is>
          <t>Punching at column 2  vEd / vRd  (face, perimeters)</t>
        </is>
      </c>
      <c r="D55" s="33" t="n"/>
      <c r="E55" s="35">
        <f>IF(inputs_ok,IF(contact_ok,IF(pany2_cf,MAX(pu2_cf,vEd02_cf/v_Rdmax),vEd02_cf/v_Rdmax),"–"),"–")</f>
        <v/>
      </c>
      <c r="F55" s="36" t="inlineStr"/>
      <c r="G55" s="37">
        <f>IF(NOT(inputs_ok),"FAIL",IF(NOT(contact_ok),"FAIL",IF(vEd02_cf&gt;v_Rdmax,"FAIL",IF(NOT(pany2_cf),"! No perimeter inside",IF(pu2_cf&gt;1,"FAIL",IF(pedge2_cf,"! Some perimeters not checked","OK"))))))</f>
        <v/>
      </c>
    </row>
    <row r="56" ht="26" customHeight="1">
      <c r="B56" s="33" t="n"/>
      <c r="C56" s="34" t="inlineStr">
        <is>
          <t>Detailing  (largest spacing, clear gap)</t>
        </is>
      </c>
      <c r="D56" s="33" t="n"/>
      <c r="E56" s="35">
        <f>IF(inputs_ok,MAX(sbl_cf/smax_cf,stl_cf/smax_cf,sbt_cf/smax_cf,gbl_cf/MAX(sbl_cf-pbl_cf,0.001),gbt_cf/MAX(sbt_cf-pbt_cf,0.001),gtl_cf/MAX(stl_cf-ptl_cf,0.001)),"–")</f>
        <v/>
      </c>
      <c r="F56" s="36" t="inlineStr"/>
      <c r="G56" s="37">
        <f>IF(NOT(inputs_ok),"FAIL",IF(det_ok,"OK","FAIL"))</f>
        <v/>
      </c>
    </row>
    <row r="57"/>
    <row r="58">
      <c r="B58" s="38" t="inlineStr">
        <is>
          <t>Your footing in plan, to scale  ·  punching perimeters at the governing a (blue)  ·  shear sections at d (dashed)  ·  ULS bending moment below, on the tension side</t>
        </is>
      </c>
    </row>
    <row r="59"/>
    <row r="60"/>
    <row r="61"/>
    <row r="62"/>
    <row r="63"/>
    <row r="64"/>
    <row r="65"/>
    <row r="66"/>
    <row r="67"/>
    <row r="68"/>
    <row r="69"/>
    <row r="70"/>
    <row r="71"/>
    <row r="72"/>
    <row r="73"/>
    <row r="74"/>
    <row r="75"/>
    <row r="76"/>
    <row r="77"/>
    <row r="78"/>
    <row r="79"/>
    <row r="80"/>
    <row r="81"/>
    <row r="82"/>
    <row r="83" ht="22" customHeight="1">
      <c r="B83" s="20" t="inlineStr">
        <is>
          <t>Calculation  ·  layout and bearing (characteristic)</t>
        </is>
      </c>
      <c r="C83" s="21" t="n"/>
      <c r="D83" s="21" t="n"/>
      <c r="E83" s="21" t="n"/>
      <c r="F83" s="21" t="n"/>
      <c r="G83" s="21" t="n"/>
    </row>
    <row r="84" ht="17" customHeight="1">
      <c r="B84" s="23" t="n"/>
      <c r="C84" s="24" t="inlineStr">
        <is>
          <t>Column loads  N1,k = Gk1 + Qk1</t>
        </is>
      </c>
      <c r="D84" s="27" t="inlineStr">
        <is>
          <r>
            <rPr>
              <rFont val="Calibri"/>
              <i val="1"/>
              <color rgb="002B2B2B"/>
              <sz val="10"/>
            </rPr>
            <t>N</t>
          </r>
          <r>
            <rPr>
              <rFont val="Calibri"/>
              <i val="1"/>
              <color rgb="002B2B2B"/>
              <sz val="10"/>
              <vertAlign val="subscript"/>
            </rPr>
            <t>1,k</t>
          </r>
        </is>
      </c>
      <c r="E84" s="39">
        <f>IF(inputs_ok,N1k_cf,NA())</f>
        <v/>
      </c>
      <c r="F84" s="28" t="inlineStr">
        <is>
          <t>kN</t>
        </is>
      </c>
      <c r="G84" s="23" t="n"/>
    </row>
    <row r="85" ht="17" customHeight="1">
      <c r="B85" s="23" t="n"/>
      <c r="C85" s="24" t="inlineStr">
        <is>
          <t>N2,k = Gk2 + Qk2</t>
        </is>
      </c>
      <c r="D85" s="27" t="inlineStr">
        <is>
          <r>
            <rPr>
              <rFont val="Calibri"/>
              <i val="1"/>
              <color rgb="002B2B2B"/>
              <sz val="10"/>
            </rPr>
            <t>N</t>
          </r>
          <r>
            <rPr>
              <rFont val="Calibri"/>
              <i val="1"/>
              <color rgb="002B2B2B"/>
              <sz val="10"/>
              <vertAlign val="subscript"/>
            </rPr>
            <t>2,k</t>
          </r>
        </is>
      </c>
      <c r="E85" s="39">
        <f>IF(inputs_ok,N2k_cf,NA())</f>
        <v/>
      </c>
      <c r="F85" s="28" t="inlineStr">
        <is>
          <t>kN</t>
        </is>
      </c>
      <c r="G85" s="23" t="n"/>
    </row>
    <row r="86" ht="17" customHeight="1">
      <c r="B86" s="23" t="n"/>
      <c r="C86" s="24" t="inlineStr">
        <is>
          <t>Column 1 centre  a1, or if centred  L/2 − N2,k s / (N1,k + N2,k)</t>
        </is>
      </c>
      <c r="D86" s="27" t="inlineStr">
        <is>
          <r>
            <rPr>
              <rFont val="Calibri"/>
              <i val="1"/>
              <color rgb="002B2B2B"/>
              <sz val="10"/>
            </rPr>
            <t>x</t>
          </r>
          <r>
            <rPr>
              <rFont val="Calibri"/>
              <i val="1"/>
              <color rgb="002B2B2B"/>
              <sz val="10"/>
              <vertAlign val="subscript"/>
            </rPr>
            <t>1</t>
          </r>
        </is>
      </c>
      <c r="E86" s="40">
        <f>IF(inputs_ok,x1_cf,NA())</f>
        <v/>
      </c>
      <c r="F86" s="28" t="inlineStr">
        <is>
          <t>mm</t>
        </is>
      </c>
      <c r="G86" s="23" t="n"/>
    </row>
    <row r="87" ht="17" customHeight="1">
      <c r="B87" s="23" t="n"/>
      <c r="C87" s="24" t="inlineStr">
        <is>
          <t>Column 2 centre  x1 + s</t>
        </is>
      </c>
      <c r="D87" s="27" t="inlineStr">
        <is>
          <r>
            <rPr>
              <rFont val="Calibri"/>
              <i val="1"/>
              <color rgb="002B2B2B"/>
              <sz val="10"/>
            </rPr>
            <t>x</t>
          </r>
          <r>
            <rPr>
              <rFont val="Calibri"/>
              <i val="1"/>
              <color rgb="002B2B2B"/>
              <sz val="10"/>
              <vertAlign val="subscript"/>
            </rPr>
            <t>2</t>
          </r>
        </is>
      </c>
      <c r="E87" s="40">
        <f>IF(inputs_ok,x2_cf,NA())</f>
        <v/>
      </c>
      <c r="F87" s="28" t="inlineStr">
        <is>
          <t>mm</t>
        </is>
      </c>
      <c r="G87" s="23" t="n"/>
    </row>
    <row r="88" ht="17" customHeight="1">
      <c r="B88" s="23" t="n"/>
      <c r="C88" s="24" t="inlineStr">
        <is>
          <t>Clear gap between the columns  s − (cx1 + cx2)/2</t>
        </is>
      </c>
      <c r="D88" s="27" t="inlineStr">
        <is>
          <r>
            <rPr>
              <rFont val="Calibri"/>
              <i val="1"/>
              <color rgb="002B2B2B"/>
              <sz val="10"/>
            </rPr>
            <t>g</t>
          </r>
        </is>
      </c>
      <c r="E88" s="40">
        <f>IF(inputs_ok,gap_cf,NA())</f>
        <v/>
      </c>
      <c r="F88" s="28" t="inlineStr">
        <is>
          <t>mm</t>
        </is>
      </c>
      <c r="G88" s="23" t="n"/>
    </row>
    <row r="89" ht="17" customHeight="1">
      <c r="B89" s="23" t="n"/>
      <c r="C89" s="24" t="inlineStr">
        <is>
          <t>Self weight of the footing  25 kN/m³ · L B h</t>
        </is>
      </c>
      <c r="D89" s="27" t="inlineStr">
        <is>
          <r>
            <rPr>
              <rFont val="Calibri"/>
              <i val="1"/>
              <color rgb="002B2B2B"/>
              <sz val="10"/>
            </rPr>
            <t>W</t>
          </r>
          <r>
            <rPr>
              <rFont val="Calibri"/>
              <i val="1"/>
              <color rgb="002B2B2B"/>
              <sz val="10"/>
              <vertAlign val="subscript"/>
            </rPr>
            <t>f</t>
          </r>
        </is>
      </c>
      <c r="E89" s="39">
        <f>IF(inputs_ok,25*L_cf*B_cf*h_cf/1E9,NA())</f>
        <v/>
      </c>
      <c r="F89" s="28" t="inlineStr">
        <is>
          <t>kN</t>
        </is>
      </c>
      <c r="G89" s="23" t="n"/>
    </row>
    <row r="90" ht="17" customHeight="1">
      <c r="B90" s="23" t="n"/>
      <c r="C90" s="24" t="inlineStr">
        <is>
          <t>Backfill over the whole plan area  γsoil L B Ds</t>
        </is>
      </c>
      <c r="D90" s="27" t="inlineStr">
        <is>
          <r>
            <rPr>
              <rFont val="Calibri"/>
              <i val="1"/>
              <color rgb="002B2B2B"/>
              <sz val="10"/>
            </rPr>
            <t>W</t>
          </r>
          <r>
            <rPr>
              <rFont val="Calibri"/>
              <i val="1"/>
              <color rgb="002B2B2B"/>
              <sz val="10"/>
              <vertAlign val="subscript"/>
            </rPr>
            <t>s</t>
          </r>
        </is>
      </c>
      <c r="E90" s="39">
        <f>IF(inputs_ok,gamma_soil*L_cf*B_cf*D_s/1E9,NA())</f>
        <v/>
      </c>
      <c r="F90" s="28" t="inlineStr">
        <is>
          <t>kN</t>
        </is>
      </c>
      <c r="G90" s="23" t="n"/>
    </row>
    <row r="91" ht="17" customHeight="1">
      <c r="B91" s="23" t="n"/>
      <c r="C91" s="24" t="inlineStr">
        <is>
          <t>Total vertical load at the base  N1,k + N2,k + Wf + Ws</t>
        </is>
      </c>
      <c r="D91" s="27" t="inlineStr">
        <is>
          <r>
            <rPr>
              <rFont val="Calibri"/>
              <i val="1"/>
              <color rgb="002B2B2B"/>
              <sz val="10"/>
            </rPr>
            <t>N</t>
          </r>
          <r>
            <rPr>
              <rFont val="Calibri"/>
              <i val="1"/>
              <color rgb="002B2B2B"/>
              <sz val="10"/>
              <vertAlign val="subscript"/>
            </rPr>
            <t>k</t>
          </r>
        </is>
      </c>
      <c r="E91" s="39">
        <f>IF(inputs_ok,N1k_cf+N2k_cf+Wf_cf+Ws_cf,NA())</f>
        <v/>
      </c>
      <c r="F91" s="28" t="inlineStr">
        <is>
          <t>kN</t>
        </is>
      </c>
      <c r="G91" s="23" t="n"/>
    </row>
    <row r="92" ht="17" customHeight="1">
      <c r="B92" s="23" t="n"/>
      <c r="C92" s="24" t="inlineStr">
        <is>
          <t>Eccentricity  Σ Ni,k (xi − L/2) / Nk  (+ towards the right end)</t>
        </is>
      </c>
      <c r="D92" s="27" t="inlineStr">
        <is>
          <r>
            <rPr>
              <rFont val="Calibri"/>
              <i val="1"/>
              <color rgb="002B2B2B"/>
              <sz val="10"/>
            </rPr>
            <t>e</t>
          </r>
          <r>
            <rPr>
              <rFont val="Calibri"/>
              <i val="1"/>
              <color rgb="002B2B2B"/>
              <sz val="10"/>
              <vertAlign val="subscript"/>
            </rPr>
            <t>k</t>
          </r>
        </is>
      </c>
      <c r="E92" s="40">
        <f>IF(inputs_ok,(N1k_cf*(x1_cf-L_cf/2)+N2k_cf*(x2_cf-L_cf/2))/Nk_cf,NA())</f>
        <v/>
      </c>
      <c r="F92" s="28" t="inlineStr">
        <is>
          <t>mm</t>
        </is>
      </c>
      <c r="G92" s="23" t="n"/>
    </row>
    <row r="93" ht="17" customHeight="1">
      <c r="B93" s="23" t="n"/>
      <c r="C93" s="24" t="inlineStr">
        <is>
          <t>Its size</t>
        </is>
      </c>
      <c r="D93" s="27" t="inlineStr">
        <is>
          <r>
            <rPr>
              <rFont val="Calibri"/>
              <i val="1"/>
              <color rgb="002B2B2B"/>
              <sz val="10"/>
            </rPr>
            <t>|e</t>
          </r>
          <r>
            <rPr>
              <rFont val="Calibri"/>
              <i val="1"/>
              <color rgb="002B2B2B"/>
              <sz val="10"/>
              <vertAlign val="subscript"/>
            </rPr>
            <t>k|</t>
          </r>
        </is>
      </c>
      <c r="E93" s="40">
        <f>IF(inputs_ok,ABS(eks_cf),NA())</f>
        <v/>
      </c>
      <c r="F93" s="28" t="inlineStr">
        <is>
          <t>mm</t>
        </is>
      </c>
      <c r="G93" s="23" t="n"/>
    </row>
    <row r="94" ht="17" customHeight="1">
      <c r="B94" s="23" t="n"/>
      <c r="C94" s="24" t="inlineStr">
        <is>
          <t>Full contact  |e_k| ≤ L/6  (beyond: outside the scope)</t>
        </is>
      </c>
      <c r="D94" s="27" t="inlineStr">
        <is>
          <r>
            <rPr>
              <rFont val="Calibri"/>
              <i val="1"/>
              <color rgb="002B2B2B"/>
              <sz val="10"/>
            </rPr>
            <t>L/6</t>
          </r>
        </is>
      </c>
      <c r="E94" s="40">
        <f>IF(inputs_ok,L_cf/6,NA())</f>
        <v/>
      </c>
      <c r="F94" s="28" t="inlineStr">
        <is>
          <t>mm</t>
        </is>
      </c>
      <c r="G94" s="32">
        <f>IF(NOT(inputs_ok),"FAIL",IF(ek_cf&lt;=L_cf/6,"OK","FAIL"))</f>
        <v/>
      </c>
    </row>
    <row r="95" ht="17" customHeight="1">
      <c r="B95" s="23" t="n"/>
      <c r="C95" s="24" t="inlineStr">
        <is>
          <t>Pressure at the left end  Nk/(B L) (1 − 6 ek/L)</t>
        </is>
      </c>
      <c r="D95" s="27" t="inlineStr">
        <is>
          <r>
            <rPr>
              <rFont val="Calibri"/>
              <i val="1"/>
              <color rgb="002B2B2B"/>
              <sz val="10"/>
            </rPr>
            <t>q</t>
          </r>
          <r>
            <rPr>
              <rFont val="Calibri"/>
              <i val="1"/>
              <color rgb="002B2B2B"/>
              <sz val="10"/>
              <vertAlign val="subscript"/>
            </rPr>
            <t>k,left</t>
          </r>
        </is>
      </c>
      <c r="E95" s="39">
        <f>IF(inputs_ok,Nk_cf/(L_cf*B_cf)*1E6*(1-6*eks_cf/L_cf),NA())</f>
        <v/>
      </c>
      <c r="F95" s="28" t="inlineStr">
        <is>
          <t>kPa</t>
        </is>
      </c>
      <c r="G95" s="23" t="n"/>
    </row>
    <row r="96" ht="17" customHeight="1">
      <c r="B96" s="23" t="n"/>
      <c r="C96" s="24" t="inlineStr">
        <is>
          <t>Pressure at the right end  Nk/(B L) (1 + 6 ek/L)</t>
        </is>
      </c>
      <c r="D96" s="27" t="inlineStr">
        <is>
          <r>
            <rPr>
              <rFont val="Calibri"/>
              <i val="1"/>
              <color rgb="002B2B2B"/>
              <sz val="10"/>
            </rPr>
            <t>q</t>
          </r>
          <r>
            <rPr>
              <rFont val="Calibri"/>
              <i val="1"/>
              <color rgb="002B2B2B"/>
              <sz val="10"/>
              <vertAlign val="subscript"/>
            </rPr>
            <t>k,right</t>
          </r>
        </is>
      </c>
      <c r="E96" s="39">
        <f>IF(inputs_ok,Nk_cf/(L_cf*B_cf)*1E6*(1+6*eks_cf/L_cf),NA())</f>
        <v/>
      </c>
      <c r="F96" s="28" t="inlineStr">
        <is>
          <t>kPa</t>
        </is>
      </c>
      <c r="G96" s="23" t="n"/>
    </row>
    <row r="97" ht="17" customHeight="1">
      <c r="B97" s="23" t="n"/>
      <c r="C97" s="24" t="inlineStr">
        <is>
          <t>Largest pressure</t>
        </is>
      </c>
      <c r="D97" s="27" t="inlineStr">
        <is>
          <r>
            <rPr>
              <rFont val="Calibri"/>
              <i val="1"/>
              <color rgb="002B2B2B"/>
              <sz val="10"/>
            </rPr>
            <t>q</t>
          </r>
          <r>
            <rPr>
              <rFont val="Calibri"/>
              <i val="1"/>
              <color rgb="002B2B2B"/>
              <sz val="10"/>
              <vertAlign val="subscript"/>
            </rPr>
            <t>k,max</t>
          </r>
        </is>
      </c>
      <c r="E97" s="41">
        <f>IF(inputs_ok,MAX(qkL_cf,qkR_cf),NA())</f>
        <v/>
      </c>
      <c r="F97" s="28" t="inlineStr">
        <is>
          <t>kPa</t>
        </is>
      </c>
      <c r="G97" s="23" t="n"/>
    </row>
    <row r="98" ht="17" customHeight="1">
      <c r="B98" s="23" t="n"/>
      <c r="C98" s="24" t="inlineStr">
        <is>
          <t>Largest pressure against the allowable  (full contact)</t>
        </is>
      </c>
      <c r="D98" s="27" t="inlineStr">
        <is>
          <r>
            <rPr>
              <rFont val="Calibri"/>
              <i val="1"/>
              <color rgb="002B2B2B"/>
              <sz val="10"/>
            </rPr>
            <t>q</t>
          </r>
          <r>
            <rPr>
              <rFont val="Calibri"/>
              <i val="1"/>
              <color rgb="002B2B2B"/>
              <sz val="10"/>
              <vertAlign val="subscript"/>
            </rPr>
            <t>allow</t>
          </r>
        </is>
      </c>
      <c r="E98" s="40">
        <f>IF(inputs_ok,q_allow,NA())</f>
        <v/>
      </c>
      <c r="F98" s="28" t="inlineStr">
        <is>
          <t>kPa</t>
        </is>
      </c>
      <c r="G98" s="32">
        <f>IF(NOT(inputs_ok),"FAIL",IF(AND(ek_cf&lt;=L_cf/6,qkmax_cf&lt;=q_allow),"OK","FAIL"))</f>
        <v/>
      </c>
    </row>
    <row r="99"/>
    <row r="100" ht="22" customHeight="1">
      <c r="B100" s="20" t="inlineStr">
        <is>
          <t>Calculation  ·  ULS net pressure and actions along L</t>
        </is>
      </c>
      <c r="C100" s="21" t="n"/>
      <c r="D100" s="21" t="n"/>
      <c r="E100" s="21" t="n"/>
      <c r="F100" s="21" t="n"/>
      <c r="G100" s="21" t="n"/>
    </row>
    <row r="101" ht="17" customHeight="1">
      <c r="B101" s="26" t="inlineStr">
        <is>
          <t>2.4.2.4(1)</t>
        </is>
      </c>
      <c r="C101" s="24" t="inlineStr">
        <is>
          <t>Partial factor, concrete</t>
        </is>
      </c>
      <c r="D101" s="27" t="inlineStr">
        <is>
          <r>
            <rPr>
              <rFont val="Calibri"/>
              <i val="1"/>
              <color rgb="002B2B2B"/>
              <sz val="10"/>
            </rPr>
            <t>γ</t>
          </r>
          <r>
            <rPr>
              <rFont val="Calibri"/>
              <i val="1"/>
              <color rgb="002B2B2B"/>
              <sz val="10"/>
              <vertAlign val="subscript"/>
            </rPr>
            <t>c</t>
          </r>
        </is>
      </c>
      <c r="E101" s="42">
        <f>IF(inputs_ok,ndp_gamma_c,NA())</f>
        <v/>
      </c>
      <c r="F101" s="23" t="n"/>
      <c r="G101" s="26" t="inlineStr">
        <is>
          <t>NDP sheet</t>
        </is>
      </c>
    </row>
    <row r="102" ht="17" customHeight="1">
      <c r="B102" s="26" t="inlineStr">
        <is>
          <t>2.4.2.4(1)</t>
        </is>
      </c>
      <c r="C102" s="24" t="inlineStr">
        <is>
          <t>Partial factor, reinforcement</t>
        </is>
      </c>
      <c r="D102" s="27" t="inlineStr">
        <is>
          <r>
            <rPr>
              <rFont val="Calibri"/>
              <i val="1"/>
              <color rgb="002B2B2B"/>
              <sz val="10"/>
            </rPr>
            <t>γ</t>
          </r>
          <r>
            <rPr>
              <rFont val="Calibri"/>
              <i val="1"/>
              <color rgb="002B2B2B"/>
              <sz val="10"/>
              <vertAlign val="subscript"/>
            </rPr>
            <t>s</t>
          </r>
        </is>
      </c>
      <c r="E102" s="42">
        <f>IF(inputs_ok,ndp_gamma_s,NA())</f>
        <v/>
      </c>
      <c r="F102" s="23" t="n"/>
      <c r="G102" s="26" t="inlineStr">
        <is>
          <t>NDP sheet</t>
        </is>
      </c>
    </row>
    <row r="103" ht="17" customHeight="1">
      <c r="B103" s="26" t="inlineStr">
        <is>
          <t>3.1.6(1)</t>
        </is>
      </c>
      <c r="C103" s="24" t="inlineStr">
        <is>
          <t>Coefficient on compressive strength (flexure)</t>
        </is>
      </c>
      <c r="D103" s="27" t="inlineStr">
        <is>
          <r>
            <rPr>
              <rFont val="Calibri"/>
              <i val="1"/>
              <color rgb="002B2B2B"/>
              <sz val="10"/>
            </rPr>
            <t>α</t>
          </r>
          <r>
            <rPr>
              <rFont val="Calibri"/>
              <i val="1"/>
              <color rgb="002B2B2B"/>
              <sz val="10"/>
              <vertAlign val="subscript"/>
            </rPr>
            <t>cc</t>
          </r>
        </is>
      </c>
      <c r="E103" s="42">
        <f>IF(inputs_ok,ndp_alpha_cc,NA())</f>
        <v/>
      </c>
      <c r="F103" s="23" t="n"/>
      <c r="G103" s="26" t="inlineStr">
        <is>
          <t>NDP sheet</t>
        </is>
      </c>
    </row>
    <row r="104" ht="17" customHeight="1">
      <c r="B104" s="26" t="inlineStr">
        <is>
          <t>3.1.6(1)</t>
        </is>
      </c>
      <c r="C104" s="24" t="inlineStr">
        <is>
          <t>Coefficient on compressive strength (shear)</t>
        </is>
      </c>
      <c r="D104" s="27" t="inlineStr">
        <is>
          <r>
            <rPr>
              <rFont val="Calibri"/>
              <i val="1"/>
              <color rgb="002B2B2B"/>
              <sz val="10"/>
            </rPr>
            <t>α</t>
          </r>
          <r>
            <rPr>
              <rFont val="Calibri"/>
              <i val="1"/>
              <color rgb="002B2B2B"/>
              <sz val="10"/>
              <vertAlign val="subscript"/>
            </rPr>
            <t>cc</t>
          </r>
        </is>
      </c>
      <c r="E104" s="42">
        <f>IF(inputs_ok,ndp_alpha_cc_shear,NA())</f>
        <v/>
      </c>
      <c r="F104" s="23" t="n"/>
      <c r="G104" s="26" t="inlineStr">
        <is>
          <t>NDP sheet</t>
        </is>
      </c>
    </row>
    <row r="105" ht="17" customHeight="1">
      <c r="B105" s="26" t="inlineStr">
        <is>
          <t>6.2.2(1), 6.4.4(1)</t>
        </is>
      </c>
      <c r="C105" s="24" t="inlineStr">
        <is>
          <t>Coefficient  0.18 / γc</t>
        </is>
      </c>
      <c r="D105" s="27" t="inlineStr">
        <is>
          <r>
            <rPr>
              <rFont val="Calibri"/>
              <i val="1"/>
              <color rgb="002B2B2B"/>
              <sz val="10"/>
            </rPr>
            <t>C</t>
          </r>
          <r>
            <rPr>
              <rFont val="Calibri"/>
              <i val="1"/>
              <color rgb="002B2B2B"/>
              <sz val="10"/>
              <vertAlign val="subscript"/>
            </rPr>
            <t>Rd,c</t>
          </r>
        </is>
      </c>
      <c r="E105" s="43">
        <f>IF(inputs_ok,ndp_C_Rdc/ndp_gamma_c,NA())</f>
        <v/>
      </c>
      <c r="F105" s="23" t="n"/>
      <c r="G105" s="26" t="inlineStr">
        <is>
          <t>NDP sheet</t>
        </is>
      </c>
    </row>
    <row r="106" ht="17" customHeight="1">
      <c r="B106" s="26" t="inlineStr">
        <is>
          <t>6.4.5(3)</t>
        </is>
      </c>
      <c r="C106" s="24" t="inlineStr">
        <is>
          <t>Factor on ν fcd for vRd,max</t>
        </is>
      </c>
      <c r="D106" s="23" t="n"/>
      <c r="E106" s="42">
        <f>IF(inputs_ok,ndp_vmax,NA())</f>
        <v/>
      </c>
      <c r="F106" s="23" t="n"/>
      <c r="G106" s="26" t="inlineStr">
        <is>
          <t>NDP sheet</t>
        </is>
      </c>
    </row>
    <row r="107" ht="17" customHeight="1">
      <c r="B107" s="26" t="inlineStr">
        <is>
          <t>5.5(4)</t>
        </is>
      </c>
      <c r="C107" s="24" t="inlineStr">
        <is>
          <t>Coefficient for x/d limit</t>
        </is>
      </c>
      <c r="D107" s="27" t="inlineStr">
        <is>
          <r>
            <rPr>
              <rFont val="Calibri"/>
              <i val="1"/>
              <color rgb="002B2B2B"/>
              <sz val="10"/>
            </rPr>
            <t>k</t>
          </r>
          <r>
            <rPr>
              <rFont val="Calibri"/>
              <i val="1"/>
              <color rgb="002B2B2B"/>
              <sz val="10"/>
              <vertAlign val="subscript"/>
            </rPr>
            <t>1</t>
          </r>
        </is>
      </c>
      <c r="E107" s="42">
        <f>IF(inputs_ok,ndp_k1_red,NA())</f>
        <v/>
      </c>
      <c r="F107" s="23" t="n"/>
      <c r="G107" s="26" t="inlineStr">
        <is>
          <t>NDP sheet</t>
        </is>
      </c>
    </row>
    <row r="108" ht="17" customHeight="1">
      <c r="B108" s="26" t="inlineStr">
        <is>
          <t>5.5(4)</t>
        </is>
      </c>
      <c r="C108" s="24" t="inlineStr">
        <is>
          <t>Coefficient for x/d limit</t>
        </is>
      </c>
      <c r="D108" s="27" t="inlineStr">
        <is>
          <r>
            <rPr>
              <rFont val="Calibri"/>
              <i val="1"/>
              <color rgb="002B2B2B"/>
              <sz val="10"/>
            </rPr>
            <t>k</t>
          </r>
          <r>
            <rPr>
              <rFont val="Calibri"/>
              <i val="1"/>
              <color rgb="002B2B2B"/>
              <sz val="10"/>
              <vertAlign val="subscript"/>
            </rPr>
            <t>2</t>
          </r>
        </is>
      </c>
      <c r="E108" s="42">
        <f>IF(inputs_ok,ndp_k2_red,NA())</f>
        <v/>
      </c>
      <c r="F108" s="23" t="n"/>
      <c r="G108" s="26" t="inlineStr">
        <is>
          <t>NDP sheet</t>
        </is>
      </c>
    </row>
    <row r="109" ht="17" customHeight="1">
      <c r="B109" s="26" t="inlineStr">
        <is>
          <t>Table 3.1</t>
        </is>
      </c>
      <c r="C109" s="24" t="inlineStr">
        <is>
          <t>Characteristic cylinder strength</t>
        </is>
      </c>
      <c r="D109" s="27" t="inlineStr">
        <is>
          <r>
            <rPr>
              <rFont val="Calibri"/>
              <i val="1"/>
              <color rgb="002B2B2B"/>
              <sz val="10"/>
            </rPr>
            <t>f</t>
          </r>
          <r>
            <rPr>
              <rFont val="Calibri"/>
              <i val="1"/>
              <color rgb="002B2B2B"/>
              <sz val="10"/>
              <vertAlign val="subscript"/>
            </rPr>
            <t>ck</t>
          </r>
        </is>
      </c>
      <c r="E109" s="40">
        <f>IF(inputs_ok,VALUE(MID(conc_class,2,FIND("/",conc_class)-2)),NA())</f>
        <v/>
      </c>
      <c r="F109" s="28" t="inlineStr">
        <is>
          <t>MPa</t>
        </is>
      </c>
      <c r="G109" s="23" t="n"/>
    </row>
    <row r="110" ht="17" customHeight="1">
      <c r="B110" s="26" t="inlineStr">
        <is>
          <t>Table 3.1</t>
        </is>
      </c>
      <c r="C110" s="24" t="inlineStr">
        <is>
          <t>Mean tensile strength</t>
        </is>
      </c>
      <c r="D110" s="27" t="inlineStr">
        <is>
          <r>
            <rPr>
              <rFont val="Calibri"/>
              <i val="1"/>
              <color rgb="002B2B2B"/>
              <sz val="10"/>
            </rPr>
            <t>f</t>
          </r>
          <r>
            <rPr>
              <rFont val="Calibri"/>
              <i val="1"/>
              <color rgb="002B2B2B"/>
              <sz val="10"/>
              <vertAlign val="subscript"/>
            </rPr>
            <t>ctm</t>
          </r>
        </is>
      </c>
      <c r="E110" s="42">
        <f>IF(inputs_ok,IF(f_ck&lt;=50,0.3*f_ck^(2/3),2.12*LN(1+(f_ck+8)/10)),NA())</f>
        <v/>
      </c>
      <c r="F110" s="28" t="inlineStr">
        <is>
          <t>MPa</t>
        </is>
      </c>
      <c r="G110" s="23" t="n"/>
    </row>
    <row r="111" ht="17" customHeight="1">
      <c r="B111" s="26" t="inlineStr">
        <is>
          <t>EN 1990 (6.10)</t>
        </is>
      </c>
      <c r="C111" s="24" t="inlineStr">
        <is>
          <t>Design column loads  P1 = γG Gk1 + γQ Qk1</t>
        </is>
      </c>
      <c r="D111" s="27" t="inlineStr">
        <is>
          <r>
            <rPr>
              <rFont val="Calibri"/>
              <i val="1"/>
              <color rgb="002B2B2B"/>
              <sz val="10"/>
            </rPr>
            <t>P</t>
          </r>
          <r>
            <rPr>
              <rFont val="Calibri"/>
              <i val="1"/>
              <color rgb="002B2B2B"/>
              <sz val="10"/>
              <vertAlign val="subscript"/>
            </rPr>
            <t>1</t>
          </r>
        </is>
      </c>
      <c r="E111" s="39">
        <f>IF(inputs_ok,gamma_G*G1_cf+gamma_Q*Q1_cf,NA())</f>
        <v/>
      </c>
      <c r="F111" s="28" t="inlineStr">
        <is>
          <t>kN</t>
        </is>
      </c>
      <c r="G111" s="23" t="n"/>
    </row>
    <row r="112" ht="17" customHeight="1">
      <c r="B112" s="26" t="inlineStr">
        <is>
          <t>EN 1990 (6.10)</t>
        </is>
      </c>
      <c r="C112" s="24" t="inlineStr">
        <is>
          <t>P2 = γG Gk2 + γQ Qk2</t>
        </is>
      </c>
      <c r="D112" s="27" t="inlineStr">
        <is>
          <r>
            <rPr>
              <rFont val="Calibri"/>
              <i val="1"/>
              <color rgb="002B2B2B"/>
              <sz val="10"/>
            </rPr>
            <t>P</t>
          </r>
          <r>
            <rPr>
              <rFont val="Calibri"/>
              <i val="1"/>
              <color rgb="002B2B2B"/>
              <sz val="10"/>
              <vertAlign val="subscript"/>
            </rPr>
            <t>2</t>
          </r>
        </is>
      </c>
      <c r="E112" s="39">
        <f>IF(inputs_ok,gamma_G*G2_cf+gamma_Q*Q2_cf,NA())</f>
        <v/>
      </c>
      <c r="F112" s="28" t="inlineStr">
        <is>
          <t>kN</t>
        </is>
      </c>
      <c r="G112" s="23" t="n"/>
    </row>
    <row r="113" ht="17" customHeight="1">
      <c r="B113" s="23" t="n"/>
      <c r="C113" s="24" t="inlineStr">
        <is>
          <t>Total  P = P1 + P2</t>
        </is>
      </c>
      <c r="D113" s="27" t="inlineStr">
        <is>
          <r>
            <rPr>
              <rFont val="Calibri"/>
              <i val="1"/>
              <color rgb="002B2B2B"/>
              <sz val="10"/>
            </rPr>
            <t>P</t>
          </r>
        </is>
      </c>
      <c r="E113" s="39">
        <f>IF(inputs_ok,P1_cf+P2_cf,NA())</f>
        <v/>
      </c>
      <c r="F113" s="28" t="inlineStr">
        <is>
          <t>kN</t>
        </is>
      </c>
      <c r="G113" s="23" t="n"/>
    </row>
    <row r="114" ht="17" customHeight="1">
      <c r="B114" s="23" t="n"/>
      <c r="C114" s="24" t="inlineStr">
        <is>
          <t>Eccentricity of P  Σ Pi (xi − L/2) / P</t>
        </is>
      </c>
      <c r="D114" s="27" t="inlineStr">
        <is>
          <r>
            <rPr>
              <rFont val="Calibri"/>
              <i val="1"/>
              <color rgb="002B2B2B"/>
              <sz val="10"/>
            </rPr>
            <t>e</t>
          </r>
          <r>
            <rPr>
              <rFont val="Calibri"/>
              <i val="1"/>
              <color rgb="002B2B2B"/>
              <sz val="10"/>
              <vertAlign val="subscript"/>
            </rPr>
            <t>d</t>
          </r>
        </is>
      </c>
      <c r="E114" s="40">
        <f>IF(inputs_ok,(P1_cf*(x1_cf-L_cf/2)+P2_cf*(x2_cf-L_cf/2))/Pt_cf,NA())</f>
        <v/>
      </c>
      <c r="F114" s="28" t="inlineStr">
        <is>
          <t>mm</t>
        </is>
      </c>
      <c r="G114" s="23" t="n"/>
    </row>
    <row r="115" ht="17" customHeight="1">
      <c r="B115" s="23" t="n"/>
      <c r="C115" s="24" t="inlineStr">
        <is>
          <t>ULS net-pressure model applies  |e_d| ≤ L/6</t>
        </is>
      </c>
      <c r="D115" s="27" t="inlineStr">
        <is>
          <r>
            <rPr>
              <rFont val="Calibri"/>
              <i val="1"/>
              <color rgb="002B2B2B"/>
              <sz val="10"/>
            </rPr>
            <t>L/6</t>
          </r>
        </is>
      </c>
      <c r="E115" s="40">
        <f>IF(inputs_ok,L_cf/6,NA())</f>
        <v/>
      </c>
      <c r="F115" s="28" t="inlineStr">
        <is>
          <t>mm</t>
        </is>
      </c>
      <c r="G115" s="32">
        <f>IF(NOT(inputs_ok),"FAIL",IF(uls_ok,"OK","FAIL"))</f>
        <v/>
      </c>
    </row>
    <row r="116" ht="41.5" customHeight="1">
      <c r="B116" s="44" t="inlineStr">
        <is>
          <t>Footing and backfill weigh the same everywhere and are carried by an equal uniform part of the soil pressure: they cause no bending or shear. Below, the footing is a beam along L loaded by the column loads and the net upward line load w(x) = wa + wb x, x in metres from the left end; M &gt; 0 is tension in the bottom.</t>
        </is>
      </c>
    </row>
    <row r="117" ht="17" customHeight="1">
      <c r="B117" s="23" t="n"/>
      <c r="C117" s="24" t="inlineStr">
        <is>
          <t>Net line load at the left end  (P/L)(1 − 6 ed/L)</t>
        </is>
      </c>
      <c r="D117" s="27" t="inlineStr">
        <is>
          <r>
            <rPr>
              <rFont val="Calibri"/>
              <i val="1"/>
              <color rgb="002B2B2B"/>
              <sz val="10"/>
            </rPr>
            <t>w</t>
          </r>
          <r>
            <rPr>
              <rFont val="Calibri"/>
              <i val="1"/>
              <color rgb="002B2B2B"/>
              <sz val="10"/>
              <vertAlign val="subscript"/>
            </rPr>
            <t>a</t>
          </r>
        </is>
      </c>
      <c r="E117" s="39">
        <f>IF(inputs_ok,Pt_cf/Lm_cf*(1-6*eds_cf/L_cf),NA())</f>
        <v/>
      </c>
      <c r="F117" s="28" t="inlineStr">
        <is>
          <t>kN/m</t>
        </is>
      </c>
      <c r="G117" s="23" t="n"/>
    </row>
    <row r="118" ht="17" customHeight="1">
      <c r="B118" s="23" t="n"/>
      <c r="C118" s="24" t="inlineStr">
        <is>
          <t>Its gradient  12 P ed / L³</t>
        </is>
      </c>
      <c r="D118" s="27" t="inlineStr">
        <is>
          <r>
            <rPr>
              <rFont val="Calibri"/>
              <i val="1"/>
              <color rgb="002B2B2B"/>
              <sz val="10"/>
            </rPr>
            <t>w</t>
          </r>
          <r>
            <rPr>
              <rFont val="Calibri"/>
              <i val="1"/>
              <color rgb="002B2B2B"/>
              <sz val="10"/>
              <vertAlign val="subscript"/>
            </rPr>
            <t>b</t>
          </r>
        </is>
      </c>
      <c r="E118" s="42">
        <f>IF(inputs_ok,12*Pt_cf*eds_cf/1000/Lm_cf^3,NA())</f>
        <v/>
      </c>
      <c r="F118" s="28" t="inlineStr">
        <is>
          <t>kN/m²</t>
        </is>
      </c>
      <c r="G118" s="23" t="n"/>
    </row>
    <row r="119" ht="17" customHeight="1">
      <c r="B119" s="23" t="n"/>
      <c r="C119" s="24" t="inlineStr">
        <is>
          <t>Net pressure at the left end  wa / B</t>
        </is>
      </c>
      <c r="D119" s="27" t="inlineStr">
        <is>
          <r>
            <rPr>
              <rFont val="Calibri"/>
              <i val="1"/>
              <color rgb="002B2B2B"/>
              <sz val="10"/>
            </rPr>
            <t>q</t>
          </r>
          <r>
            <rPr>
              <rFont val="Calibri"/>
              <i val="1"/>
              <color rgb="002B2B2B"/>
              <sz val="10"/>
              <vertAlign val="subscript"/>
            </rPr>
            <t>d,left</t>
          </r>
        </is>
      </c>
      <c r="E119" s="39">
        <f>IF(inputs_ok,wa_cf/Bm_cf,NA())</f>
        <v/>
      </c>
      <c r="F119" s="28" t="inlineStr">
        <is>
          <t>kPa</t>
        </is>
      </c>
      <c r="G119" s="23" t="n"/>
    </row>
    <row r="120" ht="17" customHeight="1">
      <c r="B120" s="23" t="n"/>
      <c r="C120" s="24" t="inlineStr">
        <is>
          <t>Net pressure at the right end  (wa + wb L) / B</t>
        </is>
      </c>
      <c r="D120" s="27" t="inlineStr">
        <is>
          <r>
            <rPr>
              <rFont val="Calibri"/>
              <i val="1"/>
              <color rgb="002B2B2B"/>
              <sz val="10"/>
            </rPr>
            <t>q</t>
          </r>
          <r>
            <rPr>
              <rFont val="Calibri"/>
              <i val="1"/>
              <color rgb="002B2B2B"/>
              <sz val="10"/>
              <vertAlign val="subscript"/>
            </rPr>
            <t>d,right</t>
          </r>
        </is>
      </c>
      <c r="E120" s="39">
        <f>IF(inputs_ok,(wa_cf+wb_cf*Lm_cf)/Bm_cf,NA())</f>
        <v/>
      </c>
      <c r="F120" s="28" t="inlineStr">
        <is>
          <t>kPa</t>
        </is>
      </c>
      <c r="G120" s="23" t="n"/>
    </row>
    <row r="121" ht="17" customHeight="1">
      <c r="B121" s="23" t="n"/>
      <c r="C121" s="24" t="inlineStr">
        <is>
          <t>Check: upward force  (qd,left + qd,right)/2 · B L  = P</t>
        </is>
      </c>
      <c r="D121" s="27" t="inlineStr">
        <is>
          <r>
            <rPr>
              <rFont val="Calibri"/>
              <i val="1"/>
              <color rgb="002B2B2B"/>
              <sz val="10"/>
            </rPr>
            <t>ΣR</t>
          </r>
        </is>
      </c>
      <c r="E121" s="39">
        <f>IF(inputs_ok,(qL_cf+qR_cf)/2*Bm_cf*Lm_cf,NA())</f>
        <v/>
      </c>
      <c r="F121" s="28" t="inlineStr">
        <is>
          <t>kN</t>
        </is>
      </c>
      <c r="G121" s="23" t="n"/>
    </row>
    <row r="122" ht="17" customHeight="1">
      <c r="B122" s="23" t="n"/>
      <c r="C122" s="24" t="inlineStr">
        <is>
          <t>Moment at the outer face of column 1</t>
        </is>
      </c>
      <c r="D122" s="27" t="inlineStr">
        <is>
          <r>
            <rPr>
              <rFont val="Calibri"/>
              <i val="1"/>
              <color rgb="002B2B2B"/>
              <sz val="10"/>
            </rPr>
            <t>M</t>
          </r>
        </is>
      </c>
      <c r="E122" s="39">
        <f>IF(inputs_ok,((f1o_cf)^2*(wa_cf/2+wb_cf*(f1o_cf)/6)-P1_cf*MAX(0,(f1o_cf)-x1m_cf)-P2_cf*MAX(0,(f1o_cf)-x2m_cf)),NA())</f>
        <v/>
      </c>
      <c r="F122" s="28" t="inlineStr">
        <is>
          <t>kNm</t>
        </is>
      </c>
      <c r="G122" s="23" t="n"/>
    </row>
    <row r="123" ht="17" customHeight="1">
      <c r="B123" s="23" t="n"/>
      <c r="C123" s="24" t="inlineStr">
        <is>
          <t>Moment at the inner face of column 1</t>
        </is>
      </c>
      <c r="D123" s="27" t="inlineStr">
        <is>
          <r>
            <rPr>
              <rFont val="Calibri"/>
              <i val="1"/>
              <color rgb="002B2B2B"/>
              <sz val="10"/>
            </rPr>
            <t>M</t>
          </r>
        </is>
      </c>
      <c r="E123" s="39">
        <f>IF(inputs_ok,((f1i_cf)^2*(wa_cf/2+wb_cf*(f1i_cf)/6)-P1_cf*MAX(0,(f1i_cf)-x1m_cf)-P2_cf*MAX(0,(f1i_cf)-x2m_cf)),NA())</f>
        <v/>
      </c>
      <c r="F123" s="28" t="inlineStr">
        <is>
          <t>kNm</t>
        </is>
      </c>
      <c r="G123" s="23" t="n"/>
    </row>
    <row r="124" ht="17" customHeight="1">
      <c r="B124" s="23" t="n"/>
      <c r="C124" s="24" t="inlineStr">
        <is>
          <t>Moment at the inner face of column 2</t>
        </is>
      </c>
      <c r="D124" s="27" t="inlineStr">
        <is>
          <r>
            <rPr>
              <rFont val="Calibri"/>
              <i val="1"/>
              <color rgb="002B2B2B"/>
              <sz val="10"/>
            </rPr>
            <t>M</t>
          </r>
        </is>
      </c>
      <c r="E124" s="39">
        <f>IF(inputs_ok,((f2i_cf)^2*(wa_cf/2+wb_cf*(f2i_cf)/6)-P1_cf*MAX(0,(f2i_cf)-x1m_cf)-P2_cf*MAX(0,(f2i_cf)-x2m_cf)),NA())</f>
        <v/>
      </c>
      <c r="F124" s="28" t="inlineStr">
        <is>
          <t>kNm</t>
        </is>
      </c>
      <c r="G124" s="23" t="n"/>
    </row>
    <row r="125" ht="17" customHeight="1">
      <c r="B125" s="23" t="n"/>
      <c r="C125" s="24" t="inlineStr">
        <is>
          <t>Moment at the outer face of column 2</t>
        </is>
      </c>
      <c r="D125" s="27" t="inlineStr">
        <is>
          <r>
            <rPr>
              <rFont val="Calibri"/>
              <i val="1"/>
              <color rgb="002B2B2B"/>
              <sz val="10"/>
            </rPr>
            <t>M</t>
          </r>
        </is>
      </c>
      <c r="E125" s="39">
        <f>IF(inputs_ok,((f2o_cf)^2*(wa_cf/2+wb_cf*(f2o_cf)/6)-P1_cf*MAX(0,(f2o_cf)-x1m_cf)-P2_cf*MAX(0,(f2o_cf)-x2m_cf)),NA())</f>
        <v/>
      </c>
      <c r="F125" s="28" t="inlineStr">
        <is>
          <t>kNm</t>
        </is>
      </c>
      <c r="G125" s="23" t="n"/>
    </row>
    <row r="126" ht="17" customHeight="1">
      <c r="B126" s="23" t="n"/>
      <c r="C126" s="24" t="inlineStr">
        <is>
          <t>Largest sagging moment at a face  (bottom bars)</t>
        </is>
      </c>
      <c r="D126" s="27" t="inlineStr">
        <is>
          <r>
            <rPr>
              <rFont val="Calibri"/>
              <i val="1"/>
              <color rgb="002B2B2B"/>
              <sz val="10"/>
            </rPr>
            <t>M</t>
          </r>
          <r>
            <rPr>
              <rFont val="Calibri"/>
              <i val="1"/>
              <color rgb="002B2B2B"/>
              <sz val="10"/>
              <vertAlign val="subscript"/>
            </rPr>
            <t>Ed,bot</t>
          </r>
        </is>
      </c>
      <c r="E126" s="41">
        <f>IF(inputs_ok,MAX(0,Mf1o_cf,Mf1i_cf,Mf2i_cf,Mf2o_cf),NA())</f>
        <v/>
      </c>
      <c r="F126" s="28" t="inlineStr">
        <is>
          <t>kNm</t>
        </is>
      </c>
      <c r="G126" s="23" t="n"/>
    </row>
    <row r="127" ht="17" customHeight="1">
      <c r="B127" s="23" t="n"/>
      <c r="C127" s="24" t="inlineStr">
        <is>
          <t>Zero shear between the inner faces  wa x + wb x²/2 = P1</t>
        </is>
      </c>
      <c r="D127" s="27" t="inlineStr">
        <is>
          <r>
            <rPr>
              <rFont val="Calibri"/>
              <i val="1"/>
              <color rgb="002B2B2B"/>
              <sz val="10"/>
            </rPr>
            <t>x</t>
          </r>
          <r>
            <rPr>
              <rFont val="Calibri"/>
              <i val="1"/>
              <color rgb="002B2B2B"/>
              <sz val="10"/>
              <vertAlign val="subscript"/>
            </rPr>
            <t>0</t>
          </r>
        </is>
      </c>
      <c r="E127" s="43">
        <f>IF(inputs_ok,IF(Dz_cf&lt;0,f2i_cf,MEDIAN(f1i_cf,2*P1_cf/(wa_cf+SQRT(Dz_cf)),f2i_cf)),NA())</f>
        <v/>
      </c>
      <c r="F127" s="28" t="inlineStr">
        <is>
          <t>m</t>
        </is>
      </c>
      <c r="G127" s="23" t="n"/>
    </row>
    <row r="128" ht="17" customHeight="1">
      <c r="B128" s="23" t="n"/>
      <c r="C128" s="24" t="inlineStr">
        <is>
          <t>Largest hogging moment between the inner faces  (top bars)</t>
        </is>
      </c>
      <c r="D128" s="27" t="inlineStr">
        <is>
          <r>
            <rPr>
              <rFont val="Calibri"/>
              <i val="1"/>
              <color rgb="002B2B2B"/>
              <sz val="10"/>
            </rPr>
            <t>M</t>
          </r>
          <r>
            <rPr>
              <rFont val="Calibri"/>
              <i val="1"/>
              <color rgb="002B2B2B"/>
              <sz val="10"/>
              <vertAlign val="subscript"/>
            </rPr>
            <t>Ed,top</t>
          </r>
        </is>
      </c>
      <c r="E128" s="41">
        <f>IF(inputs_ok,MIN(0,((xh_cf)^2*(wa_cf/2+wb_cf*(xh_cf)/6)-P1_cf*MAX(0,(xh_cf)-x1m_cf)-P2_cf*MAX(0,(xh_cf)-x2m_cf))),NA())</f>
        <v/>
      </c>
      <c r="F128" s="28" t="inlineStr">
        <is>
          <t>kNm</t>
        </is>
      </c>
      <c r="G128" s="23" t="n"/>
    </row>
    <row r="129" ht="17" customHeight="1">
      <c r="B129" s="23" t="n"/>
      <c r="C129" s="24" t="inlineStr">
        <is>
          <t>Effective depth, bottom bars along L  h − c − φbl/2</t>
        </is>
      </c>
      <c r="D129" s="27" t="inlineStr">
        <is>
          <r>
            <rPr>
              <rFont val="Calibri"/>
              <i val="1"/>
              <color rgb="002B2B2B"/>
              <sz val="10"/>
            </rPr>
            <t>d</t>
          </r>
          <r>
            <rPr>
              <rFont val="Calibri"/>
              <i val="1"/>
              <color rgb="002B2B2B"/>
              <sz val="10"/>
              <vertAlign val="subscript"/>
            </rPr>
            <t>bl</t>
          </r>
        </is>
      </c>
      <c r="E129" s="40">
        <f>IF(inputs_ok,h_cf-c_nom-pbl_cf/2,NA())</f>
        <v/>
      </c>
      <c r="F129" s="28" t="inlineStr">
        <is>
          <t>mm</t>
        </is>
      </c>
      <c r="G129" s="23" t="n"/>
    </row>
    <row r="130" ht="17" customHeight="1">
      <c r="B130" s="23" t="n"/>
      <c r="C130" s="24" t="inlineStr">
        <is>
          <t>Effective depth, bottom bars across  h − c − φbl − φbt/2</t>
        </is>
      </c>
      <c r="D130" s="27" t="inlineStr">
        <is>
          <r>
            <rPr>
              <rFont val="Calibri"/>
              <i val="1"/>
              <color rgb="002B2B2B"/>
              <sz val="10"/>
            </rPr>
            <t>d</t>
          </r>
          <r>
            <rPr>
              <rFont val="Calibri"/>
              <i val="1"/>
              <color rgb="002B2B2B"/>
              <sz val="10"/>
              <vertAlign val="subscript"/>
            </rPr>
            <t>bt</t>
          </r>
        </is>
      </c>
      <c r="E130" s="40">
        <f>IF(inputs_ok,h_cf-c_nom-pbl_cf-pbt_cf/2,NA())</f>
        <v/>
      </c>
      <c r="F130" s="28" t="inlineStr">
        <is>
          <t>mm</t>
        </is>
      </c>
      <c r="G130" s="23" t="n"/>
    </row>
    <row r="131" ht="17" customHeight="1">
      <c r="B131" s="23" t="n"/>
      <c r="C131" s="24" t="inlineStr">
        <is>
          <t>Effective depth, top bars  h − c_top − φtl/2</t>
        </is>
      </c>
      <c r="D131" s="27" t="inlineStr">
        <is>
          <r>
            <rPr>
              <rFont val="Calibri"/>
              <i val="1"/>
              <color rgb="002B2B2B"/>
              <sz val="10"/>
            </rPr>
            <t>d</t>
          </r>
          <r>
            <rPr>
              <rFont val="Calibri"/>
              <i val="1"/>
              <color rgb="002B2B2B"/>
              <sz val="10"/>
              <vertAlign val="subscript"/>
            </rPr>
            <t>tl</t>
          </r>
        </is>
      </c>
      <c r="E131" s="40">
        <f>IF(inputs_ok,h_cf-ct_cf-ptl_cf/2,NA())</f>
        <v/>
      </c>
      <c r="F131" s="28" t="inlineStr">
        <is>
          <t>mm</t>
        </is>
      </c>
      <c r="G131" s="23" t="n"/>
    </row>
    <row r="132"/>
    <row r="133">
      <c r="B133" s="45" t="inlineStr">
        <is>
          <t>x (m)</t>
        </is>
      </c>
      <c r="C133" s="45" t="inlineStr">
        <is>
          <t>Section</t>
        </is>
      </c>
      <c r="D133" s="45" t="inlineStr">
        <is>
          <t>V (kN)</t>
        </is>
      </c>
      <c r="E133" s="45" t="inlineStr">
        <is>
          <t>M (kNm)</t>
        </is>
      </c>
    </row>
    <row r="134" ht="16" customHeight="1">
      <c r="B134" s="46">
        <f>IF(inputs_ok,IF(TRUE,0,"–"),"–")</f>
        <v/>
      </c>
      <c r="C134" s="47" t="inlineStr">
        <is>
          <t>Left end</t>
        </is>
      </c>
      <c r="D134" s="48">
        <f>IF(inputs_ok,IF(TRUE,(wa_cf*(0)+wb_cf*(0)^2/2-P1_cf*((0)&gt;=x1m_cf)-P2_cf*((0)&gt;=x2m_cf)),"–"),"–")</f>
        <v/>
      </c>
      <c r="E134" s="48">
        <f>IF(inputs_ok,IF(TRUE,((0)^2*(wa_cf/2+wb_cf*(0)/6)-P1_cf*MAX(0,(0)-x1m_cf)-P2_cf*MAX(0,(0)-x2m_cf)),"–"),"–")</f>
        <v/>
      </c>
      <c r="F134" s="9" t="n"/>
      <c r="G134" s="9" t="n"/>
    </row>
    <row r="135" ht="16" customHeight="1">
      <c r="B135" s="46">
        <f>IF(inputs_ok,IF(TRUE,f1o_cf,"–"),"–")</f>
        <v/>
      </c>
      <c r="C135" s="47" t="inlineStr">
        <is>
          <t>Column 1, outer face</t>
        </is>
      </c>
      <c r="D135" s="48">
        <f>IF(inputs_ok,IF(TRUE,(wa_cf*(f1o_cf)+wb_cf*(f1o_cf)^2/2-P1_cf*((f1o_cf)&gt;=x1m_cf)-P2_cf*((f1o_cf)&gt;=x2m_cf)),"–"),"–")</f>
        <v/>
      </c>
      <c r="E135" s="48">
        <f>IF(inputs_ok,IF(TRUE,((f1o_cf)^2*(wa_cf/2+wb_cf*(f1o_cf)/6)-P1_cf*MAX(0,(f1o_cf)-x1m_cf)-P2_cf*MAX(0,(f1o_cf)-x2m_cf)),"–"),"–")</f>
        <v/>
      </c>
      <c r="F135" s="9" t="n"/>
      <c r="G135" s="9" t="n"/>
    </row>
    <row r="136" ht="16" customHeight="1">
      <c r="B136" s="46">
        <f>IF(inputs_ok,IF(xsok1_cf,xs1_cf,"–"),"–")</f>
        <v/>
      </c>
      <c r="C136" s="47" t="inlineStr">
        <is>
          <t>Shear section at d outside column 1</t>
        </is>
      </c>
      <c r="D136" s="48">
        <f>IF(inputs_ok,IF(xsok1_cf,(wa_cf*(xs1_cf)+wb_cf*(xs1_cf)^2/2-P1_cf*((xs1_cf)&gt;=x1m_cf)-P2_cf*((xs1_cf)&gt;=x2m_cf)),"–"),"–")</f>
        <v/>
      </c>
      <c r="E136" s="48">
        <f>IF(inputs_ok,IF(xsok1_cf,((xs1_cf)^2*(wa_cf/2+wb_cf*(xs1_cf)/6)-P1_cf*MAX(0,(xs1_cf)-x1m_cf)-P2_cf*MAX(0,(xs1_cf)-x2m_cf)),"–"),"–")</f>
        <v/>
      </c>
      <c r="F136" s="9" t="n"/>
      <c r="G136" s="9" t="n"/>
    </row>
    <row r="137" ht="16" customHeight="1">
      <c r="B137" s="46">
        <f>IF(inputs_ok,IF(TRUE,x1m_cf,"–"),"–")</f>
        <v/>
      </c>
      <c r="C137" s="47" t="inlineStr">
        <is>
          <t>Column 1 centre, just left</t>
        </is>
      </c>
      <c r="D137" s="48">
        <f>IF(inputs_ok,IF(TRUE,(wa_cf*(x1m_cf)+wb_cf*(x1m_cf)^2/2-P1_cf*((x1m_cf)&gt;x1m_cf)-P2_cf*((x1m_cf)&gt;x2m_cf)),"–"),"–")</f>
        <v/>
      </c>
      <c r="E137" s="48">
        <f>IF(inputs_ok,IF(TRUE,((x1m_cf)^2*(wa_cf/2+wb_cf*(x1m_cf)/6)-P1_cf*MAX(0,(x1m_cf)-x1m_cf)-P2_cf*MAX(0,(x1m_cf)-x2m_cf)),"–"),"–")</f>
        <v/>
      </c>
      <c r="F137" s="9" t="n"/>
      <c r="G137" s="9" t="n"/>
    </row>
    <row r="138" ht="16" customHeight="1">
      <c r="B138" s="46">
        <f>IF(inputs_ok,IF(TRUE,x1m_cf,"–"),"–")</f>
        <v/>
      </c>
      <c r="C138" s="47" t="inlineStr">
        <is>
          <t>Column 1 centre, just right</t>
        </is>
      </c>
      <c r="D138" s="48">
        <f>IF(inputs_ok,IF(TRUE,(wa_cf*(x1m_cf)+wb_cf*(x1m_cf)^2/2-P1_cf*((x1m_cf)&gt;=x1m_cf)-P2_cf*((x1m_cf)&gt;=x2m_cf)),"–"),"–")</f>
        <v/>
      </c>
      <c r="E138" s="48">
        <f>IF(inputs_ok,IF(TRUE,((x1m_cf)^2*(wa_cf/2+wb_cf*(x1m_cf)/6)-P1_cf*MAX(0,(x1m_cf)-x1m_cf)-P2_cf*MAX(0,(x1m_cf)-x2m_cf)),"–"),"–")</f>
        <v/>
      </c>
      <c r="F138" s="9" t="n"/>
      <c r="G138" s="9" t="n"/>
    </row>
    <row r="139" ht="16" customHeight="1">
      <c r="B139" s="46">
        <f>IF(inputs_ok,IF(TRUE,f1i_cf,"–"),"–")</f>
        <v/>
      </c>
      <c r="C139" s="47" t="inlineStr">
        <is>
          <t>Column 1, inner face</t>
        </is>
      </c>
      <c r="D139" s="48">
        <f>IF(inputs_ok,IF(TRUE,(wa_cf*(f1i_cf)+wb_cf*(f1i_cf)^2/2-P1_cf*((f1i_cf)&gt;=x1m_cf)-P2_cf*((f1i_cf)&gt;=x2m_cf)),"–"),"–")</f>
        <v/>
      </c>
      <c r="E139" s="48">
        <f>IF(inputs_ok,IF(TRUE,((f1i_cf)^2*(wa_cf/2+wb_cf*(f1i_cf)/6)-P1_cf*MAX(0,(f1i_cf)-x1m_cf)-P2_cf*MAX(0,(f1i_cf)-x2m_cf)),"–"),"–")</f>
        <v/>
      </c>
      <c r="F139" s="9" t="n"/>
      <c r="G139" s="9" t="n"/>
    </row>
    <row r="140" ht="16" customHeight="1">
      <c r="B140" s="46">
        <f>IF(inputs_ok,IF(TRUE,xs2_cf,"–"),"–")</f>
        <v/>
      </c>
      <c r="C140" s="47" t="inlineStr">
        <is>
          <t>Shear section at d inside column 1</t>
        </is>
      </c>
      <c r="D140" s="48">
        <f>IF(inputs_ok,IF(TRUE,(wa_cf*(xs2_cf)+wb_cf*(xs2_cf)^2/2-P1_cf*((xs2_cf)&gt;=x1m_cf)-P2_cf*((xs2_cf)&gt;=x2m_cf)),"–"),"–")</f>
        <v/>
      </c>
      <c r="E140" s="48">
        <f>IF(inputs_ok,IF(TRUE,((xs2_cf)^2*(wa_cf/2+wb_cf*(xs2_cf)/6)-P1_cf*MAX(0,(xs2_cf)-x1m_cf)-P2_cf*MAX(0,(xs2_cf)-x2m_cf)),"–"),"–")</f>
        <v/>
      </c>
      <c r="F140" s="9" t="n"/>
      <c r="G140" s="9" t="n"/>
    </row>
    <row r="141" ht="16" customHeight="1">
      <c r="B141" s="46">
        <f>IF(inputs_ok,IF(TRUE,xh_cf,"–"),"–")</f>
        <v/>
      </c>
      <c r="C141" s="47" t="inlineStr">
        <is>
          <t>Largest hogging (zero shear or a face)</t>
        </is>
      </c>
      <c r="D141" s="48">
        <f>IF(inputs_ok,IF(TRUE,(wa_cf*(xh_cf)+wb_cf*(xh_cf)^2/2-P1_cf*((xh_cf)&gt;=x1m_cf)-P2_cf*((xh_cf)&gt;=x2m_cf)),"–"),"–")</f>
        <v/>
      </c>
      <c r="E141" s="48">
        <f>IF(inputs_ok,IF(TRUE,((xh_cf)^2*(wa_cf/2+wb_cf*(xh_cf)/6)-P1_cf*MAX(0,(xh_cf)-x1m_cf)-P2_cf*MAX(0,(xh_cf)-x2m_cf)),"–"),"–")</f>
        <v/>
      </c>
      <c r="F141" s="9" t="n"/>
      <c r="G141" s="9" t="n"/>
    </row>
    <row r="142" ht="16" customHeight="1">
      <c r="B142" s="46">
        <f>IF(inputs_ok,IF(TRUE,xs3_cf,"–"),"–")</f>
        <v/>
      </c>
      <c r="C142" s="47" t="inlineStr">
        <is>
          <t>Shear section at d inside column 2</t>
        </is>
      </c>
      <c r="D142" s="48">
        <f>IF(inputs_ok,IF(TRUE,(wa_cf*(xs3_cf)+wb_cf*(xs3_cf)^2/2-P1_cf*((xs3_cf)&gt;=x1m_cf)-P2_cf*((xs3_cf)&gt;=x2m_cf)),"–"),"–")</f>
        <v/>
      </c>
      <c r="E142" s="48">
        <f>IF(inputs_ok,IF(TRUE,((xs3_cf)^2*(wa_cf/2+wb_cf*(xs3_cf)/6)-P1_cf*MAX(0,(xs3_cf)-x1m_cf)-P2_cf*MAX(0,(xs3_cf)-x2m_cf)),"–"),"–")</f>
        <v/>
      </c>
      <c r="F142" s="9" t="n"/>
      <c r="G142" s="9" t="n"/>
    </row>
    <row r="143" ht="16" customHeight="1">
      <c r="B143" s="46">
        <f>IF(inputs_ok,IF(TRUE,f2i_cf,"–"),"–")</f>
        <v/>
      </c>
      <c r="C143" s="47" t="inlineStr">
        <is>
          <t>Column 2, inner face</t>
        </is>
      </c>
      <c r="D143" s="48">
        <f>IF(inputs_ok,IF(TRUE,(wa_cf*(f2i_cf)+wb_cf*(f2i_cf)^2/2-P1_cf*((f2i_cf)&gt;=x1m_cf)-P2_cf*((f2i_cf)&gt;=x2m_cf)),"–"),"–")</f>
        <v/>
      </c>
      <c r="E143" s="48">
        <f>IF(inputs_ok,IF(TRUE,((f2i_cf)^2*(wa_cf/2+wb_cf*(f2i_cf)/6)-P1_cf*MAX(0,(f2i_cf)-x1m_cf)-P2_cf*MAX(0,(f2i_cf)-x2m_cf)),"–"),"–")</f>
        <v/>
      </c>
      <c r="F143" s="9" t="n"/>
      <c r="G143" s="9" t="n"/>
    </row>
    <row r="144" ht="16" customHeight="1">
      <c r="B144" s="46">
        <f>IF(inputs_ok,IF(TRUE,x2m_cf,"–"),"–")</f>
        <v/>
      </c>
      <c r="C144" s="47" t="inlineStr">
        <is>
          <t>Column 2 centre, just left</t>
        </is>
      </c>
      <c r="D144" s="48">
        <f>IF(inputs_ok,IF(TRUE,(wa_cf*(x2m_cf)+wb_cf*(x2m_cf)^2/2-P1_cf*((x2m_cf)&gt;x1m_cf)-P2_cf*((x2m_cf)&gt;x2m_cf)),"–"),"–")</f>
        <v/>
      </c>
      <c r="E144" s="48">
        <f>IF(inputs_ok,IF(TRUE,((x2m_cf)^2*(wa_cf/2+wb_cf*(x2m_cf)/6)-P1_cf*MAX(0,(x2m_cf)-x1m_cf)-P2_cf*MAX(0,(x2m_cf)-x2m_cf)),"–"),"–")</f>
        <v/>
      </c>
      <c r="F144" s="9" t="n"/>
      <c r="G144" s="9" t="n"/>
    </row>
    <row r="145" ht="16" customHeight="1">
      <c r="B145" s="46">
        <f>IF(inputs_ok,IF(TRUE,x2m_cf,"–"),"–")</f>
        <v/>
      </c>
      <c r="C145" s="47" t="inlineStr">
        <is>
          <t>Column 2 centre, just right</t>
        </is>
      </c>
      <c r="D145" s="48">
        <f>IF(inputs_ok,IF(TRUE,(wa_cf*(x2m_cf)+wb_cf*(x2m_cf)^2/2-P1_cf*((x2m_cf)&gt;=x1m_cf)-P2_cf*((x2m_cf)&gt;=x2m_cf)),"–"),"–")</f>
        <v/>
      </c>
      <c r="E145" s="48">
        <f>IF(inputs_ok,IF(TRUE,((x2m_cf)^2*(wa_cf/2+wb_cf*(x2m_cf)/6)-P1_cf*MAX(0,(x2m_cf)-x1m_cf)-P2_cf*MAX(0,(x2m_cf)-x2m_cf)),"–"),"–")</f>
        <v/>
      </c>
      <c r="F145" s="9" t="n"/>
      <c r="G145" s="9" t="n"/>
    </row>
    <row r="146" ht="16" customHeight="1">
      <c r="B146" s="46">
        <f>IF(inputs_ok,IF(TRUE,f2o_cf,"–"),"–")</f>
        <v/>
      </c>
      <c r="C146" s="47" t="inlineStr">
        <is>
          <t>Column 2, outer face</t>
        </is>
      </c>
      <c r="D146" s="48">
        <f>IF(inputs_ok,IF(TRUE,(wa_cf*(f2o_cf)+wb_cf*(f2o_cf)^2/2-P1_cf*((f2o_cf)&gt;=x1m_cf)-P2_cf*((f2o_cf)&gt;=x2m_cf)),"–"),"–")</f>
        <v/>
      </c>
      <c r="E146" s="48">
        <f>IF(inputs_ok,IF(TRUE,((f2o_cf)^2*(wa_cf/2+wb_cf*(f2o_cf)/6)-P1_cf*MAX(0,(f2o_cf)-x1m_cf)-P2_cf*MAX(0,(f2o_cf)-x2m_cf)),"–"),"–")</f>
        <v/>
      </c>
      <c r="F146" s="9" t="n"/>
      <c r="G146" s="9" t="n"/>
    </row>
    <row r="147" ht="16" customHeight="1">
      <c r="B147" s="46">
        <f>IF(inputs_ok,IF(xsok4_cf,xs4_cf,"–"),"–")</f>
        <v/>
      </c>
      <c r="C147" s="47" t="inlineStr">
        <is>
          <t>Shear section at d outside column 2</t>
        </is>
      </c>
      <c r="D147" s="48">
        <f>IF(inputs_ok,IF(xsok4_cf,(wa_cf*(xs4_cf)+wb_cf*(xs4_cf)^2/2-P1_cf*((xs4_cf)&gt;=x1m_cf)-P2_cf*((xs4_cf)&gt;=x2m_cf)),"–"),"–")</f>
        <v/>
      </c>
      <c r="E147" s="48">
        <f>IF(inputs_ok,IF(xsok4_cf,((xs4_cf)^2*(wa_cf/2+wb_cf*(xs4_cf)/6)-P1_cf*MAX(0,(xs4_cf)-x1m_cf)-P2_cf*MAX(0,(xs4_cf)-x2m_cf)),"–"),"–")</f>
        <v/>
      </c>
      <c r="F147" s="9" t="n"/>
      <c r="G147" s="9" t="n"/>
    </row>
    <row r="148" ht="16" customHeight="1">
      <c r="B148" s="46">
        <f>IF(inputs_ok,IF(TRUE,Lm_cf,"–"),"–")</f>
        <v/>
      </c>
      <c r="C148" s="47" t="inlineStr">
        <is>
          <t>Right end</t>
        </is>
      </c>
      <c r="D148" s="48">
        <f>IF(inputs_ok,IF(TRUE,(wa_cf*(Lm_cf)+wb_cf*(Lm_cf)^2/2-P1_cf*((Lm_cf)&gt;x1m_cf)-P2_cf*((Lm_cf)&gt;x2m_cf)),"–"),"–")</f>
        <v/>
      </c>
      <c r="E148" s="48">
        <f>IF(inputs_ok,IF(TRUE,((Lm_cf)^2*(wa_cf/2+wb_cf*(Lm_cf)/6)-P1_cf*MAX(0,(Lm_cf)-x1m_cf)-P2_cf*MAX(0,(Lm_cf)-x2m_cf)),"–"),"–")</f>
        <v/>
      </c>
      <c r="F148" s="9" t="n"/>
      <c r="G148" s="9" t="n"/>
    </row>
    <row r="149" ht="29" customHeight="1">
      <c r="B149" s="44" t="inlineStr">
        <is>
          <t>Shear just right of a section unless marked left. Inside the column outline the diagram treats each column load as a point load at its centre; the design moments are taken at the faces. The right end shows the closure: V = 0 and M = 0.</t>
        </is>
      </c>
    </row>
    <row r="150"/>
    <row r="151" ht="22" customHeight="1">
      <c r="B151" s="20" t="inlineStr">
        <is>
          <t>Calculation  ·  bending  (rectangular block, no redistribution)</t>
        </is>
      </c>
      <c r="C151" s="21" t="n"/>
      <c r="D151" s="21" t="n"/>
      <c r="E151" s="21" t="n"/>
      <c r="F151" s="21" t="n"/>
      <c r="G151" s="21" t="n"/>
    </row>
    <row r="152" ht="17" customHeight="1">
      <c r="B152" s="26" t="inlineStr">
        <is>
          <t>3.2.7</t>
        </is>
      </c>
      <c r="C152" s="24" t="inlineStr">
        <is>
          <t>Design yield strength</t>
        </is>
      </c>
      <c r="D152" s="27" t="inlineStr">
        <is>
          <r>
            <rPr>
              <rFont val="Calibri"/>
              <i val="1"/>
              <color rgb="002B2B2B"/>
              <sz val="10"/>
            </rPr>
            <t>f</t>
          </r>
          <r>
            <rPr>
              <rFont val="Calibri"/>
              <i val="1"/>
              <color rgb="002B2B2B"/>
              <sz val="10"/>
              <vertAlign val="subscript"/>
            </rPr>
            <t>yd</t>
          </r>
        </is>
      </c>
      <c r="E152" s="39">
        <f>IF(inputs_ok,f_yk/gamma_s,NA())</f>
        <v/>
      </c>
      <c r="F152" s="28" t="inlineStr">
        <is>
          <t>MPa</t>
        </is>
      </c>
      <c r="G152" s="23" t="n"/>
    </row>
    <row r="153" ht="17" customHeight="1">
      <c r="B153" s="26" t="inlineStr">
        <is>
          <t>3.2.7</t>
        </is>
      </c>
      <c r="C153" s="24" t="inlineStr">
        <is>
          <t>Neutral axis depth at first yield</t>
        </is>
      </c>
      <c r="D153" s="27" t="inlineStr">
        <is>
          <r>
            <rPr>
              <rFont val="Calibri"/>
              <i val="1"/>
              <color rgb="002B2B2B"/>
              <sz val="10"/>
            </rPr>
            <t>ξ</t>
          </r>
          <r>
            <rPr>
              <rFont val="Calibri"/>
              <i val="1"/>
              <color rgb="002B2B2B"/>
              <sz val="10"/>
              <vertAlign val="subscript"/>
            </rPr>
            <t>y</t>
          </r>
        </is>
      </c>
      <c r="E153" s="43">
        <f>IF(inputs_ok,0.0035/(0.0035+f_yd/200000),NA())</f>
        <v/>
      </c>
      <c r="F153" s="23" t="n"/>
      <c r="G153" s="23" t="n"/>
    </row>
    <row r="154" ht="17" customHeight="1">
      <c r="B154" s="26" t="inlineStr">
        <is>
          <t>5.5(4)</t>
        </is>
      </c>
      <c r="C154" s="24" t="inlineStr">
        <is>
          <t>Limiting neutral axis depth  min((1 − k1)/k2; ξy)</t>
        </is>
      </c>
      <c r="D154" s="27" t="inlineStr">
        <is>
          <r>
            <rPr>
              <rFont val="Calibri"/>
              <i val="1"/>
              <color rgb="002B2B2B"/>
              <sz val="10"/>
            </rPr>
            <t>x</t>
          </r>
          <r>
            <rPr>
              <rFont val="Calibri"/>
              <i val="1"/>
              <color rgb="002B2B2B"/>
              <sz val="10"/>
              <vertAlign val="subscript"/>
            </rPr>
            <t>u/d</t>
          </r>
        </is>
      </c>
      <c r="E154" s="43">
        <f>IF(inputs_ok,MIN(xi_y,(1-k1_red)/k2_red),NA())</f>
        <v/>
      </c>
      <c r="F154" s="23" t="n"/>
      <c r="G154" s="23" t="n"/>
    </row>
    <row r="155" ht="17" customHeight="1">
      <c r="B155" s="26" t="inlineStr">
        <is>
          <t>3.1.7(3)</t>
        </is>
      </c>
      <c r="C155" s="24" t="inlineStr">
        <is>
          <t>Limiting K  (αcc/γc) 0.8 ξ (1 − 0.4 ξ)</t>
        </is>
      </c>
      <c r="D155" s="27" t="inlineStr">
        <is>
          <r>
            <rPr>
              <rFont val="Calibri"/>
              <i val="1"/>
              <color rgb="002B2B2B"/>
              <sz val="10"/>
            </rPr>
            <t>K'</t>
          </r>
        </is>
      </c>
      <c r="E155" s="43">
        <f>IF(inputs_ok,alpha_cc/gamma_c*0.8*xi_lim*(1-0.4*xi_lim),NA())</f>
        <v/>
      </c>
      <c r="F155" s="23" t="n"/>
      <c r="G155" s="23" t="n"/>
    </row>
    <row r="156" ht="17" customHeight="1">
      <c r="B156" s="26" t="inlineStr">
        <is>
          <t>(9.1N)</t>
        </is>
      </c>
      <c r="C156" s="24" t="inlineStr">
        <is>
          <t>Minimum ratio  max(0.26 fctm/fyk; 0.0013)</t>
        </is>
      </c>
      <c r="D156" s="27" t="inlineStr">
        <is>
          <r>
            <rPr>
              <rFont val="Calibri"/>
              <i val="1"/>
              <color rgb="002B2B2B"/>
              <sz val="10"/>
            </rPr>
            <t>ρ</t>
          </r>
          <r>
            <rPr>
              <rFont val="Calibri"/>
              <i val="1"/>
              <color rgb="002B2B2B"/>
              <sz val="10"/>
              <vertAlign val="subscript"/>
            </rPr>
            <t>min</t>
          </r>
        </is>
      </c>
      <c r="E156" s="49">
        <f>IF(inputs_ok,MAX(0.26*f_ctm/f_yk,0.0013),NA())</f>
        <v/>
      </c>
      <c r="F156" s="23" t="n"/>
      <c r="G156" s="23" t="n"/>
    </row>
    <row r="157" ht="17" customHeight="1">
      <c r="B157" s="23" t="n"/>
      <c r="C157" s="24" t="inlineStr">
        <is>
          <t>Strip under column 1  cx1 + min(d; to end) + min(d; g/2)</t>
        </is>
      </c>
      <c r="D157" s="27" t="inlineStr">
        <is>
          <r>
            <rPr>
              <rFont val="Calibri"/>
              <i val="1"/>
              <color rgb="002B2B2B"/>
              <sz val="10"/>
            </rPr>
            <t>b</t>
          </r>
          <r>
            <rPr>
              <rFont val="Calibri"/>
              <i val="1"/>
              <color rgb="002B2B2B"/>
              <sz val="10"/>
              <vertAlign val="subscript"/>
            </rPr>
            <t>e1</t>
          </r>
        </is>
      </c>
      <c r="E157" s="40">
        <f>IF(inputs_ok,cx1_cf+MIN(dbt_cf,x1_cf-cx1_cf/2)+MIN(dbt_cf,gap_cf/2),NA())</f>
        <v/>
      </c>
      <c r="F157" s="28" t="inlineStr">
        <is>
          <t>mm</t>
        </is>
      </c>
      <c r="G157" s="23" t="n"/>
    </row>
    <row r="158" ht="17" customHeight="1">
      <c r="B158" s="23" t="n"/>
      <c r="C158" s="24" t="inlineStr">
        <is>
          <t>Strip under column 2  cx2 + min(d; g/2) + min(d; to end)</t>
        </is>
      </c>
      <c r="D158" s="27" t="inlineStr">
        <is>
          <r>
            <rPr>
              <rFont val="Calibri"/>
              <i val="1"/>
              <color rgb="002B2B2B"/>
              <sz val="10"/>
            </rPr>
            <t>b</t>
          </r>
          <r>
            <rPr>
              <rFont val="Calibri"/>
              <i val="1"/>
              <color rgb="002B2B2B"/>
              <sz val="10"/>
              <vertAlign val="subscript"/>
            </rPr>
            <t>e2</t>
          </r>
        </is>
      </c>
      <c r="E158" s="40">
        <f>IF(inputs_ok,cx2_cf+MIN(dbt_cf,gap_cf/2)+MIN(dbt_cf,L_cf-x2_cf-cx2_cf/2),NA())</f>
        <v/>
      </c>
      <c r="F158" s="28" t="inlineStr">
        <is>
          <t>mm</t>
        </is>
      </c>
      <c r="G158" s="23" t="n"/>
    </row>
    <row r="159" ht="17" customHeight="1">
      <c r="B159" s="23" t="n"/>
      <c r="C159" s="24" t="inlineStr">
        <is>
          <t>Transverse moment, column 1  (P1/B)((B − cy1)/2)²/2</t>
        </is>
      </c>
      <c r="D159" s="27" t="inlineStr">
        <is>
          <r>
            <rPr>
              <rFont val="Calibri"/>
              <i val="1"/>
              <color rgb="002B2B2B"/>
              <sz val="10"/>
            </rPr>
            <t>M</t>
          </r>
          <r>
            <rPr>
              <rFont val="Calibri"/>
              <i val="1"/>
              <color rgb="002B2B2B"/>
              <sz val="10"/>
              <vertAlign val="subscript"/>
            </rPr>
            <t>t1</t>
          </r>
        </is>
      </c>
      <c r="E159" s="39">
        <f>IF(inputs_ok,P1_cf/Bm_cf*((Bm_cf-cy1_cf/1000)/2)^2/2,NA())</f>
        <v/>
      </c>
      <c r="F159" s="28" t="inlineStr">
        <is>
          <t>kNm</t>
        </is>
      </c>
      <c r="G159" s="23" t="n"/>
    </row>
    <row r="160" ht="17" customHeight="1">
      <c r="B160" s="23" t="n"/>
      <c r="C160" s="24" t="inlineStr">
        <is>
          <t>Transverse moment per metre  qd,max ((B − min cy)/2)²/2</t>
        </is>
      </c>
      <c r="D160" s="27" t="inlineStr">
        <is>
          <r>
            <rPr>
              <rFont val="Calibri"/>
              <i val="1"/>
              <color rgb="002B2B2B"/>
              <sz val="10"/>
            </rPr>
            <t>m</t>
          </r>
          <r>
            <rPr>
              <rFont val="Calibri"/>
              <i val="1"/>
              <color rgb="002B2B2B"/>
              <sz val="10"/>
              <vertAlign val="subscript"/>
            </rPr>
            <t>ty</t>
          </r>
        </is>
      </c>
      <c r="E160" s="39">
        <f>IF(inputs_ok,MAX(qL_cf,qR_cf)*((Bm_cf-MIN(cy1_cf,cy2_cf)/1000)/2)^2/2,NA())</f>
        <v/>
      </c>
      <c r="F160" s="28" t="inlineStr">
        <is>
          <t>kNm/m</t>
        </is>
      </c>
      <c r="G160" s="23" t="n"/>
    </row>
    <row r="161" ht="17" customHeight="1">
      <c r="B161" s="23" t="n"/>
      <c r="C161" s="24" t="inlineStr">
        <is>
          <t>Transverse moment, column 2  (P2/B)((B − cy2)/2)²/2</t>
        </is>
      </c>
      <c r="D161" s="27" t="inlineStr">
        <is>
          <r>
            <rPr>
              <rFont val="Calibri"/>
              <i val="1"/>
              <color rgb="002B2B2B"/>
              <sz val="10"/>
            </rPr>
            <t>M</t>
          </r>
          <r>
            <rPr>
              <rFont val="Calibri"/>
              <i val="1"/>
              <color rgb="002B2B2B"/>
              <sz val="10"/>
              <vertAlign val="subscript"/>
            </rPr>
            <t>t2</t>
          </r>
        </is>
      </c>
      <c r="E161" s="39">
        <f>IF(inputs_ok,P2_cf/Bm_cf*((Bm_cf-cy2_cf/1000)/2)^2/2,NA())</f>
        <v/>
      </c>
      <c r="F161" s="28" t="inlineStr">
        <is>
          <t>kNm</t>
        </is>
      </c>
      <c r="G161" s="23" t="n"/>
    </row>
    <row r="162" ht="17" customHeight="1">
      <c r="B162" s="23" t="n"/>
      <c r="C162" s="24" t="inlineStr">
        <is>
          <t>K, bottom bars along L, width B  M / (b d² fck)</t>
        </is>
      </c>
      <c r="D162" s="27" t="inlineStr">
        <is>
          <r>
            <rPr>
              <rFont val="Calibri"/>
              <i val="1"/>
              <color rgb="002B2B2B"/>
              <sz val="10"/>
            </rPr>
            <t>K</t>
          </r>
          <r>
            <rPr>
              <rFont val="Calibri"/>
              <i val="1"/>
              <color rgb="002B2B2B"/>
              <sz val="10"/>
              <vertAlign val="subscript"/>
            </rPr>
            <t>bl</t>
          </r>
        </is>
      </c>
      <c r="E162" s="43">
        <f>IF(inputs_ok,Msag_cf*1E6/(B_cf*dbl_cf^2*f_ck),NA())</f>
        <v/>
      </c>
      <c r="F162" s="23" t="n"/>
      <c r="G162" s="23" t="n"/>
    </row>
    <row r="163" ht="17" customHeight="1">
      <c r="B163" s="23" t="n"/>
      <c r="C163" s="24" t="inlineStr">
        <is>
          <t>Lever arm  d (1 − 0.4 ξ) ≤ 0.95 d</t>
        </is>
      </c>
      <c r="D163" s="27" t="inlineStr">
        <is>
          <r>
            <rPr>
              <rFont val="Calibri"/>
              <i val="1"/>
              <color rgb="002B2B2B"/>
              <sz val="10"/>
            </rPr>
            <t>z</t>
          </r>
        </is>
      </c>
      <c r="E163" s="40">
        <f>IF(inputs_ok,IF(K_bl&lt;=K_lim,MIN(0.95*dbl_cf,dbl_cf*(1-0.4*(1-SQRT(1-2*K_bl/(alpha_cc/gamma_c)))/0.8)),NA()),NA())</f>
        <v/>
      </c>
      <c r="F163" s="28" t="inlineStr">
        <is>
          <t>mm</t>
        </is>
      </c>
      <c r="G163" s="26" t="inlineStr">
        <is>
          <t>N/A: K &gt; K′, outside scope</t>
        </is>
      </c>
    </row>
    <row r="164" ht="17" customHeight="1">
      <c r="B164" s="23" t="n"/>
      <c r="C164" s="24" t="inlineStr">
        <is>
          <t>Required  M / (fyd z)</t>
        </is>
      </c>
      <c r="D164" s="27" t="inlineStr">
        <is>
          <r>
            <rPr>
              <rFont val="Calibri"/>
              <i val="1"/>
              <color rgb="002B2B2B"/>
              <sz val="10"/>
            </rPr>
            <t>A</t>
          </r>
          <r>
            <rPr>
              <rFont val="Calibri"/>
              <i val="1"/>
              <color rgb="002B2B2B"/>
              <sz val="10"/>
              <vertAlign val="subscript"/>
            </rPr>
            <t>s,req</t>
          </r>
        </is>
      </c>
      <c r="E164" s="40">
        <f>IF(inputs_ok,Msag_cf*1E6/(f_yd*z_bl),NA())</f>
        <v/>
      </c>
      <c r="F164" s="28" t="inlineStr">
        <is>
          <t>mm²</t>
        </is>
      </c>
      <c r="G164" s="23" t="n"/>
    </row>
    <row r="165" ht="17" customHeight="1">
      <c r="B165" s="26" t="inlineStr">
        <is>
          <t>(9.1N)</t>
        </is>
      </c>
      <c r="C165" s="24" t="inlineStr">
        <is>
          <t>Minimum  ρmin b d</t>
        </is>
      </c>
      <c r="D165" s="27" t="inlineStr">
        <is>
          <r>
            <rPr>
              <rFont val="Calibri"/>
              <i val="1"/>
              <color rgb="002B2B2B"/>
              <sz val="10"/>
            </rPr>
            <t>A</t>
          </r>
          <r>
            <rPr>
              <rFont val="Calibri"/>
              <i val="1"/>
              <color rgb="002B2B2B"/>
              <sz val="10"/>
              <vertAlign val="subscript"/>
            </rPr>
            <t>s,min</t>
          </r>
        </is>
      </c>
      <c r="E165" s="40">
        <f>IF(inputs_ok,rmin_cf*B_cf*dbl_cf,NA())</f>
        <v/>
      </c>
      <c r="F165" s="28" t="inlineStr">
        <is>
          <t>mm²</t>
        </is>
      </c>
      <c r="G165" s="23" t="n"/>
    </row>
    <row r="166" ht="17" customHeight="1">
      <c r="B166" s="23" t="n"/>
      <c r="C166" s="24" t="inlineStr">
        <is>
          <t>Provided  π φ²/4 · b / s</t>
        </is>
      </c>
      <c r="D166" s="27" t="inlineStr">
        <is>
          <r>
            <rPr>
              <rFont val="Calibri"/>
              <i val="1"/>
              <color rgb="002B2B2B"/>
              <sz val="10"/>
            </rPr>
            <t>A</t>
          </r>
          <r>
            <rPr>
              <rFont val="Calibri"/>
              <i val="1"/>
              <color rgb="002B2B2B"/>
              <sz val="10"/>
              <vertAlign val="subscript"/>
            </rPr>
            <t>s,prov</t>
          </r>
        </is>
      </c>
      <c r="E166" s="40">
        <f>IF(inputs_ok,PI()*pbl_cf^2/4*B_cf/sbl_cf,NA())</f>
        <v/>
      </c>
      <c r="F166" s="28" t="inlineStr">
        <is>
          <t>mm²</t>
        </is>
      </c>
      <c r="G166" s="23" t="n"/>
    </row>
    <row r="167" ht="17" customHeight="1">
      <c r="B167" s="26" t="inlineStr">
        <is>
          <t>6.1, 9.2.1.1</t>
        </is>
      </c>
      <c r="C167" s="24" t="inlineStr">
        <is>
          <t>Bottom bars: K ≤ K′ and As,prov ≥ max(As,req; As,min)</t>
        </is>
      </c>
      <c r="D167" s="23" t="n"/>
      <c r="E167" s="40">
        <f>IF(inputs_ok,Asp_bl,NA())</f>
        <v/>
      </c>
      <c r="F167" s="28" t="inlineStr">
        <is>
          <t>mm²</t>
        </is>
      </c>
      <c r="G167" s="32">
        <f>IF(NOT(inputs_ok),"FAIL",IF(bot_ok,"OK","FAIL"))</f>
        <v/>
      </c>
    </row>
    <row r="168" ht="17" customHeight="1">
      <c r="B168" s="23" t="n"/>
      <c r="C168" s="24" t="inlineStr">
        <is>
          <t>K, top bars along L, width B  M / (b d² fck)</t>
        </is>
      </c>
      <c r="D168" s="27" t="inlineStr">
        <is>
          <r>
            <rPr>
              <rFont val="Calibri"/>
              <i val="1"/>
              <color rgb="002B2B2B"/>
              <sz val="10"/>
            </rPr>
            <t>K</t>
          </r>
          <r>
            <rPr>
              <rFont val="Calibri"/>
              <i val="1"/>
              <color rgb="002B2B2B"/>
              <sz val="10"/>
              <vertAlign val="subscript"/>
            </rPr>
            <t>tl</t>
          </r>
        </is>
      </c>
      <c r="E168" s="43">
        <f>IF(inputs_ok,(-Mhog_cf)*1E6/(B_cf*dtl_cf^2*f_ck),NA())</f>
        <v/>
      </c>
      <c r="F168" s="23" t="n"/>
      <c r="G168" s="23" t="n"/>
    </row>
    <row r="169" ht="17" customHeight="1">
      <c r="B169" s="23" t="n"/>
      <c r="C169" s="24" t="inlineStr">
        <is>
          <t>Lever arm  d (1 − 0.4 ξ) ≤ 0.95 d</t>
        </is>
      </c>
      <c r="D169" s="27" t="inlineStr">
        <is>
          <r>
            <rPr>
              <rFont val="Calibri"/>
              <i val="1"/>
              <color rgb="002B2B2B"/>
              <sz val="10"/>
            </rPr>
            <t>z</t>
          </r>
        </is>
      </c>
      <c r="E169" s="40">
        <f>IF(inputs_ok,IF(K_tl&lt;=K_lim,MIN(0.95*dtl_cf,dtl_cf*(1-0.4*(1-SQRT(1-2*K_tl/(alpha_cc/gamma_c)))/0.8)),NA()),NA())</f>
        <v/>
      </c>
      <c r="F169" s="28" t="inlineStr">
        <is>
          <t>mm</t>
        </is>
      </c>
      <c r="G169" s="26" t="inlineStr">
        <is>
          <t>N/A: K &gt; K′, outside scope</t>
        </is>
      </c>
    </row>
    <row r="170" ht="17" customHeight="1">
      <c r="B170" s="23" t="n"/>
      <c r="C170" s="24" t="inlineStr">
        <is>
          <t>Required  M / (fyd z)</t>
        </is>
      </c>
      <c r="D170" s="27" t="inlineStr">
        <is>
          <r>
            <rPr>
              <rFont val="Calibri"/>
              <i val="1"/>
              <color rgb="002B2B2B"/>
              <sz val="10"/>
            </rPr>
            <t>A</t>
          </r>
          <r>
            <rPr>
              <rFont val="Calibri"/>
              <i val="1"/>
              <color rgb="002B2B2B"/>
              <sz val="10"/>
              <vertAlign val="subscript"/>
            </rPr>
            <t>s,req</t>
          </r>
        </is>
      </c>
      <c r="E170" s="40">
        <f>IF(inputs_ok,(-Mhog_cf)*1E6/(f_yd*z_tl),NA())</f>
        <v/>
      </c>
      <c r="F170" s="28" t="inlineStr">
        <is>
          <t>mm²</t>
        </is>
      </c>
      <c r="G170" s="23" t="n"/>
    </row>
    <row r="171" ht="17" customHeight="1">
      <c r="B171" s="26" t="inlineStr">
        <is>
          <t>(9.1N)</t>
        </is>
      </c>
      <c r="C171" s="24" t="inlineStr">
        <is>
          <t>Minimum  ρmin b d</t>
        </is>
      </c>
      <c r="D171" s="27" t="inlineStr">
        <is>
          <r>
            <rPr>
              <rFont val="Calibri"/>
              <i val="1"/>
              <color rgb="002B2B2B"/>
              <sz val="10"/>
            </rPr>
            <t>A</t>
          </r>
          <r>
            <rPr>
              <rFont val="Calibri"/>
              <i val="1"/>
              <color rgb="002B2B2B"/>
              <sz val="10"/>
              <vertAlign val="subscript"/>
            </rPr>
            <t>s,min</t>
          </r>
        </is>
      </c>
      <c r="E171" s="40">
        <f>IF(inputs_ok,rmin_cf*B_cf*dtl_cf,NA())</f>
        <v/>
      </c>
      <c r="F171" s="28" t="inlineStr">
        <is>
          <t>mm²</t>
        </is>
      </c>
      <c r="G171" s="23" t="n"/>
    </row>
    <row r="172" ht="17" customHeight="1">
      <c r="B172" s="23" t="n"/>
      <c r="C172" s="24" t="inlineStr">
        <is>
          <t>Provided  π φ²/4 · b / s</t>
        </is>
      </c>
      <c r="D172" s="27" t="inlineStr">
        <is>
          <r>
            <rPr>
              <rFont val="Calibri"/>
              <i val="1"/>
              <color rgb="002B2B2B"/>
              <sz val="10"/>
            </rPr>
            <t>A</t>
          </r>
          <r>
            <rPr>
              <rFont val="Calibri"/>
              <i val="1"/>
              <color rgb="002B2B2B"/>
              <sz val="10"/>
              <vertAlign val="subscript"/>
            </rPr>
            <t>s,prov</t>
          </r>
        </is>
      </c>
      <c r="E172" s="40">
        <f>IF(inputs_ok,PI()*ptl_cf^2/4*B_cf/stl_cf,NA())</f>
        <v/>
      </c>
      <c r="F172" s="28" t="inlineStr">
        <is>
          <t>mm²</t>
        </is>
      </c>
      <c r="G172" s="23" t="n"/>
    </row>
    <row r="173" ht="17" customHeight="1">
      <c r="B173" s="26" t="inlineStr">
        <is>
          <t>6.1, 9.2.1.1</t>
        </is>
      </c>
      <c r="C173" s="24" t="inlineStr">
        <is>
          <t>Top bars: K ≤ K′ and As,prov ≥ max(As,req; As,min)</t>
        </is>
      </c>
      <c r="D173" s="23" t="n"/>
      <c r="E173" s="40">
        <f>IF(inputs_ok,Asp_tl,NA())</f>
        <v/>
      </c>
      <c r="F173" s="28" t="inlineStr">
        <is>
          <t>mm²</t>
        </is>
      </c>
      <c r="G173" s="32">
        <f>IF(NOT(inputs_ok),"FAIL",IF(top_ok,"OK","FAIL"))</f>
        <v/>
      </c>
    </row>
    <row r="174" ht="17" customHeight="1">
      <c r="B174" s="23" t="n"/>
      <c r="C174" s="24" t="inlineStr">
        <is>
          <t>K, bars across, strip under column 1  M / (b d² fck)</t>
        </is>
      </c>
      <c r="D174" s="27" t="inlineStr">
        <is>
          <r>
            <rPr>
              <rFont val="Calibri"/>
              <i val="1"/>
              <color rgb="002B2B2B"/>
              <sz val="10"/>
            </rPr>
            <t>K</t>
          </r>
          <r>
            <rPr>
              <rFont val="Calibri"/>
              <i val="1"/>
              <color rgb="002B2B2B"/>
              <sz val="10"/>
              <vertAlign val="subscript"/>
            </rPr>
            <t>t1</t>
          </r>
        </is>
      </c>
      <c r="E174" s="43">
        <f>IF(inputs_ok,Mt1_cf*1E6/(be1_cf*dbt_cf^2*f_ck),NA())</f>
        <v/>
      </c>
      <c r="F174" s="23" t="n"/>
      <c r="G174" s="23" t="n"/>
    </row>
    <row r="175" ht="17" customHeight="1">
      <c r="B175" s="23" t="n"/>
      <c r="C175" s="24" t="inlineStr">
        <is>
          <t>Lever arm  d (1 − 0.4 ξ) ≤ 0.95 d</t>
        </is>
      </c>
      <c r="D175" s="27" t="inlineStr">
        <is>
          <r>
            <rPr>
              <rFont val="Calibri"/>
              <i val="1"/>
              <color rgb="002B2B2B"/>
              <sz val="10"/>
            </rPr>
            <t>z</t>
          </r>
        </is>
      </c>
      <c r="E175" s="40">
        <f>IF(inputs_ok,IF(K_t1&lt;=K_lim,MIN(0.95*dbt_cf,dbt_cf*(1-0.4*(1-SQRT(1-2*K_t1/(alpha_cc/gamma_c)))/0.8)),NA()),NA())</f>
        <v/>
      </c>
      <c r="F175" s="28" t="inlineStr">
        <is>
          <t>mm</t>
        </is>
      </c>
      <c r="G175" s="26" t="inlineStr">
        <is>
          <t>N/A: K &gt; K′, outside scope</t>
        </is>
      </c>
    </row>
    <row r="176" ht="17" customHeight="1">
      <c r="B176" s="23" t="n"/>
      <c r="C176" s="24" t="inlineStr">
        <is>
          <t>Required  M / (fyd z)</t>
        </is>
      </c>
      <c r="D176" s="27" t="inlineStr">
        <is>
          <r>
            <rPr>
              <rFont val="Calibri"/>
              <i val="1"/>
              <color rgb="002B2B2B"/>
              <sz val="10"/>
            </rPr>
            <t>A</t>
          </r>
          <r>
            <rPr>
              <rFont val="Calibri"/>
              <i val="1"/>
              <color rgb="002B2B2B"/>
              <sz val="10"/>
              <vertAlign val="subscript"/>
            </rPr>
            <t>s,req</t>
          </r>
        </is>
      </c>
      <c r="E176" s="40">
        <f>IF(inputs_ok,Mt1_cf*1E6/(f_yd*z_t1),NA())</f>
        <v/>
      </c>
      <c r="F176" s="28" t="inlineStr">
        <is>
          <t>mm²</t>
        </is>
      </c>
      <c r="G176" s="23" t="n"/>
    </row>
    <row r="177" ht="17" customHeight="1">
      <c r="B177" s="26" t="inlineStr">
        <is>
          <t>(9.1N)</t>
        </is>
      </c>
      <c r="C177" s="24" t="inlineStr">
        <is>
          <t>Minimum  ρmin b d</t>
        </is>
      </c>
      <c r="D177" s="27" t="inlineStr">
        <is>
          <r>
            <rPr>
              <rFont val="Calibri"/>
              <i val="1"/>
              <color rgb="002B2B2B"/>
              <sz val="10"/>
            </rPr>
            <t>A</t>
          </r>
          <r>
            <rPr>
              <rFont val="Calibri"/>
              <i val="1"/>
              <color rgb="002B2B2B"/>
              <sz val="10"/>
              <vertAlign val="subscript"/>
            </rPr>
            <t>s,min</t>
          </r>
        </is>
      </c>
      <c r="E177" s="40">
        <f>IF(inputs_ok,rmin_cf*be1_cf*dbt_cf,NA())</f>
        <v/>
      </c>
      <c r="F177" s="28" t="inlineStr">
        <is>
          <t>mm²</t>
        </is>
      </c>
      <c r="G177" s="23" t="n"/>
    </row>
    <row r="178" ht="17" customHeight="1">
      <c r="B178" s="23" t="n"/>
      <c r="C178" s="24" t="inlineStr">
        <is>
          <t>Provided  π φ²/4 · b / s</t>
        </is>
      </c>
      <c r="D178" s="27" t="inlineStr">
        <is>
          <r>
            <rPr>
              <rFont val="Calibri"/>
              <i val="1"/>
              <color rgb="002B2B2B"/>
              <sz val="10"/>
            </rPr>
            <t>A</t>
          </r>
          <r>
            <rPr>
              <rFont val="Calibri"/>
              <i val="1"/>
              <color rgb="002B2B2B"/>
              <sz val="10"/>
              <vertAlign val="subscript"/>
            </rPr>
            <t>s,prov</t>
          </r>
        </is>
      </c>
      <c r="E178" s="40">
        <f>IF(inputs_ok,PI()*pbt_cf^2/4*be1_cf/sbt_cf,NA())</f>
        <v/>
      </c>
      <c r="F178" s="28" t="inlineStr">
        <is>
          <t>mm²</t>
        </is>
      </c>
      <c r="G178" s="23" t="n"/>
    </row>
    <row r="179" ht="17" customHeight="1">
      <c r="B179" s="23" t="n"/>
      <c r="C179" s="24" t="inlineStr">
        <is>
          <t>K, bars across, strip under column 2  M / (b d² fck)</t>
        </is>
      </c>
      <c r="D179" s="27" t="inlineStr">
        <is>
          <r>
            <rPr>
              <rFont val="Calibri"/>
              <i val="1"/>
              <color rgb="002B2B2B"/>
              <sz val="10"/>
            </rPr>
            <t>K</t>
          </r>
          <r>
            <rPr>
              <rFont val="Calibri"/>
              <i val="1"/>
              <color rgb="002B2B2B"/>
              <sz val="10"/>
              <vertAlign val="subscript"/>
            </rPr>
            <t>t2</t>
          </r>
        </is>
      </c>
      <c r="E179" s="43">
        <f>IF(inputs_ok,Mt2_cf*1E6/(be2_cf*dbt_cf^2*f_ck),NA())</f>
        <v/>
      </c>
      <c r="F179" s="23" t="n"/>
      <c r="G179" s="23" t="n"/>
    </row>
    <row r="180" ht="17" customHeight="1">
      <c r="B180" s="23" t="n"/>
      <c r="C180" s="24" t="inlineStr">
        <is>
          <t>Lever arm  d (1 − 0.4 ξ) ≤ 0.95 d</t>
        </is>
      </c>
      <c r="D180" s="27" t="inlineStr">
        <is>
          <r>
            <rPr>
              <rFont val="Calibri"/>
              <i val="1"/>
              <color rgb="002B2B2B"/>
              <sz val="10"/>
            </rPr>
            <t>z</t>
          </r>
        </is>
      </c>
      <c r="E180" s="40">
        <f>IF(inputs_ok,IF(K_t2&lt;=K_lim,MIN(0.95*dbt_cf,dbt_cf*(1-0.4*(1-SQRT(1-2*K_t2/(alpha_cc/gamma_c)))/0.8)),NA()),NA())</f>
        <v/>
      </c>
      <c r="F180" s="28" t="inlineStr">
        <is>
          <t>mm</t>
        </is>
      </c>
      <c r="G180" s="26" t="inlineStr">
        <is>
          <t>N/A: K &gt; K′, outside scope</t>
        </is>
      </c>
    </row>
    <row r="181" ht="17" customHeight="1">
      <c r="B181" s="23" t="n"/>
      <c r="C181" s="24" t="inlineStr">
        <is>
          <t>Required  M / (fyd z)</t>
        </is>
      </c>
      <c r="D181" s="27" t="inlineStr">
        <is>
          <r>
            <rPr>
              <rFont val="Calibri"/>
              <i val="1"/>
              <color rgb="002B2B2B"/>
              <sz val="10"/>
            </rPr>
            <t>A</t>
          </r>
          <r>
            <rPr>
              <rFont val="Calibri"/>
              <i val="1"/>
              <color rgb="002B2B2B"/>
              <sz val="10"/>
              <vertAlign val="subscript"/>
            </rPr>
            <t>s,req</t>
          </r>
        </is>
      </c>
      <c r="E181" s="40">
        <f>IF(inputs_ok,Mt2_cf*1E6/(f_yd*z_t2),NA())</f>
        <v/>
      </c>
      <c r="F181" s="28" t="inlineStr">
        <is>
          <t>mm²</t>
        </is>
      </c>
      <c r="G181" s="23" t="n"/>
    </row>
    <row r="182" ht="17" customHeight="1">
      <c r="B182" s="26" t="inlineStr">
        <is>
          <t>(9.1N)</t>
        </is>
      </c>
      <c r="C182" s="24" t="inlineStr">
        <is>
          <t>Minimum  ρmin b d</t>
        </is>
      </c>
      <c r="D182" s="27" t="inlineStr">
        <is>
          <r>
            <rPr>
              <rFont val="Calibri"/>
              <i val="1"/>
              <color rgb="002B2B2B"/>
              <sz val="10"/>
            </rPr>
            <t>A</t>
          </r>
          <r>
            <rPr>
              <rFont val="Calibri"/>
              <i val="1"/>
              <color rgb="002B2B2B"/>
              <sz val="10"/>
              <vertAlign val="subscript"/>
            </rPr>
            <t>s,min</t>
          </r>
        </is>
      </c>
      <c r="E182" s="40">
        <f>IF(inputs_ok,rmin_cf*be2_cf*dbt_cf,NA())</f>
        <v/>
      </c>
      <c r="F182" s="28" t="inlineStr">
        <is>
          <t>mm²</t>
        </is>
      </c>
      <c r="G182" s="23" t="n"/>
    </row>
    <row r="183" ht="17" customHeight="1">
      <c r="B183" s="23" t="n"/>
      <c r="C183" s="24" t="inlineStr">
        <is>
          <t>Provided  π φ²/4 · b / s</t>
        </is>
      </c>
      <c r="D183" s="27" t="inlineStr">
        <is>
          <r>
            <rPr>
              <rFont val="Calibri"/>
              <i val="1"/>
              <color rgb="002B2B2B"/>
              <sz val="10"/>
            </rPr>
            <t>A</t>
          </r>
          <r>
            <rPr>
              <rFont val="Calibri"/>
              <i val="1"/>
              <color rgb="002B2B2B"/>
              <sz val="10"/>
              <vertAlign val="subscript"/>
            </rPr>
            <t>s,prov</t>
          </r>
        </is>
      </c>
      <c r="E183" s="40">
        <f>IF(inputs_ok,PI()*pbt_cf^2/4*be2_cf/sbt_cf,NA())</f>
        <v/>
      </c>
      <c r="F183" s="28" t="inlineStr">
        <is>
          <t>mm²</t>
        </is>
      </c>
      <c r="G183" s="23" t="n"/>
    </row>
    <row r="184" ht="17" customHeight="1">
      <c r="B184" s="23" t="n"/>
      <c r="C184" s="24" t="inlineStr">
        <is>
          <t>K, bars across, per metre of length  M / (b d² fck)</t>
        </is>
      </c>
      <c r="D184" s="27" t="inlineStr">
        <is>
          <r>
            <rPr>
              <rFont val="Calibri"/>
              <i val="1"/>
              <color rgb="002B2B2B"/>
              <sz val="10"/>
            </rPr>
            <t>K</t>
          </r>
          <r>
            <rPr>
              <rFont val="Calibri"/>
              <i val="1"/>
              <color rgb="002B2B2B"/>
              <sz val="10"/>
              <vertAlign val="subscript"/>
            </rPr>
            <t>ty</t>
          </r>
        </is>
      </c>
      <c r="E184" s="43">
        <f>IF(inputs_ok,Mty_cf*1E6/(1000*dbt_cf^2*f_ck),NA())</f>
        <v/>
      </c>
      <c r="F184" s="23" t="n"/>
      <c r="G184" s="23" t="n"/>
    </row>
    <row r="185" ht="17" customHeight="1">
      <c r="B185" s="23" t="n"/>
      <c r="C185" s="24" t="inlineStr">
        <is>
          <t>Lever arm  d (1 − 0.4 ξ) ≤ 0.95 d</t>
        </is>
      </c>
      <c r="D185" s="27" t="inlineStr">
        <is>
          <r>
            <rPr>
              <rFont val="Calibri"/>
              <i val="1"/>
              <color rgb="002B2B2B"/>
              <sz val="10"/>
            </rPr>
            <t>z</t>
          </r>
        </is>
      </c>
      <c r="E185" s="40">
        <f>IF(inputs_ok,IF(K_ty&lt;=K_lim,MIN(0.95*dbt_cf,dbt_cf*(1-0.4*(1-SQRT(1-2*K_ty/(alpha_cc/gamma_c)))/0.8)),NA()),NA())</f>
        <v/>
      </c>
      <c r="F185" s="28" t="inlineStr">
        <is>
          <t>mm</t>
        </is>
      </c>
      <c r="G185" s="26" t="inlineStr">
        <is>
          <t>N/A: K &gt; K′, outside scope</t>
        </is>
      </c>
    </row>
    <row r="186" ht="17" customHeight="1">
      <c r="B186" s="23" t="n"/>
      <c r="C186" s="24" t="inlineStr">
        <is>
          <t>Required  M / (fyd z)</t>
        </is>
      </c>
      <c r="D186" s="27" t="inlineStr">
        <is>
          <r>
            <rPr>
              <rFont val="Calibri"/>
              <i val="1"/>
              <color rgb="002B2B2B"/>
              <sz val="10"/>
            </rPr>
            <t>A</t>
          </r>
          <r>
            <rPr>
              <rFont val="Calibri"/>
              <i val="1"/>
              <color rgb="002B2B2B"/>
              <sz val="10"/>
              <vertAlign val="subscript"/>
            </rPr>
            <t>s,req</t>
          </r>
        </is>
      </c>
      <c r="E186" s="40">
        <f>IF(inputs_ok,Mty_cf*1E6/(f_yd*z_ty),NA())</f>
        <v/>
      </c>
      <c r="F186" s="28" t="inlineStr">
        <is>
          <t>mm²</t>
        </is>
      </c>
      <c r="G186" s="23" t="n"/>
    </row>
    <row r="187" ht="17" customHeight="1">
      <c r="B187" s="26" t="inlineStr">
        <is>
          <t>(9.1N)</t>
        </is>
      </c>
      <c r="C187" s="24" t="inlineStr">
        <is>
          <t>Minimum  ρmin b d</t>
        </is>
      </c>
      <c r="D187" s="27" t="inlineStr">
        <is>
          <r>
            <rPr>
              <rFont val="Calibri"/>
              <i val="1"/>
              <color rgb="002B2B2B"/>
              <sz val="10"/>
            </rPr>
            <t>A</t>
          </r>
          <r>
            <rPr>
              <rFont val="Calibri"/>
              <i val="1"/>
              <color rgb="002B2B2B"/>
              <sz val="10"/>
              <vertAlign val="subscript"/>
            </rPr>
            <t>s,min</t>
          </r>
        </is>
      </c>
      <c r="E187" s="40">
        <f>IF(inputs_ok,rmin_cf*1000*dbt_cf,NA())</f>
        <v/>
      </c>
      <c r="F187" s="28" t="inlineStr">
        <is>
          <t>mm²</t>
        </is>
      </c>
      <c r="G187" s="23" t="n"/>
    </row>
    <row r="188" ht="17" customHeight="1">
      <c r="B188" s="23" t="n"/>
      <c r="C188" s="24" t="inlineStr">
        <is>
          <t>Provided  π φ²/4 · b / s</t>
        </is>
      </c>
      <c r="D188" s="27" t="inlineStr">
        <is>
          <r>
            <rPr>
              <rFont val="Calibri"/>
              <i val="1"/>
              <color rgb="002B2B2B"/>
              <sz val="10"/>
            </rPr>
            <t>A</t>
          </r>
          <r>
            <rPr>
              <rFont val="Calibri"/>
              <i val="1"/>
              <color rgb="002B2B2B"/>
              <sz val="10"/>
              <vertAlign val="subscript"/>
            </rPr>
            <t>s,prov</t>
          </r>
        </is>
      </c>
      <c r="E188" s="40">
        <f>IF(inputs_ok,PI()*pbt_cf^2/4*1000/sbt_cf,NA())</f>
        <v/>
      </c>
      <c r="F188" s="28" t="inlineStr">
        <is>
          <t>mm²</t>
        </is>
      </c>
      <c r="G188" s="23" t="n"/>
    </row>
    <row r="189" ht="17" customHeight="1">
      <c r="B189" s="26" t="inlineStr">
        <is>
          <t>6.2.2(1)</t>
        </is>
      </c>
      <c r="C189" s="24" t="inlineStr">
        <is>
          <t>Ratio of the bars across  As/(s d)</t>
        </is>
      </c>
      <c r="D189" s="27" t="inlineStr">
        <is>
          <r>
            <rPr>
              <rFont val="Calibri"/>
              <i val="1"/>
              <color rgb="002B2B2B"/>
              <sz val="10"/>
            </rPr>
            <t>ρ</t>
          </r>
          <r>
            <rPr>
              <rFont val="Calibri"/>
              <i val="1"/>
              <color rgb="002B2B2B"/>
              <sz val="10"/>
              <vertAlign val="subscript"/>
            </rPr>
            <t>bt</t>
          </r>
        </is>
      </c>
      <c r="E189" s="50">
        <f>IF(inputs_ok,PI()*pbt_cf^2/4/sbt_cf/dbt_cf,NA())</f>
        <v/>
      </c>
      <c r="F189" s="23" t="n"/>
      <c r="G189" s="23" t="n"/>
    </row>
    <row r="190" ht="17" customHeight="1">
      <c r="B190" s="23" t="n"/>
      <c r="C190" s="24" t="inlineStr">
        <is>
          <t>One-way shear across B per metre  qd,max ((B − min cy)/2 − dbt)</t>
        </is>
      </c>
      <c r="D190" s="27" t="inlineStr">
        <is>
          <r>
            <rPr>
              <rFont val="Calibri"/>
              <i val="1"/>
              <color rgb="002B2B2B"/>
              <sz val="10"/>
            </rPr>
            <t>v</t>
          </r>
          <r>
            <rPr>
              <rFont val="Calibri"/>
              <i val="1"/>
              <color rgb="002B2B2B"/>
              <sz val="10"/>
              <vertAlign val="subscript"/>
            </rPr>
            <t>Ed,y</t>
          </r>
        </is>
      </c>
      <c r="E190" s="39">
        <f>IF(inputs_ok,MAX(qL_cf,qR_cf)*MAX(0,(Bm_cf-MIN(cy1_cf,cy2_cf)/1000)/2-dbt_cf/1000),NA())</f>
        <v/>
      </c>
      <c r="F190" s="28" t="inlineStr">
        <is>
          <t>kN/m</t>
        </is>
      </c>
      <c r="G190" s="23" t="n"/>
    </row>
    <row r="191" ht="17" customHeight="1">
      <c r="B191" s="26" t="inlineStr">
        <is>
          <t>(6.2)</t>
        </is>
      </c>
      <c r="C191" s="24" t="inlineStr">
        <is>
          <t>Resistance per metre  vRd,c dbt</t>
        </is>
      </c>
      <c r="D191" s="27" t="inlineStr">
        <is>
          <r>
            <rPr>
              <rFont val="Calibri"/>
              <i val="1"/>
              <color rgb="002B2B2B"/>
              <sz val="10"/>
            </rPr>
            <t>V</t>
          </r>
          <r>
            <rPr>
              <rFont val="Calibri"/>
              <i val="1"/>
              <color rgb="002B2B2B"/>
              <sz val="10"/>
              <vertAlign val="subscript"/>
            </rPr>
            <t>Rd,c,y</t>
          </r>
        </is>
      </c>
      <c r="E191" s="39">
        <f>IF(inputs_ok,MAX(C_Rdc*MIN(2,1+SQRT(200/dbt_cf))*(100*MIN(0.02,rbt_cf)*f_ck)^(1/3),0.035*MIN(2,1+SQRT(200/dbt_cf))^1.5*SQRT(f_ck))*dbt_cf,NA())</f>
        <v/>
      </c>
      <c r="F191" s="28" t="inlineStr">
        <is>
          <t>kN/m</t>
        </is>
      </c>
      <c r="G191" s="23" t="n"/>
    </row>
    <row r="192" ht="17" customHeight="1">
      <c r="B192" s="26" t="inlineStr">
        <is>
          <t>6.1, 6.2.2</t>
        </is>
      </c>
      <c r="C192" s="24" t="inlineStr">
        <is>
          <t>Bars across: strips, per metre; one-way shear across B</t>
        </is>
      </c>
      <c r="D192" s="23" t="n"/>
      <c r="E192" s="39">
        <f>IF(inputs_ok,Vty_cf,NA())</f>
        <v/>
      </c>
      <c r="F192" s="28" t="inlineStr">
        <is>
          <t>kN/m</t>
        </is>
      </c>
      <c r="G192" s="32">
        <f>IF(NOT(inputs_ok),"FAIL",IF(trans_ok,"OK","FAIL"))</f>
        <v/>
      </c>
    </row>
    <row r="193"/>
    <row r="194" ht="22" customHeight="1">
      <c r="B194" s="20" t="inlineStr">
        <is>
          <t>Calculation  ·  beam shear at d from the column faces, 6.2.2</t>
        </is>
      </c>
      <c r="C194" s="21" t="n"/>
      <c r="D194" s="21" t="n"/>
      <c r="E194" s="21" t="n"/>
      <c r="F194" s="21" t="n"/>
      <c r="G194" s="21" t="n"/>
    </row>
    <row r="195" ht="17" customHeight="1">
      <c r="B195" s="26" t="inlineStr">
        <is>
          <t>6.2.2(1)</t>
        </is>
      </c>
      <c r="C195" s="24" t="inlineStr">
        <is>
          <t>Ratio, bottom bars along L  ≤ 0.02 in (6.2)</t>
        </is>
      </c>
      <c r="D195" s="27" t="inlineStr">
        <is>
          <r>
            <rPr>
              <rFont val="Calibri"/>
              <i val="1"/>
              <color rgb="002B2B2B"/>
              <sz val="10"/>
            </rPr>
            <t>ρ</t>
          </r>
          <r>
            <rPr>
              <rFont val="Calibri"/>
              <i val="1"/>
              <color rgb="002B2B2B"/>
              <sz val="10"/>
              <vertAlign val="subscript"/>
            </rPr>
            <t>bl</t>
          </r>
        </is>
      </c>
      <c r="E195" s="50">
        <f>IF(inputs_ok,Asp_bl/(B_cf*dbl_cf),NA())</f>
        <v/>
      </c>
      <c r="F195" s="23" t="n"/>
      <c r="G195" s="23" t="n"/>
    </row>
    <row r="196" ht="17" customHeight="1">
      <c r="B196" s="26" t="inlineStr">
        <is>
          <t>6.2.2(1)</t>
        </is>
      </c>
      <c r="C196" s="24" t="inlineStr">
        <is>
          <t>Ratio, top bars along L</t>
        </is>
      </c>
      <c r="D196" s="27" t="inlineStr">
        <is>
          <r>
            <rPr>
              <rFont val="Calibri"/>
              <i val="1"/>
              <color rgb="002B2B2B"/>
              <sz val="10"/>
            </rPr>
            <t>ρ</t>
          </r>
          <r>
            <rPr>
              <rFont val="Calibri"/>
              <i val="1"/>
              <color rgb="002B2B2B"/>
              <sz val="10"/>
              <vertAlign val="subscript"/>
            </rPr>
            <t>tl</t>
          </r>
        </is>
      </c>
      <c r="E196" s="50">
        <f>IF(inputs_ok,Asp_tl/(B_cf*dtl_cf),NA())</f>
        <v/>
      </c>
      <c r="F196" s="23" t="n"/>
      <c r="G196" s="23" t="n"/>
    </row>
    <row r="197" ht="17" customHeight="1">
      <c r="B197" s="26" t="inlineStr">
        <is>
          <t>(6.2)</t>
        </is>
      </c>
      <c r="C197" s="24" t="inlineStr">
        <is>
          <t>Resistance, bottom in tension  max(CRd,c k (100ρ fck)^⅓; vmin) B d</t>
        </is>
      </c>
      <c r="D197" s="27" t="inlineStr">
        <is>
          <r>
            <rPr>
              <rFont val="Calibri"/>
              <i val="1"/>
              <color rgb="002B2B2B"/>
              <sz val="10"/>
            </rPr>
            <t>V</t>
          </r>
          <r>
            <rPr>
              <rFont val="Calibri"/>
              <i val="1"/>
              <color rgb="002B2B2B"/>
              <sz val="10"/>
              <vertAlign val="subscript"/>
            </rPr>
            <t>Rd,c,b</t>
          </r>
        </is>
      </c>
      <c r="E197" s="39">
        <f>IF(inputs_ok,MAX(C_Rdc*MIN(2,1+SQRT(200/dbl_cf))*(100*MIN(0.02,rbl_cf)*f_ck)^(1/3),0.035*MIN(2,1+SQRT(200/dbl_cf))^1.5*SQRT(f_ck))*B_cf*dbl_cf/1000,NA())</f>
        <v/>
      </c>
      <c r="F197" s="28" t="inlineStr">
        <is>
          <t>kN</t>
        </is>
      </c>
      <c r="G197" s="23" t="n"/>
    </row>
    <row r="198" ht="17" customHeight="1">
      <c r="B198" s="26" t="inlineStr">
        <is>
          <t>(6.2)</t>
        </is>
      </c>
      <c r="C198" s="24" t="inlineStr">
        <is>
          <t>Resistance, top in tension</t>
        </is>
      </c>
      <c r="D198" s="27" t="inlineStr">
        <is>
          <r>
            <rPr>
              <rFont val="Calibri"/>
              <i val="1"/>
              <color rgb="002B2B2B"/>
              <sz val="10"/>
            </rPr>
            <t>V</t>
          </r>
          <r>
            <rPr>
              <rFont val="Calibri"/>
              <i val="1"/>
              <color rgb="002B2B2B"/>
              <sz val="10"/>
              <vertAlign val="subscript"/>
            </rPr>
            <t>Rd,c,t</t>
          </r>
        </is>
      </c>
      <c r="E198" s="39">
        <f>IF(inputs_ok,MAX(C_Rdc*MIN(2,1+SQRT(200/dtl_cf))*(100*MIN(0.02,rtl_cf)*f_ck)^(1/3),0.035*MIN(2,1+SQRT(200/dtl_cf))^1.5*SQRT(f_ck))*B_cf*dtl_cf/1000,NA())</f>
        <v/>
      </c>
      <c r="F198" s="28" t="inlineStr">
        <is>
          <t>kN</t>
        </is>
      </c>
      <c r="G198" s="23" t="n"/>
    </row>
    <row r="199" ht="17" customHeight="1">
      <c r="B199" s="23" t="n"/>
      <c r="C199" s="24" t="inlineStr">
        <is>
          <t>Shear at d outside column 1</t>
        </is>
      </c>
      <c r="D199" s="27" t="inlineStr">
        <is>
          <r>
            <rPr>
              <rFont val="Calibri"/>
              <i val="1"/>
              <color rgb="002B2B2B"/>
              <sz val="10"/>
            </rPr>
            <t>V</t>
          </r>
          <r>
            <rPr>
              <rFont val="Calibri"/>
              <i val="1"/>
              <color rgb="002B2B2B"/>
              <sz val="10"/>
              <vertAlign val="subscript"/>
            </rPr>
            <t>1</t>
          </r>
        </is>
      </c>
      <c r="E199" s="39">
        <f>IF(inputs_ok,IF(xsok1_cf,ABS((wa_cf*(xs1_cf)+wb_cf*(xs1_cf)^2/2-P1_cf*((xs1_cf)&gt;=x1m_cf)-P2_cf*((xs1_cf)&gt;=x2m_cf))),0),NA())</f>
        <v/>
      </c>
      <c r="F199" s="28" t="inlineStr">
        <is>
          <t>kN</t>
        </is>
      </c>
      <c r="G199" s="23" t="n"/>
    </row>
    <row r="200" ht="17" customHeight="1">
      <c r="B200" s="23" t="n"/>
      <c r="C200" s="24" t="inlineStr">
        <is>
          <t xml:space="preserve">  its resistance  (outside: bottom bars; between: the smaller)</t>
        </is>
      </c>
      <c r="D200" s="27" t="inlineStr">
        <is>
          <r>
            <rPr>
              <rFont val="Calibri"/>
              <i val="1"/>
              <color rgb="002B2B2B"/>
              <sz val="10"/>
            </rPr>
            <t>V</t>
          </r>
          <r>
            <rPr>
              <rFont val="Calibri"/>
              <i val="1"/>
              <color rgb="002B2B2B"/>
              <sz val="10"/>
              <vertAlign val="subscript"/>
            </rPr>
            <t>Rd,1</t>
          </r>
        </is>
      </c>
      <c r="E200" s="39">
        <f>IF(inputs_ok,VRb_cf,NA())</f>
        <v/>
      </c>
      <c r="F200" s="28" t="inlineStr">
        <is>
          <t>kN</t>
        </is>
      </c>
      <c r="G200" s="23" t="n"/>
    </row>
    <row r="201" ht="17" customHeight="1">
      <c r="B201" s="23" t="n"/>
      <c r="C201" s="24" t="inlineStr">
        <is>
          <t>Shear at d inside column 1  (≤ mid-gap)</t>
        </is>
      </c>
      <c r="D201" s="27" t="inlineStr">
        <is>
          <r>
            <rPr>
              <rFont val="Calibri"/>
              <i val="1"/>
              <color rgb="002B2B2B"/>
              <sz val="10"/>
            </rPr>
            <t>V</t>
          </r>
          <r>
            <rPr>
              <rFont val="Calibri"/>
              <i val="1"/>
              <color rgb="002B2B2B"/>
              <sz val="10"/>
              <vertAlign val="subscript"/>
            </rPr>
            <t>2</t>
          </r>
        </is>
      </c>
      <c r="E201" s="39">
        <f>IF(inputs_ok,IF(xsok2_cf,ABS((wa_cf*(xs2_cf)+wb_cf*(xs2_cf)^2/2-P1_cf*((xs2_cf)&gt;=x1m_cf)-P2_cf*((xs2_cf)&gt;=x2m_cf))),0),NA())</f>
        <v/>
      </c>
      <c r="F201" s="28" t="inlineStr">
        <is>
          <t>kN</t>
        </is>
      </c>
      <c r="G201" s="23" t="n"/>
    </row>
    <row r="202" ht="17" customHeight="1">
      <c r="B202" s="23" t="n"/>
      <c r="C202" s="24" t="inlineStr">
        <is>
          <t xml:space="preserve">  its resistance  (outside: bottom bars; between: the smaller)</t>
        </is>
      </c>
      <c r="D202" s="27" t="inlineStr">
        <is>
          <r>
            <rPr>
              <rFont val="Calibri"/>
              <i val="1"/>
              <color rgb="002B2B2B"/>
              <sz val="10"/>
            </rPr>
            <t>V</t>
          </r>
          <r>
            <rPr>
              <rFont val="Calibri"/>
              <i val="1"/>
              <color rgb="002B2B2B"/>
              <sz val="10"/>
              <vertAlign val="subscript"/>
            </rPr>
            <t>Rd,2</t>
          </r>
        </is>
      </c>
      <c r="E202" s="39">
        <f>IF(inputs_ok,MIN(VRb_cf,VRt_cf),NA())</f>
        <v/>
      </c>
      <c r="F202" s="28" t="inlineStr">
        <is>
          <t>kN</t>
        </is>
      </c>
      <c r="G202" s="23" t="n"/>
    </row>
    <row r="203" ht="17" customHeight="1">
      <c r="B203" s="23" t="n"/>
      <c r="C203" s="24" t="inlineStr">
        <is>
          <t>Shear at d inside column 2  (≥ mid-gap)</t>
        </is>
      </c>
      <c r="D203" s="27" t="inlineStr">
        <is>
          <r>
            <rPr>
              <rFont val="Calibri"/>
              <i val="1"/>
              <color rgb="002B2B2B"/>
              <sz val="10"/>
            </rPr>
            <t>V</t>
          </r>
          <r>
            <rPr>
              <rFont val="Calibri"/>
              <i val="1"/>
              <color rgb="002B2B2B"/>
              <sz val="10"/>
              <vertAlign val="subscript"/>
            </rPr>
            <t>3</t>
          </r>
        </is>
      </c>
      <c r="E203" s="39">
        <f>IF(inputs_ok,IF(xsok3_cf,ABS((wa_cf*(xs3_cf)+wb_cf*(xs3_cf)^2/2-P1_cf*((xs3_cf)&gt;=x1m_cf)-P2_cf*((xs3_cf)&gt;=x2m_cf))),0),NA())</f>
        <v/>
      </c>
      <c r="F203" s="28" t="inlineStr">
        <is>
          <t>kN</t>
        </is>
      </c>
      <c r="G203" s="23" t="n"/>
    </row>
    <row r="204" ht="17" customHeight="1">
      <c r="B204" s="23" t="n"/>
      <c r="C204" s="24" t="inlineStr">
        <is>
          <t xml:space="preserve">  its resistance  (outside: bottom bars; between: the smaller)</t>
        </is>
      </c>
      <c r="D204" s="27" t="inlineStr">
        <is>
          <r>
            <rPr>
              <rFont val="Calibri"/>
              <i val="1"/>
              <color rgb="002B2B2B"/>
              <sz val="10"/>
            </rPr>
            <t>V</t>
          </r>
          <r>
            <rPr>
              <rFont val="Calibri"/>
              <i val="1"/>
              <color rgb="002B2B2B"/>
              <sz val="10"/>
              <vertAlign val="subscript"/>
            </rPr>
            <t>Rd,3</t>
          </r>
        </is>
      </c>
      <c r="E204" s="39">
        <f>IF(inputs_ok,MIN(VRb_cf,VRt_cf),NA())</f>
        <v/>
      </c>
      <c r="F204" s="28" t="inlineStr">
        <is>
          <t>kN</t>
        </is>
      </c>
      <c r="G204" s="23" t="n"/>
    </row>
    <row r="205" ht="17" customHeight="1">
      <c r="B205" s="23" t="n"/>
      <c r="C205" s="24" t="inlineStr">
        <is>
          <t>Shear at d outside column 2</t>
        </is>
      </c>
      <c r="D205" s="27" t="inlineStr">
        <is>
          <r>
            <rPr>
              <rFont val="Calibri"/>
              <i val="1"/>
              <color rgb="002B2B2B"/>
              <sz val="10"/>
            </rPr>
            <t>V</t>
          </r>
          <r>
            <rPr>
              <rFont val="Calibri"/>
              <i val="1"/>
              <color rgb="002B2B2B"/>
              <sz val="10"/>
              <vertAlign val="subscript"/>
            </rPr>
            <t>4</t>
          </r>
        </is>
      </c>
      <c r="E205" s="39">
        <f>IF(inputs_ok,IF(xsok4_cf,ABS((wa_cf*(xs4_cf)+wb_cf*(xs4_cf)^2/2-P1_cf*((xs4_cf)&gt;=x1m_cf)-P2_cf*((xs4_cf)&gt;=x2m_cf))),0),NA())</f>
        <v/>
      </c>
      <c r="F205" s="28" t="inlineStr">
        <is>
          <t>kN</t>
        </is>
      </c>
      <c r="G205" s="23" t="n"/>
    </row>
    <row r="206" ht="17" customHeight="1">
      <c r="B206" s="23" t="n"/>
      <c r="C206" s="24" t="inlineStr">
        <is>
          <t xml:space="preserve">  its resistance  (outside: bottom bars; between: the smaller)</t>
        </is>
      </c>
      <c r="D206" s="27" t="inlineStr">
        <is>
          <r>
            <rPr>
              <rFont val="Calibri"/>
              <i val="1"/>
              <color rgb="002B2B2B"/>
              <sz val="10"/>
            </rPr>
            <t>V</t>
          </r>
          <r>
            <rPr>
              <rFont val="Calibri"/>
              <i val="1"/>
              <color rgb="002B2B2B"/>
              <sz val="10"/>
              <vertAlign val="subscript"/>
            </rPr>
            <t>Rd,4</t>
          </r>
        </is>
      </c>
      <c r="E206" s="39">
        <f>IF(inputs_ok,VRb_cf,NA())</f>
        <v/>
      </c>
      <c r="F206" s="28" t="inlineStr">
        <is>
          <t>kN</t>
        </is>
      </c>
      <c r="G206" s="23" t="n"/>
    </row>
    <row r="207" ht="17" customHeight="1">
      <c r="B207" s="23" t="n"/>
      <c r="C207" s="24" t="inlineStr">
        <is>
          <t>Largest  VEd / VRd,c</t>
        </is>
      </c>
      <c r="D207" s="23" t="n"/>
      <c r="E207" s="51">
        <f>IF(inputs_ok,MAX(Vs1_cf/VR1_cf,Vs2_cf/VR2_cf,Vs3_cf/VR3_cf,Vs4_cf/VR4_cf),NA())</f>
        <v/>
      </c>
      <c r="F207" s="23" t="n"/>
      <c r="G207" s="23" t="n"/>
    </row>
    <row r="208" ht="17" customHeight="1">
      <c r="B208" s="23" t="n"/>
      <c r="C208" s="24" t="inlineStr">
        <is>
          <t>Largest shear at a column face</t>
        </is>
      </c>
      <c r="D208" s="27" t="inlineStr">
        <is>
          <r>
            <rPr>
              <rFont val="Calibri"/>
              <i val="1"/>
              <color rgb="002B2B2B"/>
              <sz val="10"/>
            </rPr>
            <t>V</t>
          </r>
          <r>
            <rPr>
              <rFont val="Calibri"/>
              <i val="1"/>
              <color rgb="002B2B2B"/>
              <sz val="10"/>
              <vertAlign val="subscript"/>
            </rPr>
            <t>Ed,face</t>
          </r>
        </is>
      </c>
      <c r="E208" s="39">
        <f>IF(inputs_ok,MAX(ABS((wa_cf*(f1o_cf)+wb_cf*(f1o_cf)^2/2-P1_cf*((f1o_cf)&gt;x1m_cf)-P2_cf*((f1o_cf)&gt;x2m_cf))),ABS((wa_cf*(f1i_cf)+wb_cf*(f1i_cf)^2/2-P1_cf*((f1i_cf)&gt;=x1m_cf)-P2_cf*((f1i_cf)&gt;=x2m_cf))),ABS((wa_cf*(f2i_cf)+wb_cf*(f2i_cf)^2/2-P1_cf*((f2i_cf)&gt;x1m_cf)-P2_cf*((f2i_cf)&gt;x2m_cf))),ABS((wa_cf*(f2o_cf)+wb_cf*(f2o_cf)^2/2-P1_cf*((f2o_cf)&gt;=x1m_cf)-P2_cf*((f2o_cf)&gt;=x2m_cf)))),NA())</f>
        <v/>
      </c>
      <c r="F208" s="28" t="inlineStr">
        <is>
          <t>kN</t>
        </is>
      </c>
      <c r="G208" s="23" t="n"/>
    </row>
    <row r="209" ht="17" customHeight="1">
      <c r="B209" s="26" t="inlineStr">
        <is>
          <t>6.2.2(6)</t>
        </is>
      </c>
      <c r="C209" s="24" t="inlineStr">
        <is>
          <t>Strut limit at the face  0.5 B d ν fcd,  d = min(dbl; dtl)</t>
        </is>
      </c>
      <c r="D209" s="27" t="inlineStr">
        <is>
          <r>
            <rPr>
              <rFont val="Calibri"/>
              <i val="1"/>
              <color rgb="002B2B2B"/>
              <sz val="10"/>
            </rPr>
            <t>V</t>
          </r>
          <r>
            <rPr>
              <rFont val="Calibri"/>
              <i val="1"/>
              <color rgb="002B2B2B"/>
              <sz val="10"/>
              <vertAlign val="subscript"/>
            </rPr>
            <t>Rd,max</t>
          </r>
        </is>
      </c>
      <c r="E209" s="39">
        <f>IF(inputs_ok,0.5*B_cf*MIN(dbl_cf,dtl_cf)*0.6*(1-f_ck/250)*alpha_cc_shear*f_ck/gamma_c/1000,NA())</f>
        <v/>
      </c>
      <c r="F209" s="28" t="inlineStr">
        <is>
          <t>kN</t>
        </is>
      </c>
      <c r="G209" s="23" t="n"/>
    </row>
    <row r="210" ht="17" customHeight="1">
      <c r="B210" s="26" t="inlineStr">
        <is>
          <t>(6.2)</t>
        </is>
      </c>
      <c r="C210" s="24" t="inlineStr">
        <is>
          <t>Beam shear  VEd ≤ VRd,c at the four sections, ≤ VRd,max at the faces</t>
        </is>
      </c>
      <c r="D210" s="23" t="n"/>
      <c r="E210" s="42">
        <f>IF(inputs_ok,MAX(shu_cf,Vfc_cf/VRm_cf),NA())</f>
        <v/>
      </c>
      <c r="F210" s="23" t="n"/>
      <c r="G210" s="32">
        <f>IF(NOT(inputs_ok),"FAIL",IF(shear_ok,"OK","FAIL"))</f>
        <v/>
      </c>
    </row>
    <row r="211"/>
    <row r="212" ht="22" customHeight="1">
      <c r="B212" s="20" t="inlineStr">
        <is>
          <t>Calculation  ·  punching at the columns, 6.4.4(2)</t>
        </is>
      </c>
      <c r="C212" s="21" t="n"/>
      <c r="D212" s="21" t="n"/>
      <c r="E212" s="21" t="n"/>
      <c r="F212" s="21" t="n"/>
      <c r="G212" s="21" t="n"/>
    </row>
    <row r="213" ht="17" customHeight="1">
      <c r="B213" s="23" t="n"/>
      <c r="C213" s="24" t="inlineStr">
        <is>
          <t>Mean effective depth  (dbl + dbt)/2</t>
        </is>
      </c>
      <c r="D213" s="27" t="inlineStr">
        <is>
          <r>
            <rPr>
              <rFont val="Calibri"/>
              <i val="1"/>
              <color rgb="002B2B2B"/>
              <sz val="10"/>
            </rPr>
            <t>d</t>
          </r>
        </is>
      </c>
      <c r="E213" s="40">
        <f>IF(inputs_ok,(dbl_cf+dbt_cf)/2,NA())</f>
        <v/>
      </c>
      <c r="F213" s="28" t="inlineStr">
        <is>
          <t>mm</t>
        </is>
      </c>
      <c r="G213" s="23" t="n"/>
    </row>
    <row r="214" ht="17" customHeight="1">
      <c r="B214" s="26" t="inlineStr">
        <is>
          <t>6.4.4(1)</t>
        </is>
      </c>
      <c r="C214" s="24" t="inlineStr">
        <is>
          <t>Mean ratio  √(ρbl ρbt) ≤ 0.02</t>
        </is>
      </c>
      <c r="D214" s="27" t="inlineStr">
        <is>
          <r>
            <rPr>
              <rFont val="Calibri"/>
              <i val="1"/>
              <color rgb="002B2B2B"/>
              <sz val="10"/>
            </rPr>
            <t>ρ</t>
          </r>
          <r>
            <rPr>
              <rFont val="Calibri"/>
              <i val="1"/>
              <color rgb="002B2B2B"/>
              <sz val="10"/>
              <vertAlign val="subscript"/>
            </rPr>
            <t>l</t>
          </r>
        </is>
      </c>
      <c r="E214" s="50">
        <f>IF(inputs_ok,MIN(0.02,SQRT(rbl_cf*rbt_cf)),NA())</f>
        <v/>
      </c>
      <c r="F214" s="23" t="n"/>
      <c r="G214" s="23" t="n"/>
    </row>
    <row r="215" ht="17" customHeight="1">
      <c r="B215" s="26" t="inlineStr">
        <is>
          <t>(6.50)</t>
        </is>
      </c>
      <c r="C215" s="24" t="inlineStr">
        <is>
          <t>Basic resistance  max(CRd,c k (100ρ fck)^⅓; vmin)</t>
        </is>
      </c>
      <c r="D215" s="27" t="inlineStr">
        <is>
          <r>
            <rPr>
              <rFont val="Calibri"/>
              <i val="1"/>
              <color rgb="002B2B2B"/>
              <sz val="10"/>
            </rPr>
            <t>v</t>
          </r>
          <r>
            <rPr>
              <rFont val="Calibri"/>
              <i val="1"/>
              <color rgb="002B2B2B"/>
              <sz val="10"/>
              <vertAlign val="subscript"/>
            </rPr>
            <t>Rd,c</t>
          </r>
        </is>
      </c>
      <c r="E215" s="43">
        <f>IF(inputs_ok,MAX(C_Rdc*MIN(2,1+SQRT(200/dp_cf))*(100*MIN(0.02,rp_cf)*f_ck)^(1/3),0.035*MIN(2,1+SQRT(200/dp_cf))^1.5*SQRT(f_ck)),NA())</f>
        <v/>
      </c>
      <c r="F215" s="28" t="inlineStr">
        <is>
          <t>MPa</t>
        </is>
      </c>
      <c r="G215" s="23" t="n"/>
    </row>
    <row r="216" ht="17" customHeight="1">
      <c r="B216" s="26" t="inlineStr">
        <is>
          <t>(6.6N)</t>
        </is>
      </c>
      <c r="C216" s="24" t="inlineStr">
        <is>
          <t>Strength reduction factor  0.6(1 − fck/250)</t>
        </is>
      </c>
      <c r="D216" s="27" t="inlineStr">
        <is>
          <r>
            <rPr>
              <rFont val="Calibri"/>
              <i val="1"/>
              <color rgb="002B2B2B"/>
              <sz val="10"/>
            </rPr>
            <t>ν</t>
          </r>
        </is>
      </c>
      <c r="E216" s="43">
        <f>IF(inputs_ok,0.6*(1-f_ck/250),NA())</f>
        <v/>
      </c>
      <c r="F216" s="23" t="n"/>
      <c r="G216" s="23" t="n"/>
    </row>
    <row r="217" ht="17" customHeight="1">
      <c r="B217" s="26" t="inlineStr">
        <is>
          <t>6.4.5(3)</t>
        </is>
      </c>
      <c r="C217" s="24" t="inlineStr">
        <is>
          <t>Maximum punching stress  vmax ν αcc fck / γc</t>
        </is>
      </c>
      <c r="D217" s="27" t="inlineStr">
        <is>
          <r>
            <rPr>
              <rFont val="Calibri"/>
              <i val="1"/>
              <color rgb="002B2B2B"/>
              <sz val="10"/>
            </rPr>
            <t>v</t>
          </r>
          <r>
            <rPr>
              <rFont val="Calibri"/>
              <i val="1"/>
              <color rgb="002B2B2B"/>
              <sz val="10"/>
              <vertAlign val="subscript"/>
            </rPr>
            <t>Rd,max</t>
          </r>
        </is>
      </c>
      <c r="E217" s="43">
        <f>IF(inputs_ok,vmax*nu_v*alpha_cc_shear*f_ck/gamma_c,NA())</f>
        <v/>
      </c>
      <c r="F217" s="28" t="inlineStr">
        <is>
          <t>MPa</t>
        </is>
      </c>
      <c r="G217" s="23" t="n"/>
    </row>
    <row r="218" ht="17" customHeight="1">
      <c r="B218" s="23" t="n"/>
      <c r="C218" s="24" t="inlineStr">
        <is>
          <t>Column 1: net pressure at its centre  (wa + wb x1) / B</t>
        </is>
      </c>
      <c r="D218" s="27" t="inlineStr">
        <is>
          <r>
            <rPr>
              <rFont val="Calibri"/>
              <i val="1"/>
              <color rgb="002B2B2B"/>
              <sz val="10"/>
            </rPr>
            <t>q</t>
          </r>
          <r>
            <rPr>
              <rFont val="Calibri"/>
              <i val="1"/>
              <color rgb="002B2B2B"/>
              <sz val="10"/>
              <vertAlign val="subscript"/>
            </rPr>
            <t>1</t>
          </r>
        </is>
      </c>
      <c r="E218" s="39">
        <f>IF(inputs_ok,(wa_cf+wb_cf*x1m_cf)/Bm_cf,NA())</f>
        <v/>
      </c>
      <c r="F218" s="28" t="inlineStr">
        <is>
          <t>kPa</t>
        </is>
      </c>
      <c r="G218" s="23" t="n"/>
    </row>
    <row r="219" ht="17" customHeight="1">
      <c r="B219" s="23" t="n"/>
      <c r="C219" s="24" t="inlineStr">
        <is>
          <t>Column 1: largest a inside  min(face to end; (B − cy)/2; gap/2)</t>
        </is>
      </c>
      <c r="D219" s="27" t="inlineStr">
        <is>
          <r>
            <rPr>
              <rFont val="Calibri"/>
              <i val="1"/>
              <color rgb="002B2B2B"/>
              <sz val="10"/>
            </rPr>
            <t>a</t>
          </r>
          <r>
            <rPr>
              <rFont val="Calibri"/>
              <i val="1"/>
              <color rgb="002B2B2B"/>
              <sz val="10"/>
              <vertAlign val="subscript"/>
            </rPr>
            <t>max,1</t>
          </r>
        </is>
      </c>
      <c r="E219" s="40">
        <f>IF(inputs_ok,MIN(x1_cf-cx1_cf/2,(B_cf-cy1_cf)/2,gap_cf/2),NA())</f>
        <v/>
      </c>
      <c r="F219" s="28" t="inlineStr">
        <is>
          <t>mm</t>
        </is>
      </c>
      <c r="G219" s="23" t="n"/>
    </row>
    <row r="220" ht="17" customHeight="1">
      <c r="B220" s="26" t="inlineStr">
        <is>
          <t>6.4.5(3)</t>
        </is>
      </c>
      <c r="C220" s="24" t="inlineStr">
        <is>
          <t>Column 1: u0  (edge or corner value if within d of an edge)</t>
        </is>
      </c>
      <c r="D220" s="27" t="inlineStr">
        <is>
          <r>
            <rPr>
              <rFont val="Calibri"/>
              <i val="1"/>
              <color rgb="002B2B2B"/>
              <sz val="10"/>
            </rPr>
            <t>u</t>
          </r>
          <r>
            <rPr>
              <rFont val="Calibri"/>
              <i val="1"/>
              <color rgb="002B2B2B"/>
              <sz val="10"/>
              <vertAlign val="subscript"/>
            </rPr>
            <t>01</t>
          </r>
        </is>
      </c>
      <c r="E220" s="40">
        <f>IF(inputs_ok,IF(AND((x1_cf-cx1_cf/2)&lt;dp_cf,(B_cf-cy1_cf)/2&lt;dp_cf),MIN(3*dp_cf,cx1_cf+cy1_cf),IF((x1_cf-cx1_cf/2)&lt;dp_cf,MIN(cy1_cf+3*dp_cf,cy1_cf+2*cx1_cf),IF((B_cf-cy1_cf)/2&lt;dp_cf,MIN(cx1_cf+3*dp_cf,cx1_cf+2*cy1_cf),2*(cx1_cf+cy1_cf)))),NA())</f>
        <v/>
      </c>
      <c r="F220" s="28" t="inlineStr">
        <is>
          <t>mm</t>
        </is>
      </c>
      <c r="G220" s="23" t="n"/>
    </row>
    <row r="221" ht="17" customHeight="1">
      <c r="B221" s="26" t="inlineStr">
        <is>
          <t>(6.53)</t>
        </is>
      </c>
      <c r="C221" s="24" t="inlineStr">
        <is>
          <t>Column 1: stress at the face  β P1 / (u0 d) ≤ vRd,max</t>
        </is>
      </c>
      <c r="D221" s="27" t="inlineStr">
        <is>
          <r>
            <rPr>
              <rFont val="Calibri"/>
              <i val="1"/>
              <color rgb="002B2B2B"/>
              <sz val="10"/>
            </rPr>
            <t>v</t>
          </r>
          <r>
            <rPr>
              <rFont val="Calibri"/>
              <i val="1"/>
              <color rgb="002B2B2B"/>
              <sz val="10"/>
              <vertAlign val="subscript"/>
            </rPr>
            <t>Ed,01</t>
          </r>
        </is>
      </c>
      <c r="E221" s="43">
        <f>IF(inputs_ok,beta_cf*P1_cf*1000/(u01_cf*dp_cf),NA())</f>
        <v/>
      </c>
      <c r="F221" s="28" t="inlineStr">
        <is>
          <t>MPa</t>
        </is>
      </c>
      <c r="G221" s="32">
        <f>IF(NOT(inputs_ok),"FAIL",IF(vEd01_cf&lt;=v_Rdmax,"OK","FAIL"))</f>
        <v/>
      </c>
    </row>
    <row r="222" ht="17" customHeight="1">
      <c r="B222" s="23" t="n"/>
      <c r="C222" s="24" t="inlineStr">
        <is>
          <t>Column 2: net pressure at its centre  (wa + wb x2) / B</t>
        </is>
      </c>
      <c r="D222" s="27" t="inlineStr">
        <is>
          <r>
            <rPr>
              <rFont val="Calibri"/>
              <i val="1"/>
              <color rgb="002B2B2B"/>
              <sz val="10"/>
            </rPr>
            <t>q</t>
          </r>
          <r>
            <rPr>
              <rFont val="Calibri"/>
              <i val="1"/>
              <color rgb="002B2B2B"/>
              <sz val="10"/>
              <vertAlign val="subscript"/>
            </rPr>
            <t>2</t>
          </r>
        </is>
      </c>
      <c r="E222" s="39">
        <f>IF(inputs_ok,(wa_cf+wb_cf*x2m_cf)/Bm_cf,NA())</f>
        <v/>
      </c>
      <c r="F222" s="28" t="inlineStr">
        <is>
          <t>kPa</t>
        </is>
      </c>
      <c r="G222" s="23" t="n"/>
    </row>
    <row r="223" ht="17" customHeight="1">
      <c r="B223" s="23" t="n"/>
      <c r="C223" s="24" t="inlineStr">
        <is>
          <t>Column 2: largest a inside  min(face to end; (B − cy)/2; gap/2)</t>
        </is>
      </c>
      <c r="D223" s="27" t="inlineStr">
        <is>
          <r>
            <rPr>
              <rFont val="Calibri"/>
              <i val="1"/>
              <color rgb="002B2B2B"/>
              <sz val="10"/>
            </rPr>
            <t>a</t>
          </r>
          <r>
            <rPr>
              <rFont val="Calibri"/>
              <i val="1"/>
              <color rgb="002B2B2B"/>
              <sz val="10"/>
              <vertAlign val="subscript"/>
            </rPr>
            <t>max,2</t>
          </r>
        </is>
      </c>
      <c r="E223" s="40">
        <f>IF(inputs_ok,MIN(L_cf-x2_cf-cx2_cf/2,(B_cf-cy2_cf)/2,gap_cf/2),NA())</f>
        <v/>
      </c>
      <c r="F223" s="28" t="inlineStr">
        <is>
          <t>mm</t>
        </is>
      </c>
      <c r="G223" s="23" t="n"/>
    </row>
    <row r="224" ht="17" customHeight="1">
      <c r="B224" s="26" t="inlineStr">
        <is>
          <t>6.4.5(3)</t>
        </is>
      </c>
      <c r="C224" s="24" t="inlineStr">
        <is>
          <t>Column 2: u0  (edge or corner value if within d of an edge)</t>
        </is>
      </c>
      <c r="D224" s="27" t="inlineStr">
        <is>
          <r>
            <rPr>
              <rFont val="Calibri"/>
              <i val="1"/>
              <color rgb="002B2B2B"/>
              <sz val="10"/>
            </rPr>
            <t>u</t>
          </r>
          <r>
            <rPr>
              <rFont val="Calibri"/>
              <i val="1"/>
              <color rgb="002B2B2B"/>
              <sz val="10"/>
              <vertAlign val="subscript"/>
            </rPr>
            <t>02</t>
          </r>
        </is>
      </c>
      <c r="E224" s="40">
        <f>IF(inputs_ok,IF(AND((L_cf-x2_cf-cx2_cf/2)&lt;dp_cf,(B_cf-cy2_cf)/2&lt;dp_cf),MIN(3*dp_cf,cx2_cf+cy2_cf),IF((L_cf-x2_cf-cx2_cf/2)&lt;dp_cf,MIN(cy2_cf+3*dp_cf,cy2_cf+2*cx2_cf),IF((B_cf-cy2_cf)/2&lt;dp_cf,MIN(cx2_cf+3*dp_cf,cx2_cf+2*cy2_cf),2*(cx2_cf+cy2_cf)))),NA())</f>
        <v/>
      </c>
      <c r="F224" s="28" t="inlineStr">
        <is>
          <t>mm</t>
        </is>
      </c>
      <c r="G224" s="23" t="n"/>
    </row>
    <row r="225" ht="17" customHeight="1">
      <c r="B225" s="26" t="inlineStr">
        <is>
          <t>(6.53)</t>
        </is>
      </c>
      <c r="C225" s="24" t="inlineStr">
        <is>
          <t>Column 2: stress at the face  β P2 / (u0 d) ≤ vRd,max</t>
        </is>
      </c>
      <c r="D225" s="27" t="inlineStr">
        <is>
          <r>
            <rPr>
              <rFont val="Calibri"/>
              <i val="1"/>
              <color rgb="002B2B2B"/>
              <sz val="10"/>
            </rPr>
            <t>v</t>
          </r>
          <r>
            <rPr>
              <rFont val="Calibri"/>
              <i val="1"/>
              <color rgb="002B2B2B"/>
              <sz val="10"/>
              <vertAlign val="subscript"/>
            </rPr>
            <t>Ed,02</t>
          </r>
        </is>
      </c>
      <c r="E225" s="43">
        <f>IF(inputs_ok,beta_cf*P2_cf*1000/(u02_cf*dp_cf),NA())</f>
        <v/>
      </c>
      <c r="F225" s="28" t="inlineStr">
        <is>
          <t>MPa</t>
        </is>
      </c>
      <c r="G225" s="32">
        <f>IF(NOT(inputs_ok),"FAIL",IF(vEd02_cf&lt;=v_Rdmax,"OK","FAIL"))</f>
        <v/>
      </c>
    </row>
    <row r="226"/>
    <row r="227" ht="26" customHeight="1">
      <c r="B227" s="52" t="inlineStr">
        <is>
          <t>a (mm)</t>
        </is>
      </c>
      <c r="C227" s="52" t="inlineStr">
        <is>
          <t>vRd = vRd,c 2d/a  (MPa)</t>
        </is>
      </c>
      <c r="D227" s="52" t="inlineStr">
        <is>
          <t>VEd,red,1 (kN)</t>
        </is>
      </c>
      <c r="E227" s="52" t="inlineStr">
        <is>
          <t>vEd/vRd, 1</t>
        </is>
      </c>
      <c r="F227" s="52" t="inlineStr">
        <is>
          <t>VEd,red,2</t>
        </is>
      </c>
      <c r="G227" s="52" t="inlineStr">
        <is>
          <t>vEd/vRd, 2</t>
        </is>
      </c>
    </row>
    <row r="228" ht="16" customHeight="1">
      <c r="B228" s="53">
        <f>IF(inputs_ok,0.1*dp_cf,"–")</f>
        <v/>
      </c>
      <c r="C228" s="46">
        <f>IF(inputs_ok,vRdc_p*2*dp_cf/$B228,"–")</f>
        <v/>
      </c>
      <c r="D228" s="53">
        <f>IF(inputs_ok,IF($B228&lt;=amax1_cf,P1_cf-qc1_cf*(cx1_cf*cy1_cf+2*$B228*(cx1_cf+cy1_cf)+PI()*$B228^2)/1E6,"–"),"–")</f>
        <v/>
      </c>
      <c r="E228" s="54">
        <f>IF(inputs_ok,IF($B228&lt;=amax1_cf,beta_cf*MAX(0,$D228)*1000/((2*(cx1_cf+cy1_cf)+2*PI()*$B228)*dp_cf)/$C228,"–"),"–")</f>
        <v/>
      </c>
      <c r="F228" s="53">
        <f>IF(inputs_ok,IF($B228&lt;=amax2_cf,P2_cf-qc2_cf*(cx2_cf*cy2_cf+2*$B228*(cx2_cf+cy2_cf)+PI()*$B228^2)/1E6,"–"),"–")</f>
        <v/>
      </c>
      <c r="G228" s="54">
        <f>IF(inputs_ok,IF($B228&lt;=amax2_cf,beta_cf*MAX(0,$F228)*1000/((2*(cx2_cf+cy2_cf)+2*PI()*$B228)*dp_cf)/$C228,"–"),"–")</f>
        <v/>
      </c>
    </row>
    <row r="229" ht="16" customHeight="1">
      <c r="B229" s="53">
        <f>IF(inputs_ok,0.2*dp_cf,"–")</f>
        <v/>
      </c>
      <c r="C229" s="46">
        <f>IF(inputs_ok,vRdc_p*2*dp_cf/$B229,"–")</f>
        <v/>
      </c>
      <c r="D229" s="53">
        <f>IF(inputs_ok,IF($B229&lt;=amax1_cf,P1_cf-qc1_cf*(cx1_cf*cy1_cf+2*$B229*(cx1_cf+cy1_cf)+PI()*$B229^2)/1E6,"–"),"–")</f>
        <v/>
      </c>
      <c r="E229" s="54">
        <f>IF(inputs_ok,IF($B229&lt;=amax1_cf,beta_cf*MAX(0,$D229)*1000/((2*(cx1_cf+cy1_cf)+2*PI()*$B229)*dp_cf)/$C229,"–"),"–")</f>
        <v/>
      </c>
      <c r="F229" s="53">
        <f>IF(inputs_ok,IF($B229&lt;=amax2_cf,P2_cf-qc2_cf*(cx2_cf*cy2_cf+2*$B229*(cx2_cf+cy2_cf)+PI()*$B229^2)/1E6,"–"),"–")</f>
        <v/>
      </c>
      <c r="G229" s="54">
        <f>IF(inputs_ok,IF($B229&lt;=amax2_cf,beta_cf*MAX(0,$F229)*1000/((2*(cx2_cf+cy2_cf)+2*PI()*$B229)*dp_cf)/$C229,"–"),"–")</f>
        <v/>
      </c>
    </row>
    <row r="230" ht="16" customHeight="1">
      <c r="B230" s="53">
        <f>IF(inputs_ok,0.3*dp_cf,"–")</f>
        <v/>
      </c>
      <c r="C230" s="46">
        <f>IF(inputs_ok,vRdc_p*2*dp_cf/$B230,"–")</f>
        <v/>
      </c>
      <c r="D230" s="53">
        <f>IF(inputs_ok,IF($B230&lt;=amax1_cf,P1_cf-qc1_cf*(cx1_cf*cy1_cf+2*$B230*(cx1_cf+cy1_cf)+PI()*$B230^2)/1E6,"–"),"–")</f>
        <v/>
      </c>
      <c r="E230" s="54">
        <f>IF(inputs_ok,IF($B230&lt;=amax1_cf,beta_cf*MAX(0,$D230)*1000/((2*(cx1_cf+cy1_cf)+2*PI()*$B230)*dp_cf)/$C230,"–"),"–")</f>
        <v/>
      </c>
      <c r="F230" s="53">
        <f>IF(inputs_ok,IF($B230&lt;=amax2_cf,P2_cf-qc2_cf*(cx2_cf*cy2_cf+2*$B230*(cx2_cf+cy2_cf)+PI()*$B230^2)/1E6,"–"),"–")</f>
        <v/>
      </c>
      <c r="G230" s="54">
        <f>IF(inputs_ok,IF($B230&lt;=amax2_cf,beta_cf*MAX(0,$F230)*1000/((2*(cx2_cf+cy2_cf)+2*PI()*$B230)*dp_cf)/$C230,"–"),"–")</f>
        <v/>
      </c>
    </row>
    <row r="231" ht="16" customHeight="1">
      <c r="B231" s="53">
        <f>IF(inputs_ok,0.4*dp_cf,"–")</f>
        <v/>
      </c>
      <c r="C231" s="46">
        <f>IF(inputs_ok,vRdc_p*2*dp_cf/$B231,"–")</f>
        <v/>
      </c>
      <c r="D231" s="53">
        <f>IF(inputs_ok,IF($B231&lt;=amax1_cf,P1_cf-qc1_cf*(cx1_cf*cy1_cf+2*$B231*(cx1_cf+cy1_cf)+PI()*$B231^2)/1E6,"–"),"–")</f>
        <v/>
      </c>
      <c r="E231" s="54">
        <f>IF(inputs_ok,IF($B231&lt;=amax1_cf,beta_cf*MAX(0,$D231)*1000/((2*(cx1_cf+cy1_cf)+2*PI()*$B231)*dp_cf)/$C231,"–"),"–")</f>
        <v/>
      </c>
      <c r="F231" s="53">
        <f>IF(inputs_ok,IF($B231&lt;=amax2_cf,P2_cf-qc2_cf*(cx2_cf*cy2_cf+2*$B231*(cx2_cf+cy2_cf)+PI()*$B231^2)/1E6,"–"),"–")</f>
        <v/>
      </c>
      <c r="G231" s="54">
        <f>IF(inputs_ok,IF($B231&lt;=amax2_cf,beta_cf*MAX(0,$F231)*1000/((2*(cx2_cf+cy2_cf)+2*PI()*$B231)*dp_cf)/$C231,"–"),"–")</f>
        <v/>
      </c>
    </row>
    <row r="232" ht="16" customHeight="1">
      <c r="B232" s="53">
        <f>IF(inputs_ok,0.5*dp_cf,"–")</f>
        <v/>
      </c>
      <c r="C232" s="46">
        <f>IF(inputs_ok,vRdc_p*2*dp_cf/$B232,"–")</f>
        <v/>
      </c>
      <c r="D232" s="53">
        <f>IF(inputs_ok,IF($B232&lt;=amax1_cf,P1_cf-qc1_cf*(cx1_cf*cy1_cf+2*$B232*(cx1_cf+cy1_cf)+PI()*$B232^2)/1E6,"–"),"–")</f>
        <v/>
      </c>
      <c r="E232" s="54">
        <f>IF(inputs_ok,IF($B232&lt;=amax1_cf,beta_cf*MAX(0,$D232)*1000/((2*(cx1_cf+cy1_cf)+2*PI()*$B232)*dp_cf)/$C232,"–"),"–")</f>
        <v/>
      </c>
      <c r="F232" s="53">
        <f>IF(inputs_ok,IF($B232&lt;=amax2_cf,P2_cf-qc2_cf*(cx2_cf*cy2_cf+2*$B232*(cx2_cf+cy2_cf)+PI()*$B232^2)/1E6,"–"),"–")</f>
        <v/>
      </c>
      <c r="G232" s="54">
        <f>IF(inputs_ok,IF($B232&lt;=amax2_cf,beta_cf*MAX(0,$F232)*1000/((2*(cx2_cf+cy2_cf)+2*PI()*$B232)*dp_cf)/$C232,"–"),"–")</f>
        <v/>
      </c>
    </row>
    <row r="233" ht="16" customHeight="1">
      <c r="B233" s="53">
        <f>IF(inputs_ok,0.6*dp_cf,"–")</f>
        <v/>
      </c>
      <c r="C233" s="46">
        <f>IF(inputs_ok,vRdc_p*2*dp_cf/$B233,"–")</f>
        <v/>
      </c>
      <c r="D233" s="53">
        <f>IF(inputs_ok,IF($B233&lt;=amax1_cf,P1_cf-qc1_cf*(cx1_cf*cy1_cf+2*$B233*(cx1_cf+cy1_cf)+PI()*$B233^2)/1E6,"–"),"–")</f>
        <v/>
      </c>
      <c r="E233" s="54">
        <f>IF(inputs_ok,IF($B233&lt;=amax1_cf,beta_cf*MAX(0,$D233)*1000/((2*(cx1_cf+cy1_cf)+2*PI()*$B233)*dp_cf)/$C233,"–"),"–")</f>
        <v/>
      </c>
      <c r="F233" s="53">
        <f>IF(inputs_ok,IF($B233&lt;=amax2_cf,P2_cf-qc2_cf*(cx2_cf*cy2_cf+2*$B233*(cx2_cf+cy2_cf)+PI()*$B233^2)/1E6,"–"),"–")</f>
        <v/>
      </c>
      <c r="G233" s="54">
        <f>IF(inputs_ok,IF($B233&lt;=amax2_cf,beta_cf*MAX(0,$F233)*1000/((2*(cx2_cf+cy2_cf)+2*PI()*$B233)*dp_cf)/$C233,"–"),"–")</f>
        <v/>
      </c>
    </row>
    <row r="234" ht="16" customHeight="1">
      <c r="B234" s="53">
        <f>IF(inputs_ok,0.7*dp_cf,"–")</f>
        <v/>
      </c>
      <c r="C234" s="46">
        <f>IF(inputs_ok,vRdc_p*2*dp_cf/$B234,"–")</f>
        <v/>
      </c>
      <c r="D234" s="53">
        <f>IF(inputs_ok,IF($B234&lt;=amax1_cf,P1_cf-qc1_cf*(cx1_cf*cy1_cf+2*$B234*(cx1_cf+cy1_cf)+PI()*$B234^2)/1E6,"–"),"–")</f>
        <v/>
      </c>
      <c r="E234" s="54">
        <f>IF(inputs_ok,IF($B234&lt;=amax1_cf,beta_cf*MAX(0,$D234)*1000/((2*(cx1_cf+cy1_cf)+2*PI()*$B234)*dp_cf)/$C234,"–"),"–")</f>
        <v/>
      </c>
      <c r="F234" s="53">
        <f>IF(inputs_ok,IF($B234&lt;=amax2_cf,P2_cf-qc2_cf*(cx2_cf*cy2_cf+2*$B234*(cx2_cf+cy2_cf)+PI()*$B234^2)/1E6,"–"),"–")</f>
        <v/>
      </c>
      <c r="G234" s="54">
        <f>IF(inputs_ok,IF($B234&lt;=amax2_cf,beta_cf*MAX(0,$F234)*1000/((2*(cx2_cf+cy2_cf)+2*PI()*$B234)*dp_cf)/$C234,"–"),"–")</f>
        <v/>
      </c>
    </row>
    <row r="235" ht="16" customHeight="1">
      <c r="B235" s="53">
        <f>IF(inputs_ok,0.8*dp_cf,"–")</f>
        <v/>
      </c>
      <c r="C235" s="46">
        <f>IF(inputs_ok,vRdc_p*2*dp_cf/$B235,"–")</f>
        <v/>
      </c>
      <c r="D235" s="53">
        <f>IF(inputs_ok,IF($B235&lt;=amax1_cf,P1_cf-qc1_cf*(cx1_cf*cy1_cf+2*$B235*(cx1_cf+cy1_cf)+PI()*$B235^2)/1E6,"–"),"–")</f>
        <v/>
      </c>
      <c r="E235" s="54">
        <f>IF(inputs_ok,IF($B235&lt;=amax1_cf,beta_cf*MAX(0,$D235)*1000/((2*(cx1_cf+cy1_cf)+2*PI()*$B235)*dp_cf)/$C235,"–"),"–")</f>
        <v/>
      </c>
      <c r="F235" s="53">
        <f>IF(inputs_ok,IF($B235&lt;=amax2_cf,P2_cf-qc2_cf*(cx2_cf*cy2_cf+2*$B235*(cx2_cf+cy2_cf)+PI()*$B235^2)/1E6,"–"),"–")</f>
        <v/>
      </c>
      <c r="G235" s="54">
        <f>IF(inputs_ok,IF($B235&lt;=amax2_cf,beta_cf*MAX(0,$F235)*1000/((2*(cx2_cf+cy2_cf)+2*PI()*$B235)*dp_cf)/$C235,"–"),"–")</f>
        <v/>
      </c>
    </row>
    <row r="236" ht="16" customHeight="1">
      <c r="B236" s="53">
        <f>IF(inputs_ok,0.9*dp_cf,"–")</f>
        <v/>
      </c>
      <c r="C236" s="46">
        <f>IF(inputs_ok,vRdc_p*2*dp_cf/$B236,"–")</f>
        <v/>
      </c>
      <c r="D236" s="53">
        <f>IF(inputs_ok,IF($B236&lt;=amax1_cf,P1_cf-qc1_cf*(cx1_cf*cy1_cf+2*$B236*(cx1_cf+cy1_cf)+PI()*$B236^2)/1E6,"–"),"–")</f>
        <v/>
      </c>
      <c r="E236" s="54">
        <f>IF(inputs_ok,IF($B236&lt;=amax1_cf,beta_cf*MAX(0,$D236)*1000/((2*(cx1_cf+cy1_cf)+2*PI()*$B236)*dp_cf)/$C236,"–"),"–")</f>
        <v/>
      </c>
      <c r="F236" s="53">
        <f>IF(inputs_ok,IF($B236&lt;=amax2_cf,P2_cf-qc2_cf*(cx2_cf*cy2_cf+2*$B236*(cx2_cf+cy2_cf)+PI()*$B236^2)/1E6,"–"),"–")</f>
        <v/>
      </c>
      <c r="G236" s="54">
        <f>IF(inputs_ok,IF($B236&lt;=amax2_cf,beta_cf*MAX(0,$F236)*1000/((2*(cx2_cf+cy2_cf)+2*PI()*$B236)*dp_cf)/$C236,"–"),"–")</f>
        <v/>
      </c>
    </row>
    <row r="237" ht="16" customHeight="1">
      <c r="B237" s="53">
        <f>IF(inputs_ok,1.0*dp_cf,"–")</f>
        <v/>
      </c>
      <c r="C237" s="46">
        <f>IF(inputs_ok,vRdc_p*2*dp_cf/$B237,"–")</f>
        <v/>
      </c>
      <c r="D237" s="53">
        <f>IF(inputs_ok,IF($B237&lt;=amax1_cf,P1_cf-qc1_cf*(cx1_cf*cy1_cf+2*$B237*(cx1_cf+cy1_cf)+PI()*$B237^2)/1E6,"–"),"–")</f>
        <v/>
      </c>
      <c r="E237" s="54">
        <f>IF(inputs_ok,IF($B237&lt;=amax1_cf,beta_cf*MAX(0,$D237)*1000/((2*(cx1_cf+cy1_cf)+2*PI()*$B237)*dp_cf)/$C237,"–"),"–")</f>
        <v/>
      </c>
      <c r="F237" s="53">
        <f>IF(inputs_ok,IF($B237&lt;=amax2_cf,P2_cf-qc2_cf*(cx2_cf*cy2_cf+2*$B237*(cx2_cf+cy2_cf)+PI()*$B237^2)/1E6,"–"),"–")</f>
        <v/>
      </c>
      <c r="G237" s="54">
        <f>IF(inputs_ok,IF($B237&lt;=amax2_cf,beta_cf*MAX(0,$F237)*1000/((2*(cx2_cf+cy2_cf)+2*PI()*$B237)*dp_cf)/$C237,"–"),"–")</f>
        <v/>
      </c>
    </row>
    <row r="238" ht="16" customHeight="1">
      <c r="B238" s="53">
        <f>IF(inputs_ok,1.1*dp_cf,"–")</f>
        <v/>
      </c>
      <c r="C238" s="46">
        <f>IF(inputs_ok,vRdc_p*2*dp_cf/$B238,"–")</f>
        <v/>
      </c>
      <c r="D238" s="53">
        <f>IF(inputs_ok,IF($B238&lt;=amax1_cf,P1_cf-qc1_cf*(cx1_cf*cy1_cf+2*$B238*(cx1_cf+cy1_cf)+PI()*$B238^2)/1E6,"–"),"–")</f>
        <v/>
      </c>
      <c r="E238" s="54">
        <f>IF(inputs_ok,IF($B238&lt;=amax1_cf,beta_cf*MAX(0,$D238)*1000/((2*(cx1_cf+cy1_cf)+2*PI()*$B238)*dp_cf)/$C238,"–"),"–")</f>
        <v/>
      </c>
      <c r="F238" s="53">
        <f>IF(inputs_ok,IF($B238&lt;=amax2_cf,P2_cf-qc2_cf*(cx2_cf*cy2_cf+2*$B238*(cx2_cf+cy2_cf)+PI()*$B238^2)/1E6,"–"),"–")</f>
        <v/>
      </c>
      <c r="G238" s="54">
        <f>IF(inputs_ok,IF($B238&lt;=amax2_cf,beta_cf*MAX(0,$F238)*1000/((2*(cx2_cf+cy2_cf)+2*PI()*$B238)*dp_cf)/$C238,"–"),"–")</f>
        <v/>
      </c>
    </row>
    <row r="239" ht="16" customHeight="1">
      <c r="B239" s="53">
        <f>IF(inputs_ok,1.2*dp_cf,"–")</f>
        <v/>
      </c>
      <c r="C239" s="46">
        <f>IF(inputs_ok,vRdc_p*2*dp_cf/$B239,"–")</f>
        <v/>
      </c>
      <c r="D239" s="53">
        <f>IF(inputs_ok,IF($B239&lt;=amax1_cf,P1_cf-qc1_cf*(cx1_cf*cy1_cf+2*$B239*(cx1_cf+cy1_cf)+PI()*$B239^2)/1E6,"–"),"–")</f>
        <v/>
      </c>
      <c r="E239" s="54">
        <f>IF(inputs_ok,IF($B239&lt;=amax1_cf,beta_cf*MAX(0,$D239)*1000/((2*(cx1_cf+cy1_cf)+2*PI()*$B239)*dp_cf)/$C239,"–"),"–")</f>
        <v/>
      </c>
      <c r="F239" s="53">
        <f>IF(inputs_ok,IF($B239&lt;=amax2_cf,P2_cf-qc2_cf*(cx2_cf*cy2_cf+2*$B239*(cx2_cf+cy2_cf)+PI()*$B239^2)/1E6,"–"),"–")</f>
        <v/>
      </c>
      <c r="G239" s="54">
        <f>IF(inputs_ok,IF($B239&lt;=amax2_cf,beta_cf*MAX(0,$F239)*1000/((2*(cx2_cf+cy2_cf)+2*PI()*$B239)*dp_cf)/$C239,"–"),"–")</f>
        <v/>
      </c>
    </row>
    <row r="240" ht="16" customHeight="1">
      <c r="B240" s="53">
        <f>IF(inputs_ok,1.3*dp_cf,"–")</f>
        <v/>
      </c>
      <c r="C240" s="46">
        <f>IF(inputs_ok,vRdc_p*2*dp_cf/$B240,"–")</f>
        <v/>
      </c>
      <c r="D240" s="53">
        <f>IF(inputs_ok,IF($B240&lt;=amax1_cf,P1_cf-qc1_cf*(cx1_cf*cy1_cf+2*$B240*(cx1_cf+cy1_cf)+PI()*$B240^2)/1E6,"–"),"–")</f>
        <v/>
      </c>
      <c r="E240" s="54">
        <f>IF(inputs_ok,IF($B240&lt;=amax1_cf,beta_cf*MAX(0,$D240)*1000/((2*(cx1_cf+cy1_cf)+2*PI()*$B240)*dp_cf)/$C240,"–"),"–")</f>
        <v/>
      </c>
      <c r="F240" s="53">
        <f>IF(inputs_ok,IF($B240&lt;=amax2_cf,P2_cf-qc2_cf*(cx2_cf*cy2_cf+2*$B240*(cx2_cf+cy2_cf)+PI()*$B240^2)/1E6,"–"),"–")</f>
        <v/>
      </c>
      <c r="G240" s="54">
        <f>IF(inputs_ok,IF($B240&lt;=amax2_cf,beta_cf*MAX(0,$F240)*1000/((2*(cx2_cf+cy2_cf)+2*PI()*$B240)*dp_cf)/$C240,"–"),"–")</f>
        <v/>
      </c>
    </row>
    <row r="241" ht="16" customHeight="1">
      <c r="B241" s="53">
        <f>IF(inputs_ok,1.4*dp_cf,"–")</f>
        <v/>
      </c>
      <c r="C241" s="46">
        <f>IF(inputs_ok,vRdc_p*2*dp_cf/$B241,"–")</f>
        <v/>
      </c>
      <c r="D241" s="53">
        <f>IF(inputs_ok,IF($B241&lt;=amax1_cf,P1_cf-qc1_cf*(cx1_cf*cy1_cf+2*$B241*(cx1_cf+cy1_cf)+PI()*$B241^2)/1E6,"–"),"–")</f>
        <v/>
      </c>
      <c r="E241" s="54">
        <f>IF(inputs_ok,IF($B241&lt;=amax1_cf,beta_cf*MAX(0,$D241)*1000/((2*(cx1_cf+cy1_cf)+2*PI()*$B241)*dp_cf)/$C241,"–"),"–")</f>
        <v/>
      </c>
      <c r="F241" s="53">
        <f>IF(inputs_ok,IF($B241&lt;=amax2_cf,P2_cf-qc2_cf*(cx2_cf*cy2_cf+2*$B241*(cx2_cf+cy2_cf)+PI()*$B241^2)/1E6,"–"),"–")</f>
        <v/>
      </c>
      <c r="G241" s="54">
        <f>IF(inputs_ok,IF($B241&lt;=amax2_cf,beta_cf*MAX(0,$F241)*1000/((2*(cx2_cf+cy2_cf)+2*PI()*$B241)*dp_cf)/$C241,"–"),"–")</f>
        <v/>
      </c>
    </row>
    <row r="242" ht="16" customHeight="1">
      <c r="B242" s="53">
        <f>IF(inputs_ok,1.5*dp_cf,"–")</f>
        <v/>
      </c>
      <c r="C242" s="46">
        <f>IF(inputs_ok,vRdc_p*2*dp_cf/$B242,"–")</f>
        <v/>
      </c>
      <c r="D242" s="53">
        <f>IF(inputs_ok,IF($B242&lt;=amax1_cf,P1_cf-qc1_cf*(cx1_cf*cy1_cf+2*$B242*(cx1_cf+cy1_cf)+PI()*$B242^2)/1E6,"–"),"–")</f>
        <v/>
      </c>
      <c r="E242" s="54">
        <f>IF(inputs_ok,IF($B242&lt;=amax1_cf,beta_cf*MAX(0,$D242)*1000/((2*(cx1_cf+cy1_cf)+2*PI()*$B242)*dp_cf)/$C242,"–"),"–")</f>
        <v/>
      </c>
      <c r="F242" s="53">
        <f>IF(inputs_ok,IF($B242&lt;=amax2_cf,P2_cf-qc2_cf*(cx2_cf*cy2_cf+2*$B242*(cx2_cf+cy2_cf)+PI()*$B242^2)/1E6,"–"),"–")</f>
        <v/>
      </c>
      <c r="G242" s="54">
        <f>IF(inputs_ok,IF($B242&lt;=amax2_cf,beta_cf*MAX(0,$F242)*1000/((2*(cx2_cf+cy2_cf)+2*PI()*$B242)*dp_cf)/$C242,"–"),"–")</f>
        <v/>
      </c>
    </row>
    <row r="243" ht="16" customHeight="1">
      <c r="B243" s="53">
        <f>IF(inputs_ok,1.6*dp_cf,"–")</f>
        <v/>
      </c>
      <c r="C243" s="46">
        <f>IF(inputs_ok,vRdc_p*2*dp_cf/$B243,"–")</f>
        <v/>
      </c>
      <c r="D243" s="53">
        <f>IF(inputs_ok,IF($B243&lt;=amax1_cf,P1_cf-qc1_cf*(cx1_cf*cy1_cf+2*$B243*(cx1_cf+cy1_cf)+PI()*$B243^2)/1E6,"–"),"–")</f>
        <v/>
      </c>
      <c r="E243" s="54">
        <f>IF(inputs_ok,IF($B243&lt;=amax1_cf,beta_cf*MAX(0,$D243)*1000/((2*(cx1_cf+cy1_cf)+2*PI()*$B243)*dp_cf)/$C243,"–"),"–")</f>
        <v/>
      </c>
      <c r="F243" s="53">
        <f>IF(inputs_ok,IF($B243&lt;=amax2_cf,P2_cf-qc2_cf*(cx2_cf*cy2_cf+2*$B243*(cx2_cf+cy2_cf)+PI()*$B243^2)/1E6,"–"),"–")</f>
        <v/>
      </c>
      <c r="G243" s="54">
        <f>IF(inputs_ok,IF($B243&lt;=amax2_cf,beta_cf*MAX(0,$F243)*1000/((2*(cx2_cf+cy2_cf)+2*PI()*$B243)*dp_cf)/$C243,"–"),"–")</f>
        <v/>
      </c>
    </row>
    <row r="244" ht="16" customHeight="1">
      <c r="B244" s="53">
        <f>IF(inputs_ok,1.7*dp_cf,"–")</f>
        <v/>
      </c>
      <c r="C244" s="46">
        <f>IF(inputs_ok,vRdc_p*2*dp_cf/$B244,"–")</f>
        <v/>
      </c>
      <c r="D244" s="53">
        <f>IF(inputs_ok,IF($B244&lt;=amax1_cf,P1_cf-qc1_cf*(cx1_cf*cy1_cf+2*$B244*(cx1_cf+cy1_cf)+PI()*$B244^2)/1E6,"–"),"–")</f>
        <v/>
      </c>
      <c r="E244" s="54">
        <f>IF(inputs_ok,IF($B244&lt;=amax1_cf,beta_cf*MAX(0,$D244)*1000/((2*(cx1_cf+cy1_cf)+2*PI()*$B244)*dp_cf)/$C244,"–"),"–")</f>
        <v/>
      </c>
      <c r="F244" s="53">
        <f>IF(inputs_ok,IF($B244&lt;=amax2_cf,P2_cf-qc2_cf*(cx2_cf*cy2_cf+2*$B244*(cx2_cf+cy2_cf)+PI()*$B244^2)/1E6,"–"),"–")</f>
        <v/>
      </c>
      <c r="G244" s="54">
        <f>IF(inputs_ok,IF($B244&lt;=amax2_cf,beta_cf*MAX(0,$F244)*1000/((2*(cx2_cf+cy2_cf)+2*PI()*$B244)*dp_cf)/$C244,"–"),"–")</f>
        <v/>
      </c>
    </row>
    <row r="245" ht="16" customHeight="1">
      <c r="B245" s="53">
        <f>IF(inputs_ok,1.8*dp_cf,"–")</f>
        <v/>
      </c>
      <c r="C245" s="46">
        <f>IF(inputs_ok,vRdc_p*2*dp_cf/$B245,"–")</f>
        <v/>
      </c>
      <c r="D245" s="53">
        <f>IF(inputs_ok,IF($B245&lt;=amax1_cf,P1_cf-qc1_cf*(cx1_cf*cy1_cf+2*$B245*(cx1_cf+cy1_cf)+PI()*$B245^2)/1E6,"–"),"–")</f>
        <v/>
      </c>
      <c r="E245" s="54">
        <f>IF(inputs_ok,IF($B245&lt;=amax1_cf,beta_cf*MAX(0,$D245)*1000/((2*(cx1_cf+cy1_cf)+2*PI()*$B245)*dp_cf)/$C245,"–"),"–")</f>
        <v/>
      </c>
      <c r="F245" s="53">
        <f>IF(inputs_ok,IF($B245&lt;=amax2_cf,P2_cf-qc2_cf*(cx2_cf*cy2_cf+2*$B245*(cx2_cf+cy2_cf)+PI()*$B245^2)/1E6,"–"),"–")</f>
        <v/>
      </c>
      <c r="G245" s="54">
        <f>IF(inputs_ok,IF($B245&lt;=amax2_cf,beta_cf*MAX(0,$F245)*1000/((2*(cx2_cf+cy2_cf)+2*PI()*$B245)*dp_cf)/$C245,"–"),"–")</f>
        <v/>
      </c>
    </row>
    <row r="246" ht="16" customHeight="1">
      <c r="B246" s="53">
        <f>IF(inputs_ok,1.9*dp_cf,"–")</f>
        <v/>
      </c>
      <c r="C246" s="46">
        <f>IF(inputs_ok,vRdc_p*2*dp_cf/$B246,"–")</f>
        <v/>
      </c>
      <c r="D246" s="53">
        <f>IF(inputs_ok,IF($B246&lt;=amax1_cf,P1_cf-qc1_cf*(cx1_cf*cy1_cf+2*$B246*(cx1_cf+cy1_cf)+PI()*$B246^2)/1E6,"–"),"–")</f>
        <v/>
      </c>
      <c r="E246" s="54">
        <f>IF(inputs_ok,IF($B246&lt;=amax1_cf,beta_cf*MAX(0,$D246)*1000/((2*(cx1_cf+cy1_cf)+2*PI()*$B246)*dp_cf)/$C246,"–"),"–")</f>
        <v/>
      </c>
      <c r="F246" s="53">
        <f>IF(inputs_ok,IF($B246&lt;=amax2_cf,P2_cf-qc2_cf*(cx2_cf*cy2_cf+2*$B246*(cx2_cf+cy2_cf)+PI()*$B246^2)/1E6,"–"),"–")</f>
        <v/>
      </c>
      <c r="G246" s="54">
        <f>IF(inputs_ok,IF($B246&lt;=amax2_cf,beta_cf*MAX(0,$F246)*1000/((2*(cx2_cf+cy2_cf)+2*PI()*$B246)*dp_cf)/$C246,"–"),"–")</f>
        <v/>
      </c>
    </row>
    <row r="247" ht="16" customHeight="1">
      <c r="B247" s="53">
        <f>IF(inputs_ok,2.0*dp_cf,"–")</f>
        <v/>
      </c>
      <c r="C247" s="46">
        <f>IF(inputs_ok,vRdc_p*2*dp_cf/$B247,"–")</f>
        <v/>
      </c>
      <c r="D247" s="53">
        <f>IF(inputs_ok,IF($B247&lt;=amax1_cf,P1_cf-qc1_cf*(cx1_cf*cy1_cf+2*$B247*(cx1_cf+cy1_cf)+PI()*$B247^2)/1E6,"–"),"–")</f>
        <v/>
      </c>
      <c r="E247" s="54">
        <f>IF(inputs_ok,IF($B247&lt;=amax1_cf,beta_cf*MAX(0,$D247)*1000/((2*(cx1_cf+cy1_cf)+2*PI()*$B247)*dp_cf)/$C247,"–"),"–")</f>
        <v/>
      </c>
      <c r="F247" s="53">
        <f>IF(inputs_ok,IF($B247&lt;=amax2_cf,P2_cf-qc2_cf*(cx2_cf*cy2_cf+2*$B247*(cx2_cf+cy2_cf)+PI()*$B247^2)/1E6,"–"),"–")</f>
        <v/>
      </c>
      <c r="G247" s="54">
        <f>IF(inputs_ok,IF($B247&lt;=amax2_cf,beta_cf*MAX(0,$F247)*1000/((2*(cx2_cf+cy2_cf)+2*PI()*$B247)*dp_cf)/$C247,"–"),"–")</f>
        <v/>
      </c>
    </row>
    <row r="248" ht="16" customHeight="1">
      <c r="B248" s="53">
        <f>IF(inputs_ok,MAX(0.05*dp_cf,MIN(2*dp_cf,amax1_cf)),"–")</f>
        <v/>
      </c>
      <c r="C248" s="46">
        <f>IF(inputs_ok,vRdc_p*2*dp_cf/$B248,"–")</f>
        <v/>
      </c>
      <c r="D248" s="53">
        <f>IF(inputs_ok,IF($B248&lt;=amax1_cf,P1_cf-qc1_cf*(cx1_cf*cy1_cf+2*$B248*(cx1_cf+cy1_cf)+PI()*$B248^2)/1E6,"–"),"–")</f>
        <v/>
      </c>
      <c r="E248" s="54">
        <f>IF(inputs_ok,IF($B248&lt;=amax1_cf,beta_cf*MAX(0,$D248)*1000/((2*(cx1_cf+cy1_cf)+2*PI()*$B248)*dp_cf)/$C248,"–"),"–")</f>
        <v/>
      </c>
      <c r="F248" s="53">
        <f>IF(inputs_ok,IF($B248&lt;=amax2_cf,P2_cf-qc2_cf*(cx2_cf*cy2_cf+2*$B248*(cx2_cf+cy2_cf)+PI()*$B248^2)/1E6,"–"),"–")</f>
        <v/>
      </c>
      <c r="G248" s="54">
        <f>IF(inputs_ok,IF($B248&lt;=amax2_cf,beta_cf*MAX(0,$F248)*1000/((2*(cx2_cf+cy2_cf)+2*PI()*$B248)*dp_cf)/$C248,"–"),"–")</f>
        <v/>
      </c>
    </row>
    <row r="249" ht="16" customHeight="1">
      <c r="B249" s="53">
        <f>IF(inputs_ok,MAX(0.05*dp_cf,MIN(2*dp_cf,amax2_cf)),"–")</f>
        <v/>
      </c>
      <c r="C249" s="46">
        <f>IF(inputs_ok,vRdc_p*2*dp_cf/$B249,"–")</f>
        <v/>
      </c>
      <c r="D249" s="53">
        <f>IF(inputs_ok,IF($B249&lt;=amax1_cf,P1_cf-qc1_cf*(cx1_cf*cy1_cf+2*$B249*(cx1_cf+cy1_cf)+PI()*$B249^2)/1E6,"–"),"–")</f>
        <v/>
      </c>
      <c r="E249" s="54">
        <f>IF(inputs_ok,IF($B249&lt;=amax1_cf,beta_cf*MAX(0,$D249)*1000/((2*(cx1_cf+cy1_cf)+2*PI()*$B249)*dp_cf)/$C249,"–"),"–")</f>
        <v/>
      </c>
      <c r="F249" s="53">
        <f>IF(inputs_ok,IF($B249&lt;=amax2_cf,P2_cf-qc2_cf*(cx2_cf*cy2_cf+2*$B249*(cx2_cf+cy2_cf)+PI()*$B249^2)/1E6,"–"),"–")</f>
        <v/>
      </c>
      <c r="G249" s="54">
        <f>IF(inputs_ok,IF($B249&lt;=amax2_cf,beta_cf*MAX(0,$F249)*1000/((2*(cx2_cf+cy2_cf)+2*PI()*$B249)*dp_cf)/$C249,"–"),"–")</f>
        <v/>
      </c>
    </row>
    <row r="250" ht="79" customHeight="1">
      <c r="B250" s="44" t="inlineStr">
        <is>
          <t>Closed control perimeters u = 2(cx + cy) + 2πa at a = 0.1d … 2d from the column face, and one at each column's limit a_max; a perimeter is used only where it stays inside the footing and short of half the clear gap (rows marked –). VEd,red = P − qd A (6.48), with A = cx cy + 2a(cx + cy) + πa² and the net pressure at the column centre (exact for a linear pressure on a symmetric area); vEd = β VEd,red / (u d). The table shows the ratio along a; the check below uses its exact maximum, and also the perimeters running to the near end, to a long side and to that corner (6.4.2(4)), each up to 2d where it fits. Perimeters reaching half way to the other column or to both sides are not checked (warning).</t>
        </is>
      </c>
    </row>
    <row r="251" ht="17" customHeight="1">
      <c r="B251" s="26" t="inlineStr">
        <is>
          <t>6.4.4(2)</t>
        </is>
      </c>
      <c r="C251" s="24" t="inlineStr">
        <is>
          <t>Column 1, closed: a of the largest ratio  (exact)</t>
        </is>
      </c>
      <c r="D251" s="27" t="inlineStr">
        <is>
          <r>
            <rPr>
              <rFont val="Calibri"/>
              <i val="1"/>
              <color rgb="002B2B2B"/>
              <sz val="10"/>
            </rPr>
            <t>a</t>
          </r>
          <r>
            <rPr>
              <rFont val="Calibri"/>
              <i val="1"/>
              <color rgb="002B2B2B"/>
              <sz val="10"/>
              <vertAlign val="subscript"/>
            </rPr>
            <t>1</t>
          </r>
        </is>
      </c>
      <c r="E251" s="40">
        <f>IF(inputs_ok,IF(amax1_cf&gt;0,MIN($U$251,hip1_cf),0),NA())</f>
        <v/>
      </c>
      <c r="F251" s="28" t="inlineStr">
        <is>
          <t>mm</t>
        </is>
      </c>
      <c r="G251" s="23" t="n"/>
      <c r="I251">
        <f>IFERROR(IF(Kp1_cf&gt;0,MIN((Kp1_cf/(4*PI()^2))^(1/3),Kp1_cf/(2*(2*(cx1_cf+cy1_cf))^2)),hip1_cf),0)</f>
        <v/>
      </c>
      <c r="J251">
        <f>IFERROR(I251-IF(Kp1_cf&gt;0,(4*PI()^2*I251^3+5*PI()*(2*(cx1_cf+cy1_cf))*I251^2+2*(2*(cx1_cf+cy1_cf))^2*I251-Kp1_cf)/(12*PI()^2*I251^2+10*PI()*(2*(cx1_cf+cy1_cf))*I251+2*(2*(cx1_cf+cy1_cf))^2),0),0)</f>
        <v/>
      </c>
      <c r="K251">
        <f>IFERROR(J251-IF(Kp1_cf&gt;0,(4*PI()^2*J251^3+5*PI()*(2*(cx1_cf+cy1_cf))*J251^2+2*(2*(cx1_cf+cy1_cf))^2*J251-Kp1_cf)/(12*PI()^2*J251^2+10*PI()*(2*(cx1_cf+cy1_cf))*J251+2*(2*(cx1_cf+cy1_cf))^2),0),0)</f>
        <v/>
      </c>
      <c r="L251">
        <f>IFERROR(K251-IF(Kp1_cf&gt;0,(4*PI()^2*K251^3+5*PI()*(2*(cx1_cf+cy1_cf))*K251^2+2*(2*(cx1_cf+cy1_cf))^2*K251-Kp1_cf)/(12*PI()^2*K251^2+10*PI()*(2*(cx1_cf+cy1_cf))*K251+2*(2*(cx1_cf+cy1_cf))^2),0),0)</f>
        <v/>
      </c>
      <c r="M251">
        <f>IFERROR(L251-IF(Kp1_cf&gt;0,(4*PI()^2*L251^3+5*PI()*(2*(cx1_cf+cy1_cf))*L251^2+2*(2*(cx1_cf+cy1_cf))^2*L251-Kp1_cf)/(12*PI()^2*L251^2+10*PI()*(2*(cx1_cf+cy1_cf))*L251+2*(2*(cx1_cf+cy1_cf))^2),0),0)</f>
        <v/>
      </c>
      <c r="N251">
        <f>IFERROR(M251-IF(Kp1_cf&gt;0,(4*PI()^2*M251^3+5*PI()*(2*(cx1_cf+cy1_cf))*M251^2+2*(2*(cx1_cf+cy1_cf))^2*M251-Kp1_cf)/(12*PI()^2*M251^2+10*PI()*(2*(cx1_cf+cy1_cf))*M251+2*(2*(cx1_cf+cy1_cf))^2),0),0)</f>
        <v/>
      </c>
      <c r="O251">
        <f>IFERROR(N251-IF(Kp1_cf&gt;0,(4*PI()^2*N251^3+5*PI()*(2*(cx1_cf+cy1_cf))*N251^2+2*(2*(cx1_cf+cy1_cf))^2*N251-Kp1_cf)/(12*PI()^2*N251^2+10*PI()*(2*(cx1_cf+cy1_cf))*N251+2*(2*(cx1_cf+cy1_cf))^2),0),0)</f>
        <v/>
      </c>
      <c r="P251">
        <f>IFERROR(O251-IF(Kp1_cf&gt;0,(4*PI()^2*O251^3+5*PI()*(2*(cx1_cf+cy1_cf))*O251^2+2*(2*(cx1_cf+cy1_cf))^2*O251-Kp1_cf)/(12*PI()^2*O251^2+10*PI()*(2*(cx1_cf+cy1_cf))*O251+2*(2*(cx1_cf+cy1_cf))^2),0),0)</f>
        <v/>
      </c>
      <c r="Q251">
        <f>IFERROR(P251-IF(Kp1_cf&gt;0,(4*PI()^2*P251^3+5*PI()*(2*(cx1_cf+cy1_cf))*P251^2+2*(2*(cx1_cf+cy1_cf))^2*P251-Kp1_cf)/(12*PI()^2*P251^2+10*PI()*(2*(cx1_cf+cy1_cf))*P251+2*(2*(cx1_cf+cy1_cf))^2),0),0)</f>
        <v/>
      </c>
      <c r="R251">
        <f>IFERROR(Q251-IF(Kp1_cf&gt;0,(4*PI()^2*Q251^3+5*PI()*(2*(cx1_cf+cy1_cf))*Q251^2+2*(2*(cx1_cf+cy1_cf))^2*Q251-Kp1_cf)/(12*PI()^2*Q251^2+10*PI()*(2*(cx1_cf+cy1_cf))*Q251+2*(2*(cx1_cf+cy1_cf))^2),0),0)</f>
        <v/>
      </c>
      <c r="S251">
        <f>IFERROR(R251-IF(Kp1_cf&gt;0,(4*PI()^2*R251^3+5*PI()*(2*(cx1_cf+cy1_cf))*R251^2+2*(2*(cx1_cf+cy1_cf))^2*R251-Kp1_cf)/(12*PI()^2*R251^2+10*PI()*(2*(cx1_cf+cy1_cf))*R251+2*(2*(cx1_cf+cy1_cf))^2),0),0)</f>
        <v/>
      </c>
      <c r="T251">
        <f>IFERROR(S251-IF(Kp1_cf&gt;0,(4*PI()^2*S251^3+5*PI()*(2*(cx1_cf+cy1_cf))*S251^2+2*(2*(cx1_cf+cy1_cf))^2*S251-Kp1_cf)/(12*PI()^2*S251^2+10*PI()*(2*(cx1_cf+cy1_cf))*S251+2*(2*(cx1_cf+cy1_cf))^2),0),0)</f>
        <v/>
      </c>
      <c r="U251">
        <f>IFERROR(T251-IF(Kp1_cf&gt;0,(4*PI()^2*T251^3+5*PI()*(2*(cx1_cf+cy1_cf))*T251^2+2*(2*(cx1_cf+cy1_cf))^2*T251-Kp1_cf)/(12*PI()^2*T251^2+10*PI()*(2*(cx1_cf+cy1_cf))*T251+2*(2*(cx1_cf+cy1_cf))^2),0),0)</f>
        <v/>
      </c>
    </row>
    <row r="252" ht="17" customHeight="1">
      <c r="B252" s="26" t="inlineStr">
        <is>
          <t>(6.50)</t>
        </is>
      </c>
      <c r="C252" s="24" t="inlineStr">
        <is>
          <t>Column 1, closed: largest ratio  β VEd,red/(u d)/(vRd,c 2d/a)</t>
        </is>
      </c>
      <c r="D252" s="23" t="n"/>
      <c r="E252" s="43">
        <f>IF(inputs_ok,IF(amax1_cf&gt;0,beta_cf*MAX(0,P1_cf*1000-(qc1_cf/1000)*(cx1_cf*cy1_cf+2*ag1_cf*(cx1_cf+cy1_cf)+PI()*ag1_cf^2))/((2*(cx1_cf+cy1_cf)+2*PI()*ag1_cf)*dp_cf)/(vRdc_p*2*dp_cf/ag1_cf),0),NA())</f>
        <v/>
      </c>
      <c r="F252" s="23" t="n"/>
      <c r="G252" s="23" t="n"/>
    </row>
    <row r="253" ht="17" customHeight="1">
      <c r="B253" s="26" t="inlineStr">
        <is>
          <t>6.4.2(4)</t>
        </is>
      </c>
      <c r="C253" s="24" t="inlineStr">
        <is>
          <t>Column 1, to the end: a of the largest ratio</t>
        </is>
      </c>
      <c r="D253" s="27" t="inlineStr">
        <is>
          <r>
            <rPr>
              <rFont val="Calibri"/>
              <i val="1"/>
              <color rgb="002B2B2B"/>
              <sz val="10"/>
            </rPr>
            <t>a</t>
          </r>
          <r>
            <rPr>
              <rFont val="Calibri"/>
              <i val="1"/>
              <color rgb="002B2B2B"/>
              <sz val="10"/>
              <vertAlign val="subscript"/>
            </rPr>
            <t>e1</t>
          </r>
        </is>
      </c>
      <c r="E253" s="40">
        <f>IF(inputs_ok,IF(hie1_cf&gt;0,('Punching'!$A$83+'Punching'!$B$83)/2,0),NA())</f>
        <v/>
      </c>
      <c r="F253" s="28" t="inlineStr">
        <is>
          <t>mm</t>
        </is>
      </c>
      <c r="G253" s="23" t="n"/>
    </row>
    <row r="254" ht="17" customHeight="1">
      <c r="B254" s="26" t="inlineStr">
        <is>
          <t>6.4.2(4)</t>
        </is>
      </c>
      <c r="C254" s="24" t="inlineStr">
        <is>
          <t>Column 1, to the end: u = cy + πa + 2(e + cx), largest ratio</t>
        </is>
      </c>
      <c r="D254" s="23" t="n"/>
      <c r="E254" s="43">
        <f>IF(inputs_ok,IF(hie1_cf&gt;0,beta_cf*MAX(0,P1_cf-(((x1_cf-cx1_cf/2)+cx1_cf)*(cy1_cf+2*ae1_cf)*((wa_cf+wb_cf*((x1_cf+cx1_cf/2)/2)/1000)/Bm_cf)+cy1_cf*ae1_cf*((wa_cf+wb_cf*((x1_cf+cx1_cf/2)+ae1_cf/2)/1000)/Bm_cf)+PI()*ae1_cf^2/2*((wa_cf+wb_cf*((x1_cf+cx1_cf/2)+4*ae1_cf/(3*PI()))/1000)/Bm_cf))/1E6)*1000/((cy1_cf+PI()*ae1_cf+2*((x1_cf-cx1_cf/2)+cx1_cf))*dp_cf)/(vRdc_p*2*dp_cf/ae1_cf),0),NA())</f>
        <v/>
      </c>
      <c r="F254" s="23" t="n"/>
      <c r="G254" s="23" t="n"/>
    </row>
    <row r="255" ht="17" customHeight="1">
      <c r="B255" s="26" t="inlineStr">
        <is>
          <t>6.4.2(4)</t>
        </is>
      </c>
      <c r="C255" s="24" t="inlineStr">
        <is>
          <t>Column 1, to a side: a of the largest ratio</t>
        </is>
      </c>
      <c r="D255" s="27" t="inlineStr">
        <is>
          <r>
            <rPr>
              <rFont val="Calibri"/>
              <i val="1"/>
              <color rgb="002B2B2B"/>
              <sz val="10"/>
            </rPr>
            <t>a</t>
          </r>
          <r>
            <rPr>
              <rFont val="Calibri"/>
              <i val="1"/>
              <color rgb="002B2B2B"/>
              <sz val="10"/>
              <vertAlign val="subscript"/>
            </rPr>
            <t>sd1</t>
          </r>
        </is>
      </c>
      <c r="E255" s="40">
        <f>IF(inputs_ok,IF(hisd1_cf&gt;0,('Punching'!$H$83+'Punching'!$I$83)/2,0),NA())</f>
        <v/>
      </c>
      <c r="F255" s="28" t="inlineStr">
        <is>
          <t>mm</t>
        </is>
      </c>
      <c r="G255" s="23" t="n"/>
    </row>
    <row r="256" ht="17" customHeight="1">
      <c r="B256" s="26" t="inlineStr">
        <is>
          <t>6.4.2(4)</t>
        </is>
      </c>
      <c r="C256" s="24" t="inlineStr">
        <is>
          <t>Column 1, to a side: u = cx + πa + 2(e_s + cy), largest ratio</t>
        </is>
      </c>
      <c r="D256" s="23" t="n"/>
      <c r="E256" s="43">
        <f>IF(inputs_ok,IF(hisd1_cf&gt;0,beta_cf*MAX(0,P1_cf-(((cx1_cf+2*asd1_cf)*(((B_cf-cy1_cf)/2)+cy1_cf)+cx1_cf*asd1_cf+PI()*asd1_cf^2/2)*((wa_cf+wb_cf*(x1_cf)/1000)/Bm_cf))/1E6)*1000/((cx1_cf+PI()*asd1_cf+2*(((B_cf-cy1_cf)/2)+cy1_cf))*dp_cf)/(vRdc_p*2*dp_cf/asd1_cf),0),NA())</f>
        <v/>
      </c>
      <c r="F256" s="23" t="n"/>
      <c r="G256" s="23" t="n"/>
    </row>
    <row r="257" ht="17" customHeight="1">
      <c r="B257" s="26" t="inlineStr">
        <is>
          <t>6.4.2(4)</t>
        </is>
      </c>
      <c r="C257" s="24" t="inlineStr">
        <is>
          <t>Column 1, to the corner: a of the largest ratio</t>
        </is>
      </c>
      <c r="D257" s="27" t="inlineStr">
        <is>
          <r>
            <rPr>
              <rFont val="Calibri"/>
              <i val="1"/>
              <color rgb="002B2B2B"/>
              <sz val="10"/>
            </rPr>
            <t>a</t>
          </r>
          <r>
            <rPr>
              <rFont val="Calibri"/>
              <i val="1"/>
              <color rgb="002B2B2B"/>
              <sz val="10"/>
              <vertAlign val="subscript"/>
            </rPr>
            <t>cn1</t>
          </r>
        </is>
      </c>
      <c r="E257" s="40">
        <f>IF(inputs_ok,IF(hicn1_cf&gt;0,('Punching'!$O$83+'Punching'!$P$83)/2,0),NA())</f>
        <v/>
      </c>
      <c r="F257" s="28" t="inlineStr">
        <is>
          <t>mm</t>
        </is>
      </c>
      <c r="G257" s="23" t="n"/>
    </row>
    <row r="258" ht="17" customHeight="1">
      <c r="B258" s="26" t="inlineStr">
        <is>
          <t>6.4.2(4)</t>
        </is>
      </c>
      <c r="C258" s="24" t="inlineStr">
        <is>
          <t>Column 1, to the corner: u = e + cx + e_s + cy + πa/2, largest ratio</t>
        </is>
      </c>
      <c r="D258" s="23" t="n"/>
      <c r="E258" s="43">
        <f>IF(inputs_ok,IF(hicn1_cf&gt;0,beta_cf*MAX(0,P1_cf-(((x1_cf-cx1_cf/2)+cx1_cf)*(((B_cf-cy1_cf)/2)+cy1_cf+acn1_cf)*((wa_cf+wb_cf*((x1_cf+cx1_cf/2)/2)/1000)/Bm_cf)+(((B_cf-cy1_cf)/2)+cy1_cf)*acn1_cf*((wa_cf+wb_cf*((x1_cf+cx1_cf/2)+acn1_cf/2)/1000)/Bm_cf)+PI()*acn1_cf^2/4*((wa_cf+wb_cf*((x1_cf+cx1_cf/2)+4*acn1_cf/(3*PI()))/1000)/Bm_cf))/1E6)*1000/(((x1_cf-cx1_cf/2)+cx1_cf+((B_cf-cy1_cf)/2)+cy1_cf+PI()*acn1_cf/2)*dp_cf)/(vRdc_p*2*dp_cf/acn1_cf),0),NA())</f>
        <v/>
      </c>
      <c r="F258" s="23" t="n"/>
      <c r="G258" s="23" t="n"/>
    </row>
    <row r="259" ht="17" customHeight="1">
      <c r="B259" s="26" t="inlineStr">
        <is>
          <t>6.4.4(2)</t>
        </is>
      </c>
      <c r="C259" s="24" t="inlineStr">
        <is>
          <t>Column 2, closed: a of the largest ratio  (exact)</t>
        </is>
      </c>
      <c r="D259" s="27" t="inlineStr">
        <is>
          <r>
            <rPr>
              <rFont val="Calibri"/>
              <i val="1"/>
              <color rgb="002B2B2B"/>
              <sz val="10"/>
            </rPr>
            <t>a</t>
          </r>
          <r>
            <rPr>
              <rFont val="Calibri"/>
              <i val="1"/>
              <color rgb="002B2B2B"/>
              <sz val="10"/>
              <vertAlign val="subscript"/>
            </rPr>
            <t>2</t>
          </r>
        </is>
      </c>
      <c r="E259" s="40">
        <f>IF(inputs_ok,IF(amax2_cf&gt;0,MIN($U$259,hip2_cf),0),NA())</f>
        <v/>
      </c>
      <c r="F259" s="28" t="inlineStr">
        <is>
          <t>mm</t>
        </is>
      </c>
      <c r="G259" s="23" t="n"/>
      <c r="I259">
        <f>IFERROR(IF(Kp2_cf&gt;0,MIN((Kp2_cf/(4*PI()^2))^(1/3),Kp2_cf/(2*(2*(cx2_cf+cy2_cf))^2)),hip2_cf),0)</f>
        <v/>
      </c>
      <c r="J259">
        <f>IFERROR(I259-IF(Kp2_cf&gt;0,(4*PI()^2*I259^3+5*PI()*(2*(cx2_cf+cy2_cf))*I259^2+2*(2*(cx2_cf+cy2_cf))^2*I259-Kp2_cf)/(12*PI()^2*I259^2+10*PI()*(2*(cx2_cf+cy2_cf))*I259+2*(2*(cx2_cf+cy2_cf))^2),0),0)</f>
        <v/>
      </c>
      <c r="K259">
        <f>IFERROR(J259-IF(Kp2_cf&gt;0,(4*PI()^2*J259^3+5*PI()*(2*(cx2_cf+cy2_cf))*J259^2+2*(2*(cx2_cf+cy2_cf))^2*J259-Kp2_cf)/(12*PI()^2*J259^2+10*PI()*(2*(cx2_cf+cy2_cf))*J259+2*(2*(cx2_cf+cy2_cf))^2),0),0)</f>
        <v/>
      </c>
      <c r="L259">
        <f>IFERROR(K259-IF(Kp2_cf&gt;0,(4*PI()^2*K259^3+5*PI()*(2*(cx2_cf+cy2_cf))*K259^2+2*(2*(cx2_cf+cy2_cf))^2*K259-Kp2_cf)/(12*PI()^2*K259^2+10*PI()*(2*(cx2_cf+cy2_cf))*K259+2*(2*(cx2_cf+cy2_cf))^2),0),0)</f>
        <v/>
      </c>
      <c r="M259">
        <f>IFERROR(L259-IF(Kp2_cf&gt;0,(4*PI()^2*L259^3+5*PI()*(2*(cx2_cf+cy2_cf))*L259^2+2*(2*(cx2_cf+cy2_cf))^2*L259-Kp2_cf)/(12*PI()^2*L259^2+10*PI()*(2*(cx2_cf+cy2_cf))*L259+2*(2*(cx2_cf+cy2_cf))^2),0),0)</f>
        <v/>
      </c>
      <c r="N259">
        <f>IFERROR(M259-IF(Kp2_cf&gt;0,(4*PI()^2*M259^3+5*PI()*(2*(cx2_cf+cy2_cf))*M259^2+2*(2*(cx2_cf+cy2_cf))^2*M259-Kp2_cf)/(12*PI()^2*M259^2+10*PI()*(2*(cx2_cf+cy2_cf))*M259+2*(2*(cx2_cf+cy2_cf))^2),0),0)</f>
        <v/>
      </c>
      <c r="O259">
        <f>IFERROR(N259-IF(Kp2_cf&gt;0,(4*PI()^2*N259^3+5*PI()*(2*(cx2_cf+cy2_cf))*N259^2+2*(2*(cx2_cf+cy2_cf))^2*N259-Kp2_cf)/(12*PI()^2*N259^2+10*PI()*(2*(cx2_cf+cy2_cf))*N259+2*(2*(cx2_cf+cy2_cf))^2),0),0)</f>
        <v/>
      </c>
      <c r="P259">
        <f>IFERROR(O259-IF(Kp2_cf&gt;0,(4*PI()^2*O259^3+5*PI()*(2*(cx2_cf+cy2_cf))*O259^2+2*(2*(cx2_cf+cy2_cf))^2*O259-Kp2_cf)/(12*PI()^2*O259^2+10*PI()*(2*(cx2_cf+cy2_cf))*O259+2*(2*(cx2_cf+cy2_cf))^2),0),0)</f>
        <v/>
      </c>
      <c r="Q259">
        <f>IFERROR(P259-IF(Kp2_cf&gt;0,(4*PI()^2*P259^3+5*PI()*(2*(cx2_cf+cy2_cf))*P259^2+2*(2*(cx2_cf+cy2_cf))^2*P259-Kp2_cf)/(12*PI()^2*P259^2+10*PI()*(2*(cx2_cf+cy2_cf))*P259+2*(2*(cx2_cf+cy2_cf))^2),0),0)</f>
        <v/>
      </c>
      <c r="R259">
        <f>IFERROR(Q259-IF(Kp2_cf&gt;0,(4*PI()^2*Q259^3+5*PI()*(2*(cx2_cf+cy2_cf))*Q259^2+2*(2*(cx2_cf+cy2_cf))^2*Q259-Kp2_cf)/(12*PI()^2*Q259^2+10*PI()*(2*(cx2_cf+cy2_cf))*Q259+2*(2*(cx2_cf+cy2_cf))^2),0),0)</f>
        <v/>
      </c>
      <c r="S259">
        <f>IFERROR(R259-IF(Kp2_cf&gt;0,(4*PI()^2*R259^3+5*PI()*(2*(cx2_cf+cy2_cf))*R259^2+2*(2*(cx2_cf+cy2_cf))^2*R259-Kp2_cf)/(12*PI()^2*R259^2+10*PI()*(2*(cx2_cf+cy2_cf))*R259+2*(2*(cx2_cf+cy2_cf))^2),0),0)</f>
        <v/>
      </c>
      <c r="T259">
        <f>IFERROR(S259-IF(Kp2_cf&gt;0,(4*PI()^2*S259^3+5*PI()*(2*(cx2_cf+cy2_cf))*S259^2+2*(2*(cx2_cf+cy2_cf))^2*S259-Kp2_cf)/(12*PI()^2*S259^2+10*PI()*(2*(cx2_cf+cy2_cf))*S259+2*(2*(cx2_cf+cy2_cf))^2),0),0)</f>
        <v/>
      </c>
      <c r="U259">
        <f>IFERROR(T259-IF(Kp2_cf&gt;0,(4*PI()^2*T259^3+5*PI()*(2*(cx2_cf+cy2_cf))*T259^2+2*(2*(cx2_cf+cy2_cf))^2*T259-Kp2_cf)/(12*PI()^2*T259^2+10*PI()*(2*(cx2_cf+cy2_cf))*T259+2*(2*(cx2_cf+cy2_cf))^2),0),0)</f>
        <v/>
      </c>
    </row>
    <row r="260" ht="17" customHeight="1">
      <c r="B260" s="26" t="inlineStr">
        <is>
          <t>(6.50)</t>
        </is>
      </c>
      <c r="C260" s="24" t="inlineStr">
        <is>
          <t>Column 2, closed: largest ratio  β VEd,red/(u d)/(vRd,c 2d/a)</t>
        </is>
      </c>
      <c r="D260" s="23" t="n"/>
      <c r="E260" s="43">
        <f>IF(inputs_ok,IF(amax2_cf&gt;0,beta_cf*MAX(0,P2_cf*1000-(qc2_cf/1000)*(cx2_cf*cy2_cf+2*ag2_cf*(cx2_cf+cy2_cf)+PI()*ag2_cf^2))/((2*(cx2_cf+cy2_cf)+2*PI()*ag2_cf)*dp_cf)/(vRdc_p*2*dp_cf/ag2_cf),0),NA())</f>
        <v/>
      </c>
      <c r="F260" s="23" t="n"/>
      <c r="G260" s="23" t="n"/>
    </row>
    <row r="261" ht="17" customHeight="1">
      <c r="B261" s="26" t="inlineStr">
        <is>
          <t>6.4.2(4)</t>
        </is>
      </c>
      <c r="C261" s="24" t="inlineStr">
        <is>
          <t>Column 2, to the end: a of the largest ratio</t>
        </is>
      </c>
      <c r="D261" s="27" t="inlineStr">
        <is>
          <r>
            <rPr>
              <rFont val="Calibri"/>
              <i val="1"/>
              <color rgb="002B2B2B"/>
              <sz val="10"/>
            </rPr>
            <t>a</t>
          </r>
          <r>
            <rPr>
              <rFont val="Calibri"/>
              <i val="1"/>
              <color rgb="002B2B2B"/>
              <sz val="10"/>
              <vertAlign val="subscript"/>
            </rPr>
            <t>e2</t>
          </r>
        </is>
      </c>
      <c r="E261" s="40">
        <f>IF(inputs_ok,IF(hie2_cf&gt;0,('Punching'!$V$83+'Punching'!$W$83)/2,0),NA())</f>
        <v/>
      </c>
      <c r="F261" s="28" t="inlineStr">
        <is>
          <t>mm</t>
        </is>
      </c>
      <c r="G261" s="23" t="n"/>
    </row>
    <row r="262" ht="17" customHeight="1">
      <c r="B262" s="26" t="inlineStr">
        <is>
          <t>6.4.2(4)</t>
        </is>
      </c>
      <c r="C262" s="24" t="inlineStr">
        <is>
          <t>Column 2, to the end: u = cy + πa + 2(e + cx), largest ratio</t>
        </is>
      </c>
      <c r="D262" s="23" t="n"/>
      <c r="E262" s="43">
        <f>IF(inputs_ok,IF(hie2_cf&gt;0,beta_cf*MAX(0,P2_cf-(((L_cf-x2_cf-cx2_cf/2)+cx2_cf)*(cy2_cf+2*ae2_cf)*((wa_cf+wb_cf*(((x2_cf-cx2_cf/2)+L_cf)/2)/1000)/Bm_cf)+cy2_cf*ae2_cf*((wa_cf+wb_cf*((x2_cf-cx2_cf/2)-ae2_cf/2)/1000)/Bm_cf)+PI()*ae2_cf^2/2*((wa_cf+wb_cf*((x2_cf-cx2_cf/2)-4*ae2_cf/(3*PI()))/1000)/Bm_cf))/1E6)*1000/((cy2_cf+PI()*ae2_cf+2*((L_cf-x2_cf-cx2_cf/2)+cx2_cf))*dp_cf)/(vRdc_p*2*dp_cf/ae2_cf),0),NA())</f>
        <v/>
      </c>
      <c r="F262" s="23" t="n"/>
      <c r="G262" s="23" t="n"/>
    </row>
    <row r="263" ht="17" customHeight="1">
      <c r="B263" s="26" t="inlineStr">
        <is>
          <t>6.4.2(4)</t>
        </is>
      </c>
      <c r="C263" s="24" t="inlineStr">
        <is>
          <t>Column 2, to a side: a of the largest ratio</t>
        </is>
      </c>
      <c r="D263" s="27" t="inlineStr">
        <is>
          <r>
            <rPr>
              <rFont val="Calibri"/>
              <i val="1"/>
              <color rgb="002B2B2B"/>
              <sz val="10"/>
            </rPr>
            <t>a</t>
          </r>
          <r>
            <rPr>
              <rFont val="Calibri"/>
              <i val="1"/>
              <color rgb="002B2B2B"/>
              <sz val="10"/>
              <vertAlign val="subscript"/>
            </rPr>
            <t>sd2</t>
          </r>
        </is>
      </c>
      <c r="E263" s="40">
        <f>IF(inputs_ok,IF(hisd2_cf&gt;0,('Punching'!$AC$83+'Punching'!$AD$83)/2,0),NA())</f>
        <v/>
      </c>
      <c r="F263" s="28" t="inlineStr">
        <is>
          <t>mm</t>
        </is>
      </c>
      <c r="G263" s="23" t="n"/>
    </row>
    <row r="264" ht="17" customHeight="1">
      <c r="B264" s="26" t="inlineStr">
        <is>
          <t>6.4.2(4)</t>
        </is>
      </c>
      <c r="C264" s="24" t="inlineStr">
        <is>
          <t>Column 2, to a side: u = cx + πa + 2(e_s + cy), largest ratio</t>
        </is>
      </c>
      <c r="D264" s="23" t="n"/>
      <c r="E264" s="43">
        <f>IF(inputs_ok,IF(hisd2_cf&gt;0,beta_cf*MAX(0,P2_cf-(((cx2_cf+2*asd2_cf)*(((B_cf-cy2_cf)/2)+cy2_cf)+cx2_cf*asd2_cf+PI()*asd2_cf^2/2)*((wa_cf+wb_cf*(x2_cf)/1000)/Bm_cf))/1E6)*1000/((cx2_cf+PI()*asd2_cf+2*(((B_cf-cy2_cf)/2)+cy2_cf))*dp_cf)/(vRdc_p*2*dp_cf/asd2_cf),0),NA())</f>
        <v/>
      </c>
      <c r="F264" s="23" t="n"/>
      <c r="G264" s="23" t="n"/>
    </row>
    <row r="265" ht="17" customHeight="1">
      <c r="B265" s="26" t="inlineStr">
        <is>
          <t>6.4.2(4)</t>
        </is>
      </c>
      <c r="C265" s="24" t="inlineStr">
        <is>
          <t>Column 2, to the corner: a of the largest ratio</t>
        </is>
      </c>
      <c r="D265" s="27" t="inlineStr">
        <is>
          <r>
            <rPr>
              <rFont val="Calibri"/>
              <i val="1"/>
              <color rgb="002B2B2B"/>
              <sz val="10"/>
            </rPr>
            <t>a</t>
          </r>
          <r>
            <rPr>
              <rFont val="Calibri"/>
              <i val="1"/>
              <color rgb="002B2B2B"/>
              <sz val="10"/>
              <vertAlign val="subscript"/>
            </rPr>
            <t>cn2</t>
          </r>
        </is>
      </c>
      <c r="E265" s="40">
        <f>IF(inputs_ok,IF(hicn2_cf&gt;0,('Punching'!$AJ$83+'Punching'!$AK$83)/2,0),NA())</f>
        <v/>
      </c>
      <c r="F265" s="28" t="inlineStr">
        <is>
          <t>mm</t>
        </is>
      </c>
      <c r="G265" s="23" t="n"/>
    </row>
    <row r="266" ht="17" customHeight="1">
      <c r="B266" s="26" t="inlineStr">
        <is>
          <t>6.4.2(4)</t>
        </is>
      </c>
      <c r="C266" s="24" t="inlineStr">
        <is>
          <t>Column 2, to the corner: u = e + cx + e_s + cy + πa/2, largest ratio</t>
        </is>
      </c>
      <c r="D266" s="23" t="n"/>
      <c r="E266" s="43">
        <f>IF(inputs_ok,IF(hicn2_cf&gt;0,beta_cf*MAX(0,P2_cf-(((L_cf-x2_cf-cx2_cf/2)+cx2_cf)*(((B_cf-cy2_cf)/2)+cy2_cf+acn2_cf)*((wa_cf+wb_cf*(((x2_cf-cx2_cf/2)+L_cf)/2)/1000)/Bm_cf)+(((B_cf-cy2_cf)/2)+cy2_cf)*acn2_cf*((wa_cf+wb_cf*((x2_cf-cx2_cf/2)-acn2_cf/2)/1000)/Bm_cf)+PI()*acn2_cf^2/4*((wa_cf+wb_cf*((x2_cf-cx2_cf/2)-4*acn2_cf/(3*PI()))/1000)/Bm_cf))/1E6)*1000/(((L_cf-x2_cf-cx2_cf/2)+cx2_cf+((B_cf-cy2_cf)/2)+cy2_cf+PI()*acn2_cf/2)*dp_cf)/(vRdc_p*2*dp_cf/acn2_cf),0),NA())</f>
        <v/>
      </c>
      <c r="F266" s="23" t="n"/>
      <c r="G266" s="23" t="n"/>
    </row>
    <row r="267" ht="17" customHeight="1">
      <c r="B267" s="26" t="inlineStr">
        <is>
          <t>6.4.4</t>
        </is>
      </c>
      <c r="C267" s="24" t="inlineStr">
        <is>
          <t>Punching at column 1</t>
        </is>
      </c>
      <c r="D267" s="23" t="n"/>
      <c r="E267" s="9" t="n"/>
      <c r="F267" s="23" t="n"/>
      <c r="G267" s="32">
        <f>IF(NOT(inputs_ok),"FAIL",IF(NOT(contact_ok),"FAIL",IF(vEd01_cf&gt;v_Rdmax,"FAIL",IF(NOT(pany1_cf),"! No perimeter inside",IF(pu1_cf&gt;1,"FAIL",IF(pedge1_cf,"! Some perimeters not checked","OK"))))))</f>
        <v/>
      </c>
    </row>
    <row r="268" ht="17" customHeight="1">
      <c r="B268" s="26" t="inlineStr">
        <is>
          <t>6.4.4</t>
        </is>
      </c>
      <c r="C268" s="24" t="inlineStr">
        <is>
          <t>Punching at column 2</t>
        </is>
      </c>
      <c r="D268" s="23" t="n"/>
      <c r="E268" s="9" t="n"/>
      <c r="F268" s="23" t="n"/>
      <c r="G268" s="32">
        <f>IF(NOT(inputs_ok),"FAIL",IF(NOT(contact_ok),"FAIL",IF(vEd02_cf&gt;v_Rdmax,"FAIL",IF(NOT(pany2_cf),"! No perimeter inside",IF(pu2_cf&gt;1,"FAIL",IF(pedge2_cf,"! Some perimeters not checked","OK"))))))</f>
        <v/>
      </c>
    </row>
    <row r="269"/>
    <row r="270" ht="22" customHeight="1">
      <c r="B270" s="20" t="inlineStr">
        <is>
          <t>Calculation  ·  detailing</t>
        </is>
      </c>
      <c r="C270" s="21" t="n"/>
      <c r="D270" s="21" t="n"/>
      <c r="E270" s="21" t="n"/>
      <c r="F270" s="21" t="n"/>
      <c r="G270" s="21" t="n"/>
    </row>
    <row r="271" ht="17" customHeight="1">
      <c r="B271" s="26" t="inlineStr">
        <is>
          <t>8.2(2)</t>
        </is>
      </c>
      <c r="C271" s="24" t="inlineStr">
        <is>
          <t>Smallest clear gap, bottom along L  max(φ; dg + 5; 20)</t>
        </is>
      </c>
      <c r="D271" s="27" t="inlineStr">
        <is>
          <r>
            <rPr>
              <rFont val="Calibri"/>
              <i val="1"/>
              <color rgb="002B2B2B"/>
              <sz val="10"/>
            </rPr>
            <t>a</t>
          </r>
          <r>
            <rPr>
              <rFont val="Calibri"/>
              <i val="1"/>
              <color rgb="002B2B2B"/>
              <sz val="10"/>
              <vertAlign val="subscript"/>
            </rPr>
            <t>min,bl</t>
          </r>
        </is>
      </c>
      <c r="E271" s="40">
        <f>IF(inputs_ok,MAX(pbl_cf,d_g+5,20),NA())</f>
        <v/>
      </c>
      <c r="F271" s="28" t="inlineStr">
        <is>
          <t>mm</t>
        </is>
      </c>
      <c r="G271" s="23" t="n"/>
    </row>
    <row r="272" ht="17" customHeight="1">
      <c r="B272" s="26" t="inlineStr">
        <is>
          <t>8.2(2)</t>
        </is>
      </c>
      <c r="C272" s="24" t="inlineStr">
        <is>
          <t>Smallest clear gap, bottom across  max(φ; dg + 5; 20)</t>
        </is>
      </c>
      <c r="D272" s="27" t="inlineStr">
        <is>
          <r>
            <rPr>
              <rFont val="Calibri"/>
              <i val="1"/>
              <color rgb="002B2B2B"/>
              <sz val="10"/>
            </rPr>
            <t>a</t>
          </r>
          <r>
            <rPr>
              <rFont val="Calibri"/>
              <i val="1"/>
              <color rgb="002B2B2B"/>
              <sz val="10"/>
              <vertAlign val="subscript"/>
            </rPr>
            <t>min,bt</t>
          </r>
        </is>
      </c>
      <c r="E272" s="40">
        <f>IF(inputs_ok,MAX(pbt_cf,d_g+5,20),NA())</f>
        <v/>
      </c>
      <c r="F272" s="28" t="inlineStr">
        <is>
          <t>mm</t>
        </is>
      </c>
      <c r="G272" s="23" t="n"/>
    </row>
    <row r="273" ht="17" customHeight="1">
      <c r="B273" s="26" t="inlineStr">
        <is>
          <t>8.2(2)</t>
        </is>
      </c>
      <c r="C273" s="24" t="inlineStr">
        <is>
          <t>Smallest clear gap, top along L  max(φ; dg + 5; 20)</t>
        </is>
      </c>
      <c r="D273" s="27" t="inlineStr">
        <is>
          <r>
            <rPr>
              <rFont val="Calibri"/>
              <i val="1"/>
              <color rgb="002B2B2B"/>
              <sz val="10"/>
            </rPr>
            <t>a</t>
          </r>
          <r>
            <rPr>
              <rFont val="Calibri"/>
              <i val="1"/>
              <color rgb="002B2B2B"/>
              <sz val="10"/>
              <vertAlign val="subscript"/>
            </rPr>
            <t>min,tl</t>
          </r>
        </is>
      </c>
      <c r="E273" s="40">
        <f>IF(inputs_ok,MAX(ptl_cf,d_g+5,20),NA())</f>
        <v/>
      </c>
      <c r="F273" s="28" t="inlineStr">
        <is>
          <t>mm</t>
        </is>
      </c>
      <c r="G273" s="23" t="n"/>
    </row>
    <row r="274" ht="17" customHeight="1">
      <c r="B274" s="26" t="inlineStr">
        <is>
          <t>9.3.1.1(3)</t>
        </is>
      </c>
      <c r="C274" s="24" t="inlineStr">
        <is>
          <t>Largest spacing (maximum moment)  min(2h; 250)</t>
        </is>
      </c>
      <c r="D274" s="27" t="inlineStr">
        <is>
          <r>
            <rPr>
              <rFont val="Calibri"/>
              <i val="1"/>
              <color rgb="002B2B2B"/>
              <sz val="10"/>
            </rPr>
            <t>s</t>
          </r>
          <r>
            <rPr>
              <rFont val="Calibri"/>
              <i val="1"/>
              <color rgb="002B2B2B"/>
              <sz val="10"/>
              <vertAlign val="subscript"/>
            </rPr>
            <t>max</t>
          </r>
        </is>
      </c>
      <c r="E274" s="40">
        <f>IF(inputs_ok,MIN(2*h_cf,250),NA())</f>
        <v/>
      </c>
      <c r="F274" s="28" t="inlineStr">
        <is>
          <t>mm</t>
        </is>
      </c>
      <c r="G274" s="23" t="n"/>
    </row>
    <row r="275" ht="17" customHeight="1">
      <c r="B275" s="26" t="inlineStr">
        <is>
          <t>8.2, 9.3.1.1</t>
        </is>
      </c>
      <c r="C275" s="24" t="inlineStr">
        <is>
          <t>All three layers: clear gap ≥ a_min, spacing ≤ s_max</t>
        </is>
      </c>
      <c r="D275" s="23" t="n"/>
      <c r="E275" s="40">
        <f>IF(inputs_ok,MIN(sbl_cf-pbl_cf,sbt_cf-pbt_cf,stl_cf-ptl_cf),NA())</f>
        <v/>
      </c>
      <c r="F275" s="28" t="inlineStr">
        <is>
          <t>mm</t>
        </is>
      </c>
      <c r="G275" s="32">
        <f>IF(NOT(inputs_ok),"FAIL",IF(det_ok,"OK","FAIL"))</f>
        <v/>
      </c>
    </row>
    <row r="276" ht="41.5" customHeight="1">
      <c r="B276" s="44" t="inlineStr">
        <is>
          <t>Anchor the bottom bars beyond the column faces and at the ends to 9.8.2.2, provide starter bars to the columns, and check the crack widths where the exposure needs it. A combined footing normally carries a top mat between the columns; As,min is applied to the top bars throughout.</t>
        </is>
      </c>
    </row>
    <row r="277"/>
    <row r="278" ht="29" customHeight="1">
      <c r="B278" s="44"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10">
    <mergeCell ref="B116:G116"/>
    <mergeCell ref="B278:G278"/>
    <mergeCell ref="E5:G5"/>
    <mergeCell ref="B149:G149"/>
    <mergeCell ref="B276:G276"/>
    <mergeCell ref="B250:G250"/>
    <mergeCell ref="D2:G2"/>
    <mergeCell ref="E7:G7"/>
    <mergeCell ref="E6:G6"/>
    <mergeCell ref="C3:G3"/>
  </mergeCells>
  <conditionalFormatting sqref="G9:G279">
    <cfRule type="expression" priority="1" dxfId="0">
      <formula>G9="OK"</formula>
    </cfRule>
    <cfRule type="expression" priority="2" dxfId="1">
      <formula>G9="FAIL"</formula>
    </cfRule>
    <cfRule type="expression" priority="3" dxfId="2">
      <formula>LEFT(G9,1)="!"</formula>
    </cfRule>
  </conditionalFormatting>
  <dataValidations count="30">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E22 E24"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Pick a value from the list." type="list" errorStyle="stop">
      <formula1>"Yes,No"</formula1>
    </dataValidation>
    <dataValidation sqref="E29" showDropDown="0" showInputMessage="0" showErrorMessage="1" allowBlank="1" errorTitle="NA Engineering" error="Enter a number greater than 0." type="custom" errorStyle="stop">
      <formula1>IF(cen_cf="No",AND(ISNUMBER(E29),E29&gt;0),TRUE)</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Enter a number ≥ 0." type="decimal" errorStyle="stop" operator="greaterThanOrEqual">
      <formula1>0</formula1>
    </dataValidation>
    <dataValidation sqref="E35" showDropDown="0" showInputMessage="0" showErrorMessage="1" allowBlank="0" errorTitle="NA Engineering" error="Enter a number greater than 0." type="decimal" errorStyle="stop" operator="greaterThan">
      <formula1>0</formula1>
    </dataValidation>
    <dataValidation sqref="E36" showDropDown="0" showInputMessage="0" showErrorMessage="1" allowBlank="0" errorTitle="NA Engineering" error="Enter a number greater than 0." type="decimal" errorStyle="stop" operator="greaterThan">
      <formula1>0</formula1>
    </dataValidation>
    <dataValidation sqref="E37" showDropDown="0" showInputMessage="0" showErrorMessage="1" allowBlank="0" errorTitle="NA Engineering" error="Enter a number greater than 0." type="decimal" errorStyle="stop" operator="greaterThan">
      <formula1>0</formula1>
    </dataValidation>
    <dataValidation sqref="E38" showDropDown="0" showInputMessage="0" showErrorMessage="1" allowBlank="0" errorTitle="NA Engineering" error="Enter a number ≥ 0." type="decimal" errorStyle="stop" operator="greaterThanOrEqual">
      <formula1>0</formula1>
    </dataValidation>
    <dataValidation sqref="E39" showDropDown="0" showInputMessage="0" showErrorMessage="1" allowBlank="0" errorTitle="NA Engineering" error="Enter a number greater than 0." type="decimal" errorStyle="stop" operator="greaterThan">
      <formula1>0</formula1>
    </dataValidation>
    <dataValidation sqref="E40" showDropDown="0" showInputMessage="0" showErrorMessage="1" allowBlank="0" errorTitle="NA Engineering" error="Enter a number greater than 0." type="decimal" errorStyle="stop" operator="greaterThan">
      <formula1>0</formula1>
    </dataValidation>
    <dataValidation sqref="E41" showDropDown="0" showInputMessage="0" showErrorMessage="1" allowBlank="0" errorTitle="NA Engineering" error="Enter a number ≥ 1." type="decimal" errorStyle="stop" operator="greaterThanOrEqual">
      <formula1>1</formula1>
    </dataValidation>
    <dataValidation sqref="E42" showDropDown="0" showInputMessage="0" showErrorMessage="1" allowBlank="0" errorTitle="NA Engineering" error="Enter a number ≥ 0." type="decimal" errorStyle="stop" operator="greaterThanOrEqual">
      <formula1>0</formula1>
    </dataValidation>
    <dataValidation sqref="E43" showDropDown="0" showInputMessage="0" showErrorMessage="1" allowBlank="0" errorTitle="NA Engineering" error="Enter a number greater than 0." type="decimal" errorStyle="stop" operator="greaterThan">
      <formula1>0</formula1>
    </dataValidation>
    <dataValidation sqref="E44"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&amp;K8A8A8ANAE-RC-028  v1.0</oddFooter>
    <evenHeader/>
    <evenFooter/>
    <firstHeader/>
    <firstFooter/>
  </headerFooter>
  <rowBreaks count="1" manualBreakCount="1">
    <brk id="46"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C48"/>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base</t>
        </is>
      </c>
      <c r="G2" t="inlineStr">
        <is>
          <t>axis</t>
        </is>
      </c>
      <c r="J2" t="inlineStr">
        <is>
          <t>column 1</t>
        </is>
      </c>
      <c r="M2" t="inlineStr">
        <is>
          <t>perimeter 1</t>
        </is>
      </c>
      <c r="P2" t="inlineStr">
        <is>
          <t>end perimeter 1</t>
        </is>
      </c>
      <c r="S2" t="inlineStr">
        <is>
          <t>side perimeter 1</t>
        </is>
      </c>
      <c r="V2" t="inlineStr">
        <is>
          <t>corner perimeter 1</t>
        </is>
      </c>
      <c r="Y2">
        <f>IF(inputs_ok,"P1 "&amp;TEXT(P1_cf,"0")&amp;" kN","")</f>
        <v/>
      </c>
      <c r="AB2" t="inlineStr">
        <is>
          <t>column 2</t>
        </is>
      </c>
      <c r="AE2" t="inlineStr">
        <is>
          <t>perimeter 2</t>
        </is>
      </c>
      <c r="AH2" t="inlineStr">
        <is>
          <t>end perimeter 2</t>
        </is>
      </c>
      <c r="AK2" t="inlineStr">
        <is>
          <t>side perimeter 2</t>
        </is>
      </c>
      <c r="AN2" t="inlineStr">
        <is>
          <t>corner perimeter 2</t>
        </is>
      </c>
      <c r="AQ2">
        <f>IF(inputs_ok,"P2 "&amp;TEXT(P2_cf,"0")&amp;" kN","")</f>
        <v/>
      </c>
      <c r="AT2" t="inlineStr">
        <is>
          <t>shear section 1</t>
        </is>
      </c>
      <c r="AW2" t="inlineStr">
        <is>
          <t>shear section 2</t>
        </is>
      </c>
      <c r="AZ2" t="inlineStr">
        <is>
          <t>shear section 3</t>
        </is>
      </c>
      <c r="BC2" t="inlineStr">
        <is>
          <t>shear section 4</t>
        </is>
      </c>
      <c r="BF2" t="inlineStr">
        <is>
          <t>resultant</t>
        </is>
      </c>
      <c r="BI2" t="inlineStr">
        <is>
          <t>R (SLS)</t>
        </is>
      </c>
      <c r="BL2" t="inlineStr">
        <is>
          <t>dim</t>
        </is>
      </c>
      <c r="BO2">
        <f>IF(inputs_ok,"L = "&amp;TEXT(L_cf,"0"),"")</f>
        <v/>
      </c>
      <c r="BR2" t="inlineStr">
        <is>
          <t>dim</t>
        </is>
      </c>
      <c r="BU2">
        <f>IF(inputs_ok,"a1 = "&amp;TEXT(x1_cf,"0"),"")</f>
        <v/>
      </c>
      <c r="BX2" t="inlineStr">
        <is>
          <t>dim</t>
        </is>
      </c>
      <c r="CA2">
        <f>IF(inputs_ok,"s = "&amp;TEXT(s12_cf,"0"),"")</f>
        <v/>
      </c>
      <c r="CD2" t="inlineStr">
        <is>
          <t>dim</t>
        </is>
      </c>
      <c r="CG2">
        <f>IF(inputs_ok,"B = "&amp;TEXT(B_cf,"0"),"")</f>
        <v/>
      </c>
      <c r="CJ2">
        <f>IF(inputs_ok,"SLS pressure "&amp;TEXT(qkL_cf,"0")&amp;" / "&amp;TEXT(qkR_cf,"0")&amp;" kPa","")</f>
        <v/>
      </c>
      <c r="CM2" t="inlineStr">
        <is>
          <t>BMD</t>
        </is>
      </c>
      <c r="CP2" t="inlineStr">
        <is>
          <t>BMD axis</t>
        </is>
      </c>
      <c r="CS2">
        <f>IF(inputs_ok,"M top "&amp;TEXT(-Mhog_cf,"0")&amp;" kNm","")</f>
        <v/>
      </c>
      <c r="CV2">
        <f>IF(inputs_ok,"M bottom "&amp;TEXT(Msag_cf,"0")&amp;" kNm","")</f>
        <v/>
      </c>
      <c r="CY2">
        <f>IF(inputs_ok,IF(contact_ok,"","e &gt; L/6: outside the scope (linear pressure, full contact)"),"")</f>
        <v/>
      </c>
      <c r="DB2" t="inlineStr">
        <is>
          <t>frame</t>
        </is>
      </c>
    </row>
    <row r="3">
      <c r="A3">
        <f>0</f>
        <v/>
      </c>
      <c r="B3">
        <f>0</f>
        <v/>
      </c>
      <c r="D3">
        <f>IF(inputs_ok,0,NA())</f>
        <v/>
      </c>
      <c r="E3">
        <f>-B_cf/2</f>
        <v/>
      </c>
      <c r="G3">
        <f>IF(inputs_ok,-0.03*L_cf,NA())</f>
        <v/>
      </c>
      <c r="H3">
        <f>0</f>
        <v/>
      </c>
      <c r="J3">
        <f>IF(inputs_ok,x1_cf-cx1_cf/2,NA())</f>
        <v/>
      </c>
      <c r="K3">
        <f>-cy1_cf/2</f>
        <v/>
      </c>
      <c r="M3">
        <f>IF(inputs_ok,IF(AND(contact_ok,amax1_cf&gt;0,pk1_cf=1),(x1_cf+cx1_cf/2)+(ag1_cf)*1.000000,NA()),NA())</f>
        <v/>
      </c>
      <c r="N3">
        <f>IF(AND(contact_ok,amax1_cf&gt;0,pk1_cf=1),(cy1_cf/2)+(ag1_cf)*0.000000,NA())</f>
        <v/>
      </c>
      <c r="P3">
        <f>IF(inputs_ok,IF(AND(contact_ok,pk1_cf=2),0,NA()),NA())</f>
        <v/>
      </c>
      <c r="Q3">
        <f>IF(AND(contact_ok,pk1_cf=2),cy1_cf/2+ae1_cf,NA())</f>
        <v/>
      </c>
      <c r="S3">
        <f>IF(inputs_ok,IF(AND(contact_ok,pk1_cf=3),x1_cf-cx1_cf/2-asd1_cf,NA()),NA())</f>
        <v/>
      </c>
      <c r="T3">
        <f>IF(AND(contact_ok,pk1_cf=3),-B_cf/2,NA())</f>
        <v/>
      </c>
      <c r="V3">
        <f>IF(inputs_ok,IF(AND(contact_ok,pk1_cf=4),0,NA()),NA())</f>
        <v/>
      </c>
      <c r="W3">
        <f>IF(AND(contact_ok,pk1_cf=4),cy1_cf/2+acn1_cf,NA())</f>
        <v/>
      </c>
      <c r="Y3">
        <f>IF(inputs_ok,x1_cf,NA())</f>
        <v/>
      </c>
      <c r="Z3">
        <f>-B_cf/2</f>
        <v/>
      </c>
      <c r="AB3">
        <f>IF(inputs_ok,x2_cf-cx2_cf/2,NA())</f>
        <v/>
      </c>
      <c r="AC3">
        <f>-cy2_cf/2</f>
        <v/>
      </c>
      <c r="AE3">
        <f>IF(inputs_ok,IF(AND(contact_ok,amax2_cf&gt;0,pk2_cf=1),(x2_cf+cx2_cf/2)+(ag2_cf)*1.000000,NA()),NA())</f>
        <v/>
      </c>
      <c r="AF3">
        <f>IF(AND(contact_ok,amax2_cf&gt;0,pk2_cf=1),(cy2_cf/2)+(ag2_cf)*0.000000,NA())</f>
        <v/>
      </c>
      <c r="AH3">
        <f>IF(inputs_ok,IF(AND(contact_ok,pk2_cf=2),L_cf,NA()),NA())</f>
        <v/>
      </c>
      <c r="AI3">
        <f>IF(AND(contact_ok,pk2_cf=2),cy2_cf/2+ae2_cf,NA())</f>
        <v/>
      </c>
      <c r="AK3">
        <f>IF(inputs_ok,IF(AND(contact_ok,pk2_cf=3),x2_cf-cx2_cf/2-asd2_cf,NA()),NA())</f>
        <v/>
      </c>
      <c r="AL3">
        <f>IF(AND(contact_ok,pk2_cf=3),-B_cf/2,NA())</f>
        <v/>
      </c>
      <c r="AN3">
        <f>IF(inputs_ok,IF(AND(contact_ok,pk2_cf=4),L_cf,NA()),NA())</f>
        <v/>
      </c>
      <c r="AO3">
        <f>IF(AND(contact_ok,pk2_cf=4),cy2_cf/2+acn2_cf,NA())</f>
        <v/>
      </c>
      <c r="AQ3">
        <f>IF(inputs_ok,x2_cf,NA())</f>
        <v/>
      </c>
      <c r="AR3">
        <f>-B_cf/2</f>
        <v/>
      </c>
      <c r="AT3">
        <f>IF(inputs_ok,IF(AND(contact_ok,xsok1_cf),xs1_cf*1000,NA()),NA())</f>
        <v/>
      </c>
      <c r="AU3">
        <f>IF(AND(contact_ok,xsok1_cf),-B_cf/2,NA())</f>
        <v/>
      </c>
      <c r="AW3">
        <f>IF(inputs_ok,IF(AND(contact_ok,xsok2_cf),xs2_cf*1000,NA()),NA())</f>
        <v/>
      </c>
      <c r="AX3">
        <f>IF(AND(contact_ok,xsok2_cf),-B_cf/2,NA())</f>
        <v/>
      </c>
      <c r="AZ3">
        <f>IF(inputs_ok,IF(AND(contact_ok,xsok3_cf),xs3_cf*1000,NA()),NA())</f>
        <v/>
      </c>
      <c r="BA3">
        <f>IF(AND(contact_ok,xsok3_cf),-B_cf/2,NA())</f>
        <v/>
      </c>
      <c r="BC3">
        <f>IF(inputs_ok,IF(AND(contact_ok,xsok4_cf),xs4_cf*1000,NA()),NA())</f>
        <v/>
      </c>
      <c r="BD3">
        <f>IF(AND(contact_ok,xsok4_cf),-B_cf/2,NA())</f>
        <v/>
      </c>
      <c r="BF3">
        <f>IF(inputs_ok,L_cf/2+eks_cf,NA())</f>
        <v/>
      </c>
      <c r="BG3">
        <f>0</f>
        <v/>
      </c>
      <c r="BI3">
        <f>IF(inputs_ok,L_cf/2+eks_cf,NA())</f>
        <v/>
      </c>
      <c r="BJ3">
        <f>0</f>
        <v/>
      </c>
      <c r="BL3">
        <f>IF(inputs_ok,IF(TRUE,0,NA()),NA())</f>
        <v/>
      </c>
      <c r="BM3">
        <f>IF(TRUE,B_cf/2+2.4*0.07*MAX(L_cf,B_cf),NA())</f>
        <v/>
      </c>
      <c r="BO3">
        <f>IF(inputs_ok,IF(TRUE,((0)+(L_cf))/2,NA()),NA())</f>
        <v/>
      </c>
      <c r="BP3">
        <f>IF(TRUE,((B_cf/2+2.4*0.07*MAX(L_cf,B_cf))+(B_cf/2+2.4*0.07*MAX(L_cf,B_cf)))/2,NA())</f>
        <v/>
      </c>
      <c r="BR3">
        <f>IF(inputs_ok,IF(TRUE,0,NA()),NA())</f>
        <v/>
      </c>
      <c r="BS3">
        <f>IF(TRUE,B_cf/2+0.07*MAX(L_cf,B_cf),NA())</f>
        <v/>
      </c>
      <c r="BU3">
        <f>IF(inputs_ok,IF(TRUE,((0)+(x1_cf))/2,NA()),NA())</f>
        <v/>
      </c>
      <c r="BV3">
        <f>IF(TRUE,((B_cf/2+0.07*MAX(L_cf,B_cf))+(B_cf/2+0.07*MAX(L_cf,B_cf)))/2,NA())</f>
        <v/>
      </c>
      <c r="BX3">
        <f>IF(inputs_ok,IF(TRUE,x1_cf,NA()),NA())</f>
        <v/>
      </c>
      <c r="BY3">
        <f>IF(TRUE,B_cf/2+0.07*MAX(L_cf,B_cf),NA())</f>
        <v/>
      </c>
      <c r="CA3">
        <f>IF(inputs_ok,IF(TRUE,((x1_cf)+(x2_cf))/2,NA()),NA())</f>
        <v/>
      </c>
      <c r="CB3">
        <f>IF(TRUE,((B_cf/2+0.07*MAX(L_cf,B_cf))+(B_cf/2+0.07*MAX(L_cf,B_cf)))/2,NA())</f>
        <v/>
      </c>
      <c r="CD3">
        <f>IF(inputs_ok,IF(TRUE,L_cf+0.6*0.07*MAX(L_cf,B_cf),NA()),NA())</f>
        <v/>
      </c>
      <c r="CE3">
        <f>IF(TRUE,-B_cf/2,NA())</f>
        <v/>
      </c>
      <c r="CG3">
        <f>IF(inputs_ok,IF(TRUE,((L_cf+0.6*0.07*MAX(L_cf,B_cf))+(L_cf+0.6*0.07*MAX(L_cf,B_cf)))/2,NA()),NA())</f>
        <v/>
      </c>
      <c r="CH3">
        <f>IF(TRUE,((-B_cf/2)+(B_cf/2))/2,NA())</f>
        <v/>
      </c>
      <c r="CJ3">
        <f>IF(inputs_ok,L_cf/2,NA())</f>
        <v/>
      </c>
      <c r="CK3">
        <f>base_cf-0.17*L_cf</f>
        <v/>
      </c>
      <c r="CM3">
        <f>IF(inputs_ok,IF(contact_ok,0,NA()),NA())</f>
        <v/>
      </c>
      <c r="CN3">
        <f>base_cf</f>
        <v/>
      </c>
      <c r="CP3">
        <f>IF(inputs_ok,IF(contact_ok,0,NA()),NA())</f>
        <v/>
      </c>
      <c r="CQ3">
        <f>IF(contact_ok,base_cf,NA())</f>
        <v/>
      </c>
      <c r="CS3">
        <f>IF(inputs_ok,IF(AND(contact_ok,Mhog_cf&lt;0),xh_cf*1000,NA()),NA())</f>
        <v/>
      </c>
      <c r="CT3">
        <f>base_cf-dsc_cf*Mhog_cf</f>
        <v/>
      </c>
      <c r="CV3">
        <f>IF(inputs_ok,IF(AND(contact_ok,Msag_cf&gt;0),xsag_cf*1000,NA()),NA())</f>
        <v/>
      </c>
      <c r="CW3">
        <f>base_cf-dsc_cf*Msag_cf</f>
        <v/>
      </c>
      <c r="CY3">
        <f>IF(inputs_ok,L_cf/2,NA())</f>
        <v/>
      </c>
      <c r="CZ3">
        <f>base_cf</f>
        <v/>
      </c>
      <c r="DB3">
        <f>((-0.04*L_cf)+(L_cf+1.6*0.07*MAX(L_cf,B_cf)))/2-MAX((B_cf/2+3*0.07*MAX(L_cf,B_cf))-(base_cf-0.22*L_cf),((L_cf+1.6*0.07*MAX(L_cf,B_cf))-(-0.04*L_cf))/1.55)*0.53*1.55</f>
        <v/>
      </c>
      <c r="DC3">
        <f>((base_cf-0.22*L_cf)+(B_cf/2+3*0.07*MAX(L_cf,B_cf)))/2-MAX((B_cf/2+3*0.07*MAX(L_cf,B_cf))-(base_cf-0.22*L_cf),((L_cf+1.6*0.07*MAX(L_cf,B_cf))-(-0.04*L_cf))/1.55)*0.53</f>
        <v/>
      </c>
    </row>
    <row r="4">
      <c r="D4">
        <f>IF(inputs_ok,L_cf,NA())</f>
        <v/>
      </c>
      <c r="E4">
        <f>-B_cf/2</f>
        <v/>
      </c>
      <c r="G4">
        <f>IF(inputs_ok,1.03*L_cf,NA())</f>
        <v/>
      </c>
      <c r="H4">
        <f>0</f>
        <v/>
      </c>
      <c r="J4">
        <f>IF(inputs_ok,x1_cf+cx1_cf/2,NA())</f>
        <v/>
      </c>
      <c r="K4">
        <f>-cy1_cf/2</f>
        <v/>
      </c>
      <c r="M4">
        <f>IF(inputs_ok,IF(AND(contact_ok,amax1_cf&gt;0,pk1_cf=1),(x1_cf+cx1_cf/2)+(ag1_cf)*0.980785,NA()),NA())</f>
        <v/>
      </c>
      <c r="N4">
        <f>IF(AND(contact_ok,amax1_cf&gt;0,pk1_cf=1),(cy1_cf/2)+(ag1_cf)*0.195090,NA())</f>
        <v/>
      </c>
      <c r="P4">
        <f>IF(inputs_ok,IF(AND(contact_ok,pk1_cf=2),x1_cf+cx1_cf/2,NA()),NA())</f>
        <v/>
      </c>
      <c r="Q4">
        <f>IF(AND(contact_ok,pk1_cf=2),cy1_cf/2+ae1_cf,NA())</f>
        <v/>
      </c>
      <c r="S4">
        <f>IF(inputs_ok,IF(AND(contact_ok,pk1_cf=3),x1_cf-cx1_cf/2-asd1_cf,NA()),NA())</f>
        <v/>
      </c>
      <c r="T4">
        <f>IF(AND(contact_ok,pk1_cf=3),cy1_cf/2,NA())</f>
        <v/>
      </c>
      <c r="V4">
        <f>IF(inputs_ok,IF(AND(contact_ok,pk1_cf=4),x1_cf+cx1_cf/2,NA()),NA())</f>
        <v/>
      </c>
      <c r="W4">
        <f>IF(AND(contact_ok,pk1_cf=4),cy1_cf/2+acn1_cf,NA())</f>
        <v/>
      </c>
      <c r="AB4">
        <f>IF(inputs_ok,x2_cf+cx2_cf/2,NA())</f>
        <v/>
      </c>
      <c r="AC4">
        <f>-cy2_cf/2</f>
        <v/>
      </c>
      <c r="AE4">
        <f>IF(inputs_ok,IF(AND(contact_ok,amax2_cf&gt;0,pk2_cf=1),(x2_cf+cx2_cf/2)+(ag2_cf)*0.980785,NA()),NA())</f>
        <v/>
      </c>
      <c r="AF4">
        <f>IF(AND(contact_ok,amax2_cf&gt;0,pk2_cf=1),(cy2_cf/2)+(ag2_cf)*0.195090,NA())</f>
        <v/>
      </c>
      <c r="AH4">
        <f>IF(inputs_ok,IF(AND(contact_ok,pk2_cf=2),x2_cf-cx2_cf/2,NA()),NA())</f>
        <v/>
      </c>
      <c r="AI4">
        <f>IF(AND(contact_ok,pk2_cf=2),cy2_cf/2+ae2_cf,NA())</f>
        <v/>
      </c>
      <c r="AK4">
        <f>IF(inputs_ok,IF(AND(contact_ok,pk2_cf=3),x2_cf-cx2_cf/2-asd2_cf,NA()),NA())</f>
        <v/>
      </c>
      <c r="AL4">
        <f>IF(AND(contact_ok,pk2_cf=3),cy2_cf/2,NA())</f>
        <v/>
      </c>
      <c r="AN4">
        <f>IF(inputs_ok,IF(AND(contact_ok,pk2_cf=4),x2_cf-cx2_cf/2,NA()),NA())</f>
        <v/>
      </c>
      <c r="AO4">
        <f>IF(AND(contact_ok,pk2_cf=4),cy2_cf/2+acn2_cf,NA())</f>
        <v/>
      </c>
      <c r="AT4">
        <f>IF(inputs_ok,IF(AND(contact_ok,xsok1_cf),xs1_cf*1000,NA()),NA())</f>
        <v/>
      </c>
      <c r="AU4">
        <f>IF(AND(contact_ok,xsok1_cf),B_cf/2,NA())</f>
        <v/>
      </c>
      <c r="AW4">
        <f>IF(inputs_ok,IF(AND(contact_ok,xsok2_cf),xs2_cf*1000,NA()),NA())</f>
        <v/>
      </c>
      <c r="AX4">
        <f>IF(AND(contact_ok,xsok2_cf),B_cf/2,NA())</f>
        <v/>
      </c>
      <c r="AZ4">
        <f>IF(inputs_ok,IF(AND(contact_ok,xsok3_cf),xs3_cf*1000,NA()),NA())</f>
        <v/>
      </c>
      <c r="BA4">
        <f>IF(AND(contact_ok,xsok3_cf),B_cf/2,NA())</f>
        <v/>
      </c>
      <c r="BC4">
        <f>IF(inputs_ok,IF(AND(contact_ok,xsok4_cf),xs4_cf*1000,NA()),NA())</f>
        <v/>
      </c>
      <c r="BD4">
        <f>IF(AND(contact_ok,xsok4_cf),B_cf/2,NA())</f>
        <v/>
      </c>
      <c r="BL4">
        <f>IF(inputs_ok,IF(TRUE,L_cf,NA()),NA())</f>
        <v/>
      </c>
      <c r="BM4">
        <f>IF(TRUE,B_cf/2+2.4*0.07*MAX(L_cf,B_cf),NA())</f>
        <v/>
      </c>
      <c r="BR4">
        <f>IF(inputs_ok,IF(TRUE,x1_cf,NA()),NA())</f>
        <v/>
      </c>
      <c r="BS4">
        <f>IF(TRUE,B_cf/2+0.07*MAX(L_cf,B_cf),NA())</f>
        <v/>
      </c>
      <c r="BX4">
        <f>IF(inputs_ok,IF(TRUE,x2_cf,NA()),NA())</f>
        <v/>
      </c>
      <c r="BY4">
        <f>IF(TRUE,B_cf/2+0.07*MAX(L_cf,B_cf),NA())</f>
        <v/>
      </c>
      <c r="CD4">
        <f>IF(inputs_ok,IF(TRUE,L_cf+0.6*0.07*MAX(L_cf,B_cf),NA()),NA())</f>
        <v/>
      </c>
      <c r="CE4">
        <f>IF(TRUE,B_cf/2,NA())</f>
        <v/>
      </c>
      <c r="CM4">
        <f>IF(inputs_ok,IF(contact_ok,1000*((0)+0/10*((x1m_cf)-(0))),NA()),NA())</f>
        <v/>
      </c>
      <c r="CN4">
        <f>base_cf-dsc_cf*((((0)+0/10*((x1m_cf)-(0))))^2*(wa_cf/2+wb_cf*(((0)+0/10*((x1m_cf)-(0))))/6)-P1_cf*MAX(0,(((0)+0/10*((x1m_cf)-(0))))-x1m_cf)-P2_cf*MAX(0,(((0)+0/10*((x1m_cf)-(0))))-x2m_cf))</f>
        <v/>
      </c>
      <c r="CP4">
        <f>IF(inputs_ok,IF(contact_ok,L_cf,NA()),NA())</f>
        <v/>
      </c>
      <c r="CQ4">
        <f>IF(contact_ok,base_cf,NA())</f>
        <v/>
      </c>
      <c r="DB4">
        <f>((-0.04*L_cf)+(L_cf+1.6*0.07*MAX(L_cf,B_cf)))/2+MAX((B_cf/2+3*0.07*MAX(L_cf,B_cf))-(base_cf-0.22*L_cf),((L_cf+1.6*0.07*MAX(L_cf,B_cf))-(-0.04*L_cf))/1.55)*0.53*1.55</f>
        <v/>
      </c>
      <c r="DC4">
        <f>((base_cf-0.22*L_cf)+(B_cf/2+3*0.07*MAX(L_cf,B_cf)))/2+MAX((B_cf/2+3*0.07*MAX(L_cf,B_cf))-(base_cf-0.22*L_cf),((L_cf+1.6*0.07*MAX(L_cf,B_cf))-(-0.04*L_cf))/1.55)*0.53</f>
        <v/>
      </c>
    </row>
    <row r="5">
      <c r="D5">
        <f>IF(inputs_ok,L_cf,NA())</f>
        <v/>
      </c>
      <c r="E5">
        <f>B_cf/2</f>
        <v/>
      </c>
      <c r="J5">
        <f>IF(inputs_ok,x1_cf+cx1_cf/2,NA())</f>
        <v/>
      </c>
      <c r="K5">
        <f>cy1_cf/2</f>
        <v/>
      </c>
      <c r="M5">
        <f>IF(inputs_ok,IF(AND(contact_ok,amax1_cf&gt;0,pk1_cf=1),(x1_cf+cx1_cf/2)+(ag1_cf)*0.923880,NA()),NA())</f>
        <v/>
      </c>
      <c r="N5">
        <f>IF(AND(contact_ok,amax1_cf&gt;0,pk1_cf=1),(cy1_cf/2)+(ag1_cf)*0.382683,NA())</f>
        <v/>
      </c>
      <c r="P5">
        <f>IF(inputs_ok,IF(AND(contact_ok,pk1_cf=2),(x1_cf+cx1_cf/2)+(ae1_cf)*0.000000,NA()),NA())</f>
        <v/>
      </c>
      <c r="Q5">
        <f>IF(AND(contact_ok,pk1_cf=2),(cy1_cf/2)+(ae1_cf)*1.000000,NA())</f>
        <v/>
      </c>
      <c r="S5">
        <f>IF(inputs_ok,IF(AND(contact_ok,pk1_cf=3),(x1_cf-cx1_cf/2)+(asd1_cf)*-1.000000,NA()),NA())</f>
        <v/>
      </c>
      <c r="T5">
        <f>IF(AND(contact_ok,pk1_cf=3),(cy1_cf/2)+(asd1_cf)*0.000000,NA())</f>
        <v/>
      </c>
      <c r="V5">
        <f>IF(inputs_ok,IF(AND(contact_ok,pk1_cf=4),(x1_cf+cx1_cf/2)+(acn1_cf)*0.000000,NA()),NA())</f>
        <v/>
      </c>
      <c r="W5">
        <f>IF(AND(contact_ok,pk1_cf=4),(cy1_cf/2)+(acn1_cf)*1.000000,NA())</f>
        <v/>
      </c>
      <c r="AB5">
        <f>IF(inputs_ok,x2_cf+cx2_cf/2,NA())</f>
        <v/>
      </c>
      <c r="AC5">
        <f>cy2_cf/2</f>
        <v/>
      </c>
      <c r="AE5">
        <f>IF(inputs_ok,IF(AND(contact_ok,amax2_cf&gt;0,pk2_cf=1),(x2_cf+cx2_cf/2)+(ag2_cf)*0.923880,NA()),NA())</f>
        <v/>
      </c>
      <c r="AF5">
        <f>IF(AND(contact_ok,amax2_cf&gt;0,pk2_cf=1),(cy2_cf/2)+(ag2_cf)*0.382683,NA())</f>
        <v/>
      </c>
      <c r="AH5">
        <f>IF(inputs_ok,IF(AND(contact_ok,pk2_cf=2),(x2_cf-cx2_cf/2)+(ae2_cf)*0.000000,NA()),NA())</f>
        <v/>
      </c>
      <c r="AI5">
        <f>IF(AND(contact_ok,pk2_cf=2),(cy2_cf/2)+(ae2_cf)*1.000000,NA())</f>
        <v/>
      </c>
      <c r="AK5">
        <f>IF(inputs_ok,IF(AND(contact_ok,pk2_cf=3),(x2_cf-cx2_cf/2)+(asd2_cf)*-1.000000,NA()),NA())</f>
        <v/>
      </c>
      <c r="AL5">
        <f>IF(AND(contact_ok,pk2_cf=3),(cy2_cf/2)+(asd2_cf)*0.000000,NA())</f>
        <v/>
      </c>
      <c r="AN5">
        <f>IF(inputs_ok,IF(AND(contact_ok,pk2_cf=4),(x2_cf-cx2_cf/2)+(acn2_cf)*0.000000,NA()),NA())</f>
        <v/>
      </c>
      <c r="AO5">
        <f>IF(AND(contact_ok,pk2_cf=4),(cy2_cf/2)+(acn2_cf)*1.000000,NA())</f>
        <v/>
      </c>
      <c r="CM5">
        <f>IF(inputs_ok,IF(contact_ok,1000*((0)+1/10*((x1m_cf)-(0))),NA()),NA())</f>
        <v/>
      </c>
      <c r="CN5">
        <f>base_cf-dsc_cf*((((0)+1/10*((x1m_cf)-(0))))^2*(wa_cf/2+wb_cf*(((0)+1/10*((x1m_cf)-(0))))/6)-P1_cf*MAX(0,(((0)+1/10*((x1m_cf)-(0))))-x1m_cf)-P2_cf*MAX(0,(((0)+1/10*((x1m_cf)-(0))))-x2m_cf))</f>
        <v/>
      </c>
    </row>
    <row r="6">
      <c r="D6">
        <f>IF(inputs_ok,0,NA())</f>
        <v/>
      </c>
      <c r="E6">
        <f>B_cf/2</f>
        <v/>
      </c>
      <c r="J6">
        <f>IF(inputs_ok,x1_cf-cx1_cf/2,NA())</f>
        <v/>
      </c>
      <c r="K6">
        <f>cy1_cf/2</f>
        <v/>
      </c>
      <c r="M6">
        <f>IF(inputs_ok,IF(AND(contact_ok,amax1_cf&gt;0,pk1_cf=1),(x1_cf+cx1_cf/2)+(ag1_cf)*0.831470,NA()),NA())</f>
        <v/>
      </c>
      <c r="N6">
        <f>IF(AND(contact_ok,amax1_cf&gt;0,pk1_cf=1),(cy1_cf/2)+(ag1_cf)*0.555570,NA())</f>
        <v/>
      </c>
      <c r="P6">
        <f>IF(inputs_ok,IF(AND(contact_ok,pk1_cf=2),(x1_cf+cx1_cf/2)+(ae1_cf)*0.195090,NA()),NA())</f>
        <v/>
      </c>
      <c r="Q6">
        <f>IF(AND(contact_ok,pk1_cf=2),(cy1_cf/2)+(ae1_cf)*0.980785,NA())</f>
        <v/>
      </c>
      <c r="S6">
        <f>IF(inputs_ok,IF(AND(contact_ok,pk1_cf=3),(x1_cf-cx1_cf/2)+(asd1_cf)*-0.980785,NA()),NA())</f>
        <v/>
      </c>
      <c r="T6">
        <f>IF(AND(contact_ok,pk1_cf=3),(cy1_cf/2)+(asd1_cf)*0.195090,NA())</f>
        <v/>
      </c>
      <c r="V6">
        <f>IF(inputs_ok,IF(AND(contact_ok,pk1_cf=4),(x1_cf+cx1_cf/2)+(acn1_cf)*0.195090,NA()),NA())</f>
        <v/>
      </c>
      <c r="W6">
        <f>IF(AND(contact_ok,pk1_cf=4),(cy1_cf/2)+(acn1_cf)*0.980785,NA())</f>
        <v/>
      </c>
      <c r="AB6">
        <f>IF(inputs_ok,x2_cf-cx2_cf/2,NA())</f>
        <v/>
      </c>
      <c r="AC6">
        <f>cy2_cf/2</f>
        <v/>
      </c>
      <c r="AE6">
        <f>IF(inputs_ok,IF(AND(contact_ok,amax2_cf&gt;0,pk2_cf=1),(x2_cf+cx2_cf/2)+(ag2_cf)*0.831470,NA()),NA())</f>
        <v/>
      </c>
      <c r="AF6">
        <f>IF(AND(contact_ok,amax2_cf&gt;0,pk2_cf=1),(cy2_cf/2)+(ag2_cf)*0.555570,NA())</f>
        <v/>
      </c>
      <c r="AH6">
        <f>IF(inputs_ok,IF(AND(contact_ok,pk2_cf=2),(x2_cf-cx2_cf/2)+(ae2_cf)*-0.195090,NA()),NA())</f>
        <v/>
      </c>
      <c r="AI6">
        <f>IF(AND(contact_ok,pk2_cf=2),(cy2_cf/2)+(ae2_cf)*0.980785,NA())</f>
        <v/>
      </c>
      <c r="AK6">
        <f>IF(inputs_ok,IF(AND(contact_ok,pk2_cf=3),(x2_cf-cx2_cf/2)+(asd2_cf)*-0.980785,NA()),NA())</f>
        <v/>
      </c>
      <c r="AL6">
        <f>IF(AND(contact_ok,pk2_cf=3),(cy2_cf/2)+(asd2_cf)*0.195090,NA())</f>
        <v/>
      </c>
      <c r="AN6">
        <f>IF(inputs_ok,IF(AND(contact_ok,pk2_cf=4),(x2_cf-cx2_cf/2)+(acn2_cf)*-0.195090,NA()),NA())</f>
        <v/>
      </c>
      <c r="AO6">
        <f>IF(AND(contact_ok,pk2_cf=4),(cy2_cf/2)+(acn2_cf)*0.980785,NA())</f>
        <v/>
      </c>
      <c r="CM6">
        <f>IF(inputs_ok,IF(contact_ok,1000*((0)+2/10*((x1m_cf)-(0))),NA()),NA())</f>
        <v/>
      </c>
      <c r="CN6">
        <f>base_cf-dsc_cf*((((0)+2/10*((x1m_cf)-(0))))^2*(wa_cf/2+wb_cf*(((0)+2/10*((x1m_cf)-(0))))/6)-P1_cf*MAX(0,(((0)+2/10*((x1m_cf)-(0))))-x1m_cf)-P2_cf*MAX(0,(((0)+2/10*((x1m_cf)-(0))))-x2m_cf))</f>
        <v/>
      </c>
    </row>
    <row r="7">
      <c r="D7">
        <f>IF(inputs_ok,0,NA())</f>
        <v/>
      </c>
      <c r="E7">
        <f>-B_cf/2</f>
        <v/>
      </c>
      <c r="J7">
        <f>IF(inputs_ok,x1_cf-cx1_cf/2,NA())</f>
        <v/>
      </c>
      <c r="K7">
        <f>-cy1_cf/2</f>
        <v/>
      </c>
      <c r="M7">
        <f>IF(inputs_ok,IF(AND(contact_ok,amax1_cf&gt;0,pk1_cf=1),(x1_cf+cx1_cf/2)+(ag1_cf)*0.707107,NA()),NA())</f>
        <v/>
      </c>
      <c r="N7">
        <f>IF(AND(contact_ok,amax1_cf&gt;0,pk1_cf=1),(cy1_cf/2)+(ag1_cf)*0.707107,NA())</f>
        <v/>
      </c>
      <c r="P7">
        <f>IF(inputs_ok,IF(AND(contact_ok,pk1_cf=2),(x1_cf+cx1_cf/2)+(ae1_cf)*0.382683,NA()),NA())</f>
        <v/>
      </c>
      <c r="Q7">
        <f>IF(AND(contact_ok,pk1_cf=2),(cy1_cf/2)+(ae1_cf)*0.923880,NA())</f>
        <v/>
      </c>
      <c r="S7">
        <f>IF(inputs_ok,IF(AND(contact_ok,pk1_cf=3),(x1_cf-cx1_cf/2)+(asd1_cf)*-0.923880,NA()),NA())</f>
        <v/>
      </c>
      <c r="T7">
        <f>IF(AND(contact_ok,pk1_cf=3),(cy1_cf/2)+(asd1_cf)*0.382683,NA())</f>
        <v/>
      </c>
      <c r="V7">
        <f>IF(inputs_ok,IF(AND(contact_ok,pk1_cf=4),(x1_cf+cx1_cf/2)+(acn1_cf)*0.382683,NA()),NA())</f>
        <v/>
      </c>
      <c r="W7">
        <f>IF(AND(contact_ok,pk1_cf=4),(cy1_cf/2)+(acn1_cf)*0.923880,NA())</f>
        <v/>
      </c>
      <c r="AB7">
        <f>IF(inputs_ok,x2_cf-cx2_cf/2,NA())</f>
        <v/>
      </c>
      <c r="AC7">
        <f>-cy2_cf/2</f>
        <v/>
      </c>
      <c r="AE7">
        <f>IF(inputs_ok,IF(AND(contact_ok,amax2_cf&gt;0,pk2_cf=1),(x2_cf+cx2_cf/2)+(ag2_cf)*0.707107,NA()),NA())</f>
        <v/>
      </c>
      <c r="AF7">
        <f>IF(AND(contact_ok,amax2_cf&gt;0,pk2_cf=1),(cy2_cf/2)+(ag2_cf)*0.707107,NA())</f>
        <v/>
      </c>
      <c r="AH7">
        <f>IF(inputs_ok,IF(AND(contact_ok,pk2_cf=2),(x2_cf-cx2_cf/2)+(ae2_cf)*-0.382683,NA()),NA())</f>
        <v/>
      </c>
      <c r="AI7">
        <f>IF(AND(contact_ok,pk2_cf=2),(cy2_cf/2)+(ae2_cf)*0.923880,NA())</f>
        <v/>
      </c>
      <c r="AK7">
        <f>IF(inputs_ok,IF(AND(contact_ok,pk2_cf=3),(x2_cf-cx2_cf/2)+(asd2_cf)*-0.923880,NA()),NA())</f>
        <v/>
      </c>
      <c r="AL7">
        <f>IF(AND(contact_ok,pk2_cf=3),(cy2_cf/2)+(asd2_cf)*0.382683,NA())</f>
        <v/>
      </c>
      <c r="AN7">
        <f>IF(inputs_ok,IF(AND(contact_ok,pk2_cf=4),(x2_cf-cx2_cf/2)+(acn2_cf)*-0.382683,NA()),NA())</f>
        <v/>
      </c>
      <c r="AO7">
        <f>IF(AND(contact_ok,pk2_cf=4),(cy2_cf/2)+(acn2_cf)*0.923880,NA())</f>
        <v/>
      </c>
      <c r="CM7">
        <f>IF(inputs_ok,IF(contact_ok,1000*((0)+3/10*((x1m_cf)-(0))),NA()),NA())</f>
        <v/>
      </c>
      <c r="CN7">
        <f>base_cf-dsc_cf*((((0)+3/10*((x1m_cf)-(0))))^2*(wa_cf/2+wb_cf*(((0)+3/10*((x1m_cf)-(0))))/6)-P1_cf*MAX(0,(((0)+3/10*((x1m_cf)-(0))))-x1m_cf)-P2_cf*MAX(0,(((0)+3/10*((x1m_cf)-(0))))-x2m_cf))</f>
        <v/>
      </c>
    </row>
    <row r="8">
      <c r="M8">
        <f>IF(inputs_ok,IF(AND(contact_ok,amax1_cf&gt;0,pk1_cf=1),(x1_cf+cx1_cf/2)+(ag1_cf)*0.555570,NA()),NA())</f>
        <v/>
      </c>
      <c r="N8">
        <f>IF(AND(contact_ok,amax1_cf&gt;0,pk1_cf=1),(cy1_cf/2)+(ag1_cf)*0.831470,NA())</f>
        <v/>
      </c>
      <c r="P8">
        <f>IF(inputs_ok,IF(AND(contact_ok,pk1_cf=2),(x1_cf+cx1_cf/2)+(ae1_cf)*0.555570,NA()),NA())</f>
        <v/>
      </c>
      <c r="Q8">
        <f>IF(AND(contact_ok,pk1_cf=2),(cy1_cf/2)+(ae1_cf)*0.831470,NA())</f>
        <v/>
      </c>
      <c r="S8">
        <f>IF(inputs_ok,IF(AND(contact_ok,pk1_cf=3),(x1_cf-cx1_cf/2)+(asd1_cf)*-0.831470,NA()),NA())</f>
        <v/>
      </c>
      <c r="T8">
        <f>IF(AND(contact_ok,pk1_cf=3),(cy1_cf/2)+(asd1_cf)*0.555570,NA())</f>
        <v/>
      </c>
      <c r="V8">
        <f>IF(inputs_ok,IF(AND(contact_ok,pk1_cf=4),(x1_cf+cx1_cf/2)+(acn1_cf)*0.555570,NA()),NA())</f>
        <v/>
      </c>
      <c r="W8">
        <f>IF(AND(contact_ok,pk1_cf=4),(cy1_cf/2)+(acn1_cf)*0.831470,NA())</f>
        <v/>
      </c>
      <c r="AE8">
        <f>IF(inputs_ok,IF(AND(contact_ok,amax2_cf&gt;0,pk2_cf=1),(x2_cf+cx2_cf/2)+(ag2_cf)*0.555570,NA()),NA())</f>
        <v/>
      </c>
      <c r="AF8">
        <f>IF(AND(contact_ok,amax2_cf&gt;0,pk2_cf=1),(cy2_cf/2)+(ag2_cf)*0.831470,NA())</f>
        <v/>
      </c>
      <c r="AH8">
        <f>IF(inputs_ok,IF(AND(contact_ok,pk2_cf=2),(x2_cf-cx2_cf/2)+(ae2_cf)*-0.555570,NA()),NA())</f>
        <v/>
      </c>
      <c r="AI8">
        <f>IF(AND(contact_ok,pk2_cf=2),(cy2_cf/2)+(ae2_cf)*0.831470,NA())</f>
        <v/>
      </c>
      <c r="AK8">
        <f>IF(inputs_ok,IF(AND(contact_ok,pk2_cf=3),(x2_cf-cx2_cf/2)+(asd2_cf)*-0.831470,NA()),NA())</f>
        <v/>
      </c>
      <c r="AL8">
        <f>IF(AND(contact_ok,pk2_cf=3),(cy2_cf/2)+(asd2_cf)*0.555570,NA())</f>
        <v/>
      </c>
      <c r="AN8">
        <f>IF(inputs_ok,IF(AND(contact_ok,pk2_cf=4),(x2_cf-cx2_cf/2)+(acn2_cf)*-0.555570,NA()),NA())</f>
        <v/>
      </c>
      <c r="AO8">
        <f>IF(AND(contact_ok,pk2_cf=4),(cy2_cf/2)+(acn2_cf)*0.831470,NA())</f>
        <v/>
      </c>
      <c r="CM8">
        <f>IF(inputs_ok,IF(contact_ok,1000*((0)+4/10*((x1m_cf)-(0))),NA()),NA())</f>
        <v/>
      </c>
      <c r="CN8">
        <f>base_cf-dsc_cf*((((0)+4/10*((x1m_cf)-(0))))^2*(wa_cf/2+wb_cf*(((0)+4/10*((x1m_cf)-(0))))/6)-P1_cf*MAX(0,(((0)+4/10*((x1m_cf)-(0))))-x1m_cf)-P2_cf*MAX(0,(((0)+4/10*((x1m_cf)-(0))))-x2m_cf))</f>
        <v/>
      </c>
    </row>
    <row r="9">
      <c r="M9">
        <f>IF(inputs_ok,IF(AND(contact_ok,amax1_cf&gt;0,pk1_cf=1),(x1_cf+cx1_cf/2)+(ag1_cf)*0.382683,NA()),NA())</f>
        <v/>
      </c>
      <c r="N9">
        <f>IF(AND(contact_ok,amax1_cf&gt;0,pk1_cf=1),(cy1_cf/2)+(ag1_cf)*0.923880,NA())</f>
        <v/>
      </c>
      <c r="P9">
        <f>IF(inputs_ok,IF(AND(contact_ok,pk1_cf=2),(x1_cf+cx1_cf/2)+(ae1_cf)*0.707107,NA()),NA())</f>
        <v/>
      </c>
      <c r="Q9">
        <f>IF(AND(contact_ok,pk1_cf=2),(cy1_cf/2)+(ae1_cf)*0.707107,NA())</f>
        <v/>
      </c>
      <c r="S9">
        <f>IF(inputs_ok,IF(AND(contact_ok,pk1_cf=3),(x1_cf-cx1_cf/2)+(asd1_cf)*-0.707107,NA()),NA())</f>
        <v/>
      </c>
      <c r="T9">
        <f>IF(AND(contact_ok,pk1_cf=3),(cy1_cf/2)+(asd1_cf)*0.707107,NA())</f>
        <v/>
      </c>
      <c r="V9">
        <f>IF(inputs_ok,IF(AND(contact_ok,pk1_cf=4),(x1_cf+cx1_cf/2)+(acn1_cf)*0.707107,NA()),NA())</f>
        <v/>
      </c>
      <c r="W9">
        <f>IF(AND(contact_ok,pk1_cf=4),(cy1_cf/2)+(acn1_cf)*0.707107,NA())</f>
        <v/>
      </c>
      <c r="AE9">
        <f>IF(inputs_ok,IF(AND(contact_ok,amax2_cf&gt;0,pk2_cf=1),(x2_cf+cx2_cf/2)+(ag2_cf)*0.382683,NA()),NA())</f>
        <v/>
      </c>
      <c r="AF9">
        <f>IF(AND(contact_ok,amax2_cf&gt;0,pk2_cf=1),(cy2_cf/2)+(ag2_cf)*0.923880,NA())</f>
        <v/>
      </c>
      <c r="AH9">
        <f>IF(inputs_ok,IF(AND(contact_ok,pk2_cf=2),(x2_cf-cx2_cf/2)+(ae2_cf)*-0.707107,NA()),NA())</f>
        <v/>
      </c>
      <c r="AI9">
        <f>IF(AND(contact_ok,pk2_cf=2),(cy2_cf/2)+(ae2_cf)*0.707107,NA())</f>
        <v/>
      </c>
      <c r="AK9">
        <f>IF(inputs_ok,IF(AND(contact_ok,pk2_cf=3),(x2_cf-cx2_cf/2)+(asd2_cf)*-0.707107,NA()),NA())</f>
        <v/>
      </c>
      <c r="AL9">
        <f>IF(AND(contact_ok,pk2_cf=3),(cy2_cf/2)+(asd2_cf)*0.707107,NA())</f>
        <v/>
      </c>
      <c r="AN9">
        <f>IF(inputs_ok,IF(AND(contact_ok,pk2_cf=4),(x2_cf-cx2_cf/2)+(acn2_cf)*-0.707107,NA()),NA())</f>
        <v/>
      </c>
      <c r="AO9">
        <f>IF(AND(contact_ok,pk2_cf=4),(cy2_cf/2)+(acn2_cf)*0.707107,NA())</f>
        <v/>
      </c>
      <c r="CM9">
        <f>IF(inputs_ok,IF(contact_ok,1000*((0)+5/10*((x1m_cf)-(0))),NA()),NA())</f>
        <v/>
      </c>
      <c r="CN9">
        <f>base_cf-dsc_cf*((((0)+5/10*((x1m_cf)-(0))))^2*(wa_cf/2+wb_cf*(((0)+5/10*((x1m_cf)-(0))))/6)-P1_cf*MAX(0,(((0)+5/10*((x1m_cf)-(0))))-x1m_cf)-P2_cf*MAX(0,(((0)+5/10*((x1m_cf)-(0))))-x2m_cf))</f>
        <v/>
      </c>
    </row>
    <row r="10">
      <c r="M10">
        <f>IF(inputs_ok,IF(AND(contact_ok,amax1_cf&gt;0,pk1_cf=1),(x1_cf+cx1_cf/2)+(ag1_cf)*0.195090,NA()),NA())</f>
        <v/>
      </c>
      <c r="N10">
        <f>IF(AND(contact_ok,amax1_cf&gt;0,pk1_cf=1),(cy1_cf/2)+(ag1_cf)*0.980785,NA())</f>
        <v/>
      </c>
      <c r="P10">
        <f>IF(inputs_ok,IF(AND(contact_ok,pk1_cf=2),(x1_cf+cx1_cf/2)+(ae1_cf)*0.831470,NA()),NA())</f>
        <v/>
      </c>
      <c r="Q10">
        <f>IF(AND(contact_ok,pk1_cf=2),(cy1_cf/2)+(ae1_cf)*0.555570,NA())</f>
        <v/>
      </c>
      <c r="S10">
        <f>IF(inputs_ok,IF(AND(contact_ok,pk1_cf=3),(x1_cf-cx1_cf/2)+(asd1_cf)*-0.555570,NA()),NA())</f>
        <v/>
      </c>
      <c r="T10">
        <f>IF(AND(contact_ok,pk1_cf=3),(cy1_cf/2)+(asd1_cf)*0.831470,NA())</f>
        <v/>
      </c>
      <c r="V10">
        <f>IF(inputs_ok,IF(AND(contact_ok,pk1_cf=4),(x1_cf+cx1_cf/2)+(acn1_cf)*0.831470,NA()),NA())</f>
        <v/>
      </c>
      <c r="W10">
        <f>IF(AND(contact_ok,pk1_cf=4),(cy1_cf/2)+(acn1_cf)*0.555570,NA())</f>
        <v/>
      </c>
      <c r="AE10">
        <f>IF(inputs_ok,IF(AND(contact_ok,amax2_cf&gt;0,pk2_cf=1),(x2_cf+cx2_cf/2)+(ag2_cf)*0.195090,NA()),NA())</f>
        <v/>
      </c>
      <c r="AF10">
        <f>IF(AND(contact_ok,amax2_cf&gt;0,pk2_cf=1),(cy2_cf/2)+(ag2_cf)*0.980785,NA())</f>
        <v/>
      </c>
      <c r="AH10">
        <f>IF(inputs_ok,IF(AND(contact_ok,pk2_cf=2),(x2_cf-cx2_cf/2)+(ae2_cf)*-0.831470,NA()),NA())</f>
        <v/>
      </c>
      <c r="AI10">
        <f>IF(AND(contact_ok,pk2_cf=2),(cy2_cf/2)+(ae2_cf)*0.555570,NA())</f>
        <v/>
      </c>
      <c r="AK10">
        <f>IF(inputs_ok,IF(AND(contact_ok,pk2_cf=3),(x2_cf-cx2_cf/2)+(asd2_cf)*-0.555570,NA()),NA())</f>
        <v/>
      </c>
      <c r="AL10">
        <f>IF(AND(contact_ok,pk2_cf=3),(cy2_cf/2)+(asd2_cf)*0.831470,NA())</f>
        <v/>
      </c>
      <c r="AN10">
        <f>IF(inputs_ok,IF(AND(contact_ok,pk2_cf=4),(x2_cf-cx2_cf/2)+(acn2_cf)*-0.831470,NA()),NA())</f>
        <v/>
      </c>
      <c r="AO10">
        <f>IF(AND(contact_ok,pk2_cf=4),(cy2_cf/2)+(acn2_cf)*0.555570,NA())</f>
        <v/>
      </c>
      <c r="CM10">
        <f>IF(inputs_ok,IF(contact_ok,1000*((0)+6/10*((x1m_cf)-(0))),NA()),NA())</f>
        <v/>
      </c>
      <c r="CN10">
        <f>base_cf-dsc_cf*((((0)+6/10*((x1m_cf)-(0))))^2*(wa_cf/2+wb_cf*(((0)+6/10*((x1m_cf)-(0))))/6)-P1_cf*MAX(0,(((0)+6/10*((x1m_cf)-(0))))-x1m_cf)-P2_cf*MAX(0,(((0)+6/10*((x1m_cf)-(0))))-x2m_cf))</f>
        <v/>
      </c>
    </row>
    <row r="11">
      <c r="M11">
        <f>IF(inputs_ok,IF(AND(contact_ok,amax1_cf&gt;0,pk1_cf=1),(x1_cf+cx1_cf/2)+(ag1_cf)*0.000000,NA()),NA())</f>
        <v/>
      </c>
      <c r="N11">
        <f>IF(AND(contact_ok,amax1_cf&gt;0,pk1_cf=1),(cy1_cf/2)+(ag1_cf)*1.000000,NA())</f>
        <v/>
      </c>
      <c r="P11">
        <f>IF(inputs_ok,IF(AND(contact_ok,pk1_cf=2),(x1_cf+cx1_cf/2)+(ae1_cf)*0.923880,NA()),NA())</f>
        <v/>
      </c>
      <c r="Q11">
        <f>IF(AND(contact_ok,pk1_cf=2),(cy1_cf/2)+(ae1_cf)*0.382683,NA())</f>
        <v/>
      </c>
      <c r="S11">
        <f>IF(inputs_ok,IF(AND(contact_ok,pk1_cf=3),(x1_cf-cx1_cf/2)+(asd1_cf)*-0.382683,NA()),NA())</f>
        <v/>
      </c>
      <c r="T11">
        <f>IF(AND(contact_ok,pk1_cf=3),(cy1_cf/2)+(asd1_cf)*0.923880,NA())</f>
        <v/>
      </c>
      <c r="V11">
        <f>IF(inputs_ok,IF(AND(contact_ok,pk1_cf=4),(x1_cf+cx1_cf/2)+(acn1_cf)*0.923880,NA()),NA())</f>
        <v/>
      </c>
      <c r="W11">
        <f>IF(AND(contact_ok,pk1_cf=4),(cy1_cf/2)+(acn1_cf)*0.382683,NA())</f>
        <v/>
      </c>
      <c r="AE11">
        <f>IF(inputs_ok,IF(AND(contact_ok,amax2_cf&gt;0,pk2_cf=1),(x2_cf+cx2_cf/2)+(ag2_cf)*0.000000,NA()),NA())</f>
        <v/>
      </c>
      <c r="AF11">
        <f>IF(AND(contact_ok,amax2_cf&gt;0,pk2_cf=1),(cy2_cf/2)+(ag2_cf)*1.000000,NA())</f>
        <v/>
      </c>
      <c r="AH11">
        <f>IF(inputs_ok,IF(AND(contact_ok,pk2_cf=2),(x2_cf-cx2_cf/2)+(ae2_cf)*-0.923880,NA()),NA())</f>
        <v/>
      </c>
      <c r="AI11">
        <f>IF(AND(contact_ok,pk2_cf=2),(cy2_cf/2)+(ae2_cf)*0.382683,NA())</f>
        <v/>
      </c>
      <c r="AK11">
        <f>IF(inputs_ok,IF(AND(contact_ok,pk2_cf=3),(x2_cf-cx2_cf/2)+(asd2_cf)*-0.382683,NA()),NA())</f>
        <v/>
      </c>
      <c r="AL11">
        <f>IF(AND(contact_ok,pk2_cf=3),(cy2_cf/2)+(asd2_cf)*0.923880,NA())</f>
        <v/>
      </c>
      <c r="AN11">
        <f>IF(inputs_ok,IF(AND(contact_ok,pk2_cf=4),(x2_cf-cx2_cf/2)+(acn2_cf)*-0.923880,NA()),NA())</f>
        <v/>
      </c>
      <c r="AO11">
        <f>IF(AND(contact_ok,pk2_cf=4),(cy2_cf/2)+(acn2_cf)*0.382683,NA())</f>
        <v/>
      </c>
      <c r="CM11">
        <f>IF(inputs_ok,IF(contact_ok,1000*((0)+7/10*((x1m_cf)-(0))),NA()),NA())</f>
        <v/>
      </c>
      <c r="CN11">
        <f>base_cf-dsc_cf*((((0)+7/10*((x1m_cf)-(0))))^2*(wa_cf/2+wb_cf*(((0)+7/10*((x1m_cf)-(0))))/6)-P1_cf*MAX(0,(((0)+7/10*((x1m_cf)-(0))))-x1m_cf)-P2_cf*MAX(0,(((0)+7/10*((x1m_cf)-(0))))-x2m_cf))</f>
        <v/>
      </c>
    </row>
    <row r="12">
      <c r="M12">
        <f>IF(inputs_ok,IF(AND(contact_ok,amax1_cf&gt;0,pk1_cf=1),(x1_cf-cx1_cf/2)+(ag1_cf)*0.000000,NA()),NA())</f>
        <v/>
      </c>
      <c r="N12">
        <f>IF(AND(contact_ok,amax1_cf&gt;0,pk1_cf=1),(cy1_cf/2)+(ag1_cf)*1.000000,NA())</f>
        <v/>
      </c>
      <c r="P12">
        <f>IF(inputs_ok,IF(AND(contact_ok,pk1_cf=2),(x1_cf+cx1_cf/2)+(ae1_cf)*0.980785,NA()),NA())</f>
        <v/>
      </c>
      <c r="Q12">
        <f>IF(AND(contact_ok,pk1_cf=2),(cy1_cf/2)+(ae1_cf)*0.195090,NA())</f>
        <v/>
      </c>
      <c r="S12">
        <f>IF(inputs_ok,IF(AND(contact_ok,pk1_cf=3),(x1_cf-cx1_cf/2)+(asd1_cf)*-0.195090,NA()),NA())</f>
        <v/>
      </c>
      <c r="T12">
        <f>IF(AND(contact_ok,pk1_cf=3),(cy1_cf/2)+(asd1_cf)*0.980785,NA())</f>
        <v/>
      </c>
      <c r="V12">
        <f>IF(inputs_ok,IF(AND(contact_ok,pk1_cf=4),(x1_cf+cx1_cf/2)+(acn1_cf)*0.980785,NA()),NA())</f>
        <v/>
      </c>
      <c r="W12">
        <f>IF(AND(contact_ok,pk1_cf=4),(cy1_cf/2)+(acn1_cf)*0.195090,NA())</f>
        <v/>
      </c>
      <c r="AE12">
        <f>IF(inputs_ok,IF(AND(contact_ok,amax2_cf&gt;0,pk2_cf=1),(x2_cf-cx2_cf/2)+(ag2_cf)*0.000000,NA()),NA())</f>
        <v/>
      </c>
      <c r="AF12">
        <f>IF(AND(contact_ok,amax2_cf&gt;0,pk2_cf=1),(cy2_cf/2)+(ag2_cf)*1.000000,NA())</f>
        <v/>
      </c>
      <c r="AH12">
        <f>IF(inputs_ok,IF(AND(contact_ok,pk2_cf=2),(x2_cf-cx2_cf/2)+(ae2_cf)*-0.980785,NA()),NA())</f>
        <v/>
      </c>
      <c r="AI12">
        <f>IF(AND(contact_ok,pk2_cf=2),(cy2_cf/2)+(ae2_cf)*0.195090,NA())</f>
        <v/>
      </c>
      <c r="AK12">
        <f>IF(inputs_ok,IF(AND(contact_ok,pk2_cf=3),(x2_cf-cx2_cf/2)+(asd2_cf)*-0.195090,NA()),NA())</f>
        <v/>
      </c>
      <c r="AL12">
        <f>IF(AND(contact_ok,pk2_cf=3),(cy2_cf/2)+(asd2_cf)*0.980785,NA())</f>
        <v/>
      </c>
      <c r="AN12">
        <f>IF(inputs_ok,IF(AND(contact_ok,pk2_cf=4),(x2_cf-cx2_cf/2)+(acn2_cf)*-0.980785,NA()),NA())</f>
        <v/>
      </c>
      <c r="AO12">
        <f>IF(AND(contact_ok,pk2_cf=4),(cy2_cf/2)+(acn2_cf)*0.195090,NA())</f>
        <v/>
      </c>
      <c r="CM12">
        <f>IF(inputs_ok,IF(contact_ok,1000*((0)+8/10*((x1m_cf)-(0))),NA()),NA())</f>
        <v/>
      </c>
      <c r="CN12">
        <f>base_cf-dsc_cf*((((0)+8/10*((x1m_cf)-(0))))^2*(wa_cf/2+wb_cf*(((0)+8/10*((x1m_cf)-(0))))/6)-P1_cf*MAX(0,(((0)+8/10*((x1m_cf)-(0))))-x1m_cf)-P2_cf*MAX(0,(((0)+8/10*((x1m_cf)-(0))))-x2m_cf))</f>
        <v/>
      </c>
    </row>
    <row r="13">
      <c r="M13">
        <f>IF(inputs_ok,IF(AND(contact_ok,amax1_cf&gt;0,pk1_cf=1),(x1_cf-cx1_cf/2)+(ag1_cf)*-0.195090,NA()),NA())</f>
        <v/>
      </c>
      <c r="N13">
        <f>IF(AND(contact_ok,amax1_cf&gt;0,pk1_cf=1),(cy1_cf/2)+(ag1_cf)*0.980785,NA())</f>
        <v/>
      </c>
      <c r="P13">
        <f>IF(inputs_ok,IF(AND(contact_ok,pk1_cf=2),(x1_cf+cx1_cf/2)+(ae1_cf)*1.000000,NA()),NA())</f>
        <v/>
      </c>
      <c r="Q13">
        <f>IF(AND(contact_ok,pk1_cf=2),(cy1_cf/2)+(ae1_cf)*0.000000,NA())</f>
        <v/>
      </c>
      <c r="S13">
        <f>IF(inputs_ok,IF(AND(contact_ok,pk1_cf=3),(x1_cf-cx1_cf/2)+(asd1_cf)*0.000000,NA()),NA())</f>
        <v/>
      </c>
      <c r="T13">
        <f>IF(AND(contact_ok,pk1_cf=3),(cy1_cf/2)+(asd1_cf)*1.000000,NA())</f>
        <v/>
      </c>
      <c r="V13">
        <f>IF(inputs_ok,IF(AND(contact_ok,pk1_cf=4),(x1_cf+cx1_cf/2)+(acn1_cf)*1.000000,NA()),NA())</f>
        <v/>
      </c>
      <c r="W13">
        <f>IF(AND(contact_ok,pk1_cf=4),(cy1_cf/2)+(acn1_cf)*0.000000,NA())</f>
        <v/>
      </c>
      <c r="AE13">
        <f>IF(inputs_ok,IF(AND(contact_ok,amax2_cf&gt;0,pk2_cf=1),(x2_cf-cx2_cf/2)+(ag2_cf)*-0.195090,NA()),NA())</f>
        <v/>
      </c>
      <c r="AF13">
        <f>IF(AND(contact_ok,amax2_cf&gt;0,pk2_cf=1),(cy2_cf/2)+(ag2_cf)*0.980785,NA())</f>
        <v/>
      </c>
      <c r="AH13">
        <f>IF(inputs_ok,IF(AND(contact_ok,pk2_cf=2),(x2_cf-cx2_cf/2)+(ae2_cf)*-1.000000,NA()),NA())</f>
        <v/>
      </c>
      <c r="AI13">
        <f>IF(AND(contact_ok,pk2_cf=2),(cy2_cf/2)+(ae2_cf)*0.000000,NA())</f>
        <v/>
      </c>
      <c r="AK13">
        <f>IF(inputs_ok,IF(AND(contact_ok,pk2_cf=3),(x2_cf-cx2_cf/2)+(asd2_cf)*0.000000,NA()),NA())</f>
        <v/>
      </c>
      <c r="AL13">
        <f>IF(AND(contact_ok,pk2_cf=3),(cy2_cf/2)+(asd2_cf)*1.000000,NA())</f>
        <v/>
      </c>
      <c r="AN13">
        <f>IF(inputs_ok,IF(AND(contact_ok,pk2_cf=4),(x2_cf-cx2_cf/2)+(acn2_cf)*-1.000000,NA()),NA())</f>
        <v/>
      </c>
      <c r="AO13">
        <f>IF(AND(contact_ok,pk2_cf=4),(cy2_cf/2)+(acn2_cf)*0.000000,NA())</f>
        <v/>
      </c>
      <c r="CM13">
        <f>IF(inputs_ok,IF(contact_ok,1000*((0)+9/10*((x1m_cf)-(0))),NA()),NA())</f>
        <v/>
      </c>
      <c r="CN13">
        <f>base_cf-dsc_cf*((((0)+9/10*((x1m_cf)-(0))))^2*(wa_cf/2+wb_cf*(((0)+9/10*((x1m_cf)-(0))))/6)-P1_cf*MAX(0,(((0)+9/10*((x1m_cf)-(0))))-x1m_cf)-P2_cf*MAX(0,(((0)+9/10*((x1m_cf)-(0))))-x2m_cf))</f>
        <v/>
      </c>
    </row>
    <row r="14">
      <c r="M14">
        <f>IF(inputs_ok,IF(AND(contact_ok,amax1_cf&gt;0,pk1_cf=1),(x1_cf-cx1_cf/2)+(ag1_cf)*-0.382683,NA()),NA())</f>
        <v/>
      </c>
      <c r="N14">
        <f>IF(AND(contact_ok,amax1_cf&gt;0,pk1_cf=1),(cy1_cf/2)+(ag1_cf)*0.923880,NA())</f>
        <v/>
      </c>
      <c r="P14">
        <f>IF(inputs_ok,IF(AND(contact_ok,pk1_cf=2),(x1_cf+cx1_cf/2)+(ae1_cf)*1.000000,NA()),NA())</f>
        <v/>
      </c>
      <c r="Q14">
        <f>IF(AND(contact_ok,pk1_cf=2),(-cy1_cf/2)+(ae1_cf)*0.000000,NA())</f>
        <v/>
      </c>
      <c r="S14">
        <f>IF(inputs_ok,IF(AND(contact_ok,pk1_cf=3),(x1_cf+cx1_cf/2)+(asd1_cf)*0.000000,NA()),NA())</f>
        <v/>
      </c>
      <c r="T14">
        <f>IF(AND(contact_ok,pk1_cf=3),(cy1_cf/2)+(asd1_cf)*1.000000,NA())</f>
        <v/>
      </c>
      <c r="V14">
        <f>IF(inputs_ok,IF(AND(contact_ok,pk1_cf=4),x1_cf+cx1_cf/2+acn1_cf,NA()),NA())</f>
        <v/>
      </c>
      <c r="W14">
        <f>IF(AND(contact_ok,pk1_cf=4),-B_cf/2,NA())</f>
        <v/>
      </c>
      <c r="AE14">
        <f>IF(inputs_ok,IF(AND(contact_ok,amax2_cf&gt;0,pk2_cf=1),(x2_cf-cx2_cf/2)+(ag2_cf)*-0.382683,NA()),NA())</f>
        <v/>
      </c>
      <c r="AF14">
        <f>IF(AND(contact_ok,amax2_cf&gt;0,pk2_cf=1),(cy2_cf/2)+(ag2_cf)*0.923880,NA())</f>
        <v/>
      </c>
      <c r="AH14">
        <f>IF(inputs_ok,IF(AND(contact_ok,pk2_cf=2),(x2_cf-cx2_cf/2)+(ae2_cf)*-1.000000,NA()),NA())</f>
        <v/>
      </c>
      <c r="AI14">
        <f>IF(AND(contact_ok,pk2_cf=2),(-cy2_cf/2)+(ae2_cf)*0.000000,NA())</f>
        <v/>
      </c>
      <c r="AK14">
        <f>IF(inputs_ok,IF(AND(contact_ok,pk2_cf=3),(x2_cf+cx2_cf/2)+(asd2_cf)*0.000000,NA()),NA())</f>
        <v/>
      </c>
      <c r="AL14">
        <f>IF(AND(contact_ok,pk2_cf=3),(cy2_cf/2)+(asd2_cf)*1.000000,NA())</f>
        <v/>
      </c>
      <c r="AN14">
        <f>IF(inputs_ok,IF(AND(contact_ok,pk2_cf=4),x2_cf-cx2_cf/2-acn2_cf,NA()),NA())</f>
        <v/>
      </c>
      <c r="AO14">
        <f>IF(AND(contact_ok,pk2_cf=4),-B_cf/2,NA())</f>
        <v/>
      </c>
      <c r="CM14">
        <f>IF(inputs_ok,IF(contact_ok,1000*((0)+10/10*((x1m_cf)-(0))),NA()),NA())</f>
        <v/>
      </c>
      <c r="CN14">
        <f>base_cf-dsc_cf*((((0)+10/10*((x1m_cf)-(0))))^2*(wa_cf/2+wb_cf*(((0)+10/10*((x1m_cf)-(0))))/6)-P1_cf*MAX(0,(((0)+10/10*((x1m_cf)-(0))))-x1m_cf)-P2_cf*MAX(0,(((0)+10/10*((x1m_cf)-(0))))-x2m_cf))</f>
        <v/>
      </c>
    </row>
    <row r="15">
      <c r="M15">
        <f>IF(inputs_ok,IF(AND(contact_ok,amax1_cf&gt;0,pk1_cf=1),(x1_cf-cx1_cf/2)+(ag1_cf)*-0.555570,NA()),NA())</f>
        <v/>
      </c>
      <c r="N15">
        <f>IF(AND(contact_ok,amax1_cf&gt;0,pk1_cf=1),(cy1_cf/2)+(ag1_cf)*0.831470,NA())</f>
        <v/>
      </c>
      <c r="P15">
        <f>IF(inputs_ok,IF(AND(contact_ok,pk1_cf=2),(x1_cf+cx1_cf/2)+(ae1_cf)*0.980785,NA()),NA())</f>
        <v/>
      </c>
      <c r="Q15">
        <f>IF(AND(contact_ok,pk1_cf=2),(-cy1_cf/2)+(ae1_cf)*-0.195090,NA())</f>
        <v/>
      </c>
      <c r="S15">
        <f>IF(inputs_ok,IF(AND(contact_ok,pk1_cf=3),(x1_cf+cx1_cf/2)+(asd1_cf)*0.195090,NA()),NA())</f>
        <v/>
      </c>
      <c r="T15">
        <f>IF(AND(contact_ok,pk1_cf=3),(cy1_cf/2)+(asd1_cf)*0.980785,NA())</f>
        <v/>
      </c>
      <c r="AE15">
        <f>IF(inputs_ok,IF(AND(contact_ok,amax2_cf&gt;0,pk2_cf=1),(x2_cf-cx2_cf/2)+(ag2_cf)*-0.555570,NA()),NA())</f>
        <v/>
      </c>
      <c r="AF15">
        <f>IF(AND(contact_ok,amax2_cf&gt;0,pk2_cf=1),(cy2_cf/2)+(ag2_cf)*0.831470,NA())</f>
        <v/>
      </c>
      <c r="AH15">
        <f>IF(inputs_ok,IF(AND(contact_ok,pk2_cf=2),(x2_cf-cx2_cf/2)+(ae2_cf)*-0.980785,NA()),NA())</f>
        <v/>
      </c>
      <c r="AI15">
        <f>IF(AND(contact_ok,pk2_cf=2),(-cy2_cf/2)+(ae2_cf)*-0.195090,NA())</f>
        <v/>
      </c>
      <c r="AK15">
        <f>IF(inputs_ok,IF(AND(contact_ok,pk2_cf=3),(x2_cf+cx2_cf/2)+(asd2_cf)*0.195090,NA()),NA())</f>
        <v/>
      </c>
      <c r="AL15">
        <f>IF(AND(contact_ok,pk2_cf=3),(cy2_cf/2)+(asd2_cf)*0.980785,NA())</f>
        <v/>
      </c>
      <c r="CM15">
        <f>IF(inputs_ok,IF(contact_ok,1000*((x1m_cf)+0/10*((xh_cf)-(x1m_cf))),NA()),NA())</f>
        <v/>
      </c>
      <c r="CN15">
        <f>base_cf-dsc_cf*((((x1m_cf)+0/10*((xh_cf)-(x1m_cf))))^2*(wa_cf/2+wb_cf*(((x1m_cf)+0/10*((xh_cf)-(x1m_cf))))/6)-P1_cf*MAX(0,(((x1m_cf)+0/10*((xh_cf)-(x1m_cf))))-x1m_cf)-P2_cf*MAX(0,(((x1m_cf)+0/10*((xh_cf)-(x1m_cf))))-x2m_cf))</f>
        <v/>
      </c>
    </row>
    <row r="16">
      <c r="M16">
        <f>IF(inputs_ok,IF(AND(contact_ok,amax1_cf&gt;0,pk1_cf=1),(x1_cf-cx1_cf/2)+(ag1_cf)*-0.707107,NA()),NA())</f>
        <v/>
      </c>
      <c r="N16">
        <f>IF(AND(contact_ok,amax1_cf&gt;0,pk1_cf=1),(cy1_cf/2)+(ag1_cf)*0.707107,NA())</f>
        <v/>
      </c>
      <c r="P16">
        <f>IF(inputs_ok,IF(AND(contact_ok,pk1_cf=2),(x1_cf+cx1_cf/2)+(ae1_cf)*0.923880,NA()),NA())</f>
        <v/>
      </c>
      <c r="Q16">
        <f>IF(AND(contact_ok,pk1_cf=2),(-cy1_cf/2)+(ae1_cf)*-0.382683,NA())</f>
        <v/>
      </c>
      <c r="S16">
        <f>IF(inputs_ok,IF(AND(contact_ok,pk1_cf=3),(x1_cf+cx1_cf/2)+(asd1_cf)*0.382683,NA()),NA())</f>
        <v/>
      </c>
      <c r="T16">
        <f>IF(AND(contact_ok,pk1_cf=3),(cy1_cf/2)+(asd1_cf)*0.923880,NA())</f>
        <v/>
      </c>
      <c r="AE16">
        <f>IF(inputs_ok,IF(AND(contact_ok,amax2_cf&gt;0,pk2_cf=1),(x2_cf-cx2_cf/2)+(ag2_cf)*-0.707107,NA()),NA())</f>
        <v/>
      </c>
      <c r="AF16">
        <f>IF(AND(contact_ok,amax2_cf&gt;0,pk2_cf=1),(cy2_cf/2)+(ag2_cf)*0.707107,NA())</f>
        <v/>
      </c>
      <c r="AH16">
        <f>IF(inputs_ok,IF(AND(contact_ok,pk2_cf=2),(x2_cf-cx2_cf/2)+(ae2_cf)*-0.923880,NA()),NA())</f>
        <v/>
      </c>
      <c r="AI16">
        <f>IF(AND(contact_ok,pk2_cf=2),(-cy2_cf/2)+(ae2_cf)*-0.382683,NA())</f>
        <v/>
      </c>
      <c r="AK16">
        <f>IF(inputs_ok,IF(AND(contact_ok,pk2_cf=3),(x2_cf+cx2_cf/2)+(asd2_cf)*0.382683,NA()),NA())</f>
        <v/>
      </c>
      <c r="AL16">
        <f>IF(AND(contact_ok,pk2_cf=3),(cy2_cf/2)+(asd2_cf)*0.923880,NA())</f>
        <v/>
      </c>
      <c r="CM16">
        <f>IF(inputs_ok,IF(contact_ok,1000*((x1m_cf)+1/10*((xh_cf)-(x1m_cf))),NA()),NA())</f>
        <v/>
      </c>
      <c r="CN16">
        <f>base_cf-dsc_cf*((((x1m_cf)+1/10*((xh_cf)-(x1m_cf))))^2*(wa_cf/2+wb_cf*(((x1m_cf)+1/10*((xh_cf)-(x1m_cf))))/6)-P1_cf*MAX(0,(((x1m_cf)+1/10*((xh_cf)-(x1m_cf))))-x1m_cf)-P2_cf*MAX(0,(((x1m_cf)+1/10*((xh_cf)-(x1m_cf))))-x2m_cf))</f>
        <v/>
      </c>
    </row>
    <row r="17">
      <c r="M17">
        <f>IF(inputs_ok,IF(AND(contact_ok,amax1_cf&gt;0,pk1_cf=1),(x1_cf-cx1_cf/2)+(ag1_cf)*-0.831470,NA()),NA())</f>
        <v/>
      </c>
      <c r="N17">
        <f>IF(AND(contact_ok,amax1_cf&gt;0,pk1_cf=1),(cy1_cf/2)+(ag1_cf)*0.555570,NA())</f>
        <v/>
      </c>
      <c r="P17">
        <f>IF(inputs_ok,IF(AND(contact_ok,pk1_cf=2),(x1_cf+cx1_cf/2)+(ae1_cf)*0.831470,NA()),NA())</f>
        <v/>
      </c>
      <c r="Q17">
        <f>IF(AND(contact_ok,pk1_cf=2),(-cy1_cf/2)+(ae1_cf)*-0.555570,NA())</f>
        <v/>
      </c>
      <c r="S17">
        <f>IF(inputs_ok,IF(AND(contact_ok,pk1_cf=3),(x1_cf+cx1_cf/2)+(asd1_cf)*0.555570,NA()),NA())</f>
        <v/>
      </c>
      <c r="T17">
        <f>IF(AND(contact_ok,pk1_cf=3),(cy1_cf/2)+(asd1_cf)*0.831470,NA())</f>
        <v/>
      </c>
      <c r="AE17">
        <f>IF(inputs_ok,IF(AND(contact_ok,amax2_cf&gt;0,pk2_cf=1),(x2_cf-cx2_cf/2)+(ag2_cf)*-0.831470,NA()),NA())</f>
        <v/>
      </c>
      <c r="AF17">
        <f>IF(AND(contact_ok,amax2_cf&gt;0,pk2_cf=1),(cy2_cf/2)+(ag2_cf)*0.555570,NA())</f>
        <v/>
      </c>
      <c r="AH17">
        <f>IF(inputs_ok,IF(AND(contact_ok,pk2_cf=2),(x2_cf-cx2_cf/2)+(ae2_cf)*-0.831470,NA()),NA())</f>
        <v/>
      </c>
      <c r="AI17">
        <f>IF(AND(contact_ok,pk2_cf=2),(-cy2_cf/2)+(ae2_cf)*-0.555570,NA())</f>
        <v/>
      </c>
      <c r="AK17">
        <f>IF(inputs_ok,IF(AND(contact_ok,pk2_cf=3),(x2_cf+cx2_cf/2)+(asd2_cf)*0.555570,NA()),NA())</f>
        <v/>
      </c>
      <c r="AL17">
        <f>IF(AND(contact_ok,pk2_cf=3),(cy2_cf/2)+(asd2_cf)*0.831470,NA())</f>
        <v/>
      </c>
      <c r="CM17">
        <f>IF(inputs_ok,IF(contact_ok,1000*((x1m_cf)+2/10*((xh_cf)-(x1m_cf))),NA()),NA())</f>
        <v/>
      </c>
      <c r="CN17">
        <f>base_cf-dsc_cf*((((x1m_cf)+2/10*((xh_cf)-(x1m_cf))))^2*(wa_cf/2+wb_cf*(((x1m_cf)+2/10*((xh_cf)-(x1m_cf))))/6)-P1_cf*MAX(0,(((x1m_cf)+2/10*((xh_cf)-(x1m_cf))))-x1m_cf)-P2_cf*MAX(0,(((x1m_cf)+2/10*((xh_cf)-(x1m_cf))))-x2m_cf))</f>
        <v/>
      </c>
    </row>
    <row r="18">
      <c r="M18">
        <f>IF(inputs_ok,IF(AND(contact_ok,amax1_cf&gt;0,pk1_cf=1),(x1_cf-cx1_cf/2)+(ag1_cf)*-0.923880,NA()),NA())</f>
        <v/>
      </c>
      <c r="N18">
        <f>IF(AND(contact_ok,amax1_cf&gt;0,pk1_cf=1),(cy1_cf/2)+(ag1_cf)*0.382683,NA())</f>
        <v/>
      </c>
      <c r="P18">
        <f>IF(inputs_ok,IF(AND(contact_ok,pk1_cf=2),(x1_cf+cx1_cf/2)+(ae1_cf)*0.707107,NA()),NA())</f>
        <v/>
      </c>
      <c r="Q18">
        <f>IF(AND(contact_ok,pk1_cf=2),(-cy1_cf/2)+(ae1_cf)*-0.707107,NA())</f>
        <v/>
      </c>
      <c r="S18">
        <f>IF(inputs_ok,IF(AND(contact_ok,pk1_cf=3),(x1_cf+cx1_cf/2)+(asd1_cf)*0.707107,NA()),NA())</f>
        <v/>
      </c>
      <c r="T18">
        <f>IF(AND(contact_ok,pk1_cf=3),(cy1_cf/2)+(asd1_cf)*0.707107,NA())</f>
        <v/>
      </c>
      <c r="AE18">
        <f>IF(inputs_ok,IF(AND(contact_ok,amax2_cf&gt;0,pk2_cf=1),(x2_cf-cx2_cf/2)+(ag2_cf)*-0.923880,NA()),NA())</f>
        <v/>
      </c>
      <c r="AF18">
        <f>IF(AND(contact_ok,amax2_cf&gt;0,pk2_cf=1),(cy2_cf/2)+(ag2_cf)*0.382683,NA())</f>
        <v/>
      </c>
      <c r="AH18">
        <f>IF(inputs_ok,IF(AND(contact_ok,pk2_cf=2),(x2_cf-cx2_cf/2)+(ae2_cf)*-0.707107,NA()),NA())</f>
        <v/>
      </c>
      <c r="AI18">
        <f>IF(AND(contact_ok,pk2_cf=2),(-cy2_cf/2)+(ae2_cf)*-0.707107,NA())</f>
        <v/>
      </c>
      <c r="AK18">
        <f>IF(inputs_ok,IF(AND(contact_ok,pk2_cf=3),(x2_cf+cx2_cf/2)+(asd2_cf)*0.707107,NA()),NA())</f>
        <v/>
      </c>
      <c r="AL18">
        <f>IF(AND(contact_ok,pk2_cf=3),(cy2_cf/2)+(asd2_cf)*0.707107,NA())</f>
        <v/>
      </c>
      <c r="CM18">
        <f>IF(inputs_ok,IF(contact_ok,1000*((x1m_cf)+3/10*((xh_cf)-(x1m_cf))),NA()),NA())</f>
        <v/>
      </c>
      <c r="CN18">
        <f>base_cf-dsc_cf*((((x1m_cf)+3/10*((xh_cf)-(x1m_cf))))^2*(wa_cf/2+wb_cf*(((x1m_cf)+3/10*((xh_cf)-(x1m_cf))))/6)-P1_cf*MAX(0,(((x1m_cf)+3/10*((xh_cf)-(x1m_cf))))-x1m_cf)-P2_cf*MAX(0,(((x1m_cf)+3/10*((xh_cf)-(x1m_cf))))-x2m_cf))</f>
        <v/>
      </c>
    </row>
    <row r="19">
      <c r="M19">
        <f>IF(inputs_ok,IF(AND(contact_ok,amax1_cf&gt;0,pk1_cf=1),(x1_cf-cx1_cf/2)+(ag1_cf)*-0.980785,NA()),NA())</f>
        <v/>
      </c>
      <c r="N19">
        <f>IF(AND(contact_ok,amax1_cf&gt;0,pk1_cf=1),(cy1_cf/2)+(ag1_cf)*0.195090,NA())</f>
        <v/>
      </c>
      <c r="P19">
        <f>IF(inputs_ok,IF(AND(contact_ok,pk1_cf=2),(x1_cf+cx1_cf/2)+(ae1_cf)*0.555570,NA()),NA())</f>
        <v/>
      </c>
      <c r="Q19">
        <f>IF(AND(contact_ok,pk1_cf=2),(-cy1_cf/2)+(ae1_cf)*-0.831470,NA())</f>
        <v/>
      </c>
      <c r="S19">
        <f>IF(inputs_ok,IF(AND(contact_ok,pk1_cf=3),(x1_cf+cx1_cf/2)+(asd1_cf)*0.831470,NA()),NA())</f>
        <v/>
      </c>
      <c r="T19">
        <f>IF(AND(contact_ok,pk1_cf=3),(cy1_cf/2)+(asd1_cf)*0.555570,NA())</f>
        <v/>
      </c>
      <c r="AE19">
        <f>IF(inputs_ok,IF(AND(contact_ok,amax2_cf&gt;0,pk2_cf=1),(x2_cf-cx2_cf/2)+(ag2_cf)*-0.980785,NA()),NA())</f>
        <v/>
      </c>
      <c r="AF19">
        <f>IF(AND(contact_ok,amax2_cf&gt;0,pk2_cf=1),(cy2_cf/2)+(ag2_cf)*0.195090,NA())</f>
        <v/>
      </c>
      <c r="AH19">
        <f>IF(inputs_ok,IF(AND(contact_ok,pk2_cf=2),(x2_cf-cx2_cf/2)+(ae2_cf)*-0.555570,NA()),NA())</f>
        <v/>
      </c>
      <c r="AI19">
        <f>IF(AND(contact_ok,pk2_cf=2),(-cy2_cf/2)+(ae2_cf)*-0.831470,NA())</f>
        <v/>
      </c>
      <c r="AK19">
        <f>IF(inputs_ok,IF(AND(contact_ok,pk2_cf=3),(x2_cf+cx2_cf/2)+(asd2_cf)*0.831470,NA()),NA())</f>
        <v/>
      </c>
      <c r="AL19">
        <f>IF(AND(contact_ok,pk2_cf=3),(cy2_cf/2)+(asd2_cf)*0.555570,NA())</f>
        <v/>
      </c>
      <c r="CM19">
        <f>IF(inputs_ok,IF(contact_ok,1000*((x1m_cf)+4/10*((xh_cf)-(x1m_cf))),NA()),NA())</f>
        <v/>
      </c>
      <c r="CN19">
        <f>base_cf-dsc_cf*((((x1m_cf)+4/10*((xh_cf)-(x1m_cf))))^2*(wa_cf/2+wb_cf*(((x1m_cf)+4/10*((xh_cf)-(x1m_cf))))/6)-P1_cf*MAX(0,(((x1m_cf)+4/10*((xh_cf)-(x1m_cf))))-x1m_cf)-P2_cf*MAX(0,(((x1m_cf)+4/10*((xh_cf)-(x1m_cf))))-x2m_cf))</f>
        <v/>
      </c>
    </row>
    <row r="20">
      <c r="M20">
        <f>IF(inputs_ok,IF(AND(contact_ok,amax1_cf&gt;0,pk1_cf=1),(x1_cf-cx1_cf/2)+(ag1_cf)*-1.000000,NA()),NA())</f>
        <v/>
      </c>
      <c r="N20">
        <f>IF(AND(contact_ok,amax1_cf&gt;0,pk1_cf=1),(cy1_cf/2)+(ag1_cf)*0.000000,NA())</f>
        <v/>
      </c>
      <c r="P20">
        <f>IF(inputs_ok,IF(AND(contact_ok,pk1_cf=2),(x1_cf+cx1_cf/2)+(ae1_cf)*0.382683,NA()),NA())</f>
        <v/>
      </c>
      <c r="Q20">
        <f>IF(AND(contact_ok,pk1_cf=2),(-cy1_cf/2)+(ae1_cf)*-0.923880,NA())</f>
        <v/>
      </c>
      <c r="S20">
        <f>IF(inputs_ok,IF(AND(contact_ok,pk1_cf=3),(x1_cf+cx1_cf/2)+(asd1_cf)*0.923880,NA()),NA())</f>
        <v/>
      </c>
      <c r="T20">
        <f>IF(AND(contact_ok,pk1_cf=3),(cy1_cf/2)+(asd1_cf)*0.382683,NA())</f>
        <v/>
      </c>
      <c r="AE20">
        <f>IF(inputs_ok,IF(AND(contact_ok,amax2_cf&gt;0,pk2_cf=1),(x2_cf-cx2_cf/2)+(ag2_cf)*-1.000000,NA()),NA())</f>
        <v/>
      </c>
      <c r="AF20">
        <f>IF(AND(contact_ok,amax2_cf&gt;0,pk2_cf=1),(cy2_cf/2)+(ag2_cf)*0.000000,NA())</f>
        <v/>
      </c>
      <c r="AH20">
        <f>IF(inputs_ok,IF(AND(contact_ok,pk2_cf=2),(x2_cf-cx2_cf/2)+(ae2_cf)*-0.382683,NA()),NA())</f>
        <v/>
      </c>
      <c r="AI20">
        <f>IF(AND(contact_ok,pk2_cf=2),(-cy2_cf/2)+(ae2_cf)*-0.923880,NA())</f>
        <v/>
      </c>
      <c r="AK20">
        <f>IF(inputs_ok,IF(AND(contact_ok,pk2_cf=3),(x2_cf+cx2_cf/2)+(asd2_cf)*0.923880,NA()),NA())</f>
        <v/>
      </c>
      <c r="AL20">
        <f>IF(AND(contact_ok,pk2_cf=3),(cy2_cf/2)+(asd2_cf)*0.382683,NA())</f>
        <v/>
      </c>
      <c r="CM20">
        <f>IF(inputs_ok,IF(contact_ok,1000*((x1m_cf)+5/10*((xh_cf)-(x1m_cf))),NA()),NA())</f>
        <v/>
      </c>
      <c r="CN20">
        <f>base_cf-dsc_cf*((((x1m_cf)+5/10*((xh_cf)-(x1m_cf))))^2*(wa_cf/2+wb_cf*(((x1m_cf)+5/10*((xh_cf)-(x1m_cf))))/6)-P1_cf*MAX(0,(((x1m_cf)+5/10*((xh_cf)-(x1m_cf))))-x1m_cf)-P2_cf*MAX(0,(((x1m_cf)+5/10*((xh_cf)-(x1m_cf))))-x2m_cf))</f>
        <v/>
      </c>
    </row>
    <row r="21">
      <c r="M21">
        <f>IF(inputs_ok,IF(AND(contact_ok,amax1_cf&gt;0,pk1_cf=1),(x1_cf-cx1_cf/2)+(ag1_cf)*-1.000000,NA()),NA())</f>
        <v/>
      </c>
      <c r="N21">
        <f>IF(AND(contact_ok,amax1_cf&gt;0,pk1_cf=1),(-cy1_cf/2)+(ag1_cf)*0.000000,NA())</f>
        <v/>
      </c>
      <c r="P21">
        <f>IF(inputs_ok,IF(AND(contact_ok,pk1_cf=2),(x1_cf+cx1_cf/2)+(ae1_cf)*0.195090,NA()),NA())</f>
        <v/>
      </c>
      <c r="Q21">
        <f>IF(AND(contact_ok,pk1_cf=2),(-cy1_cf/2)+(ae1_cf)*-0.980785,NA())</f>
        <v/>
      </c>
      <c r="S21">
        <f>IF(inputs_ok,IF(AND(contact_ok,pk1_cf=3),(x1_cf+cx1_cf/2)+(asd1_cf)*0.980785,NA()),NA())</f>
        <v/>
      </c>
      <c r="T21">
        <f>IF(AND(contact_ok,pk1_cf=3),(cy1_cf/2)+(asd1_cf)*0.195090,NA())</f>
        <v/>
      </c>
      <c r="AE21">
        <f>IF(inputs_ok,IF(AND(contact_ok,amax2_cf&gt;0,pk2_cf=1),(x2_cf-cx2_cf/2)+(ag2_cf)*-1.000000,NA()),NA())</f>
        <v/>
      </c>
      <c r="AF21">
        <f>IF(AND(contact_ok,amax2_cf&gt;0,pk2_cf=1),(-cy2_cf/2)+(ag2_cf)*0.000000,NA())</f>
        <v/>
      </c>
      <c r="AH21">
        <f>IF(inputs_ok,IF(AND(contact_ok,pk2_cf=2),(x2_cf-cx2_cf/2)+(ae2_cf)*-0.195090,NA()),NA())</f>
        <v/>
      </c>
      <c r="AI21">
        <f>IF(AND(contact_ok,pk2_cf=2),(-cy2_cf/2)+(ae2_cf)*-0.980785,NA())</f>
        <v/>
      </c>
      <c r="AK21">
        <f>IF(inputs_ok,IF(AND(contact_ok,pk2_cf=3),(x2_cf+cx2_cf/2)+(asd2_cf)*0.980785,NA()),NA())</f>
        <v/>
      </c>
      <c r="AL21">
        <f>IF(AND(contact_ok,pk2_cf=3),(cy2_cf/2)+(asd2_cf)*0.195090,NA())</f>
        <v/>
      </c>
      <c r="CM21">
        <f>IF(inputs_ok,IF(contact_ok,1000*((x1m_cf)+6/10*((xh_cf)-(x1m_cf))),NA()),NA())</f>
        <v/>
      </c>
      <c r="CN21">
        <f>base_cf-dsc_cf*((((x1m_cf)+6/10*((xh_cf)-(x1m_cf))))^2*(wa_cf/2+wb_cf*(((x1m_cf)+6/10*((xh_cf)-(x1m_cf))))/6)-P1_cf*MAX(0,(((x1m_cf)+6/10*((xh_cf)-(x1m_cf))))-x1m_cf)-P2_cf*MAX(0,(((x1m_cf)+6/10*((xh_cf)-(x1m_cf))))-x2m_cf))</f>
        <v/>
      </c>
    </row>
    <row r="22">
      <c r="M22">
        <f>IF(inputs_ok,IF(AND(contact_ok,amax1_cf&gt;0,pk1_cf=1),(x1_cf-cx1_cf/2)+(ag1_cf)*-0.980785,NA()),NA())</f>
        <v/>
      </c>
      <c r="N22">
        <f>IF(AND(contact_ok,amax1_cf&gt;0,pk1_cf=1),(-cy1_cf/2)+(ag1_cf)*-0.195090,NA())</f>
        <v/>
      </c>
      <c r="P22">
        <f>IF(inputs_ok,IF(AND(contact_ok,pk1_cf=2),(x1_cf+cx1_cf/2)+(ae1_cf)*0.000000,NA()),NA())</f>
        <v/>
      </c>
      <c r="Q22">
        <f>IF(AND(contact_ok,pk1_cf=2),(-cy1_cf/2)+(ae1_cf)*-1.000000,NA())</f>
        <v/>
      </c>
      <c r="S22">
        <f>IF(inputs_ok,IF(AND(contact_ok,pk1_cf=3),(x1_cf+cx1_cf/2)+(asd1_cf)*1.000000,NA()),NA())</f>
        <v/>
      </c>
      <c r="T22">
        <f>IF(AND(contact_ok,pk1_cf=3),(cy1_cf/2)+(asd1_cf)*0.000000,NA())</f>
        <v/>
      </c>
      <c r="AE22">
        <f>IF(inputs_ok,IF(AND(contact_ok,amax2_cf&gt;0,pk2_cf=1),(x2_cf-cx2_cf/2)+(ag2_cf)*-0.980785,NA()),NA())</f>
        <v/>
      </c>
      <c r="AF22">
        <f>IF(AND(contact_ok,amax2_cf&gt;0,pk2_cf=1),(-cy2_cf/2)+(ag2_cf)*-0.195090,NA())</f>
        <v/>
      </c>
      <c r="AH22">
        <f>IF(inputs_ok,IF(AND(contact_ok,pk2_cf=2),(x2_cf-cx2_cf/2)+(ae2_cf)*-0.000000,NA()),NA())</f>
        <v/>
      </c>
      <c r="AI22">
        <f>IF(AND(contact_ok,pk2_cf=2),(-cy2_cf/2)+(ae2_cf)*-1.000000,NA())</f>
        <v/>
      </c>
      <c r="AK22">
        <f>IF(inputs_ok,IF(AND(contact_ok,pk2_cf=3),(x2_cf+cx2_cf/2)+(asd2_cf)*1.000000,NA()),NA())</f>
        <v/>
      </c>
      <c r="AL22">
        <f>IF(AND(contact_ok,pk2_cf=3),(cy2_cf/2)+(asd2_cf)*0.000000,NA())</f>
        <v/>
      </c>
      <c r="CM22">
        <f>IF(inputs_ok,IF(contact_ok,1000*((x1m_cf)+7/10*((xh_cf)-(x1m_cf))),NA()),NA())</f>
        <v/>
      </c>
      <c r="CN22">
        <f>base_cf-dsc_cf*((((x1m_cf)+7/10*((xh_cf)-(x1m_cf))))^2*(wa_cf/2+wb_cf*(((x1m_cf)+7/10*((xh_cf)-(x1m_cf))))/6)-P1_cf*MAX(0,(((x1m_cf)+7/10*((xh_cf)-(x1m_cf))))-x1m_cf)-P2_cf*MAX(0,(((x1m_cf)+7/10*((xh_cf)-(x1m_cf))))-x2m_cf))</f>
        <v/>
      </c>
    </row>
    <row r="23">
      <c r="M23">
        <f>IF(inputs_ok,IF(AND(contact_ok,amax1_cf&gt;0,pk1_cf=1),(x1_cf-cx1_cf/2)+(ag1_cf)*-0.923880,NA()),NA())</f>
        <v/>
      </c>
      <c r="N23">
        <f>IF(AND(contact_ok,amax1_cf&gt;0,pk1_cf=1),(-cy1_cf/2)+(ag1_cf)*-0.382683,NA())</f>
        <v/>
      </c>
      <c r="P23">
        <f>IF(inputs_ok,IF(AND(contact_ok,pk1_cf=2),x1_cf+cx1_cf/2,NA()),NA())</f>
        <v/>
      </c>
      <c r="Q23">
        <f>IF(AND(contact_ok,pk1_cf=2),-cy1_cf/2-ae1_cf,NA())</f>
        <v/>
      </c>
      <c r="S23">
        <f>IF(inputs_ok,IF(AND(contact_ok,pk1_cf=3),x1_cf+cx1_cf/2+asd1_cf,NA()),NA())</f>
        <v/>
      </c>
      <c r="T23">
        <f>IF(AND(contact_ok,pk1_cf=3),-B_cf/2,NA())</f>
        <v/>
      </c>
      <c r="AE23">
        <f>IF(inputs_ok,IF(AND(contact_ok,amax2_cf&gt;0,pk2_cf=1),(x2_cf-cx2_cf/2)+(ag2_cf)*-0.923880,NA()),NA())</f>
        <v/>
      </c>
      <c r="AF23">
        <f>IF(AND(contact_ok,amax2_cf&gt;0,pk2_cf=1),(-cy2_cf/2)+(ag2_cf)*-0.382683,NA())</f>
        <v/>
      </c>
      <c r="AH23">
        <f>IF(inputs_ok,IF(AND(contact_ok,pk2_cf=2),x2_cf-cx2_cf/2,NA()),NA())</f>
        <v/>
      </c>
      <c r="AI23">
        <f>IF(AND(contact_ok,pk2_cf=2),-cy2_cf/2-ae2_cf,NA())</f>
        <v/>
      </c>
      <c r="AK23">
        <f>IF(inputs_ok,IF(AND(contact_ok,pk2_cf=3),x2_cf+cx2_cf/2+asd2_cf,NA()),NA())</f>
        <v/>
      </c>
      <c r="AL23">
        <f>IF(AND(contact_ok,pk2_cf=3),-B_cf/2,NA())</f>
        <v/>
      </c>
      <c r="CM23">
        <f>IF(inputs_ok,IF(contact_ok,1000*((x1m_cf)+8/10*((xh_cf)-(x1m_cf))),NA()),NA())</f>
        <v/>
      </c>
      <c r="CN23">
        <f>base_cf-dsc_cf*((((x1m_cf)+8/10*((xh_cf)-(x1m_cf))))^2*(wa_cf/2+wb_cf*(((x1m_cf)+8/10*((xh_cf)-(x1m_cf))))/6)-P1_cf*MAX(0,(((x1m_cf)+8/10*((xh_cf)-(x1m_cf))))-x1m_cf)-P2_cf*MAX(0,(((x1m_cf)+8/10*((xh_cf)-(x1m_cf))))-x2m_cf))</f>
        <v/>
      </c>
    </row>
    <row r="24">
      <c r="M24">
        <f>IF(inputs_ok,IF(AND(contact_ok,amax1_cf&gt;0,pk1_cf=1),(x1_cf-cx1_cf/2)+(ag1_cf)*-0.831470,NA()),NA())</f>
        <v/>
      </c>
      <c r="N24">
        <f>IF(AND(contact_ok,amax1_cf&gt;0,pk1_cf=1),(-cy1_cf/2)+(ag1_cf)*-0.555570,NA())</f>
        <v/>
      </c>
      <c r="P24">
        <f>IF(inputs_ok,IF(AND(contact_ok,pk1_cf=2),0,NA()),NA())</f>
        <v/>
      </c>
      <c r="Q24">
        <f>IF(AND(contact_ok,pk1_cf=2),-cy1_cf/2-ae1_cf,NA())</f>
        <v/>
      </c>
      <c r="AE24">
        <f>IF(inputs_ok,IF(AND(contact_ok,amax2_cf&gt;0,pk2_cf=1),(x2_cf-cx2_cf/2)+(ag2_cf)*-0.831470,NA()),NA())</f>
        <v/>
      </c>
      <c r="AF24">
        <f>IF(AND(contact_ok,amax2_cf&gt;0,pk2_cf=1),(-cy2_cf/2)+(ag2_cf)*-0.555570,NA())</f>
        <v/>
      </c>
      <c r="AH24">
        <f>IF(inputs_ok,IF(AND(contact_ok,pk2_cf=2),L_cf,NA()),NA())</f>
        <v/>
      </c>
      <c r="AI24">
        <f>IF(AND(contact_ok,pk2_cf=2),-cy2_cf/2-ae2_cf,NA())</f>
        <v/>
      </c>
      <c r="CM24">
        <f>IF(inputs_ok,IF(contact_ok,1000*((x1m_cf)+9/10*((xh_cf)-(x1m_cf))),NA()),NA())</f>
        <v/>
      </c>
      <c r="CN24">
        <f>base_cf-dsc_cf*((((x1m_cf)+9/10*((xh_cf)-(x1m_cf))))^2*(wa_cf/2+wb_cf*(((x1m_cf)+9/10*((xh_cf)-(x1m_cf))))/6)-P1_cf*MAX(0,(((x1m_cf)+9/10*((xh_cf)-(x1m_cf))))-x1m_cf)-P2_cf*MAX(0,(((x1m_cf)+9/10*((xh_cf)-(x1m_cf))))-x2m_cf))</f>
        <v/>
      </c>
    </row>
    <row r="25">
      <c r="M25">
        <f>IF(inputs_ok,IF(AND(contact_ok,amax1_cf&gt;0,pk1_cf=1),(x1_cf-cx1_cf/2)+(ag1_cf)*-0.707107,NA()),NA())</f>
        <v/>
      </c>
      <c r="N25">
        <f>IF(AND(contact_ok,amax1_cf&gt;0,pk1_cf=1),(-cy1_cf/2)+(ag1_cf)*-0.707107,NA())</f>
        <v/>
      </c>
      <c r="AE25">
        <f>IF(inputs_ok,IF(AND(contact_ok,amax2_cf&gt;0,pk2_cf=1),(x2_cf-cx2_cf/2)+(ag2_cf)*-0.707107,NA()),NA())</f>
        <v/>
      </c>
      <c r="AF25">
        <f>IF(AND(contact_ok,amax2_cf&gt;0,pk2_cf=1),(-cy2_cf/2)+(ag2_cf)*-0.707107,NA())</f>
        <v/>
      </c>
      <c r="CM25">
        <f>IF(inputs_ok,IF(contact_ok,1000*((x1m_cf)+10/10*((xh_cf)-(x1m_cf))),NA()),NA())</f>
        <v/>
      </c>
      <c r="CN25">
        <f>base_cf-dsc_cf*((((x1m_cf)+10/10*((xh_cf)-(x1m_cf))))^2*(wa_cf/2+wb_cf*(((x1m_cf)+10/10*((xh_cf)-(x1m_cf))))/6)-P1_cf*MAX(0,(((x1m_cf)+10/10*((xh_cf)-(x1m_cf))))-x1m_cf)-P2_cf*MAX(0,(((x1m_cf)+10/10*((xh_cf)-(x1m_cf))))-x2m_cf))</f>
        <v/>
      </c>
    </row>
    <row r="26">
      <c r="M26">
        <f>IF(inputs_ok,IF(AND(contact_ok,amax1_cf&gt;0,pk1_cf=1),(x1_cf-cx1_cf/2)+(ag1_cf)*-0.555570,NA()),NA())</f>
        <v/>
      </c>
      <c r="N26">
        <f>IF(AND(contact_ok,amax1_cf&gt;0,pk1_cf=1),(-cy1_cf/2)+(ag1_cf)*-0.831470,NA())</f>
        <v/>
      </c>
      <c r="AE26">
        <f>IF(inputs_ok,IF(AND(contact_ok,amax2_cf&gt;0,pk2_cf=1),(x2_cf-cx2_cf/2)+(ag2_cf)*-0.555570,NA()),NA())</f>
        <v/>
      </c>
      <c r="AF26">
        <f>IF(AND(contact_ok,amax2_cf&gt;0,pk2_cf=1),(-cy2_cf/2)+(ag2_cf)*-0.831470,NA())</f>
        <v/>
      </c>
      <c r="CM26">
        <f>IF(inputs_ok,IF(contact_ok,1000*((xh_cf)+0/10*((x2m_cf)-(xh_cf))),NA()),NA())</f>
        <v/>
      </c>
      <c r="CN26">
        <f>base_cf-dsc_cf*((((xh_cf)+0/10*((x2m_cf)-(xh_cf))))^2*(wa_cf/2+wb_cf*(((xh_cf)+0/10*((x2m_cf)-(xh_cf))))/6)-P1_cf*MAX(0,(((xh_cf)+0/10*((x2m_cf)-(xh_cf))))-x1m_cf)-P2_cf*MAX(0,(((xh_cf)+0/10*((x2m_cf)-(xh_cf))))-x2m_cf))</f>
        <v/>
      </c>
    </row>
    <row r="27">
      <c r="M27">
        <f>IF(inputs_ok,IF(AND(contact_ok,amax1_cf&gt;0,pk1_cf=1),(x1_cf-cx1_cf/2)+(ag1_cf)*-0.382683,NA()),NA())</f>
        <v/>
      </c>
      <c r="N27">
        <f>IF(AND(contact_ok,amax1_cf&gt;0,pk1_cf=1),(-cy1_cf/2)+(ag1_cf)*-0.923880,NA())</f>
        <v/>
      </c>
      <c r="AE27">
        <f>IF(inputs_ok,IF(AND(contact_ok,amax2_cf&gt;0,pk2_cf=1),(x2_cf-cx2_cf/2)+(ag2_cf)*-0.382683,NA()),NA())</f>
        <v/>
      </c>
      <c r="AF27">
        <f>IF(AND(contact_ok,amax2_cf&gt;0,pk2_cf=1),(-cy2_cf/2)+(ag2_cf)*-0.923880,NA())</f>
        <v/>
      </c>
      <c r="CM27">
        <f>IF(inputs_ok,IF(contact_ok,1000*((xh_cf)+1/10*((x2m_cf)-(xh_cf))),NA()),NA())</f>
        <v/>
      </c>
      <c r="CN27">
        <f>base_cf-dsc_cf*((((xh_cf)+1/10*((x2m_cf)-(xh_cf))))^2*(wa_cf/2+wb_cf*(((xh_cf)+1/10*((x2m_cf)-(xh_cf))))/6)-P1_cf*MAX(0,(((xh_cf)+1/10*((x2m_cf)-(xh_cf))))-x1m_cf)-P2_cf*MAX(0,(((xh_cf)+1/10*((x2m_cf)-(xh_cf))))-x2m_cf))</f>
        <v/>
      </c>
    </row>
    <row r="28">
      <c r="M28">
        <f>IF(inputs_ok,IF(AND(contact_ok,amax1_cf&gt;0,pk1_cf=1),(x1_cf-cx1_cf/2)+(ag1_cf)*-0.195090,NA()),NA())</f>
        <v/>
      </c>
      <c r="N28">
        <f>IF(AND(contact_ok,amax1_cf&gt;0,pk1_cf=1),(-cy1_cf/2)+(ag1_cf)*-0.980785,NA())</f>
        <v/>
      </c>
      <c r="AE28">
        <f>IF(inputs_ok,IF(AND(contact_ok,amax2_cf&gt;0,pk2_cf=1),(x2_cf-cx2_cf/2)+(ag2_cf)*-0.195090,NA()),NA())</f>
        <v/>
      </c>
      <c r="AF28">
        <f>IF(AND(contact_ok,amax2_cf&gt;0,pk2_cf=1),(-cy2_cf/2)+(ag2_cf)*-0.980785,NA())</f>
        <v/>
      </c>
      <c r="CM28">
        <f>IF(inputs_ok,IF(contact_ok,1000*((xh_cf)+2/10*((x2m_cf)-(xh_cf))),NA()),NA())</f>
        <v/>
      </c>
      <c r="CN28">
        <f>base_cf-dsc_cf*((((xh_cf)+2/10*((x2m_cf)-(xh_cf))))^2*(wa_cf/2+wb_cf*(((xh_cf)+2/10*((x2m_cf)-(xh_cf))))/6)-P1_cf*MAX(0,(((xh_cf)+2/10*((x2m_cf)-(xh_cf))))-x1m_cf)-P2_cf*MAX(0,(((xh_cf)+2/10*((x2m_cf)-(xh_cf))))-x2m_cf))</f>
        <v/>
      </c>
    </row>
    <row r="29">
      <c r="M29">
        <f>IF(inputs_ok,IF(AND(contact_ok,amax1_cf&gt;0,pk1_cf=1),(x1_cf-cx1_cf/2)+(ag1_cf)*-0.000000,NA()),NA())</f>
        <v/>
      </c>
      <c r="N29">
        <f>IF(AND(contact_ok,amax1_cf&gt;0,pk1_cf=1),(-cy1_cf/2)+(ag1_cf)*-1.000000,NA())</f>
        <v/>
      </c>
      <c r="AE29">
        <f>IF(inputs_ok,IF(AND(contact_ok,amax2_cf&gt;0,pk2_cf=1),(x2_cf-cx2_cf/2)+(ag2_cf)*-0.000000,NA()),NA())</f>
        <v/>
      </c>
      <c r="AF29">
        <f>IF(AND(contact_ok,amax2_cf&gt;0,pk2_cf=1),(-cy2_cf/2)+(ag2_cf)*-1.000000,NA())</f>
        <v/>
      </c>
      <c r="CM29">
        <f>IF(inputs_ok,IF(contact_ok,1000*((xh_cf)+3/10*((x2m_cf)-(xh_cf))),NA()),NA())</f>
        <v/>
      </c>
      <c r="CN29">
        <f>base_cf-dsc_cf*((((xh_cf)+3/10*((x2m_cf)-(xh_cf))))^2*(wa_cf/2+wb_cf*(((xh_cf)+3/10*((x2m_cf)-(xh_cf))))/6)-P1_cf*MAX(0,(((xh_cf)+3/10*((x2m_cf)-(xh_cf))))-x1m_cf)-P2_cf*MAX(0,(((xh_cf)+3/10*((x2m_cf)-(xh_cf))))-x2m_cf))</f>
        <v/>
      </c>
    </row>
    <row r="30">
      <c r="M30">
        <f>IF(inputs_ok,IF(AND(contact_ok,amax1_cf&gt;0,pk1_cf=1),(x1_cf+cx1_cf/2)+(ag1_cf)*-0.000000,NA()),NA())</f>
        <v/>
      </c>
      <c r="N30">
        <f>IF(AND(contact_ok,amax1_cf&gt;0,pk1_cf=1),(-cy1_cf/2)+(ag1_cf)*-1.000000,NA())</f>
        <v/>
      </c>
      <c r="AE30">
        <f>IF(inputs_ok,IF(AND(contact_ok,amax2_cf&gt;0,pk2_cf=1),(x2_cf+cx2_cf/2)+(ag2_cf)*-0.000000,NA()),NA())</f>
        <v/>
      </c>
      <c r="AF30">
        <f>IF(AND(contact_ok,amax2_cf&gt;0,pk2_cf=1),(-cy2_cf/2)+(ag2_cf)*-1.000000,NA())</f>
        <v/>
      </c>
      <c r="CM30">
        <f>IF(inputs_ok,IF(contact_ok,1000*((xh_cf)+4/10*((x2m_cf)-(xh_cf))),NA()),NA())</f>
        <v/>
      </c>
      <c r="CN30">
        <f>base_cf-dsc_cf*((((xh_cf)+4/10*((x2m_cf)-(xh_cf))))^2*(wa_cf/2+wb_cf*(((xh_cf)+4/10*((x2m_cf)-(xh_cf))))/6)-P1_cf*MAX(0,(((xh_cf)+4/10*((x2m_cf)-(xh_cf))))-x1m_cf)-P2_cf*MAX(0,(((xh_cf)+4/10*((x2m_cf)-(xh_cf))))-x2m_cf))</f>
        <v/>
      </c>
    </row>
    <row r="31">
      <c r="M31">
        <f>IF(inputs_ok,IF(AND(contact_ok,amax1_cf&gt;0,pk1_cf=1),(x1_cf+cx1_cf/2)+(ag1_cf)*0.195090,NA()),NA())</f>
        <v/>
      </c>
      <c r="N31">
        <f>IF(AND(contact_ok,amax1_cf&gt;0,pk1_cf=1),(-cy1_cf/2)+(ag1_cf)*-0.980785,NA())</f>
        <v/>
      </c>
      <c r="AE31">
        <f>IF(inputs_ok,IF(AND(contact_ok,amax2_cf&gt;0,pk2_cf=1),(x2_cf+cx2_cf/2)+(ag2_cf)*0.195090,NA()),NA())</f>
        <v/>
      </c>
      <c r="AF31">
        <f>IF(AND(contact_ok,amax2_cf&gt;0,pk2_cf=1),(-cy2_cf/2)+(ag2_cf)*-0.980785,NA())</f>
        <v/>
      </c>
      <c r="CM31">
        <f>IF(inputs_ok,IF(contact_ok,1000*((xh_cf)+5/10*((x2m_cf)-(xh_cf))),NA()),NA())</f>
        <v/>
      </c>
      <c r="CN31">
        <f>base_cf-dsc_cf*((((xh_cf)+5/10*((x2m_cf)-(xh_cf))))^2*(wa_cf/2+wb_cf*(((xh_cf)+5/10*((x2m_cf)-(xh_cf))))/6)-P1_cf*MAX(0,(((xh_cf)+5/10*((x2m_cf)-(xh_cf))))-x1m_cf)-P2_cf*MAX(0,(((xh_cf)+5/10*((x2m_cf)-(xh_cf))))-x2m_cf))</f>
        <v/>
      </c>
    </row>
    <row r="32">
      <c r="M32">
        <f>IF(inputs_ok,IF(AND(contact_ok,amax1_cf&gt;0,pk1_cf=1),(x1_cf+cx1_cf/2)+(ag1_cf)*0.382683,NA()),NA())</f>
        <v/>
      </c>
      <c r="N32">
        <f>IF(AND(contact_ok,amax1_cf&gt;0,pk1_cf=1),(-cy1_cf/2)+(ag1_cf)*-0.923880,NA())</f>
        <v/>
      </c>
      <c r="AE32">
        <f>IF(inputs_ok,IF(AND(contact_ok,amax2_cf&gt;0,pk2_cf=1),(x2_cf+cx2_cf/2)+(ag2_cf)*0.382683,NA()),NA())</f>
        <v/>
      </c>
      <c r="AF32">
        <f>IF(AND(contact_ok,amax2_cf&gt;0,pk2_cf=1),(-cy2_cf/2)+(ag2_cf)*-0.923880,NA())</f>
        <v/>
      </c>
      <c r="CM32">
        <f>IF(inputs_ok,IF(contact_ok,1000*((xh_cf)+6/10*((x2m_cf)-(xh_cf))),NA()),NA())</f>
        <v/>
      </c>
      <c r="CN32">
        <f>base_cf-dsc_cf*((((xh_cf)+6/10*((x2m_cf)-(xh_cf))))^2*(wa_cf/2+wb_cf*(((xh_cf)+6/10*((x2m_cf)-(xh_cf))))/6)-P1_cf*MAX(0,(((xh_cf)+6/10*((x2m_cf)-(xh_cf))))-x1m_cf)-P2_cf*MAX(0,(((xh_cf)+6/10*((x2m_cf)-(xh_cf))))-x2m_cf))</f>
        <v/>
      </c>
    </row>
    <row r="33">
      <c r="M33">
        <f>IF(inputs_ok,IF(AND(contact_ok,amax1_cf&gt;0,pk1_cf=1),(x1_cf+cx1_cf/2)+(ag1_cf)*0.555570,NA()),NA())</f>
        <v/>
      </c>
      <c r="N33">
        <f>IF(AND(contact_ok,amax1_cf&gt;0,pk1_cf=1),(-cy1_cf/2)+(ag1_cf)*-0.831470,NA())</f>
        <v/>
      </c>
      <c r="AE33">
        <f>IF(inputs_ok,IF(AND(contact_ok,amax2_cf&gt;0,pk2_cf=1),(x2_cf+cx2_cf/2)+(ag2_cf)*0.555570,NA()),NA())</f>
        <v/>
      </c>
      <c r="AF33">
        <f>IF(AND(contact_ok,amax2_cf&gt;0,pk2_cf=1),(-cy2_cf/2)+(ag2_cf)*-0.831470,NA())</f>
        <v/>
      </c>
      <c r="CM33">
        <f>IF(inputs_ok,IF(contact_ok,1000*((xh_cf)+7/10*((x2m_cf)-(xh_cf))),NA()),NA())</f>
        <v/>
      </c>
      <c r="CN33">
        <f>base_cf-dsc_cf*((((xh_cf)+7/10*((x2m_cf)-(xh_cf))))^2*(wa_cf/2+wb_cf*(((xh_cf)+7/10*((x2m_cf)-(xh_cf))))/6)-P1_cf*MAX(0,(((xh_cf)+7/10*((x2m_cf)-(xh_cf))))-x1m_cf)-P2_cf*MAX(0,(((xh_cf)+7/10*((x2m_cf)-(xh_cf))))-x2m_cf))</f>
        <v/>
      </c>
    </row>
    <row r="34">
      <c r="M34">
        <f>IF(inputs_ok,IF(AND(contact_ok,amax1_cf&gt;0,pk1_cf=1),(x1_cf+cx1_cf/2)+(ag1_cf)*0.707107,NA()),NA())</f>
        <v/>
      </c>
      <c r="N34">
        <f>IF(AND(contact_ok,amax1_cf&gt;0,pk1_cf=1),(-cy1_cf/2)+(ag1_cf)*-0.707107,NA())</f>
        <v/>
      </c>
      <c r="AE34">
        <f>IF(inputs_ok,IF(AND(contact_ok,amax2_cf&gt;0,pk2_cf=1),(x2_cf+cx2_cf/2)+(ag2_cf)*0.707107,NA()),NA())</f>
        <v/>
      </c>
      <c r="AF34">
        <f>IF(AND(contact_ok,amax2_cf&gt;0,pk2_cf=1),(-cy2_cf/2)+(ag2_cf)*-0.707107,NA())</f>
        <v/>
      </c>
      <c r="CM34">
        <f>IF(inputs_ok,IF(contact_ok,1000*((xh_cf)+8/10*((x2m_cf)-(xh_cf))),NA()),NA())</f>
        <v/>
      </c>
      <c r="CN34">
        <f>base_cf-dsc_cf*((((xh_cf)+8/10*((x2m_cf)-(xh_cf))))^2*(wa_cf/2+wb_cf*(((xh_cf)+8/10*((x2m_cf)-(xh_cf))))/6)-P1_cf*MAX(0,(((xh_cf)+8/10*((x2m_cf)-(xh_cf))))-x1m_cf)-P2_cf*MAX(0,(((xh_cf)+8/10*((x2m_cf)-(xh_cf))))-x2m_cf))</f>
        <v/>
      </c>
    </row>
    <row r="35">
      <c r="M35">
        <f>IF(inputs_ok,IF(AND(contact_ok,amax1_cf&gt;0,pk1_cf=1),(x1_cf+cx1_cf/2)+(ag1_cf)*0.831470,NA()),NA())</f>
        <v/>
      </c>
      <c r="N35">
        <f>IF(AND(contact_ok,amax1_cf&gt;0,pk1_cf=1),(-cy1_cf/2)+(ag1_cf)*-0.555570,NA())</f>
        <v/>
      </c>
      <c r="AE35">
        <f>IF(inputs_ok,IF(AND(contact_ok,amax2_cf&gt;0,pk2_cf=1),(x2_cf+cx2_cf/2)+(ag2_cf)*0.831470,NA()),NA())</f>
        <v/>
      </c>
      <c r="AF35">
        <f>IF(AND(contact_ok,amax2_cf&gt;0,pk2_cf=1),(-cy2_cf/2)+(ag2_cf)*-0.555570,NA())</f>
        <v/>
      </c>
      <c r="CM35">
        <f>IF(inputs_ok,IF(contact_ok,1000*((xh_cf)+9/10*((x2m_cf)-(xh_cf))),NA()),NA())</f>
        <v/>
      </c>
      <c r="CN35">
        <f>base_cf-dsc_cf*((((xh_cf)+9/10*((x2m_cf)-(xh_cf))))^2*(wa_cf/2+wb_cf*(((xh_cf)+9/10*((x2m_cf)-(xh_cf))))/6)-P1_cf*MAX(0,(((xh_cf)+9/10*((x2m_cf)-(xh_cf))))-x1m_cf)-P2_cf*MAX(0,(((xh_cf)+9/10*((x2m_cf)-(xh_cf))))-x2m_cf))</f>
        <v/>
      </c>
    </row>
    <row r="36">
      <c r="M36">
        <f>IF(inputs_ok,IF(AND(contact_ok,amax1_cf&gt;0,pk1_cf=1),(x1_cf+cx1_cf/2)+(ag1_cf)*0.923880,NA()),NA())</f>
        <v/>
      </c>
      <c r="N36">
        <f>IF(AND(contact_ok,amax1_cf&gt;0,pk1_cf=1),(-cy1_cf/2)+(ag1_cf)*-0.382683,NA())</f>
        <v/>
      </c>
      <c r="AE36">
        <f>IF(inputs_ok,IF(AND(contact_ok,amax2_cf&gt;0,pk2_cf=1),(x2_cf+cx2_cf/2)+(ag2_cf)*0.923880,NA()),NA())</f>
        <v/>
      </c>
      <c r="AF36">
        <f>IF(AND(contact_ok,amax2_cf&gt;0,pk2_cf=1),(-cy2_cf/2)+(ag2_cf)*-0.382683,NA())</f>
        <v/>
      </c>
      <c r="CM36">
        <f>IF(inputs_ok,IF(contact_ok,1000*((xh_cf)+10/10*((x2m_cf)-(xh_cf))),NA()),NA())</f>
        <v/>
      </c>
      <c r="CN36">
        <f>base_cf-dsc_cf*((((xh_cf)+10/10*((x2m_cf)-(xh_cf))))^2*(wa_cf/2+wb_cf*(((xh_cf)+10/10*((x2m_cf)-(xh_cf))))/6)-P1_cf*MAX(0,(((xh_cf)+10/10*((x2m_cf)-(xh_cf))))-x1m_cf)-P2_cf*MAX(0,(((xh_cf)+10/10*((x2m_cf)-(xh_cf))))-x2m_cf))</f>
        <v/>
      </c>
    </row>
    <row r="37">
      <c r="M37">
        <f>IF(inputs_ok,IF(AND(contact_ok,amax1_cf&gt;0,pk1_cf=1),(x1_cf+cx1_cf/2)+(ag1_cf)*0.980785,NA()),NA())</f>
        <v/>
      </c>
      <c r="N37">
        <f>IF(AND(contact_ok,amax1_cf&gt;0,pk1_cf=1),(-cy1_cf/2)+(ag1_cf)*-0.195090,NA())</f>
        <v/>
      </c>
      <c r="AE37">
        <f>IF(inputs_ok,IF(AND(contact_ok,amax2_cf&gt;0,pk2_cf=1),(x2_cf+cx2_cf/2)+(ag2_cf)*0.980785,NA()),NA())</f>
        <v/>
      </c>
      <c r="AF37">
        <f>IF(AND(contact_ok,amax2_cf&gt;0,pk2_cf=1),(-cy2_cf/2)+(ag2_cf)*-0.195090,NA())</f>
        <v/>
      </c>
      <c r="CM37">
        <f>IF(inputs_ok,IF(contact_ok,1000*((x2m_cf)+0/10*((Lm_cf)-(x2m_cf))),NA()),NA())</f>
        <v/>
      </c>
      <c r="CN37">
        <f>base_cf-dsc_cf*((((x2m_cf)+0/10*((Lm_cf)-(x2m_cf))))^2*(wa_cf/2+wb_cf*(((x2m_cf)+0/10*((Lm_cf)-(x2m_cf))))/6)-P1_cf*MAX(0,(((x2m_cf)+0/10*((Lm_cf)-(x2m_cf))))-x1m_cf)-P2_cf*MAX(0,(((x2m_cf)+0/10*((Lm_cf)-(x2m_cf))))-x2m_cf))</f>
        <v/>
      </c>
    </row>
    <row r="38">
      <c r="M38">
        <f>IF(inputs_ok,IF(AND(contact_ok,amax1_cf&gt;0,pk1_cf=1),(x1_cf+cx1_cf/2)+(ag1_cf)*1.000000,NA()),NA())</f>
        <v/>
      </c>
      <c r="N38">
        <f>IF(AND(contact_ok,amax1_cf&gt;0,pk1_cf=1),(-cy1_cf/2)+(ag1_cf)*-0.000000,NA())</f>
        <v/>
      </c>
      <c r="AE38">
        <f>IF(inputs_ok,IF(AND(contact_ok,amax2_cf&gt;0,pk2_cf=1),(x2_cf+cx2_cf/2)+(ag2_cf)*1.000000,NA()),NA())</f>
        <v/>
      </c>
      <c r="AF38">
        <f>IF(AND(contact_ok,amax2_cf&gt;0,pk2_cf=1),(-cy2_cf/2)+(ag2_cf)*-0.000000,NA())</f>
        <v/>
      </c>
      <c r="CM38">
        <f>IF(inputs_ok,IF(contact_ok,1000*((x2m_cf)+1/10*((Lm_cf)-(x2m_cf))),NA()),NA())</f>
        <v/>
      </c>
      <c r="CN38">
        <f>base_cf-dsc_cf*((((x2m_cf)+1/10*((Lm_cf)-(x2m_cf))))^2*(wa_cf/2+wb_cf*(((x2m_cf)+1/10*((Lm_cf)-(x2m_cf))))/6)-P1_cf*MAX(0,(((x2m_cf)+1/10*((Lm_cf)-(x2m_cf))))-x1m_cf)-P2_cf*MAX(0,(((x2m_cf)+1/10*((Lm_cf)-(x2m_cf))))-x2m_cf))</f>
        <v/>
      </c>
    </row>
    <row r="39">
      <c r="M39">
        <f>IF(inputs_ok,IF(AND(contact_ok,amax1_cf&gt;0,pk1_cf=1),(x1_cf+cx1_cf/2)+(ag1_cf)*1.000000,NA()),NA())</f>
        <v/>
      </c>
      <c r="N39">
        <f>IF(AND(contact_ok,amax1_cf&gt;0,pk1_cf=1),(cy1_cf/2)+(ag1_cf)*0.000000,NA())</f>
        <v/>
      </c>
      <c r="AE39">
        <f>IF(inputs_ok,IF(AND(contact_ok,amax2_cf&gt;0,pk2_cf=1),(x2_cf+cx2_cf/2)+(ag2_cf)*1.000000,NA()),NA())</f>
        <v/>
      </c>
      <c r="AF39">
        <f>IF(AND(contact_ok,amax2_cf&gt;0,pk2_cf=1),(cy2_cf/2)+(ag2_cf)*0.000000,NA())</f>
        <v/>
      </c>
      <c r="CM39">
        <f>IF(inputs_ok,IF(contact_ok,1000*((x2m_cf)+2/10*((Lm_cf)-(x2m_cf))),NA()),NA())</f>
        <v/>
      </c>
      <c r="CN39">
        <f>base_cf-dsc_cf*((((x2m_cf)+2/10*((Lm_cf)-(x2m_cf))))^2*(wa_cf/2+wb_cf*(((x2m_cf)+2/10*((Lm_cf)-(x2m_cf))))/6)-P1_cf*MAX(0,(((x2m_cf)+2/10*((Lm_cf)-(x2m_cf))))-x1m_cf)-P2_cf*MAX(0,(((x2m_cf)+2/10*((Lm_cf)-(x2m_cf))))-x2m_cf))</f>
        <v/>
      </c>
    </row>
    <row r="40">
      <c r="CM40">
        <f>IF(inputs_ok,IF(contact_ok,1000*((x2m_cf)+3/10*((Lm_cf)-(x2m_cf))),NA()),NA())</f>
        <v/>
      </c>
      <c r="CN40">
        <f>base_cf-dsc_cf*((((x2m_cf)+3/10*((Lm_cf)-(x2m_cf))))^2*(wa_cf/2+wb_cf*(((x2m_cf)+3/10*((Lm_cf)-(x2m_cf))))/6)-P1_cf*MAX(0,(((x2m_cf)+3/10*((Lm_cf)-(x2m_cf))))-x1m_cf)-P2_cf*MAX(0,(((x2m_cf)+3/10*((Lm_cf)-(x2m_cf))))-x2m_cf))</f>
        <v/>
      </c>
    </row>
    <row r="41">
      <c r="CM41">
        <f>IF(inputs_ok,IF(contact_ok,1000*((x2m_cf)+4/10*((Lm_cf)-(x2m_cf))),NA()),NA())</f>
        <v/>
      </c>
      <c r="CN41">
        <f>base_cf-dsc_cf*((((x2m_cf)+4/10*((Lm_cf)-(x2m_cf))))^2*(wa_cf/2+wb_cf*(((x2m_cf)+4/10*((Lm_cf)-(x2m_cf))))/6)-P1_cf*MAX(0,(((x2m_cf)+4/10*((Lm_cf)-(x2m_cf))))-x1m_cf)-P2_cf*MAX(0,(((x2m_cf)+4/10*((Lm_cf)-(x2m_cf))))-x2m_cf))</f>
        <v/>
      </c>
    </row>
    <row r="42">
      <c r="CM42">
        <f>IF(inputs_ok,IF(contact_ok,1000*((x2m_cf)+5/10*((Lm_cf)-(x2m_cf))),NA()),NA())</f>
        <v/>
      </c>
      <c r="CN42">
        <f>base_cf-dsc_cf*((((x2m_cf)+5/10*((Lm_cf)-(x2m_cf))))^2*(wa_cf/2+wb_cf*(((x2m_cf)+5/10*((Lm_cf)-(x2m_cf))))/6)-P1_cf*MAX(0,(((x2m_cf)+5/10*((Lm_cf)-(x2m_cf))))-x1m_cf)-P2_cf*MAX(0,(((x2m_cf)+5/10*((Lm_cf)-(x2m_cf))))-x2m_cf))</f>
        <v/>
      </c>
    </row>
    <row r="43">
      <c r="CM43">
        <f>IF(inputs_ok,IF(contact_ok,1000*((x2m_cf)+6/10*((Lm_cf)-(x2m_cf))),NA()),NA())</f>
        <v/>
      </c>
      <c r="CN43">
        <f>base_cf-dsc_cf*((((x2m_cf)+6/10*((Lm_cf)-(x2m_cf))))^2*(wa_cf/2+wb_cf*(((x2m_cf)+6/10*((Lm_cf)-(x2m_cf))))/6)-P1_cf*MAX(0,(((x2m_cf)+6/10*((Lm_cf)-(x2m_cf))))-x1m_cf)-P2_cf*MAX(0,(((x2m_cf)+6/10*((Lm_cf)-(x2m_cf))))-x2m_cf))</f>
        <v/>
      </c>
    </row>
    <row r="44">
      <c r="CM44">
        <f>IF(inputs_ok,IF(contact_ok,1000*((x2m_cf)+7/10*((Lm_cf)-(x2m_cf))),NA()),NA())</f>
        <v/>
      </c>
      <c r="CN44">
        <f>base_cf-dsc_cf*((((x2m_cf)+7/10*((Lm_cf)-(x2m_cf))))^2*(wa_cf/2+wb_cf*(((x2m_cf)+7/10*((Lm_cf)-(x2m_cf))))/6)-P1_cf*MAX(0,(((x2m_cf)+7/10*((Lm_cf)-(x2m_cf))))-x1m_cf)-P2_cf*MAX(0,(((x2m_cf)+7/10*((Lm_cf)-(x2m_cf))))-x2m_cf))</f>
        <v/>
      </c>
    </row>
    <row r="45">
      <c r="CM45">
        <f>IF(inputs_ok,IF(contact_ok,1000*((x2m_cf)+8/10*((Lm_cf)-(x2m_cf))),NA()),NA())</f>
        <v/>
      </c>
      <c r="CN45">
        <f>base_cf-dsc_cf*((((x2m_cf)+8/10*((Lm_cf)-(x2m_cf))))^2*(wa_cf/2+wb_cf*(((x2m_cf)+8/10*((Lm_cf)-(x2m_cf))))/6)-P1_cf*MAX(0,(((x2m_cf)+8/10*((Lm_cf)-(x2m_cf))))-x1m_cf)-P2_cf*MAX(0,(((x2m_cf)+8/10*((Lm_cf)-(x2m_cf))))-x2m_cf))</f>
        <v/>
      </c>
    </row>
    <row r="46">
      <c r="CM46">
        <f>IF(inputs_ok,IF(contact_ok,1000*((x2m_cf)+9/10*((Lm_cf)-(x2m_cf))),NA()),NA())</f>
        <v/>
      </c>
      <c r="CN46">
        <f>base_cf-dsc_cf*((((x2m_cf)+9/10*((Lm_cf)-(x2m_cf))))^2*(wa_cf/2+wb_cf*(((x2m_cf)+9/10*((Lm_cf)-(x2m_cf))))/6)-P1_cf*MAX(0,(((x2m_cf)+9/10*((Lm_cf)-(x2m_cf))))-x1m_cf)-P2_cf*MAX(0,(((x2m_cf)+9/10*((Lm_cf)-(x2m_cf))))-x2m_cf))</f>
        <v/>
      </c>
    </row>
    <row r="47">
      <c r="CM47">
        <f>IF(inputs_ok,IF(contact_ok,1000*((x2m_cf)+10/10*((Lm_cf)-(x2m_cf))),NA()),NA())</f>
        <v/>
      </c>
      <c r="CN47">
        <f>base_cf-dsc_cf*((((x2m_cf)+10/10*((Lm_cf)-(x2m_cf))))^2*(wa_cf/2+wb_cf*(((x2m_cf)+10/10*((Lm_cf)-(x2m_cf))))/6)-P1_cf*MAX(0,(((x2m_cf)+10/10*((Lm_cf)-(x2m_cf))))-x1m_cf)-P2_cf*MAX(0,(((x2m_cf)+10/10*((Lm_cf)-(x2m_cf))))-x2m_cf))</f>
        <v/>
      </c>
    </row>
    <row r="48">
      <c r="CM48">
        <f>IF(inputs_ok,IF(contact_ok,L_cf,NA()),NA())</f>
        <v/>
      </c>
      <c r="CN48">
        <f>base_cf</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O83"/>
  <sheetViews>
    <sheetView tabSelected="0" workbookViewId="0">
      <selection activeCell="A1" sqref="A1"/>
    </sheetView>
  </sheetViews>
  <sheetFormatPr baseColWidth="8" defaultRowHeight="15"/>
  <sheetData>
    <row r="1">
      <c r="A1" t="inlineStr">
        <is>
          <t>Golden-section search, perimeters running to an edge. Generated - do not edit.</t>
        </is>
      </c>
    </row>
    <row r="2">
      <c r="A2" t="inlineStr">
        <is>
          <t>column 1, end</t>
        </is>
      </c>
      <c r="H2" t="inlineStr">
        <is>
          <t>column 1, side</t>
        </is>
      </c>
      <c r="O2" t="inlineStr">
        <is>
          <t>column 1, corner</t>
        </is>
      </c>
      <c r="V2" t="inlineStr">
        <is>
          <t>column 2, end</t>
        </is>
      </c>
      <c r="AC2" t="inlineStr">
        <is>
          <t>column 2, side</t>
        </is>
      </c>
      <c r="AJ2" t="inlineStr">
        <is>
          <t>column 2, corner</t>
        </is>
      </c>
    </row>
    <row r="3">
      <c r="A3">
        <f>0</f>
        <v/>
      </c>
      <c r="B3">
        <f>MAX(hie1_cf,0)</f>
        <v/>
      </c>
      <c r="C3">
        <f>B3-((SQRT(5)-1)/2)*(B3-A3)</f>
        <v/>
      </c>
      <c r="D3">
        <f>A3+((SQRT(5)-1)/2)*(B3-A3)</f>
        <v/>
      </c>
      <c r="E3">
        <f>IFERROR(beta_cf*MAX(0,P1_cf-(((x1_cf-cx1_cf/2)+cx1_cf)*(cy1_cf+2*C3)*((wa_cf+wb_cf*((x1_cf+cx1_cf/2)/2)/1000)/Bm_cf)+cy1_cf*C3*((wa_cf+wb_cf*((x1_cf+cx1_cf/2)+C3/2)/1000)/Bm_cf)+PI()*C3^2/2*((wa_cf+wb_cf*((x1_cf+cx1_cf/2)+4*C3/(3*PI()))/1000)/Bm_cf))/1E6)*1000/((cy1_cf+PI()*C3+2*((x1_cf-cx1_cf/2)+cx1_cf))*dp_cf)/(vRdc_p*2*dp_cf/C3),0)</f>
        <v/>
      </c>
      <c r="F3">
        <f>IFERROR(beta_cf*MAX(0,P1_cf-(((x1_cf-cx1_cf/2)+cx1_cf)*(cy1_cf+2*D3)*((wa_cf+wb_cf*((x1_cf+cx1_cf/2)/2)/1000)/Bm_cf)+cy1_cf*D3*((wa_cf+wb_cf*((x1_cf+cx1_cf/2)+D3/2)/1000)/Bm_cf)+PI()*D3^2/2*((wa_cf+wb_cf*((x1_cf+cx1_cf/2)+4*D3/(3*PI()))/1000)/Bm_cf))/1E6)*1000/((cy1_cf+PI()*D3+2*((x1_cf-cx1_cf/2)+cx1_cf))*dp_cf)/(vRdc_p*2*dp_cf/D3),0)</f>
        <v/>
      </c>
      <c r="H3">
        <f>0</f>
        <v/>
      </c>
      <c r="I3">
        <f>MAX(hisd1_cf,0)</f>
        <v/>
      </c>
      <c r="J3">
        <f>I3-((SQRT(5)-1)/2)*(I3-H3)</f>
        <v/>
      </c>
      <c r="K3">
        <f>H3+((SQRT(5)-1)/2)*(I3-H3)</f>
        <v/>
      </c>
      <c r="L3">
        <f>IFERROR(beta_cf*MAX(0,P1_cf-(((cx1_cf+2*J3)*(((B_cf-cy1_cf)/2)+cy1_cf)+cx1_cf*J3+PI()*J3^2/2)*((wa_cf+wb_cf*(x1_cf)/1000)/Bm_cf))/1E6)*1000/((cx1_cf+PI()*J3+2*(((B_cf-cy1_cf)/2)+cy1_cf))*dp_cf)/(vRdc_p*2*dp_cf/J3),0)</f>
        <v/>
      </c>
      <c r="M3">
        <f>IFERROR(beta_cf*MAX(0,P1_cf-(((cx1_cf+2*K3)*(((B_cf-cy1_cf)/2)+cy1_cf)+cx1_cf*K3+PI()*K3^2/2)*((wa_cf+wb_cf*(x1_cf)/1000)/Bm_cf))/1E6)*1000/((cx1_cf+PI()*K3+2*(((B_cf-cy1_cf)/2)+cy1_cf))*dp_cf)/(vRdc_p*2*dp_cf/K3),0)</f>
        <v/>
      </c>
      <c r="O3">
        <f>0</f>
        <v/>
      </c>
      <c r="P3">
        <f>MAX(hicn1_cf,0)</f>
        <v/>
      </c>
      <c r="Q3">
        <f>P3-((SQRT(5)-1)/2)*(P3-O3)</f>
        <v/>
      </c>
      <c r="R3">
        <f>O3+((SQRT(5)-1)/2)*(P3-O3)</f>
        <v/>
      </c>
      <c r="S3">
        <f>IFERROR(beta_cf*MAX(0,P1_cf-(((x1_cf-cx1_cf/2)+cx1_cf)*(((B_cf-cy1_cf)/2)+cy1_cf+Q3)*((wa_cf+wb_cf*((x1_cf+cx1_cf/2)/2)/1000)/Bm_cf)+(((B_cf-cy1_cf)/2)+cy1_cf)*Q3*((wa_cf+wb_cf*((x1_cf+cx1_cf/2)+Q3/2)/1000)/Bm_cf)+PI()*Q3^2/4*((wa_cf+wb_cf*((x1_cf+cx1_cf/2)+4*Q3/(3*PI()))/1000)/Bm_cf))/1E6)*1000/(((x1_cf-cx1_cf/2)+cx1_cf+((B_cf-cy1_cf)/2)+cy1_cf+PI()*Q3/2)*dp_cf)/(vRdc_p*2*dp_cf/Q3),0)</f>
        <v/>
      </c>
      <c r="T3">
        <f>IFERROR(beta_cf*MAX(0,P1_cf-(((x1_cf-cx1_cf/2)+cx1_cf)*(((B_cf-cy1_cf)/2)+cy1_cf+R3)*((wa_cf+wb_cf*((x1_cf+cx1_cf/2)/2)/1000)/Bm_cf)+(((B_cf-cy1_cf)/2)+cy1_cf)*R3*((wa_cf+wb_cf*((x1_cf+cx1_cf/2)+R3/2)/1000)/Bm_cf)+PI()*R3^2/4*((wa_cf+wb_cf*((x1_cf+cx1_cf/2)+4*R3/(3*PI()))/1000)/Bm_cf))/1E6)*1000/(((x1_cf-cx1_cf/2)+cx1_cf+((B_cf-cy1_cf)/2)+cy1_cf+PI()*R3/2)*dp_cf)/(vRdc_p*2*dp_cf/R3),0)</f>
        <v/>
      </c>
      <c r="V3">
        <f>0</f>
        <v/>
      </c>
      <c r="W3">
        <f>MAX(hie2_cf,0)</f>
        <v/>
      </c>
      <c r="X3">
        <f>W3-((SQRT(5)-1)/2)*(W3-V3)</f>
        <v/>
      </c>
      <c r="Y3">
        <f>V3+((SQRT(5)-1)/2)*(W3-V3)</f>
        <v/>
      </c>
      <c r="Z3">
        <f>IFERROR(beta_cf*MAX(0,P2_cf-(((L_cf-x2_cf-cx2_cf/2)+cx2_cf)*(cy2_cf+2*X3)*((wa_cf+wb_cf*(((x2_cf-cx2_cf/2)+L_cf)/2)/1000)/Bm_cf)+cy2_cf*X3*((wa_cf+wb_cf*((x2_cf-cx2_cf/2)-X3/2)/1000)/Bm_cf)+PI()*X3^2/2*((wa_cf+wb_cf*((x2_cf-cx2_cf/2)-4*X3/(3*PI()))/1000)/Bm_cf))/1E6)*1000/((cy2_cf+PI()*X3+2*((L_cf-x2_cf-cx2_cf/2)+cx2_cf))*dp_cf)/(vRdc_p*2*dp_cf/X3),0)</f>
        <v/>
      </c>
      <c r="AA3">
        <f>IFERROR(beta_cf*MAX(0,P2_cf-(((L_cf-x2_cf-cx2_cf/2)+cx2_cf)*(cy2_cf+2*Y3)*((wa_cf+wb_cf*(((x2_cf-cx2_cf/2)+L_cf)/2)/1000)/Bm_cf)+cy2_cf*Y3*((wa_cf+wb_cf*((x2_cf-cx2_cf/2)-Y3/2)/1000)/Bm_cf)+PI()*Y3^2/2*((wa_cf+wb_cf*((x2_cf-cx2_cf/2)-4*Y3/(3*PI()))/1000)/Bm_cf))/1E6)*1000/((cy2_cf+PI()*Y3+2*((L_cf-x2_cf-cx2_cf/2)+cx2_cf))*dp_cf)/(vRdc_p*2*dp_cf/Y3),0)</f>
        <v/>
      </c>
      <c r="AC3">
        <f>0</f>
        <v/>
      </c>
      <c r="AD3">
        <f>MAX(hisd2_cf,0)</f>
        <v/>
      </c>
      <c r="AE3">
        <f>AD3-((SQRT(5)-1)/2)*(AD3-AC3)</f>
        <v/>
      </c>
      <c r="AF3">
        <f>AC3+((SQRT(5)-1)/2)*(AD3-AC3)</f>
        <v/>
      </c>
      <c r="AG3">
        <f>IFERROR(beta_cf*MAX(0,P2_cf-(((cx2_cf+2*AE3)*(((B_cf-cy2_cf)/2)+cy2_cf)+cx2_cf*AE3+PI()*AE3^2/2)*((wa_cf+wb_cf*(x2_cf)/1000)/Bm_cf))/1E6)*1000/((cx2_cf+PI()*AE3+2*(((B_cf-cy2_cf)/2)+cy2_cf))*dp_cf)/(vRdc_p*2*dp_cf/AE3),0)</f>
        <v/>
      </c>
      <c r="AH3">
        <f>IFERROR(beta_cf*MAX(0,P2_cf-(((cx2_cf+2*AF3)*(((B_cf-cy2_cf)/2)+cy2_cf)+cx2_cf*AF3+PI()*AF3^2/2)*((wa_cf+wb_cf*(x2_cf)/1000)/Bm_cf))/1E6)*1000/((cx2_cf+PI()*AF3+2*(((B_cf-cy2_cf)/2)+cy2_cf))*dp_cf)/(vRdc_p*2*dp_cf/AF3),0)</f>
        <v/>
      </c>
      <c r="AJ3">
        <f>0</f>
        <v/>
      </c>
      <c r="AK3">
        <f>MAX(hicn2_cf,0)</f>
        <v/>
      </c>
      <c r="AL3">
        <f>AK3-((SQRT(5)-1)/2)*(AK3-AJ3)</f>
        <v/>
      </c>
      <c r="AM3">
        <f>AJ3+((SQRT(5)-1)/2)*(AK3-AJ3)</f>
        <v/>
      </c>
      <c r="AN3">
        <f>IFERROR(beta_cf*MAX(0,P2_cf-(((L_cf-x2_cf-cx2_cf/2)+cx2_cf)*(((B_cf-cy2_cf)/2)+cy2_cf+AL3)*((wa_cf+wb_cf*(((x2_cf-cx2_cf/2)+L_cf)/2)/1000)/Bm_cf)+(((B_cf-cy2_cf)/2)+cy2_cf)*AL3*((wa_cf+wb_cf*((x2_cf-cx2_cf/2)-AL3/2)/1000)/Bm_cf)+PI()*AL3^2/4*((wa_cf+wb_cf*((x2_cf-cx2_cf/2)-4*AL3/(3*PI()))/1000)/Bm_cf))/1E6)*1000/(((L_cf-x2_cf-cx2_cf/2)+cx2_cf+((B_cf-cy2_cf)/2)+cy2_cf+PI()*AL3/2)*dp_cf)/(vRdc_p*2*dp_cf/AL3),0)</f>
        <v/>
      </c>
      <c r="AO3">
        <f>IFERROR(beta_cf*MAX(0,P2_cf-(((L_cf-x2_cf-cx2_cf/2)+cx2_cf)*(((B_cf-cy2_cf)/2)+cy2_cf+AM3)*((wa_cf+wb_cf*(((x2_cf-cx2_cf/2)+L_cf)/2)/1000)/Bm_cf)+(((B_cf-cy2_cf)/2)+cy2_cf)*AM3*((wa_cf+wb_cf*((x2_cf-cx2_cf/2)-AM3/2)/1000)/Bm_cf)+PI()*AM3^2/4*((wa_cf+wb_cf*((x2_cf-cx2_cf/2)-4*AM3/(3*PI()))/1000)/Bm_cf))/1E6)*1000/(((L_cf-x2_cf-cx2_cf/2)+cx2_cf+((B_cf-cy2_cf)/2)+cy2_cf+PI()*AM3/2)*dp_cf)/(vRdc_p*2*dp_cf/AM3),0)</f>
        <v/>
      </c>
    </row>
    <row r="4">
      <c r="A4">
        <f>IF(E3&lt;F3,C3,A3)</f>
        <v/>
      </c>
      <c r="B4">
        <f>IF(E3&lt;F3,B3,D3)</f>
        <v/>
      </c>
      <c r="C4">
        <f>B4-((SQRT(5)-1)/2)*(B4-A4)</f>
        <v/>
      </c>
      <c r="D4">
        <f>A4+((SQRT(5)-1)/2)*(B4-A4)</f>
        <v/>
      </c>
      <c r="E4">
        <f>IFERROR(beta_cf*MAX(0,P1_cf-(((x1_cf-cx1_cf/2)+cx1_cf)*(cy1_cf+2*C4)*((wa_cf+wb_cf*((x1_cf+cx1_cf/2)/2)/1000)/Bm_cf)+cy1_cf*C4*((wa_cf+wb_cf*((x1_cf+cx1_cf/2)+C4/2)/1000)/Bm_cf)+PI()*C4^2/2*((wa_cf+wb_cf*((x1_cf+cx1_cf/2)+4*C4/(3*PI()))/1000)/Bm_cf))/1E6)*1000/((cy1_cf+PI()*C4+2*((x1_cf-cx1_cf/2)+cx1_cf))*dp_cf)/(vRdc_p*2*dp_cf/C4),0)</f>
        <v/>
      </c>
      <c r="F4">
        <f>IFERROR(beta_cf*MAX(0,P1_cf-(((x1_cf-cx1_cf/2)+cx1_cf)*(cy1_cf+2*D4)*((wa_cf+wb_cf*((x1_cf+cx1_cf/2)/2)/1000)/Bm_cf)+cy1_cf*D4*((wa_cf+wb_cf*((x1_cf+cx1_cf/2)+D4/2)/1000)/Bm_cf)+PI()*D4^2/2*((wa_cf+wb_cf*((x1_cf+cx1_cf/2)+4*D4/(3*PI()))/1000)/Bm_cf))/1E6)*1000/((cy1_cf+PI()*D4+2*((x1_cf-cx1_cf/2)+cx1_cf))*dp_cf)/(vRdc_p*2*dp_cf/D4),0)</f>
        <v/>
      </c>
      <c r="H4">
        <f>IF(L3&lt;M3,J3,H3)</f>
        <v/>
      </c>
      <c r="I4">
        <f>IF(L3&lt;M3,I3,K3)</f>
        <v/>
      </c>
      <c r="J4">
        <f>I4-((SQRT(5)-1)/2)*(I4-H4)</f>
        <v/>
      </c>
      <c r="K4">
        <f>H4+((SQRT(5)-1)/2)*(I4-H4)</f>
        <v/>
      </c>
      <c r="L4">
        <f>IFERROR(beta_cf*MAX(0,P1_cf-(((cx1_cf+2*J4)*(((B_cf-cy1_cf)/2)+cy1_cf)+cx1_cf*J4+PI()*J4^2/2)*((wa_cf+wb_cf*(x1_cf)/1000)/Bm_cf))/1E6)*1000/((cx1_cf+PI()*J4+2*(((B_cf-cy1_cf)/2)+cy1_cf))*dp_cf)/(vRdc_p*2*dp_cf/J4),0)</f>
        <v/>
      </c>
      <c r="M4">
        <f>IFERROR(beta_cf*MAX(0,P1_cf-(((cx1_cf+2*K4)*(((B_cf-cy1_cf)/2)+cy1_cf)+cx1_cf*K4+PI()*K4^2/2)*((wa_cf+wb_cf*(x1_cf)/1000)/Bm_cf))/1E6)*1000/((cx1_cf+PI()*K4+2*(((B_cf-cy1_cf)/2)+cy1_cf))*dp_cf)/(vRdc_p*2*dp_cf/K4),0)</f>
        <v/>
      </c>
      <c r="O4">
        <f>IF(S3&lt;T3,Q3,O3)</f>
        <v/>
      </c>
      <c r="P4">
        <f>IF(S3&lt;T3,P3,R3)</f>
        <v/>
      </c>
      <c r="Q4">
        <f>P4-((SQRT(5)-1)/2)*(P4-O4)</f>
        <v/>
      </c>
      <c r="R4">
        <f>O4+((SQRT(5)-1)/2)*(P4-O4)</f>
        <v/>
      </c>
      <c r="S4">
        <f>IFERROR(beta_cf*MAX(0,P1_cf-(((x1_cf-cx1_cf/2)+cx1_cf)*(((B_cf-cy1_cf)/2)+cy1_cf+Q4)*((wa_cf+wb_cf*((x1_cf+cx1_cf/2)/2)/1000)/Bm_cf)+(((B_cf-cy1_cf)/2)+cy1_cf)*Q4*((wa_cf+wb_cf*((x1_cf+cx1_cf/2)+Q4/2)/1000)/Bm_cf)+PI()*Q4^2/4*((wa_cf+wb_cf*((x1_cf+cx1_cf/2)+4*Q4/(3*PI()))/1000)/Bm_cf))/1E6)*1000/(((x1_cf-cx1_cf/2)+cx1_cf+((B_cf-cy1_cf)/2)+cy1_cf+PI()*Q4/2)*dp_cf)/(vRdc_p*2*dp_cf/Q4),0)</f>
        <v/>
      </c>
      <c r="T4">
        <f>IFERROR(beta_cf*MAX(0,P1_cf-(((x1_cf-cx1_cf/2)+cx1_cf)*(((B_cf-cy1_cf)/2)+cy1_cf+R4)*((wa_cf+wb_cf*((x1_cf+cx1_cf/2)/2)/1000)/Bm_cf)+(((B_cf-cy1_cf)/2)+cy1_cf)*R4*((wa_cf+wb_cf*((x1_cf+cx1_cf/2)+R4/2)/1000)/Bm_cf)+PI()*R4^2/4*((wa_cf+wb_cf*((x1_cf+cx1_cf/2)+4*R4/(3*PI()))/1000)/Bm_cf))/1E6)*1000/(((x1_cf-cx1_cf/2)+cx1_cf+((B_cf-cy1_cf)/2)+cy1_cf+PI()*R4/2)*dp_cf)/(vRdc_p*2*dp_cf/R4),0)</f>
        <v/>
      </c>
      <c r="V4">
        <f>IF(Z3&lt;AA3,X3,V3)</f>
        <v/>
      </c>
      <c r="W4">
        <f>IF(Z3&lt;AA3,W3,Y3)</f>
        <v/>
      </c>
      <c r="X4">
        <f>W4-((SQRT(5)-1)/2)*(W4-V4)</f>
        <v/>
      </c>
      <c r="Y4">
        <f>V4+((SQRT(5)-1)/2)*(W4-V4)</f>
        <v/>
      </c>
      <c r="Z4">
        <f>IFERROR(beta_cf*MAX(0,P2_cf-(((L_cf-x2_cf-cx2_cf/2)+cx2_cf)*(cy2_cf+2*X4)*((wa_cf+wb_cf*(((x2_cf-cx2_cf/2)+L_cf)/2)/1000)/Bm_cf)+cy2_cf*X4*((wa_cf+wb_cf*((x2_cf-cx2_cf/2)-X4/2)/1000)/Bm_cf)+PI()*X4^2/2*((wa_cf+wb_cf*((x2_cf-cx2_cf/2)-4*X4/(3*PI()))/1000)/Bm_cf))/1E6)*1000/((cy2_cf+PI()*X4+2*((L_cf-x2_cf-cx2_cf/2)+cx2_cf))*dp_cf)/(vRdc_p*2*dp_cf/X4),0)</f>
        <v/>
      </c>
      <c r="AA4">
        <f>IFERROR(beta_cf*MAX(0,P2_cf-(((L_cf-x2_cf-cx2_cf/2)+cx2_cf)*(cy2_cf+2*Y4)*((wa_cf+wb_cf*(((x2_cf-cx2_cf/2)+L_cf)/2)/1000)/Bm_cf)+cy2_cf*Y4*((wa_cf+wb_cf*((x2_cf-cx2_cf/2)-Y4/2)/1000)/Bm_cf)+PI()*Y4^2/2*((wa_cf+wb_cf*((x2_cf-cx2_cf/2)-4*Y4/(3*PI()))/1000)/Bm_cf))/1E6)*1000/((cy2_cf+PI()*Y4+2*((L_cf-x2_cf-cx2_cf/2)+cx2_cf))*dp_cf)/(vRdc_p*2*dp_cf/Y4),0)</f>
        <v/>
      </c>
      <c r="AC4">
        <f>IF(AG3&lt;AH3,AE3,AC3)</f>
        <v/>
      </c>
      <c r="AD4">
        <f>IF(AG3&lt;AH3,AD3,AF3)</f>
        <v/>
      </c>
      <c r="AE4">
        <f>AD4-((SQRT(5)-1)/2)*(AD4-AC4)</f>
        <v/>
      </c>
      <c r="AF4">
        <f>AC4+((SQRT(5)-1)/2)*(AD4-AC4)</f>
        <v/>
      </c>
      <c r="AG4">
        <f>IFERROR(beta_cf*MAX(0,P2_cf-(((cx2_cf+2*AE4)*(((B_cf-cy2_cf)/2)+cy2_cf)+cx2_cf*AE4+PI()*AE4^2/2)*((wa_cf+wb_cf*(x2_cf)/1000)/Bm_cf))/1E6)*1000/((cx2_cf+PI()*AE4+2*(((B_cf-cy2_cf)/2)+cy2_cf))*dp_cf)/(vRdc_p*2*dp_cf/AE4),0)</f>
        <v/>
      </c>
      <c r="AH4">
        <f>IFERROR(beta_cf*MAX(0,P2_cf-(((cx2_cf+2*AF4)*(((B_cf-cy2_cf)/2)+cy2_cf)+cx2_cf*AF4+PI()*AF4^2/2)*((wa_cf+wb_cf*(x2_cf)/1000)/Bm_cf))/1E6)*1000/((cx2_cf+PI()*AF4+2*(((B_cf-cy2_cf)/2)+cy2_cf))*dp_cf)/(vRdc_p*2*dp_cf/AF4),0)</f>
        <v/>
      </c>
      <c r="AJ4">
        <f>IF(AN3&lt;AO3,AL3,AJ3)</f>
        <v/>
      </c>
      <c r="AK4">
        <f>IF(AN3&lt;AO3,AK3,AM3)</f>
        <v/>
      </c>
      <c r="AL4">
        <f>AK4-((SQRT(5)-1)/2)*(AK4-AJ4)</f>
        <v/>
      </c>
      <c r="AM4">
        <f>AJ4+((SQRT(5)-1)/2)*(AK4-AJ4)</f>
        <v/>
      </c>
      <c r="AN4">
        <f>IFERROR(beta_cf*MAX(0,P2_cf-(((L_cf-x2_cf-cx2_cf/2)+cx2_cf)*(((B_cf-cy2_cf)/2)+cy2_cf+AL4)*((wa_cf+wb_cf*(((x2_cf-cx2_cf/2)+L_cf)/2)/1000)/Bm_cf)+(((B_cf-cy2_cf)/2)+cy2_cf)*AL4*((wa_cf+wb_cf*((x2_cf-cx2_cf/2)-AL4/2)/1000)/Bm_cf)+PI()*AL4^2/4*((wa_cf+wb_cf*((x2_cf-cx2_cf/2)-4*AL4/(3*PI()))/1000)/Bm_cf))/1E6)*1000/(((L_cf-x2_cf-cx2_cf/2)+cx2_cf+((B_cf-cy2_cf)/2)+cy2_cf+PI()*AL4/2)*dp_cf)/(vRdc_p*2*dp_cf/AL4),0)</f>
        <v/>
      </c>
      <c r="AO4">
        <f>IFERROR(beta_cf*MAX(0,P2_cf-(((L_cf-x2_cf-cx2_cf/2)+cx2_cf)*(((B_cf-cy2_cf)/2)+cy2_cf+AM4)*((wa_cf+wb_cf*(((x2_cf-cx2_cf/2)+L_cf)/2)/1000)/Bm_cf)+(((B_cf-cy2_cf)/2)+cy2_cf)*AM4*((wa_cf+wb_cf*((x2_cf-cx2_cf/2)-AM4/2)/1000)/Bm_cf)+PI()*AM4^2/4*((wa_cf+wb_cf*((x2_cf-cx2_cf/2)-4*AM4/(3*PI()))/1000)/Bm_cf))/1E6)*1000/(((L_cf-x2_cf-cx2_cf/2)+cx2_cf+((B_cf-cy2_cf)/2)+cy2_cf+PI()*AM4/2)*dp_cf)/(vRdc_p*2*dp_cf/AM4),0)</f>
        <v/>
      </c>
    </row>
    <row r="5">
      <c r="A5">
        <f>IF(E4&lt;F4,C4,A4)</f>
        <v/>
      </c>
      <c r="B5">
        <f>IF(E4&lt;F4,B4,D4)</f>
        <v/>
      </c>
      <c r="C5">
        <f>B5-((SQRT(5)-1)/2)*(B5-A5)</f>
        <v/>
      </c>
      <c r="D5">
        <f>A5+((SQRT(5)-1)/2)*(B5-A5)</f>
        <v/>
      </c>
      <c r="E5">
        <f>IFERROR(beta_cf*MAX(0,P1_cf-(((x1_cf-cx1_cf/2)+cx1_cf)*(cy1_cf+2*C5)*((wa_cf+wb_cf*((x1_cf+cx1_cf/2)/2)/1000)/Bm_cf)+cy1_cf*C5*((wa_cf+wb_cf*((x1_cf+cx1_cf/2)+C5/2)/1000)/Bm_cf)+PI()*C5^2/2*((wa_cf+wb_cf*((x1_cf+cx1_cf/2)+4*C5/(3*PI()))/1000)/Bm_cf))/1E6)*1000/((cy1_cf+PI()*C5+2*((x1_cf-cx1_cf/2)+cx1_cf))*dp_cf)/(vRdc_p*2*dp_cf/C5),0)</f>
        <v/>
      </c>
      <c r="F5">
        <f>IFERROR(beta_cf*MAX(0,P1_cf-(((x1_cf-cx1_cf/2)+cx1_cf)*(cy1_cf+2*D5)*((wa_cf+wb_cf*((x1_cf+cx1_cf/2)/2)/1000)/Bm_cf)+cy1_cf*D5*((wa_cf+wb_cf*((x1_cf+cx1_cf/2)+D5/2)/1000)/Bm_cf)+PI()*D5^2/2*((wa_cf+wb_cf*((x1_cf+cx1_cf/2)+4*D5/(3*PI()))/1000)/Bm_cf))/1E6)*1000/((cy1_cf+PI()*D5+2*((x1_cf-cx1_cf/2)+cx1_cf))*dp_cf)/(vRdc_p*2*dp_cf/D5),0)</f>
        <v/>
      </c>
      <c r="H5">
        <f>IF(L4&lt;M4,J4,H4)</f>
        <v/>
      </c>
      <c r="I5">
        <f>IF(L4&lt;M4,I4,K4)</f>
        <v/>
      </c>
      <c r="J5">
        <f>I5-((SQRT(5)-1)/2)*(I5-H5)</f>
        <v/>
      </c>
      <c r="K5">
        <f>H5+((SQRT(5)-1)/2)*(I5-H5)</f>
        <v/>
      </c>
      <c r="L5">
        <f>IFERROR(beta_cf*MAX(0,P1_cf-(((cx1_cf+2*J5)*(((B_cf-cy1_cf)/2)+cy1_cf)+cx1_cf*J5+PI()*J5^2/2)*((wa_cf+wb_cf*(x1_cf)/1000)/Bm_cf))/1E6)*1000/((cx1_cf+PI()*J5+2*(((B_cf-cy1_cf)/2)+cy1_cf))*dp_cf)/(vRdc_p*2*dp_cf/J5),0)</f>
        <v/>
      </c>
      <c r="M5">
        <f>IFERROR(beta_cf*MAX(0,P1_cf-(((cx1_cf+2*K5)*(((B_cf-cy1_cf)/2)+cy1_cf)+cx1_cf*K5+PI()*K5^2/2)*((wa_cf+wb_cf*(x1_cf)/1000)/Bm_cf))/1E6)*1000/((cx1_cf+PI()*K5+2*(((B_cf-cy1_cf)/2)+cy1_cf))*dp_cf)/(vRdc_p*2*dp_cf/K5),0)</f>
        <v/>
      </c>
      <c r="O5">
        <f>IF(S4&lt;T4,Q4,O4)</f>
        <v/>
      </c>
      <c r="P5">
        <f>IF(S4&lt;T4,P4,R4)</f>
        <v/>
      </c>
      <c r="Q5">
        <f>P5-((SQRT(5)-1)/2)*(P5-O5)</f>
        <v/>
      </c>
      <c r="R5">
        <f>O5+((SQRT(5)-1)/2)*(P5-O5)</f>
        <v/>
      </c>
      <c r="S5">
        <f>IFERROR(beta_cf*MAX(0,P1_cf-(((x1_cf-cx1_cf/2)+cx1_cf)*(((B_cf-cy1_cf)/2)+cy1_cf+Q5)*((wa_cf+wb_cf*((x1_cf+cx1_cf/2)/2)/1000)/Bm_cf)+(((B_cf-cy1_cf)/2)+cy1_cf)*Q5*((wa_cf+wb_cf*((x1_cf+cx1_cf/2)+Q5/2)/1000)/Bm_cf)+PI()*Q5^2/4*((wa_cf+wb_cf*((x1_cf+cx1_cf/2)+4*Q5/(3*PI()))/1000)/Bm_cf))/1E6)*1000/(((x1_cf-cx1_cf/2)+cx1_cf+((B_cf-cy1_cf)/2)+cy1_cf+PI()*Q5/2)*dp_cf)/(vRdc_p*2*dp_cf/Q5),0)</f>
        <v/>
      </c>
      <c r="T5">
        <f>IFERROR(beta_cf*MAX(0,P1_cf-(((x1_cf-cx1_cf/2)+cx1_cf)*(((B_cf-cy1_cf)/2)+cy1_cf+R5)*((wa_cf+wb_cf*((x1_cf+cx1_cf/2)/2)/1000)/Bm_cf)+(((B_cf-cy1_cf)/2)+cy1_cf)*R5*((wa_cf+wb_cf*((x1_cf+cx1_cf/2)+R5/2)/1000)/Bm_cf)+PI()*R5^2/4*((wa_cf+wb_cf*((x1_cf+cx1_cf/2)+4*R5/(3*PI()))/1000)/Bm_cf))/1E6)*1000/(((x1_cf-cx1_cf/2)+cx1_cf+((B_cf-cy1_cf)/2)+cy1_cf+PI()*R5/2)*dp_cf)/(vRdc_p*2*dp_cf/R5),0)</f>
        <v/>
      </c>
      <c r="V5">
        <f>IF(Z4&lt;AA4,X4,V4)</f>
        <v/>
      </c>
      <c r="W5">
        <f>IF(Z4&lt;AA4,W4,Y4)</f>
        <v/>
      </c>
      <c r="X5">
        <f>W5-((SQRT(5)-1)/2)*(W5-V5)</f>
        <v/>
      </c>
      <c r="Y5">
        <f>V5+((SQRT(5)-1)/2)*(W5-V5)</f>
        <v/>
      </c>
      <c r="Z5">
        <f>IFERROR(beta_cf*MAX(0,P2_cf-(((L_cf-x2_cf-cx2_cf/2)+cx2_cf)*(cy2_cf+2*X5)*((wa_cf+wb_cf*(((x2_cf-cx2_cf/2)+L_cf)/2)/1000)/Bm_cf)+cy2_cf*X5*((wa_cf+wb_cf*((x2_cf-cx2_cf/2)-X5/2)/1000)/Bm_cf)+PI()*X5^2/2*((wa_cf+wb_cf*((x2_cf-cx2_cf/2)-4*X5/(3*PI()))/1000)/Bm_cf))/1E6)*1000/((cy2_cf+PI()*X5+2*((L_cf-x2_cf-cx2_cf/2)+cx2_cf))*dp_cf)/(vRdc_p*2*dp_cf/X5),0)</f>
        <v/>
      </c>
      <c r="AA5">
        <f>IFERROR(beta_cf*MAX(0,P2_cf-(((L_cf-x2_cf-cx2_cf/2)+cx2_cf)*(cy2_cf+2*Y5)*((wa_cf+wb_cf*(((x2_cf-cx2_cf/2)+L_cf)/2)/1000)/Bm_cf)+cy2_cf*Y5*((wa_cf+wb_cf*((x2_cf-cx2_cf/2)-Y5/2)/1000)/Bm_cf)+PI()*Y5^2/2*((wa_cf+wb_cf*((x2_cf-cx2_cf/2)-4*Y5/(3*PI()))/1000)/Bm_cf))/1E6)*1000/((cy2_cf+PI()*Y5+2*((L_cf-x2_cf-cx2_cf/2)+cx2_cf))*dp_cf)/(vRdc_p*2*dp_cf/Y5),0)</f>
        <v/>
      </c>
      <c r="AC5">
        <f>IF(AG4&lt;AH4,AE4,AC4)</f>
        <v/>
      </c>
      <c r="AD5">
        <f>IF(AG4&lt;AH4,AD4,AF4)</f>
        <v/>
      </c>
      <c r="AE5">
        <f>AD5-((SQRT(5)-1)/2)*(AD5-AC5)</f>
        <v/>
      </c>
      <c r="AF5">
        <f>AC5+((SQRT(5)-1)/2)*(AD5-AC5)</f>
        <v/>
      </c>
      <c r="AG5">
        <f>IFERROR(beta_cf*MAX(0,P2_cf-(((cx2_cf+2*AE5)*(((B_cf-cy2_cf)/2)+cy2_cf)+cx2_cf*AE5+PI()*AE5^2/2)*((wa_cf+wb_cf*(x2_cf)/1000)/Bm_cf))/1E6)*1000/((cx2_cf+PI()*AE5+2*(((B_cf-cy2_cf)/2)+cy2_cf))*dp_cf)/(vRdc_p*2*dp_cf/AE5),0)</f>
        <v/>
      </c>
      <c r="AH5">
        <f>IFERROR(beta_cf*MAX(0,P2_cf-(((cx2_cf+2*AF5)*(((B_cf-cy2_cf)/2)+cy2_cf)+cx2_cf*AF5+PI()*AF5^2/2)*((wa_cf+wb_cf*(x2_cf)/1000)/Bm_cf))/1E6)*1000/((cx2_cf+PI()*AF5+2*(((B_cf-cy2_cf)/2)+cy2_cf))*dp_cf)/(vRdc_p*2*dp_cf/AF5),0)</f>
        <v/>
      </c>
      <c r="AJ5">
        <f>IF(AN4&lt;AO4,AL4,AJ4)</f>
        <v/>
      </c>
      <c r="AK5">
        <f>IF(AN4&lt;AO4,AK4,AM4)</f>
        <v/>
      </c>
      <c r="AL5">
        <f>AK5-((SQRT(5)-1)/2)*(AK5-AJ5)</f>
        <v/>
      </c>
      <c r="AM5">
        <f>AJ5+((SQRT(5)-1)/2)*(AK5-AJ5)</f>
        <v/>
      </c>
      <c r="AN5">
        <f>IFERROR(beta_cf*MAX(0,P2_cf-(((L_cf-x2_cf-cx2_cf/2)+cx2_cf)*(((B_cf-cy2_cf)/2)+cy2_cf+AL5)*((wa_cf+wb_cf*(((x2_cf-cx2_cf/2)+L_cf)/2)/1000)/Bm_cf)+(((B_cf-cy2_cf)/2)+cy2_cf)*AL5*((wa_cf+wb_cf*((x2_cf-cx2_cf/2)-AL5/2)/1000)/Bm_cf)+PI()*AL5^2/4*((wa_cf+wb_cf*((x2_cf-cx2_cf/2)-4*AL5/(3*PI()))/1000)/Bm_cf))/1E6)*1000/(((L_cf-x2_cf-cx2_cf/2)+cx2_cf+((B_cf-cy2_cf)/2)+cy2_cf+PI()*AL5/2)*dp_cf)/(vRdc_p*2*dp_cf/AL5),0)</f>
        <v/>
      </c>
      <c r="AO5">
        <f>IFERROR(beta_cf*MAX(0,P2_cf-(((L_cf-x2_cf-cx2_cf/2)+cx2_cf)*(((B_cf-cy2_cf)/2)+cy2_cf+AM5)*((wa_cf+wb_cf*(((x2_cf-cx2_cf/2)+L_cf)/2)/1000)/Bm_cf)+(((B_cf-cy2_cf)/2)+cy2_cf)*AM5*((wa_cf+wb_cf*((x2_cf-cx2_cf/2)-AM5/2)/1000)/Bm_cf)+PI()*AM5^2/4*((wa_cf+wb_cf*((x2_cf-cx2_cf/2)-4*AM5/(3*PI()))/1000)/Bm_cf))/1E6)*1000/(((L_cf-x2_cf-cx2_cf/2)+cx2_cf+((B_cf-cy2_cf)/2)+cy2_cf+PI()*AM5/2)*dp_cf)/(vRdc_p*2*dp_cf/AM5),0)</f>
        <v/>
      </c>
    </row>
    <row r="6">
      <c r="A6">
        <f>IF(E5&lt;F5,C5,A5)</f>
        <v/>
      </c>
      <c r="B6">
        <f>IF(E5&lt;F5,B5,D5)</f>
        <v/>
      </c>
      <c r="C6">
        <f>B6-((SQRT(5)-1)/2)*(B6-A6)</f>
        <v/>
      </c>
      <c r="D6">
        <f>A6+((SQRT(5)-1)/2)*(B6-A6)</f>
        <v/>
      </c>
      <c r="E6">
        <f>IFERROR(beta_cf*MAX(0,P1_cf-(((x1_cf-cx1_cf/2)+cx1_cf)*(cy1_cf+2*C6)*((wa_cf+wb_cf*((x1_cf+cx1_cf/2)/2)/1000)/Bm_cf)+cy1_cf*C6*((wa_cf+wb_cf*((x1_cf+cx1_cf/2)+C6/2)/1000)/Bm_cf)+PI()*C6^2/2*((wa_cf+wb_cf*((x1_cf+cx1_cf/2)+4*C6/(3*PI()))/1000)/Bm_cf))/1E6)*1000/((cy1_cf+PI()*C6+2*((x1_cf-cx1_cf/2)+cx1_cf))*dp_cf)/(vRdc_p*2*dp_cf/C6),0)</f>
        <v/>
      </c>
      <c r="F6">
        <f>IFERROR(beta_cf*MAX(0,P1_cf-(((x1_cf-cx1_cf/2)+cx1_cf)*(cy1_cf+2*D6)*((wa_cf+wb_cf*((x1_cf+cx1_cf/2)/2)/1000)/Bm_cf)+cy1_cf*D6*((wa_cf+wb_cf*((x1_cf+cx1_cf/2)+D6/2)/1000)/Bm_cf)+PI()*D6^2/2*((wa_cf+wb_cf*((x1_cf+cx1_cf/2)+4*D6/(3*PI()))/1000)/Bm_cf))/1E6)*1000/((cy1_cf+PI()*D6+2*((x1_cf-cx1_cf/2)+cx1_cf))*dp_cf)/(vRdc_p*2*dp_cf/D6),0)</f>
        <v/>
      </c>
      <c r="H6">
        <f>IF(L5&lt;M5,J5,H5)</f>
        <v/>
      </c>
      <c r="I6">
        <f>IF(L5&lt;M5,I5,K5)</f>
        <v/>
      </c>
      <c r="J6">
        <f>I6-((SQRT(5)-1)/2)*(I6-H6)</f>
        <v/>
      </c>
      <c r="K6">
        <f>H6+((SQRT(5)-1)/2)*(I6-H6)</f>
        <v/>
      </c>
      <c r="L6">
        <f>IFERROR(beta_cf*MAX(0,P1_cf-(((cx1_cf+2*J6)*(((B_cf-cy1_cf)/2)+cy1_cf)+cx1_cf*J6+PI()*J6^2/2)*((wa_cf+wb_cf*(x1_cf)/1000)/Bm_cf))/1E6)*1000/((cx1_cf+PI()*J6+2*(((B_cf-cy1_cf)/2)+cy1_cf))*dp_cf)/(vRdc_p*2*dp_cf/J6),0)</f>
        <v/>
      </c>
      <c r="M6">
        <f>IFERROR(beta_cf*MAX(0,P1_cf-(((cx1_cf+2*K6)*(((B_cf-cy1_cf)/2)+cy1_cf)+cx1_cf*K6+PI()*K6^2/2)*((wa_cf+wb_cf*(x1_cf)/1000)/Bm_cf))/1E6)*1000/((cx1_cf+PI()*K6+2*(((B_cf-cy1_cf)/2)+cy1_cf))*dp_cf)/(vRdc_p*2*dp_cf/K6),0)</f>
        <v/>
      </c>
      <c r="O6">
        <f>IF(S5&lt;T5,Q5,O5)</f>
        <v/>
      </c>
      <c r="P6">
        <f>IF(S5&lt;T5,P5,R5)</f>
        <v/>
      </c>
      <c r="Q6">
        <f>P6-((SQRT(5)-1)/2)*(P6-O6)</f>
        <v/>
      </c>
      <c r="R6">
        <f>O6+((SQRT(5)-1)/2)*(P6-O6)</f>
        <v/>
      </c>
      <c r="S6">
        <f>IFERROR(beta_cf*MAX(0,P1_cf-(((x1_cf-cx1_cf/2)+cx1_cf)*(((B_cf-cy1_cf)/2)+cy1_cf+Q6)*((wa_cf+wb_cf*((x1_cf+cx1_cf/2)/2)/1000)/Bm_cf)+(((B_cf-cy1_cf)/2)+cy1_cf)*Q6*((wa_cf+wb_cf*((x1_cf+cx1_cf/2)+Q6/2)/1000)/Bm_cf)+PI()*Q6^2/4*((wa_cf+wb_cf*((x1_cf+cx1_cf/2)+4*Q6/(3*PI()))/1000)/Bm_cf))/1E6)*1000/(((x1_cf-cx1_cf/2)+cx1_cf+((B_cf-cy1_cf)/2)+cy1_cf+PI()*Q6/2)*dp_cf)/(vRdc_p*2*dp_cf/Q6),0)</f>
        <v/>
      </c>
      <c r="T6">
        <f>IFERROR(beta_cf*MAX(0,P1_cf-(((x1_cf-cx1_cf/2)+cx1_cf)*(((B_cf-cy1_cf)/2)+cy1_cf+R6)*((wa_cf+wb_cf*((x1_cf+cx1_cf/2)/2)/1000)/Bm_cf)+(((B_cf-cy1_cf)/2)+cy1_cf)*R6*((wa_cf+wb_cf*((x1_cf+cx1_cf/2)+R6/2)/1000)/Bm_cf)+PI()*R6^2/4*((wa_cf+wb_cf*((x1_cf+cx1_cf/2)+4*R6/(3*PI()))/1000)/Bm_cf))/1E6)*1000/(((x1_cf-cx1_cf/2)+cx1_cf+((B_cf-cy1_cf)/2)+cy1_cf+PI()*R6/2)*dp_cf)/(vRdc_p*2*dp_cf/R6),0)</f>
        <v/>
      </c>
      <c r="V6">
        <f>IF(Z5&lt;AA5,X5,V5)</f>
        <v/>
      </c>
      <c r="W6">
        <f>IF(Z5&lt;AA5,W5,Y5)</f>
        <v/>
      </c>
      <c r="X6">
        <f>W6-((SQRT(5)-1)/2)*(W6-V6)</f>
        <v/>
      </c>
      <c r="Y6">
        <f>V6+((SQRT(5)-1)/2)*(W6-V6)</f>
        <v/>
      </c>
      <c r="Z6">
        <f>IFERROR(beta_cf*MAX(0,P2_cf-(((L_cf-x2_cf-cx2_cf/2)+cx2_cf)*(cy2_cf+2*X6)*((wa_cf+wb_cf*(((x2_cf-cx2_cf/2)+L_cf)/2)/1000)/Bm_cf)+cy2_cf*X6*((wa_cf+wb_cf*((x2_cf-cx2_cf/2)-X6/2)/1000)/Bm_cf)+PI()*X6^2/2*((wa_cf+wb_cf*((x2_cf-cx2_cf/2)-4*X6/(3*PI()))/1000)/Bm_cf))/1E6)*1000/((cy2_cf+PI()*X6+2*((L_cf-x2_cf-cx2_cf/2)+cx2_cf))*dp_cf)/(vRdc_p*2*dp_cf/X6),0)</f>
        <v/>
      </c>
      <c r="AA6">
        <f>IFERROR(beta_cf*MAX(0,P2_cf-(((L_cf-x2_cf-cx2_cf/2)+cx2_cf)*(cy2_cf+2*Y6)*((wa_cf+wb_cf*(((x2_cf-cx2_cf/2)+L_cf)/2)/1000)/Bm_cf)+cy2_cf*Y6*((wa_cf+wb_cf*((x2_cf-cx2_cf/2)-Y6/2)/1000)/Bm_cf)+PI()*Y6^2/2*((wa_cf+wb_cf*((x2_cf-cx2_cf/2)-4*Y6/(3*PI()))/1000)/Bm_cf))/1E6)*1000/((cy2_cf+PI()*Y6+2*((L_cf-x2_cf-cx2_cf/2)+cx2_cf))*dp_cf)/(vRdc_p*2*dp_cf/Y6),0)</f>
        <v/>
      </c>
      <c r="AC6">
        <f>IF(AG5&lt;AH5,AE5,AC5)</f>
        <v/>
      </c>
      <c r="AD6">
        <f>IF(AG5&lt;AH5,AD5,AF5)</f>
        <v/>
      </c>
      <c r="AE6">
        <f>AD6-((SQRT(5)-1)/2)*(AD6-AC6)</f>
        <v/>
      </c>
      <c r="AF6">
        <f>AC6+((SQRT(5)-1)/2)*(AD6-AC6)</f>
        <v/>
      </c>
      <c r="AG6">
        <f>IFERROR(beta_cf*MAX(0,P2_cf-(((cx2_cf+2*AE6)*(((B_cf-cy2_cf)/2)+cy2_cf)+cx2_cf*AE6+PI()*AE6^2/2)*((wa_cf+wb_cf*(x2_cf)/1000)/Bm_cf))/1E6)*1000/((cx2_cf+PI()*AE6+2*(((B_cf-cy2_cf)/2)+cy2_cf))*dp_cf)/(vRdc_p*2*dp_cf/AE6),0)</f>
        <v/>
      </c>
      <c r="AH6">
        <f>IFERROR(beta_cf*MAX(0,P2_cf-(((cx2_cf+2*AF6)*(((B_cf-cy2_cf)/2)+cy2_cf)+cx2_cf*AF6+PI()*AF6^2/2)*((wa_cf+wb_cf*(x2_cf)/1000)/Bm_cf))/1E6)*1000/((cx2_cf+PI()*AF6+2*(((B_cf-cy2_cf)/2)+cy2_cf))*dp_cf)/(vRdc_p*2*dp_cf/AF6),0)</f>
        <v/>
      </c>
      <c r="AJ6">
        <f>IF(AN5&lt;AO5,AL5,AJ5)</f>
        <v/>
      </c>
      <c r="AK6">
        <f>IF(AN5&lt;AO5,AK5,AM5)</f>
        <v/>
      </c>
      <c r="AL6">
        <f>AK6-((SQRT(5)-1)/2)*(AK6-AJ6)</f>
        <v/>
      </c>
      <c r="AM6">
        <f>AJ6+((SQRT(5)-1)/2)*(AK6-AJ6)</f>
        <v/>
      </c>
      <c r="AN6">
        <f>IFERROR(beta_cf*MAX(0,P2_cf-(((L_cf-x2_cf-cx2_cf/2)+cx2_cf)*(((B_cf-cy2_cf)/2)+cy2_cf+AL6)*((wa_cf+wb_cf*(((x2_cf-cx2_cf/2)+L_cf)/2)/1000)/Bm_cf)+(((B_cf-cy2_cf)/2)+cy2_cf)*AL6*((wa_cf+wb_cf*((x2_cf-cx2_cf/2)-AL6/2)/1000)/Bm_cf)+PI()*AL6^2/4*((wa_cf+wb_cf*((x2_cf-cx2_cf/2)-4*AL6/(3*PI()))/1000)/Bm_cf))/1E6)*1000/(((L_cf-x2_cf-cx2_cf/2)+cx2_cf+((B_cf-cy2_cf)/2)+cy2_cf+PI()*AL6/2)*dp_cf)/(vRdc_p*2*dp_cf/AL6),0)</f>
        <v/>
      </c>
      <c r="AO6">
        <f>IFERROR(beta_cf*MAX(0,P2_cf-(((L_cf-x2_cf-cx2_cf/2)+cx2_cf)*(((B_cf-cy2_cf)/2)+cy2_cf+AM6)*((wa_cf+wb_cf*(((x2_cf-cx2_cf/2)+L_cf)/2)/1000)/Bm_cf)+(((B_cf-cy2_cf)/2)+cy2_cf)*AM6*((wa_cf+wb_cf*((x2_cf-cx2_cf/2)-AM6/2)/1000)/Bm_cf)+PI()*AM6^2/4*((wa_cf+wb_cf*((x2_cf-cx2_cf/2)-4*AM6/(3*PI()))/1000)/Bm_cf))/1E6)*1000/(((L_cf-x2_cf-cx2_cf/2)+cx2_cf+((B_cf-cy2_cf)/2)+cy2_cf+PI()*AM6/2)*dp_cf)/(vRdc_p*2*dp_cf/AM6),0)</f>
        <v/>
      </c>
    </row>
    <row r="7">
      <c r="A7">
        <f>IF(E6&lt;F6,C6,A6)</f>
        <v/>
      </c>
      <c r="B7">
        <f>IF(E6&lt;F6,B6,D6)</f>
        <v/>
      </c>
      <c r="C7">
        <f>B7-((SQRT(5)-1)/2)*(B7-A7)</f>
        <v/>
      </c>
      <c r="D7">
        <f>A7+((SQRT(5)-1)/2)*(B7-A7)</f>
        <v/>
      </c>
      <c r="E7">
        <f>IFERROR(beta_cf*MAX(0,P1_cf-(((x1_cf-cx1_cf/2)+cx1_cf)*(cy1_cf+2*C7)*((wa_cf+wb_cf*((x1_cf+cx1_cf/2)/2)/1000)/Bm_cf)+cy1_cf*C7*((wa_cf+wb_cf*((x1_cf+cx1_cf/2)+C7/2)/1000)/Bm_cf)+PI()*C7^2/2*((wa_cf+wb_cf*((x1_cf+cx1_cf/2)+4*C7/(3*PI()))/1000)/Bm_cf))/1E6)*1000/((cy1_cf+PI()*C7+2*((x1_cf-cx1_cf/2)+cx1_cf))*dp_cf)/(vRdc_p*2*dp_cf/C7),0)</f>
        <v/>
      </c>
      <c r="F7">
        <f>IFERROR(beta_cf*MAX(0,P1_cf-(((x1_cf-cx1_cf/2)+cx1_cf)*(cy1_cf+2*D7)*((wa_cf+wb_cf*((x1_cf+cx1_cf/2)/2)/1000)/Bm_cf)+cy1_cf*D7*((wa_cf+wb_cf*((x1_cf+cx1_cf/2)+D7/2)/1000)/Bm_cf)+PI()*D7^2/2*((wa_cf+wb_cf*((x1_cf+cx1_cf/2)+4*D7/(3*PI()))/1000)/Bm_cf))/1E6)*1000/((cy1_cf+PI()*D7+2*((x1_cf-cx1_cf/2)+cx1_cf))*dp_cf)/(vRdc_p*2*dp_cf/D7),0)</f>
        <v/>
      </c>
      <c r="H7">
        <f>IF(L6&lt;M6,J6,H6)</f>
        <v/>
      </c>
      <c r="I7">
        <f>IF(L6&lt;M6,I6,K6)</f>
        <v/>
      </c>
      <c r="J7">
        <f>I7-((SQRT(5)-1)/2)*(I7-H7)</f>
        <v/>
      </c>
      <c r="K7">
        <f>H7+((SQRT(5)-1)/2)*(I7-H7)</f>
        <v/>
      </c>
      <c r="L7">
        <f>IFERROR(beta_cf*MAX(0,P1_cf-(((cx1_cf+2*J7)*(((B_cf-cy1_cf)/2)+cy1_cf)+cx1_cf*J7+PI()*J7^2/2)*((wa_cf+wb_cf*(x1_cf)/1000)/Bm_cf))/1E6)*1000/((cx1_cf+PI()*J7+2*(((B_cf-cy1_cf)/2)+cy1_cf))*dp_cf)/(vRdc_p*2*dp_cf/J7),0)</f>
        <v/>
      </c>
      <c r="M7">
        <f>IFERROR(beta_cf*MAX(0,P1_cf-(((cx1_cf+2*K7)*(((B_cf-cy1_cf)/2)+cy1_cf)+cx1_cf*K7+PI()*K7^2/2)*((wa_cf+wb_cf*(x1_cf)/1000)/Bm_cf))/1E6)*1000/((cx1_cf+PI()*K7+2*(((B_cf-cy1_cf)/2)+cy1_cf))*dp_cf)/(vRdc_p*2*dp_cf/K7),0)</f>
        <v/>
      </c>
      <c r="O7">
        <f>IF(S6&lt;T6,Q6,O6)</f>
        <v/>
      </c>
      <c r="P7">
        <f>IF(S6&lt;T6,P6,R6)</f>
        <v/>
      </c>
      <c r="Q7">
        <f>P7-((SQRT(5)-1)/2)*(P7-O7)</f>
        <v/>
      </c>
      <c r="R7">
        <f>O7+((SQRT(5)-1)/2)*(P7-O7)</f>
        <v/>
      </c>
      <c r="S7">
        <f>IFERROR(beta_cf*MAX(0,P1_cf-(((x1_cf-cx1_cf/2)+cx1_cf)*(((B_cf-cy1_cf)/2)+cy1_cf+Q7)*((wa_cf+wb_cf*((x1_cf+cx1_cf/2)/2)/1000)/Bm_cf)+(((B_cf-cy1_cf)/2)+cy1_cf)*Q7*((wa_cf+wb_cf*((x1_cf+cx1_cf/2)+Q7/2)/1000)/Bm_cf)+PI()*Q7^2/4*((wa_cf+wb_cf*((x1_cf+cx1_cf/2)+4*Q7/(3*PI()))/1000)/Bm_cf))/1E6)*1000/(((x1_cf-cx1_cf/2)+cx1_cf+((B_cf-cy1_cf)/2)+cy1_cf+PI()*Q7/2)*dp_cf)/(vRdc_p*2*dp_cf/Q7),0)</f>
        <v/>
      </c>
      <c r="T7">
        <f>IFERROR(beta_cf*MAX(0,P1_cf-(((x1_cf-cx1_cf/2)+cx1_cf)*(((B_cf-cy1_cf)/2)+cy1_cf+R7)*((wa_cf+wb_cf*((x1_cf+cx1_cf/2)/2)/1000)/Bm_cf)+(((B_cf-cy1_cf)/2)+cy1_cf)*R7*((wa_cf+wb_cf*((x1_cf+cx1_cf/2)+R7/2)/1000)/Bm_cf)+PI()*R7^2/4*((wa_cf+wb_cf*((x1_cf+cx1_cf/2)+4*R7/(3*PI()))/1000)/Bm_cf))/1E6)*1000/(((x1_cf-cx1_cf/2)+cx1_cf+((B_cf-cy1_cf)/2)+cy1_cf+PI()*R7/2)*dp_cf)/(vRdc_p*2*dp_cf/R7),0)</f>
        <v/>
      </c>
      <c r="V7">
        <f>IF(Z6&lt;AA6,X6,V6)</f>
        <v/>
      </c>
      <c r="W7">
        <f>IF(Z6&lt;AA6,W6,Y6)</f>
        <v/>
      </c>
      <c r="X7">
        <f>W7-((SQRT(5)-1)/2)*(W7-V7)</f>
        <v/>
      </c>
      <c r="Y7">
        <f>V7+((SQRT(5)-1)/2)*(W7-V7)</f>
        <v/>
      </c>
      <c r="Z7">
        <f>IFERROR(beta_cf*MAX(0,P2_cf-(((L_cf-x2_cf-cx2_cf/2)+cx2_cf)*(cy2_cf+2*X7)*((wa_cf+wb_cf*(((x2_cf-cx2_cf/2)+L_cf)/2)/1000)/Bm_cf)+cy2_cf*X7*((wa_cf+wb_cf*((x2_cf-cx2_cf/2)-X7/2)/1000)/Bm_cf)+PI()*X7^2/2*((wa_cf+wb_cf*((x2_cf-cx2_cf/2)-4*X7/(3*PI()))/1000)/Bm_cf))/1E6)*1000/((cy2_cf+PI()*X7+2*((L_cf-x2_cf-cx2_cf/2)+cx2_cf))*dp_cf)/(vRdc_p*2*dp_cf/X7),0)</f>
        <v/>
      </c>
      <c r="AA7">
        <f>IFERROR(beta_cf*MAX(0,P2_cf-(((L_cf-x2_cf-cx2_cf/2)+cx2_cf)*(cy2_cf+2*Y7)*((wa_cf+wb_cf*(((x2_cf-cx2_cf/2)+L_cf)/2)/1000)/Bm_cf)+cy2_cf*Y7*((wa_cf+wb_cf*((x2_cf-cx2_cf/2)-Y7/2)/1000)/Bm_cf)+PI()*Y7^2/2*((wa_cf+wb_cf*((x2_cf-cx2_cf/2)-4*Y7/(3*PI()))/1000)/Bm_cf))/1E6)*1000/((cy2_cf+PI()*Y7+2*((L_cf-x2_cf-cx2_cf/2)+cx2_cf))*dp_cf)/(vRdc_p*2*dp_cf/Y7),0)</f>
        <v/>
      </c>
      <c r="AC7">
        <f>IF(AG6&lt;AH6,AE6,AC6)</f>
        <v/>
      </c>
      <c r="AD7">
        <f>IF(AG6&lt;AH6,AD6,AF6)</f>
        <v/>
      </c>
      <c r="AE7">
        <f>AD7-((SQRT(5)-1)/2)*(AD7-AC7)</f>
        <v/>
      </c>
      <c r="AF7">
        <f>AC7+((SQRT(5)-1)/2)*(AD7-AC7)</f>
        <v/>
      </c>
      <c r="AG7">
        <f>IFERROR(beta_cf*MAX(0,P2_cf-(((cx2_cf+2*AE7)*(((B_cf-cy2_cf)/2)+cy2_cf)+cx2_cf*AE7+PI()*AE7^2/2)*((wa_cf+wb_cf*(x2_cf)/1000)/Bm_cf))/1E6)*1000/((cx2_cf+PI()*AE7+2*(((B_cf-cy2_cf)/2)+cy2_cf))*dp_cf)/(vRdc_p*2*dp_cf/AE7),0)</f>
        <v/>
      </c>
      <c r="AH7">
        <f>IFERROR(beta_cf*MAX(0,P2_cf-(((cx2_cf+2*AF7)*(((B_cf-cy2_cf)/2)+cy2_cf)+cx2_cf*AF7+PI()*AF7^2/2)*((wa_cf+wb_cf*(x2_cf)/1000)/Bm_cf))/1E6)*1000/((cx2_cf+PI()*AF7+2*(((B_cf-cy2_cf)/2)+cy2_cf))*dp_cf)/(vRdc_p*2*dp_cf/AF7),0)</f>
        <v/>
      </c>
      <c r="AJ7">
        <f>IF(AN6&lt;AO6,AL6,AJ6)</f>
        <v/>
      </c>
      <c r="AK7">
        <f>IF(AN6&lt;AO6,AK6,AM6)</f>
        <v/>
      </c>
      <c r="AL7">
        <f>AK7-((SQRT(5)-1)/2)*(AK7-AJ7)</f>
        <v/>
      </c>
      <c r="AM7">
        <f>AJ7+((SQRT(5)-1)/2)*(AK7-AJ7)</f>
        <v/>
      </c>
      <c r="AN7">
        <f>IFERROR(beta_cf*MAX(0,P2_cf-(((L_cf-x2_cf-cx2_cf/2)+cx2_cf)*(((B_cf-cy2_cf)/2)+cy2_cf+AL7)*((wa_cf+wb_cf*(((x2_cf-cx2_cf/2)+L_cf)/2)/1000)/Bm_cf)+(((B_cf-cy2_cf)/2)+cy2_cf)*AL7*((wa_cf+wb_cf*((x2_cf-cx2_cf/2)-AL7/2)/1000)/Bm_cf)+PI()*AL7^2/4*((wa_cf+wb_cf*((x2_cf-cx2_cf/2)-4*AL7/(3*PI()))/1000)/Bm_cf))/1E6)*1000/(((L_cf-x2_cf-cx2_cf/2)+cx2_cf+((B_cf-cy2_cf)/2)+cy2_cf+PI()*AL7/2)*dp_cf)/(vRdc_p*2*dp_cf/AL7),0)</f>
        <v/>
      </c>
      <c r="AO7">
        <f>IFERROR(beta_cf*MAX(0,P2_cf-(((L_cf-x2_cf-cx2_cf/2)+cx2_cf)*(((B_cf-cy2_cf)/2)+cy2_cf+AM7)*((wa_cf+wb_cf*(((x2_cf-cx2_cf/2)+L_cf)/2)/1000)/Bm_cf)+(((B_cf-cy2_cf)/2)+cy2_cf)*AM7*((wa_cf+wb_cf*((x2_cf-cx2_cf/2)-AM7/2)/1000)/Bm_cf)+PI()*AM7^2/4*((wa_cf+wb_cf*((x2_cf-cx2_cf/2)-4*AM7/(3*PI()))/1000)/Bm_cf))/1E6)*1000/(((L_cf-x2_cf-cx2_cf/2)+cx2_cf+((B_cf-cy2_cf)/2)+cy2_cf+PI()*AM7/2)*dp_cf)/(vRdc_p*2*dp_cf/AM7),0)</f>
        <v/>
      </c>
    </row>
    <row r="8">
      <c r="A8">
        <f>IF(E7&lt;F7,C7,A7)</f>
        <v/>
      </c>
      <c r="B8">
        <f>IF(E7&lt;F7,B7,D7)</f>
        <v/>
      </c>
      <c r="C8">
        <f>B8-((SQRT(5)-1)/2)*(B8-A8)</f>
        <v/>
      </c>
      <c r="D8">
        <f>A8+((SQRT(5)-1)/2)*(B8-A8)</f>
        <v/>
      </c>
      <c r="E8">
        <f>IFERROR(beta_cf*MAX(0,P1_cf-(((x1_cf-cx1_cf/2)+cx1_cf)*(cy1_cf+2*C8)*((wa_cf+wb_cf*((x1_cf+cx1_cf/2)/2)/1000)/Bm_cf)+cy1_cf*C8*((wa_cf+wb_cf*((x1_cf+cx1_cf/2)+C8/2)/1000)/Bm_cf)+PI()*C8^2/2*((wa_cf+wb_cf*((x1_cf+cx1_cf/2)+4*C8/(3*PI()))/1000)/Bm_cf))/1E6)*1000/((cy1_cf+PI()*C8+2*((x1_cf-cx1_cf/2)+cx1_cf))*dp_cf)/(vRdc_p*2*dp_cf/C8),0)</f>
        <v/>
      </c>
      <c r="F8">
        <f>IFERROR(beta_cf*MAX(0,P1_cf-(((x1_cf-cx1_cf/2)+cx1_cf)*(cy1_cf+2*D8)*((wa_cf+wb_cf*((x1_cf+cx1_cf/2)/2)/1000)/Bm_cf)+cy1_cf*D8*((wa_cf+wb_cf*((x1_cf+cx1_cf/2)+D8/2)/1000)/Bm_cf)+PI()*D8^2/2*((wa_cf+wb_cf*((x1_cf+cx1_cf/2)+4*D8/(3*PI()))/1000)/Bm_cf))/1E6)*1000/((cy1_cf+PI()*D8+2*((x1_cf-cx1_cf/2)+cx1_cf))*dp_cf)/(vRdc_p*2*dp_cf/D8),0)</f>
        <v/>
      </c>
      <c r="H8">
        <f>IF(L7&lt;M7,J7,H7)</f>
        <v/>
      </c>
      <c r="I8">
        <f>IF(L7&lt;M7,I7,K7)</f>
        <v/>
      </c>
      <c r="J8">
        <f>I8-((SQRT(5)-1)/2)*(I8-H8)</f>
        <v/>
      </c>
      <c r="K8">
        <f>H8+((SQRT(5)-1)/2)*(I8-H8)</f>
        <v/>
      </c>
      <c r="L8">
        <f>IFERROR(beta_cf*MAX(0,P1_cf-(((cx1_cf+2*J8)*(((B_cf-cy1_cf)/2)+cy1_cf)+cx1_cf*J8+PI()*J8^2/2)*((wa_cf+wb_cf*(x1_cf)/1000)/Bm_cf))/1E6)*1000/((cx1_cf+PI()*J8+2*(((B_cf-cy1_cf)/2)+cy1_cf))*dp_cf)/(vRdc_p*2*dp_cf/J8),0)</f>
        <v/>
      </c>
      <c r="M8">
        <f>IFERROR(beta_cf*MAX(0,P1_cf-(((cx1_cf+2*K8)*(((B_cf-cy1_cf)/2)+cy1_cf)+cx1_cf*K8+PI()*K8^2/2)*((wa_cf+wb_cf*(x1_cf)/1000)/Bm_cf))/1E6)*1000/((cx1_cf+PI()*K8+2*(((B_cf-cy1_cf)/2)+cy1_cf))*dp_cf)/(vRdc_p*2*dp_cf/K8),0)</f>
        <v/>
      </c>
      <c r="O8">
        <f>IF(S7&lt;T7,Q7,O7)</f>
        <v/>
      </c>
      <c r="P8">
        <f>IF(S7&lt;T7,P7,R7)</f>
        <v/>
      </c>
      <c r="Q8">
        <f>P8-((SQRT(5)-1)/2)*(P8-O8)</f>
        <v/>
      </c>
      <c r="R8">
        <f>O8+((SQRT(5)-1)/2)*(P8-O8)</f>
        <v/>
      </c>
      <c r="S8">
        <f>IFERROR(beta_cf*MAX(0,P1_cf-(((x1_cf-cx1_cf/2)+cx1_cf)*(((B_cf-cy1_cf)/2)+cy1_cf+Q8)*((wa_cf+wb_cf*((x1_cf+cx1_cf/2)/2)/1000)/Bm_cf)+(((B_cf-cy1_cf)/2)+cy1_cf)*Q8*((wa_cf+wb_cf*((x1_cf+cx1_cf/2)+Q8/2)/1000)/Bm_cf)+PI()*Q8^2/4*((wa_cf+wb_cf*((x1_cf+cx1_cf/2)+4*Q8/(3*PI()))/1000)/Bm_cf))/1E6)*1000/(((x1_cf-cx1_cf/2)+cx1_cf+((B_cf-cy1_cf)/2)+cy1_cf+PI()*Q8/2)*dp_cf)/(vRdc_p*2*dp_cf/Q8),0)</f>
        <v/>
      </c>
      <c r="T8">
        <f>IFERROR(beta_cf*MAX(0,P1_cf-(((x1_cf-cx1_cf/2)+cx1_cf)*(((B_cf-cy1_cf)/2)+cy1_cf+R8)*((wa_cf+wb_cf*((x1_cf+cx1_cf/2)/2)/1000)/Bm_cf)+(((B_cf-cy1_cf)/2)+cy1_cf)*R8*((wa_cf+wb_cf*((x1_cf+cx1_cf/2)+R8/2)/1000)/Bm_cf)+PI()*R8^2/4*((wa_cf+wb_cf*((x1_cf+cx1_cf/2)+4*R8/(3*PI()))/1000)/Bm_cf))/1E6)*1000/(((x1_cf-cx1_cf/2)+cx1_cf+((B_cf-cy1_cf)/2)+cy1_cf+PI()*R8/2)*dp_cf)/(vRdc_p*2*dp_cf/R8),0)</f>
        <v/>
      </c>
      <c r="V8">
        <f>IF(Z7&lt;AA7,X7,V7)</f>
        <v/>
      </c>
      <c r="W8">
        <f>IF(Z7&lt;AA7,W7,Y7)</f>
        <v/>
      </c>
      <c r="X8">
        <f>W8-((SQRT(5)-1)/2)*(W8-V8)</f>
        <v/>
      </c>
      <c r="Y8">
        <f>V8+((SQRT(5)-1)/2)*(W8-V8)</f>
        <v/>
      </c>
      <c r="Z8">
        <f>IFERROR(beta_cf*MAX(0,P2_cf-(((L_cf-x2_cf-cx2_cf/2)+cx2_cf)*(cy2_cf+2*X8)*((wa_cf+wb_cf*(((x2_cf-cx2_cf/2)+L_cf)/2)/1000)/Bm_cf)+cy2_cf*X8*((wa_cf+wb_cf*((x2_cf-cx2_cf/2)-X8/2)/1000)/Bm_cf)+PI()*X8^2/2*((wa_cf+wb_cf*((x2_cf-cx2_cf/2)-4*X8/(3*PI()))/1000)/Bm_cf))/1E6)*1000/((cy2_cf+PI()*X8+2*((L_cf-x2_cf-cx2_cf/2)+cx2_cf))*dp_cf)/(vRdc_p*2*dp_cf/X8),0)</f>
        <v/>
      </c>
      <c r="AA8">
        <f>IFERROR(beta_cf*MAX(0,P2_cf-(((L_cf-x2_cf-cx2_cf/2)+cx2_cf)*(cy2_cf+2*Y8)*((wa_cf+wb_cf*(((x2_cf-cx2_cf/2)+L_cf)/2)/1000)/Bm_cf)+cy2_cf*Y8*((wa_cf+wb_cf*((x2_cf-cx2_cf/2)-Y8/2)/1000)/Bm_cf)+PI()*Y8^2/2*((wa_cf+wb_cf*((x2_cf-cx2_cf/2)-4*Y8/(3*PI()))/1000)/Bm_cf))/1E6)*1000/((cy2_cf+PI()*Y8+2*((L_cf-x2_cf-cx2_cf/2)+cx2_cf))*dp_cf)/(vRdc_p*2*dp_cf/Y8),0)</f>
        <v/>
      </c>
      <c r="AC8">
        <f>IF(AG7&lt;AH7,AE7,AC7)</f>
        <v/>
      </c>
      <c r="AD8">
        <f>IF(AG7&lt;AH7,AD7,AF7)</f>
        <v/>
      </c>
      <c r="AE8">
        <f>AD8-((SQRT(5)-1)/2)*(AD8-AC8)</f>
        <v/>
      </c>
      <c r="AF8">
        <f>AC8+((SQRT(5)-1)/2)*(AD8-AC8)</f>
        <v/>
      </c>
      <c r="AG8">
        <f>IFERROR(beta_cf*MAX(0,P2_cf-(((cx2_cf+2*AE8)*(((B_cf-cy2_cf)/2)+cy2_cf)+cx2_cf*AE8+PI()*AE8^2/2)*((wa_cf+wb_cf*(x2_cf)/1000)/Bm_cf))/1E6)*1000/((cx2_cf+PI()*AE8+2*(((B_cf-cy2_cf)/2)+cy2_cf))*dp_cf)/(vRdc_p*2*dp_cf/AE8),0)</f>
        <v/>
      </c>
      <c r="AH8">
        <f>IFERROR(beta_cf*MAX(0,P2_cf-(((cx2_cf+2*AF8)*(((B_cf-cy2_cf)/2)+cy2_cf)+cx2_cf*AF8+PI()*AF8^2/2)*((wa_cf+wb_cf*(x2_cf)/1000)/Bm_cf))/1E6)*1000/((cx2_cf+PI()*AF8+2*(((B_cf-cy2_cf)/2)+cy2_cf))*dp_cf)/(vRdc_p*2*dp_cf/AF8),0)</f>
        <v/>
      </c>
      <c r="AJ8">
        <f>IF(AN7&lt;AO7,AL7,AJ7)</f>
        <v/>
      </c>
      <c r="AK8">
        <f>IF(AN7&lt;AO7,AK7,AM7)</f>
        <v/>
      </c>
      <c r="AL8">
        <f>AK8-((SQRT(5)-1)/2)*(AK8-AJ8)</f>
        <v/>
      </c>
      <c r="AM8">
        <f>AJ8+((SQRT(5)-1)/2)*(AK8-AJ8)</f>
        <v/>
      </c>
      <c r="AN8">
        <f>IFERROR(beta_cf*MAX(0,P2_cf-(((L_cf-x2_cf-cx2_cf/2)+cx2_cf)*(((B_cf-cy2_cf)/2)+cy2_cf+AL8)*((wa_cf+wb_cf*(((x2_cf-cx2_cf/2)+L_cf)/2)/1000)/Bm_cf)+(((B_cf-cy2_cf)/2)+cy2_cf)*AL8*((wa_cf+wb_cf*((x2_cf-cx2_cf/2)-AL8/2)/1000)/Bm_cf)+PI()*AL8^2/4*((wa_cf+wb_cf*((x2_cf-cx2_cf/2)-4*AL8/(3*PI()))/1000)/Bm_cf))/1E6)*1000/(((L_cf-x2_cf-cx2_cf/2)+cx2_cf+((B_cf-cy2_cf)/2)+cy2_cf+PI()*AL8/2)*dp_cf)/(vRdc_p*2*dp_cf/AL8),0)</f>
        <v/>
      </c>
      <c r="AO8">
        <f>IFERROR(beta_cf*MAX(0,P2_cf-(((L_cf-x2_cf-cx2_cf/2)+cx2_cf)*(((B_cf-cy2_cf)/2)+cy2_cf+AM8)*((wa_cf+wb_cf*(((x2_cf-cx2_cf/2)+L_cf)/2)/1000)/Bm_cf)+(((B_cf-cy2_cf)/2)+cy2_cf)*AM8*((wa_cf+wb_cf*((x2_cf-cx2_cf/2)-AM8/2)/1000)/Bm_cf)+PI()*AM8^2/4*((wa_cf+wb_cf*((x2_cf-cx2_cf/2)-4*AM8/(3*PI()))/1000)/Bm_cf))/1E6)*1000/(((L_cf-x2_cf-cx2_cf/2)+cx2_cf+((B_cf-cy2_cf)/2)+cy2_cf+PI()*AM8/2)*dp_cf)/(vRdc_p*2*dp_cf/AM8),0)</f>
        <v/>
      </c>
    </row>
    <row r="9">
      <c r="A9">
        <f>IF(E8&lt;F8,C8,A8)</f>
        <v/>
      </c>
      <c r="B9">
        <f>IF(E8&lt;F8,B8,D8)</f>
        <v/>
      </c>
      <c r="C9">
        <f>B9-((SQRT(5)-1)/2)*(B9-A9)</f>
        <v/>
      </c>
      <c r="D9">
        <f>A9+((SQRT(5)-1)/2)*(B9-A9)</f>
        <v/>
      </c>
      <c r="E9">
        <f>IFERROR(beta_cf*MAX(0,P1_cf-(((x1_cf-cx1_cf/2)+cx1_cf)*(cy1_cf+2*C9)*((wa_cf+wb_cf*((x1_cf+cx1_cf/2)/2)/1000)/Bm_cf)+cy1_cf*C9*((wa_cf+wb_cf*((x1_cf+cx1_cf/2)+C9/2)/1000)/Bm_cf)+PI()*C9^2/2*((wa_cf+wb_cf*((x1_cf+cx1_cf/2)+4*C9/(3*PI()))/1000)/Bm_cf))/1E6)*1000/((cy1_cf+PI()*C9+2*((x1_cf-cx1_cf/2)+cx1_cf))*dp_cf)/(vRdc_p*2*dp_cf/C9),0)</f>
        <v/>
      </c>
      <c r="F9">
        <f>IFERROR(beta_cf*MAX(0,P1_cf-(((x1_cf-cx1_cf/2)+cx1_cf)*(cy1_cf+2*D9)*((wa_cf+wb_cf*((x1_cf+cx1_cf/2)/2)/1000)/Bm_cf)+cy1_cf*D9*((wa_cf+wb_cf*((x1_cf+cx1_cf/2)+D9/2)/1000)/Bm_cf)+PI()*D9^2/2*((wa_cf+wb_cf*((x1_cf+cx1_cf/2)+4*D9/(3*PI()))/1000)/Bm_cf))/1E6)*1000/((cy1_cf+PI()*D9+2*((x1_cf-cx1_cf/2)+cx1_cf))*dp_cf)/(vRdc_p*2*dp_cf/D9),0)</f>
        <v/>
      </c>
      <c r="H9">
        <f>IF(L8&lt;M8,J8,H8)</f>
        <v/>
      </c>
      <c r="I9">
        <f>IF(L8&lt;M8,I8,K8)</f>
        <v/>
      </c>
      <c r="J9">
        <f>I9-((SQRT(5)-1)/2)*(I9-H9)</f>
        <v/>
      </c>
      <c r="K9">
        <f>H9+((SQRT(5)-1)/2)*(I9-H9)</f>
        <v/>
      </c>
      <c r="L9">
        <f>IFERROR(beta_cf*MAX(0,P1_cf-(((cx1_cf+2*J9)*(((B_cf-cy1_cf)/2)+cy1_cf)+cx1_cf*J9+PI()*J9^2/2)*((wa_cf+wb_cf*(x1_cf)/1000)/Bm_cf))/1E6)*1000/((cx1_cf+PI()*J9+2*(((B_cf-cy1_cf)/2)+cy1_cf))*dp_cf)/(vRdc_p*2*dp_cf/J9),0)</f>
        <v/>
      </c>
      <c r="M9">
        <f>IFERROR(beta_cf*MAX(0,P1_cf-(((cx1_cf+2*K9)*(((B_cf-cy1_cf)/2)+cy1_cf)+cx1_cf*K9+PI()*K9^2/2)*((wa_cf+wb_cf*(x1_cf)/1000)/Bm_cf))/1E6)*1000/((cx1_cf+PI()*K9+2*(((B_cf-cy1_cf)/2)+cy1_cf))*dp_cf)/(vRdc_p*2*dp_cf/K9),0)</f>
        <v/>
      </c>
      <c r="O9">
        <f>IF(S8&lt;T8,Q8,O8)</f>
        <v/>
      </c>
      <c r="P9">
        <f>IF(S8&lt;T8,P8,R8)</f>
        <v/>
      </c>
      <c r="Q9">
        <f>P9-((SQRT(5)-1)/2)*(P9-O9)</f>
        <v/>
      </c>
      <c r="R9">
        <f>O9+((SQRT(5)-1)/2)*(P9-O9)</f>
        <v/>
      </c>
      <c r="S9">
        <f>IFERROR(beta_cf*MAX(0,P1_cf-(((x1_cf-cx1_cf/2)+cx1_cf)*(((B_cf-cy1_cf)/2)+cy1_cf+Q9)*((wa_cf+wb_cf*((x1_cf+cx1_cf/2)/2)/1000)/Bm_cf)+(((B_cf-cy1_cf)/2)+cy1_cf)*Q9*((wa_cf+wb_cf*((x1_cf+cx1_cf/2)+Q9/2)/1000)/Bm_cf)+PI()*Q9^2/4*((wa_cf+wb_cf*((x1_cf+cx1_cf/2)+4*Q9/(3*PI()))/1000)/Bm_cf))/1E6)*1000/(((x1_cf-cx1_cf/2)+cx1_cf+((B_cf-cy1_cf)/2)+cy1_cf+PI()*Q9/2)*dp_cf)/(vRdc_p*2*dp_cf/Q9),0)</f>
        <v/>
      </c>
      <c r="T9">
        <f>IFERROR(beta_cf*MAX(0,P1_cf-(((x1_cf-cx1_cf/2)+cx1_cf)*(((B_cf-cy1_cf)/2)+cy1_cf+R9)*((wa_cf+wb_cf*((x1_cf+cx1_cf/2)/2)/1000)/Bm_cf)+(((B_cf-cy1_cf)/2)+cy1_cf)*R9*((wa_cf+wb_cf*((x1_cf+cx1_cf/2)+R9/2)/1000)/Bm_cf)+PI()*R9^2/4*((wa_cf+wb_cf*((x1_cf+cx1_cf/2)+4*R9/(3*PI()))/1000)/Bm_cf))/1E6)*1000/(((x1_cf-cx1_cf/2)+cx1_cf+((B_cf-cy1_cf)/2)+cy1_cf+PI()*R9/2)*dp_cf)/(vRdc_p*2*dp_cf/R9),0)</f>
        <v/>
      </c>
      <c r="V9">
        <f>IF(Z8&lt;AA8,X8,V8)</f>
        <v/>
      </c>
      <c r="W9">
        <f>IF(Z8&lt;AA8,W8,Y8)</f>
        <v/>
      </c>
      <c r="X9">
        <f>W9-((SQRT(5)-1)/2)*(W9-V9)</f>
        <v/>
      </c>
      <c r="Y9">
        <f>V9+((SQRT(5)-1)/2)*(W9-V9)</f>
        <v/>
      </c>
      <c r="Z9">
        <f>IFERROR(beta_cf*MAX(0,P2_cf-(((L_cf-x2_cf-cx2_cf/2)+cx2_cf)*(cy2_cf+2*X9)*((wa_cf+wb_cf*(((x2_cf-cx2_cf/2)+L_cf)/2)/1000)/Bm_cf)+cy2_cf*X9*((wa_cf+wb_cf*((x2_cf-cx2_cf/2)-X9/2)/1000)/Bm_cf)+PI()*X9^2/2*((wa_cf+wb_cf*((x2_cf-cx2_cf/2)-4*X9/(3*PI()))/1000)/Bm_cf))/1E6)*1000/((cy2_cf+PI()*X9+2*((L_cf-x2_cf-cx2_cf/2)+cx2_cf))*dp_cf)/(vRdc_p*2*dp_cf/X9),0)</f>
        <v/>
      </c>
      <c r="AA9">
        <f>IFERROR(beta_cf*MAX(0,P2_cf-(((L_cf-x2_cf-cx2_cf/2)+cx2_cf)*(cy2_cf+2*Y9)*((wa_cf+wb_cf*(((x2_cf-cx2_cf/2)+L_cf)/2)/1000)/Bm_cf)+cy2_cf*Y9*((wa_cf+wb_cf*((x2_cf-cx2_cf/2)-Y9/2)/1000)/Bm_cf)+PI()*Y9^2/2*((wa_cf+wb_cf*((x2_cf-cx2_cf/2)-4*Y9/(3*PI()))/1000)/Bm_cf))/1E6)*1000/((cy2_cf+PI()*Y9+2*((L_cf-x2_cf-cx2_cf/2)+cx2_cf))*dp_cf)/(vRdc_p*2*dp_cf/Y9),0)</f>
        <v/>
      </c>
      <c r="AC9">
        <f>IF(AG8&lt;AH8,AE8,AC8)</f>
        <v/>
      </c>
      <c r="AD9">
        <f>IF(AG8&lt;AH8,AD8,AF8)</f>
        <v/>
      </c>
      <c r="AE9">
        <f>AD9-((SQRT(5)-1)/2)*(AD9-AC9)</f>
        <v/>
      </c>
      <c r="AF9">
        <f>AC9+((SQRT(5)-1)/2)*(AD9-AC9)</f>
        <v/>
      </c>
      <c r="AG9">
        <f>IFERROR(beta_cf*MAX(0,P2_cf-(((cx2_cf+2*AE9)*(((B_cf-cy2_cf)/2)+cy2_cf)+cx2_cf*AE9+PI()*AE9^2/2)*((wa_cf+wb_cf*(x2_cf)/1000)/Bm_cf))/1E6)*1000/((cx2_cf+PI()*AE9+2*(((B_cf-cy2_cf)/2)+cy2_cf))*dp_cf)/(vRdc_p*2*dp_cf/AE9),0)</f>
        <v/>
      </c>
      <c r="AH9">
        <f>IFERROR(beta_cf*MAX(0,P2_cf-(((cx2_cf+2*AF9)*(((B_cf-cy2_cf)/2)+cy2_cf)+cx2_cf*AF9+PI()*AF9^2/2)*((wa_cf+wb_cf*(x2_cf)/1000)/Bm_cf))/1E6)*1000/((cx2_cf+PI()*AF9+2*(((B_cf-cy2_cf)/2)+cy2_cf))*dp_cf)/(vRdc_p*2*dp_cf/AF9),0)</f>
        <v/>
      </c>
      <c r="AJ9">
        <f>IF(AN8&lt;AO8,AL8,AJ8)</f>
        <v/>
      </c>
      <c r="AK9">
        <f>IF(AN8&lt;AO8,AK8,AM8)</f>
        <v/>
      </c>
      <c r="AL9">
        <f>AK9-((SQRT(5)-1)/2)*(AK9-AJ9)</f>
        <v/>
      </c>
      <c r="AM9">
        <f>AJ9+((SQRT(5)-1)/2)*(AK9-AJ9)</f>
        <v/>
      </c>
      <c r="AN9">
        <f>IFERROR(beta_cf*MAX(0,P2_cf-(((L_cf-x2_cf-cx2_cf/2)+cx2_cf)*(((B_cf-cy2_cf)/2)+cy2_cf+AL9)*((wa_cf+wb_cf*(((x2_cf-cx2_cf/2)+L_cf)/2)/1000)/Bm_cf)+(((B_cf-cy2_cf)/2)+cy2_cf)*AL9*((wa_cf+wb_cf*((x2_cf-cx2_cf/2)-AL9/2)/1000)/Bm_cf)+PI()*AL9^2/4*((wa_cf+wb_cf*((x2_cf-cx2_cf/2)-4*AL9/(3*PI()))/1000)/Bm_cf))/1E6)*1000/(((L_cf-x2_cf-cx2_cf/2)+cx2_cf+((B_cf-cy2_cf)/2)+cy2_cf+PI()*AL9/2)*dp_cf)/(vRdc_p*2*dp_cf/AL9),0)</f>
        <v/>
      </c>
      <c r="AO9">
        <f>IFERROR(beta_cf*MAX(0,P2_cf-(((L_cf-x2_cf-cx2_cf/2)+cx2_cf)*(((B_cf-cy2_cf)/2)+cy2_cf+AM9)*((wa_cf+wb_cf*(((x2_cf-cx2_cf/2)+L_cf)/2)/1000)/Bm_cf)+(((B_cf-cy2_cf)/2)+cy2_cf)*AM9*((wa_cf+wb_cf*((x2_cf-cx2_cf/2)-AM9/2)/1000)/Bm_cf)+PI()*AM9^2/4*((wa_cf+wb_cf*((x2_cf-cx2_cf/2)-4*AM9/(3*PI()))/1000)/Bm_cf))/1E6)*1000/(((L_cf-x2_cf-cx2_cf/2)+cx2_cf+((B_cf-cy2_cf)/2)+cy2_cf+PI()*AM9/2)*dp_cf)/(vRdc_p*2*dp_cf/AM9),0)</f>
        <v/>
      </c>
    </row>
    <row r="10">
      <c r="A10">
        <f>IF(E9&lt;F9,C9,A9)</f>
        <v/>
      </c>
      <c r="B10">
        <f>IF(E9&lt;F9,B9,D9)</f>
        <v/>
      </c>
      <c r="C10">
        <f>B10-((SQRT(5)-1)/2)*(B10-A10)</f>
        <v/>
      </c>
      <c r="D10">
        <f>A10+((SQRT(5)-1)/2)*(B10-A10)</f>
        <v/>
      </c>
      <c r="E10">
        <f>IFERROR(beta_cf*MAX(0,P1_cf-(((x1_cf-cx1_cf/2)+cx1_cf)*(cy1_cf+2*C10)*((wa_cf+wb_cf*((x1_cf+cx1_cf/2)/2)/1000)/Bm_cf)+cy1_cf*C10*((wa_cf+wb_cf*((x1_cf+cx1_cf/2)+C10/2)/1000)/Bm_cf)+PI()*C10^2/2*((wa_cf+wb_cf*((x1_cf+cx1_cf/2)+4*C10/(3*PI()))/1000)/Bm_cf))/1E6)*1000/((cy1_cf+PI()*C10+2*((x1_cf-cx1_cf/2)+cx1_cf))*dp_cf)/(vRdc_p*2*dp_cf/C10),0)</f>
        <v/>
      </c>
      <c r="F10">
        <f>IFERROR(beta_cf*MAX(0,P1_cf-(((x1_cf-cx1_cf/2)+cx1_cf)*(cy1_cf+2*D10)*((wa_cf+wb_cf*((x1_cf+cx1_cf/2)/2)/1000)/Bm_cf)+cy1_cf*D10*((wa_cf+wb_cf*((x1_cf+cx1_cf/2)+D10/2)/1000)/Bm_cf)+PI()*D10^2/2*((wa_cf+wb_cf*((x1_cf+cx1_cf/2)+4*D10/(3*PI()))/1000)/Bm_cf))/1E6)*1000/((cy1_cf+PI()*D10+2*((x1_cf-cx1_cf/2)+cx1_cf))*dp_cf)/(vRdc_p*2*dp_cf/D10),0)</f>
        <v/>
      </c>
      <c r="H10">
        <f>IF(L9&lt;M9,J9,H9)</f>
        <v/>
      </c>
      <c r="I10">
        <f>IF(L9&lt;M9,I9,K9)</f>
        <v/>
      </c>
      <c r="J10">
        <f>I10-((SQRT(5)-1)/2)*(I10-H10)</f>
        <v/>
      </c>
      <c r="K10">
        <f>H10+((SQRT(5)-1)/2)*(I10-H10)</f>
        <v/>
      </c>
      <c r="L10">
        <f>IFERROR(beta_cf*MAX(0,P1_cf-(((cx1_cf+2*J10)*(((B_cf-cy1_cf)/2)+cy1_cf)+cx1_cf*J10+PI()*J10^2/2)*((wa_cf+wb_cf*(x1_cf)/1000)/Bm_cf))/1E6)*1000/((cx1_cf+PI()*J10+2*(((B_cf-cy1_cf)/2)+cy1_cf))*dp_cf)/(vRdc_p*2*dp_cf/J10),0)</f>
        <v/>
      </c>
      <c r="M10">
        <f>IFERROR(beta_cf*MAX(0,P1_cf-(((cx1_cf+2*K10)*(((B_cf-cy1_cf)/2)+cy1_cf)+cx1_cf*K10+PI()*K10^2/2)*((wa_cf+wb_cf*(x1_cf)/1000)/Bm_cf))/1E6)*1000/((cx1_cf+PI()*K10+2*(((B_cf-cy1_cf)/2)+cy1_cf))*dp_cf)/(vRdc_p*2*dp_cf/K10),0)</f>
        <v/>
      </c>
      <c r="O10">
        <f>IF(S9&lt;T9,Q9,O9)</f>
        <v/>
      </c>
      <c r="P10">
        <f>IF(S9&lt;T9,P9,R9)</f>
        <v/>
      </c>
      <c r="Q10">
        <f>P10-((SQRT(5)-1)/2)*(P10-O10)</f>
        <v/>
      </c>
      <c r="R10">
        <f>O10+((SQRT(5)-1)/2)*(P10-O10)</f>
        <v/>
      </c>
      <c r="S10">
        <f>IFERROR(beta_cf*MAX(0,P1_cf-(((x1_cf-cx1_cf/2)+cx1_cf)*(((B_cf-cy1_cf)/2)+cy1_cf+Q10)*((wa_cf+wb_cf*((x1_cf+cx1_cf/2)/2)/1000)/Bm_cf)+(((B_cf-cy1_cf)/2)+cy1_cf)*Q10*((wa_cf+wb_cf*((x1_cf+cx1_cf/2)+Q10/2)/1000)/Bm_cf)+PI()*Q10^2/4*((wa_cf+wb_cf*((x1_cf+cx1_cf/2)+4*Q10/(3*PI()))/1000)/Bm_cf))/1E6)*1000/(((x1_cf-cx1_cf/2)+cx1_cf+((B_cf-cy1_cf)/2)+cy1_cf+PI()*Q10/2)*dp_cf)/(vRdc_p*2*dp_cf/Q10),0)</f>
        <v/>
      </c>
      <c r="T10">
        <f>IFERROR(beta_cf*MAX(0,P1_cf-(((x1_cf-cx1_cf/2)+cx1_cf)*(((B_cf-cy1_cf)/2)+cy1_cf+R10)*((wa_cf+wb_cf*((x1_cf+cx1_cf/2)/2)/1000)/Bm_cf)+(((B_cf-cy1_cf)/2)+cy1_cf)*R10*((wa_cf+wb_cf*((x1_cf+cx1_cf/2)+R10/2)/1000)/Bm_cf)+PI()*R10^2/4*((wa_cf+wb_cf*((x1_cf+cx1_cf/2)+4*R10/(3*PI()))/1000)/Bm_cf))/1E6)*1000/(((x1_cf-cx1_cf/2)+cx1_cf+((B_cf-cy1_cf)/2)+cy1_cf+PI()*R10/2)*dp_cf)/(vRdc_p*2*dp_cf/R10),0)</f>
        <v/>
      </c>
      <c r="V10">
        <f>IF(Z9&lt;AA9,X9,V9)</f>
        <v/>
      </c>
      <c r="W10">
        <f>IF(Z9&lt;AA9,W9,Y9)</f>
        <v/>
      </c>
      <c r="X10">
        <f>W10-((SQRT(5)-1)/2)*(W10-V10)</f>
        <v/>
      </c>
      <c r="Y10">
        <f>V10+((SQRT(5)-1)/2)*(W10-V10)</f>
        <v/>
      </c>
      <c r="Z10">
        <f>IFERROR(beta_cf*MAX(0,P2_cf-(((L_cf-x2_cf-cx2_cf/2)+cx2_cf)*(cy2_cf+2*X10)*((wa_cf+wb_cf*(((x2_cf-cx2_cf/2)+L_cf)/2)/1000)/Bm_cf)+cy2_cf*X10*((wa_cf+wb_cf*((x2_cf-cx2_cf/2)-X10/2)/1000)/Bm_cf)+PI()*X10^2/2*((wa_cf+wb_cf*((x2_cf-cx2_cf/2)-4*X10/(3*PI()))/1000)/Bm_cf))/1E6)*1000/((cy2_cf+PI()*X10+2*((L_cf-x2_cf-cx2_cf/2)+cx2_cf))*dp_cf)/(vRdc_p*2*dp_cf/X10),0)</f>
        <v/>
      </c>
      <c r="AA10">
        <f>IFERROR(beta_cf*MAX(0,P2_cf-(((L_cf-x2_cf-cx2_cf/2)+cx2_cf)*(cy2_cf+2*Y10)*((wa_cf+wb_cf*(((x2_cf-cx2_cf/2)+L_cf)/2)/1000)/Bm_cf)+cy2_cf*Y10*((wa_cf+wb_cf*((x2_cf-cx2_cf/2)-Y10/2)/1000)/Bm_cf)+PI()*Y10^2/2*((wa_cf+wb_cf*((x2_cf-cx2_cf/2)-4*Y10/(3*PI()))/1000)/Bm_cf))/1E6)*1000/((cy2_cf+PI()*Y10+2*((L_cf-x2_cf-cx2_cf/2)+cx2_cf))*dp_cf)/(vRdc_p*2*dp_cf/Y10),0)</f>
        <v/>
      </c>
      <c r="AC10">
        <f>IF(AG9&lt;AH9,AE9,AC9)</f>
        <v/>
      </c>
      <c r="AD10">
        <f>IF(AG9&lt;AH9,AD9,AF9)</f>
        <v/>
      </c>
      <c r="AE10">
        <f>AD10-((SQRT(5)-1)/2)*(AD10-AC10)</f>
        <v/>
      </c>
      <c r="AF10">
        <f>AC10+((SQRT(5)-1)/2)*(AD10-AC10)</f>
        <v/>
      </c>
      <c r="AG10">
        <f>IFERROR(beta_cf*MAX(0,P2_cf-(((cx2_cf+2*AE10)*(((B_cf-cy2_cf)/2)+cy2_cf)+cx2_cf*AE10+PI()*AE10^2/2)*((wa_cf+wb_cf*(x2_cf)/1000)/Bm_cf))/1E6)*1000/((cx2_cf+PI()*AE10+2*(((B_cf-cy2_cf)/2)+cy2_cf))*dp_cf)/(vRdc_p*2*dp_cf/AE10),0)</f>
        <v/>
      </c>
      <c r="AH10">
        <f>IFERROR(beta_cf*MAX(0,P2_cf-(((cx2_cf+2*AF10)*(((B_cf-cy2_cf)/2)+cy2_cf)+cx2_cf*AF10+PI()*AF10^2/2)*((wa_cf+wb_cf*(x2_cf)/1000)/Bm_cf))/1E6)*1000/((cx2_cf+PI()*AF10+2*(((B_cf-cy2_cf)/2)+cy2_cf))*dp_cf)/(vRdc_p*2*dp_cf/AF10),0)</f>
        <v/>
      </c>
      <c r="AJ10">
        <f>IF(AN9&lt;AO9,AL9,AJ9)</f>
        <v/>
      </c>
      <c r="AK10">
        <f>IF(AN9&lt;AO9,AK9,AM9)</f>
        <v/>
      </c>
      <c r="AL10">
        <f>AK10-((SQRT(5)-1)/2)*(AK10-AJ10)</f>
        <v/>
      </c>
      <c r="AM10">
        <f>AJ10+((SQRT(5)-1)/2)*(AK10-AJ10)</f>
        <v/>
      </c>
      <c r="AN10">
        <f>IFERROR(beta_cf*MAX(0,P2_cf-(((L_cf-x2_cf-cx2_cf/2)+cx2_cf)*(((B_cf-cy2_cf)/2)+cy2_cf+AL10)*((wa_cf+wb_cf*(((x2_cf-cx2_cf/2)+L_cf)/2)/1000)/Bm_cf)+(((B_cf-cy2_cf)/2)+cy2_cf)*AL10*((wa_cf+wb_cf*((x2_cf-cx2_cf/2)-AL10/2)/1000)/Bm_cf)+PI()*AL10^2/4*((wa_cf+wb_cf*((x2_cf-cx2_cf/2)-4*AL10/(3*PI()))/1000)/Bm_cf))/1E6)*1000/(((L_cf-x2_cf-cx2_cf/2)+cx2_cf+((B_cf-cy2_cf)/2)+cy2_cf+PI()*AL10/2)*dp_cf)/(vRdc_p*2*dp_cf/AL10),0)</f>
        <v/>
      </c>
      <c r="AO10">
        <f>IFERROR(beta_cf*MAX(0,P2_cf-(((L_cf-x2_cf-cx2_cf/2)+cx2_cf)*(((B_cf-cy2_cf)/2)+cy2_cf+AM10)*((wa_cf+wb_cf*(((x2_cf-cx2_cf/2)+L_cf)/2)/1000)/Bm_cf)+(((B_cf-cy2_cf)/2)+cy2_cf)*AM10*((wa_cf+wb_cf*((x2_cf-cx2_cf/2)-AM10/2)/1000)/Bm_cf)+PI()*AM10^2/4*((wa_cf+wb_cf*((x2_cf-cx2_cf/2)-4*AM10/(3*PI()))/1000)/Bm_cf))/1E6)*1000/(((L_cf-x2_cf-cx2_cf/2)+cx2_cf+((B_cf-cy2_cf)/2)+cy2_cf+PI()*AM10/2)*dp_cf)/(vRdc_p*2*dp_cf/AM10),0)</f>
        <v/>
      </c>
    </row>
    <row r="11">
      <c r="A11">
        <f>IF(E10&lt;F10,C10,A10)</f>
        <v/>
      </c>
      <c r="B11">
        <f>IF(E10&lt;F10,B10,D10)</f>
        <v/>
      </c>
      <c r="C11">
        <f>B11-((SQRT(5)-1)/2)*(B11-A11)</f>
        <v/>
      </c>
      <c r="D11">
        <f>A11+((SQRT(5)-1)/2)*(B11-A11)</f>
        <v/>
      </c>
      <c r="E11">
        <f>IFERROR(beta_cf*MAX(0,P1_cf-(((x1_cf-cx1_cf/2)+cx1_cf)*(cy1_cf+2*C11)*((wa_cf+wb_cf*((x1_cf+cx1_cf/2)/2)/1000)/Bm_cf)+cy1_cf*C11*((wa_cf+wb_cf*((x1_cf+cx1_cf/2)+C11/2)/1000)/Bm_cf)+PI()*C11^2/2*((wa_cf+wb_cf*((x1_cf+cx1_cf/2)+4*C11/(3*PI()))/1000)/Bm_cf))/1E6)*1000/((cy1_cf+PI()*C11+2*((x1_cf-cx1_cf/2)+cx1_cf))*dp_cf)/(vRdc_p*2*dp_cf/C11),0)</f>
        <v/>
      </c>
      <c r="F11">
        <f>IFERROR(beta_cf*MAX(0,P1_cf-(((x1_cf-cx1_cf/2)+cx1_cf)*(cy1_cf+2*D11)*((wa_cf+wb_cf*((x1_cf+cx1_cf/2)/2)/1000)/Bm_cf)+cy1_cf*D11*((wa_cf+wb_cf*((x1_cf+cx1_cf/2)+D11/2)/1000)/Bm_cf)+PI()*D11^2/2*((wa_cf+wb_cf*((x1_cf+cx1_cf/2)+4*D11/(3*PI()))/1000)/Bm_cf))/1E6)*1000/((cy1_cf+PI()*D11+2*((x1_cf-cx1_cf/2)+cx1_cf))*dp_cf)/(vRdc_p*2*dp_cf/D11),0)</f>
        <v/>
      </c>
      <c r="H11">
        <f>IF(L10&lt;M10,J10,H10)</f>
        <v/>
      </c>
      <c r="I11">
        <f>IF(L10&lt;M10,I10,K10)</f>
        <v/>
      </c>
      <c r="J11">
        <f>I11-((SQRT(5)-1)/2)*(I11-H11)</f>
        <v/>
      </c>
      <c r="K11">
        <f>H11+((SQRT(5)-1)/2)*(I11-H11)</f>
        <v/>
      </c>
      <c r="L11">
        <f>IFERROR(beta_cf*MAX(0,P1_cf-(((cx1_cf+2*J11)*(((B_cf-cy1_cf)/2)+cy1_cf)+cx1_cf*J11+PI()*J11^2/2)*((wa_cf+wb_cf*(x1_cf)/1000)/Bm_cf))/1E6)*1000/((cx1_cf+PI()*J11+2*(((B_cf-cy1_cf)/2)+cy1_cf))*dp_cf)/(vRdc_p*2*dp_cf/J11),0)</f>
        <v/>
      </c>
      <c r="M11">
        <f>IFERROR(beta_cf*MAX(0,P1_cf-(((cx1_cf+2*K11)*(((B_cf-cy1_cf)/2)+cy1_cf)+cx1_cf*K11+PI()*K11^2/2)*((wa_cf+wb_cf*(x1_cf)/1000)/Bm_cf))/1E6)*1000/((cx1_cf+PI()*K11+2*(((B_cf-cy1_cf)/2)+cy1_cf))*dp_cf)/(vRdc_p*2*dp_cf/K11),0)</f>
        <v/>
      </c>
      <c r="O11">
        <f>IF(S10&lt;T10,Q10,O10)</f>
        <v/>
      </c>
      <c r="P11">
        <f>IF(S10&lt;T10,P10,R10)</f>
        <v/>
      </c>
      <c r="Q11">
        <f>P11-((SQRT(5)-1)/2)*(P11-O11)</f>
        <v/>
      </c>
      <c r="R11">
        <f>O11+((SQRT(5)-1)/2)*(P11-O11)</f>
        <v/>
      </c>
      <c r="S11">
        <f>IFERROR(beta_cf*MAX(0,P1_cf-(((x1_cf-cx1_cf/2)+cx1_cf)*(((B_cf-cy1_cf)/2)+cy1_cf+Q11)*((wa_cf+wb_cf*((x1_cf+cx1_cf/2)/2)/1000)/Bm_cf)+(((B_cf-cy1_cf)/2)+cy1_cf)*Q11*((wa_cf+wb_cf*((x1_cf+cx1_cf/2)+Q11/2)/1000)/Bm_cf)+PI()*Q11^2/4*((wa_cf+wb_cf*((x1_cf+cx1_cf/2)+4*Q11/(3*PI()))/1000)/Bm_cf))/1E6)*1000/(((x1_cf-cx1_cf/2)+cx1_cf+((B_cf-cy1_cf)/2)+cy1_cf+PI()*Q11/2)*dp_cf)/(vRdc_p*2*dp_cf/Q11),0)</f>
        <v/>
      </c>
      <c r="T11">
        <f>IFERROR(beta_cf*MAX(0,P1_cf-(((x1_cf-cx1_cf/2)+cx1_cf)*(((B_cf-cy1_cf)/2)+cy1_cf+R11)*((wa_cf+wb_cf*((x1_cf+cx1_cf/2)/2)/1000)/Bm_cf)+(((B_cf-cy1_cf)/2)+cy1_cf)*R11*((wa_cf+wb_cf*((x1_cf+cx1_cf/2)+R11/2)/1000)/Bm_cf)+PI()*R11^2/4*((wa_cf+wb_cf*((x1_cf+cx1_cf/2)+4*R11/(3*PI()))/1000)/Bm_cf))/1E6)*1000/(((x1_cf-cx1_cf/2)+cx1_cf+((B_cf-cy1_cf)/2)+cy1_cf+PI()*R11/2)*dp_cf)/(vRdc_p*2*dp_cf/R11),0)</f>
        <v/>
      </c>
      <c r="V11">
        <f>IF(Z10&lt;AA10,X10,V10)</f>
        <v/>
      </c>
      <c r="W11">
        <f>IF(Z10&lt;AA10,W10,Y10)</f>
        <v/>
      </c>
      <c r="X11">
        <f>W11-((SQRT(5)-1)/2)*(W11-V11)</f>
        <v/>
      </c>
      <c r="Y11">
        <f>V11+((SQRT(5)-1)/2)*(W11-V11)</f>
        <v/>
      </c>
      <c r="Z11">
        <f>IFERROR(beta_cf*MAX(0,P2_cf-(((L_cf-x2_cf-cx2_cf/2)+cx2_cf)*(cy2_cf+2*X11)*((wa_cf+wb_cf*(((x2_cf-cx2_cf/2)+L_cf)/2)/1000)/Bm_cf)+cy2_cf*X11*((wa_cf+wb_cf*((x2_cf-cx2_cf/2)-X11/2)/1000)/Bm_cf)+PI()*X11^2/2*((wa_cf+wb_cf*((x2_cf-cx2_cf/2)-4*X11/(3*PI()))/1000)/Bm_cf))/1E6)*1000/((cy2_cf+PI()*X11+2*((L_cf-x2_cf-cx2_cf/2)+cx2_cf))*dp_cf)/(vRdc_p*2*dp_cf/X11),0)</f>
        <v/>
      </c>
      <c r="AA11">
        <f>IFERROR(beta_cf*MAX(0,P2_cf-(((L_cf-x2_cf-cx2_cf/2)+cx2_cf)*(cy2_cf+2*Y11)*((wa_cf+wb_cf*(((x2_cf-cx2_cf/2)+L_cf)/2)/1000)/Bm_cf)+cy2_cf*Y11*((wa_cf+wb_cf*((x2_cf-cx2_cf/2)-Y11/2)/1000)/Bm_cf)+PI()*Y11^2/2*((wa_cf+wb_cf*((x2_cf-cx2_cf/2)-4*Y11/(3*PI()))/1000)/Bm_cf))/1E6)*1000/((cy2_cf+PI()*Y11+2*((L_cf-x2_cf-cx2_cf/2)+cx2_cf))*dp_cf)/(vRdc_p*2*dp_cf/Y11),0)</f>
        <v/>
      </c>
      <c r="AC11">
        <f>IF(AG10&lt;AH10,AE10,AC10)</f>
        <v/>
      </c>
      <c r="AD11">
        <f>IF(AG10&lt;AH10,AD10,AF10)</f>
        <v/>
      </c>
      <c r="AE11">
        <f>AD11-((SQRT(5)-1)/2)*(AD11-AC11)</f>
        <v/>
      </c>
      <c r="AF11">
        <f>AC11+((SQRT(5)-1)/2)*(AD11-AC11)</f>
        <v/>
      </c>
      <c r="AG11">
        <f>IFERROR(beta_cf*MAX(0,P2_cf-(((cx2_cf+2*AE11)*(((B_cf-cy2_cf)/2)+cy2_cf)+cx2_cf*AE11+PI()*AE11^2/2)*((wa_cf+wb_cf*(x2_cf)/1000)/Bm_cf))/1E6)*1000/((cx2_cf+PI()*AE11+2*(((B_cf-cy2_cf)/2)+cy2_cf))*dp_cf)/(vRdc_p*2*dp_cf/AE11),0)</f>
        <v/>
      </c>
      <c r="AH11">
        <f>IFERROR(beta_cf*MAX(0,P2_cf-(((cx2_cf+2*AF11)*(((B_cf-cy2_cf)/2)+cy2_cf)+cx2_cf*AF11+PI()*AF11^2/2)*((wa_cf+wb_cf*(x2_cf)/1000)/Bm_cf))/1E6)*1000/((cx2_cf+PI()*AF11+2*(((B_cf-cy2_cf)/2)+cy2_cf))*dp_cf)/(vRdc_p*2*dp_cf/AF11),0)</f>
        <v/>
      </c>
      <c r="AJ11">
        <f>IF(AN10&lt;AO10,AL10,AJ10)</f>
        <v/>
      </c>
      <c r="AK11">
        <f>IF(AN10&lt;AO10,AK10,AM10)</f>
        <v/>
      </c>
      <c r="AL11">
        <f>AK11-((SQRT(5)-1)/2)*(AK11-AJ11)</f>
        <v/>
      </c>
      <c r="AM11">
        <f>AJ11+((SQRT(5)-1)/2)*(AK11-AJ11)</f>
        <v/>
      </c>
      <c r="AN11">
        <f>IFERROR(beta_cf*MAX(0,P2_cf-(((L_cf-x2_cf-cx2_cf/2)+cx2_cf)*(((B_cf-cy2_cf)/2)+cy2_cf+AL11)*((wa_cf+wb_cf*(((x2_cf-cx2_cf/2)+L_cf)/2)/1000)/Bm_cf)+(((B_cf-cy2_cf)/2)+cy2_cf)*AL11*((wa_cf+wb_cf*((x2_cf-cx2_cf/2)-AL11/2)/1000)/Bm_cf)+PI()*AL11^2/4*((wa_cf+wb_cf*((x2_cf-cx2_cf/2)-4*AL11/(3*PI()))/1000)/Bm_cf))/1E6)*1000/(((L_cf-x2_cf-cx2_cf/2)+cx2_cf+((B_cf-cy2_cf)/2)+cy2_cf+PI()*AL11/2)*dp_cf)/(vRdc_p*2*dp_cf/AL11),0)</f>
        <v/>
      </c>
      <c r="AO11">
        <f>IFERROR(beta_cf*MAX(0,P2_cf-(((L_cf-x2_cf-cx2_cf/2)+cx2_cf)*(((B_cf-cy2_cf)/2)+cy2_cf+AM11)*((wa_cf+wb_cf*(((x2_cf-cx2_cf/2)+L_cf)/2)/1000)/Bm_cf)+(((B_cf-cy2_cf)/2)+cy2_cf)*AM11*((wa_cf+wb_cf*((x2_cf-cx2_cf/2)-AM11/2)/1000)/Bm_cf)+PI()*AM11^2/4*((wa_cf+wb_cf*((x2_cf-cx2_cf/2)-4*AM11/(3*PI()))/1000)/Bm_cf))/1E6)*1000/(((L_cf-x2_cf-cx2_cf/2)+cx2_cf+((B_cf-cy2_cf)/2)+cy2_cf+PI()*AM11/2)*dp_cf)/(vRdc_p*2*dp_cf/AM11),0)</f>
        <v/>
      </c>
    </row>
    <row r="12">
      <c r="A12">
        <f>IF(E11&lt;F11,C11,A11)</f>
        <v/>
      </c>
      <c r="B12">
        <f>IF(E11&lt;F11,B11,D11)</f>
        <v/>
      </c>
      <c r="C12">
        <f>B12-((SQRT(5)-1)/2)*(B12-A12)</f>
        <v/>
      </c>
      <c r="D12">
        <f>A12+((SQRT(5)-1)/2)*(B12-A12)</f>
        <v/>
      </c>
      <c r="E12">
        <f>IFERROR(beta_cf*MAX(0,P1_cf-(((x1_cf-cx1_cf/2)+cx1_cf)*(cy1_cf+2*C12)*((wa_cf+wb_cf*((x1_cf+cx1_cf/2)/2)/1000)/Bm_cf)+cy1_cf*C12*((wa_cf+wb_cf*((x1_cf+cx1_cf/2)+C12/2)/1000)/Bm_cf)+PI()*C12^2/2*((wa_cf+wb_cf*((x1_cf+cx1_cf/2)+4*C12/(3*PI()))/1000)/Bm_cf))/1E6)*1000/((cy1_cf+PI()*C12+2*((x1_cf-cx1_cf/2)+cx1_cf))*dp_cf)/(vRdc_p*2*dp_cf/C12),0)</f>
        <v/>
      </c>
      <c r="F12">
        <f>IFERROR(beta_cf*MAX(0,P1_cf-(((x1_cf-cx1_cf/2)+cx1_cf)*(cy1_cf+2*D12)*((wa_cf+wb_cf*((x1_cf+cx1_cf/2)/2)/1000)/Bm_cf)+cy1_cf*D12*((wa_cf+wb_cf*((x1_cf+cx1_cf/2)+D12/2)/1000)/Bm_cf)+PI()*D12^2/2*((wa_cf+wb_cf*((x1_cf+cx1_cf/2)+4*D12/(3*PI()))/1000)/Bm_cf))/1E6)*1000/((cy1_cf+PI()*D12+2*((x1_cf-cx1_cf/2)+cx1_cf))*dp_cf)/(vRdc_p*2*dp_cf/D12),0)</f>
        <v/>
      </c>
      <c r="H12">
        <f>IF(L11&lt;M11,J11,H11)</f>
        <v/>
      </c>
      <c r="I12">
        <f>IF(L11&lt;M11,I11,K11)</f>
        <v/>
      </c>
      <c r="J12">
        <f>I12-((SQRT(5)-1)/2)*(I12-H12)</f>
        <v/>
      </c>
      <c r="K12">
        <f>H12+((SQRT(5)-1)/2)*(I12-H12)</f>
        <v/>
      </c>
      <c r="L12">
        <f>IFERROR(beta_cf*MAX(0,P1_cf-(((cx1_cf+2*J12)*(((B_cf-cy1_cf)/2)+cy1_cf)+cx1_cf*J12+PI()*J12^2/2)*((wa_cf+wb_cf*(x1_cf)/1000)/Bm_cf))/1E6)*1000/((cx1_cf+PI()*J12+2*(((B_cf-cy1_cf)/2)+cy1_cf))*dp_cf)/(vRdc_p*2*dp_cf/J12),0)</f>
        <v/>
      </c>
      <c r="M12">
        <f>IFERROR(beta_cf*MAX(0,P1_cf-(((cx1_cf+2*K12)*(((B_cf-cy1_cf)/2)+cy1_cf)+cx1_cf*K12+PI()*K12^2/2)*((wa_cf+wb_cf*(x1_cf)/1000)/Bm_cf))/1E6)*1000/((cx1_cf+PI()*K12+2*(((B_cf-cy1_cf)/2)+cy1_cf))*dp_cf)/(vRdc_p*2*dp_cf/K12),0)</f>
        <v/>
      </c>
      <c r="O12">
        <f>IF(S11&lt;T11,Q11,O11)</f>
        <v/>
      </c>
      <c r="P12">
        <f>IF(S11&lt;T11,P11,R11)</f>
        <v/>
      </c>
      <c r="Q12">
        <f>P12-((SQRT(5)-1)/2)*(P12-O12)</f>
        <v/>
      </c>
      <c r="R12">
        <f>O12+((SQRT(5)-1)/2)*(P12-O12)</f>
        <v/>
      </c>
      <c r="S12">
        <f>IFERROR(beta_cf*MAX(0,P1_cf-(((x1_cf-cx1_cf/2)+cx1_cf)*(((B_cf-cy1_cf)/2)+cy1_cf+Q12)*((wa_cf+wb_cf*((x1_cf+cx1_cf/2)/2)/1000)/Bm_cf)+(((B_cf-cy1_cf)/2)+cy1_cf)*Q12*((wa_cf+wb_cf*((x1_cf+cx1_cf/2)+Q12/2)/1000)/Bm_cf)+PI()*Q12^2/4*((wa_cf+wb_cf*((x1_cf+cx1_cf/2)+4*Q12/(3*PI()))/1000)/Bm_cf))/1E6)*1000/(((x1_cf-cx1_cf/2)+cx1_cf+((B_cf-cy1_cf)/2)+cy1_cf+PI()*Q12/2)*dp_cf)/(vRdc_p*2*dp_cf/Q12),0)</f>
        <v/>
      </c>
      <c r="T12">
        <f>IFERROR(beta_cf*MAX(0,P1_cf-(((x1_cf-cx1_cf/2)+cx1_cf)*(((B_cf-cy1_cf)/2)+cy1_cf+R12)*((wa_cf+wb_cf*((x1_cf+cx1_cf/2)/2)/1000)/Bm_cf)+(((B_cf-cy1_cf)/2)+cy1_cf)*R12*((wa_cf+wb_cf*((x1_cf+cx1_cf/2)+R12/2)/1000)/Bm_cf)+PI()*R12^2/4*((wa_cf+wb_cf*((x1_cf+cx1_cf/2)+4*R12/(3*PI()))/1000)/Bm_cf))/1E6)*1000/(((x1_cf-cx1_cf/2)+cx1_cf+((B_cf-cy1_cf)/2)+cy1_cf+PI()*R12/2)*dp_cf)/(vRdc_p*2*dp_cf/R12),0)</f>
        <v/>
      </c>
      <c r="V12">
        <f>IF(Z11&lt;AA11,X11,V11)</f>
        <v/>
      </c>
      <c r="W12">
        <f>IF(Z11&lt;AA11,W11,Y11)</f>
        <v/>
      </c>
      <c r="X12">
        <f>W12-((SQRT(5)-1)/2)*(W12-V12)</f>
        <v/>
      </c>
      <c r="Y12">
        <f>V12+((SQRT(5)-1)/2)*(W12-V12)</f>
        <v/>
      </c>
      <c r="Z12">
        <f>IFERROR(beta_cf*MAX(0,P2_cf-(((L_cf-x2_cf-cx2_cf/2)+cx2_cf)*(cy2_cf+2*X12)*((wa_cf+wb_cf*(((x2_cf-cx2_cf/2)+L_cf)/2)/1000)/Bm_cf)+cy2_cf*X12*((wa_cf+wb_cf*((x2_cf-cx2_cf/2)-X12/2)/1000)/Bm_cf)+PI()*X12^2/2*((wa_cf+wb_cf*((x2_cf-cx2_cf/2)-4*X12/(3*PI()))/1000)/Bm_cf))/1E6)*1000/((cy2_cf+PI()*X12+2*((L_cf-x2_cf-cx2_cf/2)+cx2_cf))*dp_cf)/(vRdc_p*2*dp_cf/X12),0)</f>
        <v/>
      </c>
      <c r="AA12">
        <f>IFERROR(beta_cf*MAX(0,P2_cf-(((L_cf-x2_cf-cx2_cf/2)+cx2_cf)*(cy2_cf+2*Y12)*((wa_cf+wb_cf*(((x2_cf-cx2_cf/2)+L_cf)/2)/1000)/Bm_cf)+cy2_cf*Y12*((wa_cf+wb_cf*((x2_cf-cx2_cf/2)-Y12/2)/1000)/Bm_cf)+PI()*Y12^2/2*((wa_cf+wb_cf*((x2_cf-cx2_cf/2)-4*Y12/(3*PI()))/1000)/Bm_cf))/1E6)*1000/((cy2_cf+PI()*Y12+2*((L_cf-x2_cf-cx2_cf/2)+cx2_cf))*dp_cf)/(vRdc_p*2*dp_cf/Y12),0)</f>
        <v/>
      </c>
      <c r="AC12">
        <f>IF(AG11&lt;AH11,AE11,AC11)</f>
        <v/>
      </c>
      <c r="AD12">
        <f>IF(AG11&lt;AH11,AD11,AF11)</f>
        <v/>
      </c>
      <c r="AE12">
        <f>AD12-((SQRT(5)-1)/2)*(AD12-AC12)</f>
        <v/>
      </c>
      <c r="AF12">
        <f>AC12+((SQRT(5)-1)/2)*(AD12-AC12)</f>
        <v/>
      </c>
      <c r="AG12">
        <f>IFERROR(beta_cf*MAX(0,P2_cf-(((cx2_cf+2*AE12)*(((B_cf-cy2_cf)/2)+cy2_cf)+cx2_cf*AE12+PI()*AE12^2/2)*((wa_cf+wb_cf*(x2_cf)/1000)/Bm_cf))/1E6)*1000/((cx2_cf+PI()*AE12+2*(((B_cf-cy2_cf)/2)+cy2_cf))*dp_cf)/(vRdc_p*2*dp_cf/AE12),0)</f>
        <v/>
      </c>
      <c r="AH12">
        <f>IFERROR(beta_cf*MAX(0,P2_cf-(((cx2_cf+2*AF12)*(((B_cf-cy2_cf)/2)+cy2_cf)+cx2_cf*AF12+PI()*AF12^2/2)*((wa_cf+wb_cf*(x2_cf)/1000)/Bm_cf))/1E6)*1000/((cx2_cf+PI()*AF12+2*(((B_cf-cy2_cf)/2)+cy2_cf))*dp_cf)/(vRdc_p*2*dp_cf/AF12),0)</f>
        <v/>
      </c>
      <c r="AJ12">
        <f>IF(AN11&lt;AO11,AL11,AJ11)</f>
        <v/>
      </c>
      <c r="AK12">
        <f>IF(AN11&lt;AO11,AK11,AM11)</f>
        <v/>
      </c>
      <c r="AL12">
        <f>AK12-((SQRT(5)-1)/2)*(AK12-AJ12)</f>
        <v/>
      </c>
      <c r="AM12">
        <f>AJ12+((SQRT(5)-1)/2)*(AK12-AJ12)</f>
        <v/>
      </c>
      <c r="AN12">
        <f>IFERROR(beta_cf*MAX(0,P2_cf-(((L_cf-x2_cf-cx2_cf/2)+cx2_cf)*(((B_cf-cy2_cf)/2)+cy2_cf+AL12)*((wa_cf+wb_cf*(((x2_cf-cx2_cf/2)+L_cf)/2)/1000)/Bm_cf)+(((B_cf-cy2_cf)/2)+cy2_cf)*AL12*((wa_cf+wb_cf*((x2_cf-cx2_cf/2)-AL12/2)/1000)/Bm_cf)+PI()*AL12^2/4*((wa_cf+wb_cf*((x2_cf-cx2_cf/2)-4*AL12/(3*PI()))/1000)/Bm_cf))/1E6)*1000/(((L_cf-x2_cf-cx2_cf/2)+cx2_cf+((B_cf-cy2_cf)/2)+cy2_cf+PI()*AL12/2)*dp_cf)/(vRdc_p*2*dp_cf/AL12),0)</f>
        <v/>
      </c>
      <c r="AO12">
        <f>IFERROR(beta_cf*MAX(0,P2_cf-(((L_cf-x2_cf-cx2_cf/2)+cx2_cf)*(((B_cf-cy2_cf)/2)+cy2_cf+AM12)*((wa_cf+wb_cf*(((x2_cf-cx2_cf/2)+L_cf)/2)/1000)/Bm_cf)+(((B_cf-cy2_cf)/2)+cy2_cf)*AM12*((wa_cf+wb_cf*((x2_cf-cx2_cf/2)-AM12/2)/1000)/Bm_cf)+PI()*AM12^2/4*((wa_cf+wb_cf*((x2_cf-cx2_cf/2)-4*AM12/(3*PI()))/1000)/Bm_cf))/1E6)*1000/(((L_cf-x2_cf-cx2_cf/2)+cx2_cf+((B_cf-cy2_cf)/2)+cy2_cf+PI()*AM12/2)*dp_cf)/(vRdc_p*2*dp_cf/AM12),0)</f>
        <v/>
      </c>
    </row>
    <row r="13">
      <c r="A13">
        <f>IF(E12&lt;F12,C12,A12)</f>
        <v/>
      </c>
      <c r="B13">
        <f>IF(E12&lt;F12,B12,D12)</f>
        <v/>
      </c>
      <c r="C13">
        <f>B13-((SQRT(5)-1)/2)*(B13-A13)</f>
        <v/>
      </c>
      <c r="D13">
        <f>A13+((SQRT(5)-1)/2)*(B13-A13)</f>
        <v/>
      </c>
      <c r="E13">
        <f>IFERROR(beta_cf*MAX(0,P1_cf-(((x1_cf-cx1_cf/2)+cx1_cf)*(cy1_cf+2*C13)*((wa_cf+wb_cf*((x1_cf+cx1_cf/2)/2)/1000)/Bm_cf)+cy1_cf*C13*((wa_cf+wb_cf*((x1_cf+cx1_cf/2)+C13/2)/1000)/Bm_cf)+PI()*C13^2/2*((wa_cf+wb_cf*((x1_cf+cx1_cf/2)+4*C13/(3*PI()))/1000)/Bm_cf))/1E6)*1000/((cy1_cf+PI()*C13+2*((x1_cf-cx1_cf/2)+cx1_cf))*dp_cf)/(vRdc_p*2*dp_cf/C13),0)</f>
        <v/>
      </c>
      <c r="F13">
        <f>IFERROR(beta_cf*MAX(0,P1_cf-(((x1_cf-cx1_cf/2)+cx1_cf)*(cy1_cf+2*D13)*((wa_cf+wb_cf*((x1_cf+cx1_cf/2)/2)/1000)/Bm_cf)+cy1_cf*D13*((wa_cf+wb_cf*((x1_cf+cx1_cf/2)+D13/2)/1000)/Bm_cf)+PI()*D13^2/2*((wa_cf+wb_cf*((x1_cf+cx1_cf/2)+4*D13/(3*PI()))/1000)/Bm_cf))/1E6)*1000/((cy1_cf+PI()*D13+2*((x1_cf-cx1_cf/2)+cx1_cf))*dp_cf)/(vRdc_p*2*dp_cf/D13),0)</f>
        <v/>
      </c>
      <c r="H13">
        <f>IF(L12&lt;M12,J12,H12)</f>
        <v/>
      </c>
      <c r="I13">
        <f>IF(L12&lt;M12,I12,K12)</f>
        <v/>
      </c>
      <c r="J13">
        <f>I13-((SQRT(5)-1)/2)*(I13-H13)</f>
        <v/>
      </c>
      <c r="K13">
        <f>H13+((SQRT(5)-1)/2)*(I13-H13)</f>
        <v/>
      </c>
      <c r="L13">
        <f>IFERROR(beta_cf*MAX(0,P1_cf-(((cx1_cf+2*J13)*(((B_cf-cy1_cf)/2)+cy1_cf)+cx1_cf*J13+PI()*J13^2/2)*((wa_cf+wb_cf*(x1_cf)/1000)/Bm_cf))/1E6)*1000/((cx1_cf+PI()*J13+2*(((B_cf-cy1_cf)/2)+cy1_cf))*dp_cf)/(vRdc_p*2*dp_cf/J13),0)</f>
        <v/>
      </c>
      <c r="M13">
        <f>IFERROR(beta_cf*MAX(0,P1_cf-(((cx1_cf+2*K13)*(((B_cf-cy1_cf)/2)+cy1_cf)+cx1_cf*K13+PI()*K13^2/2)*((wa_cf+wb_cf*(x1_cf)/1000)/Bm_cf))/1E6)*1000/((cx1_cf+PI()*K13+2*(((B_cf-cy1_cf)/2)+cy1_cf))*dp_cf)/(vRdc_p*2*dp_cf/K13),0)</f>
        <v/>
      </c>
      <c r="O13">
        <f>IF(S12&lt;T12,Q12,O12)</f>
        <v/>
      </c>
      <c r="P13">
        <f>IF(S12&lt;T12,P12,R12)</f>
        <v/>
      </c>
      <c r="Q13">
        <f>P13-((SQRT(5)-1)/2)*(P13-O13)</f>
        <v/>
      </c>
      <c r="R13">
        <f>O13+((SQRT(5)-1)/2)*(P13-O13)</f>
        <v/>
      </c>
      <c r="S13">
        <f>IFERROR(beta_cf*MAX(0,P1_cf-(((x1_cf-cx1_cf/2)+cx1_cf)*(((B_cf-cy1_cf)/2)+cy1_cf+Q13)*((wa_cf+wb_cf*((x1_cf+cx1_cf/2)/2)/1000)/Bm_cf)+(((B_cf-cy1_cf)/2)+cy1_cf)*Q13*((wa_cf+wb_cf*((x1_cf+cx1_cf/2)+Q13/2)/1000)/Bm_cf)+PI()*Q13^2/4*((wa_cf+wb_cf*((x1_cf+cx1_cf/2)+4*Q13/(3*PI()))/1000)/Bm_cf))/1E6)*1000/(((x1_cf-cx1_cf/2)+cx1_cf+((B_cf-cy1_cf)/2)+cy1_cf+PI()*Q13/2)*dp_cf)/(vRdc_p*2*dp_cf/Q13),0)</f>
        <v/>
      </c>
      <c r="T13">
        <f>IFERROR(beta_cf*MAX(0,P1_cf-(((x1_cf-cx1_cf/2)+cx1_cf)*(((B_cf-cy1_cf)/2)+cy1_cf+R13)*((wa_cf+wb_cf*((x1_cf+cx1_cf/2)/2)/1000)/Bm_cf)+(((B_cf-cy1_cf)/2)+cy1_cf)*R13*((wa_cf+wb_cf*((x1_cf+cx1_cf/2)+R13/2)/1000)/Bm_cf)+PI()*R13^2/4*((wa_cf+wb_cf*((x1_cf+cx1_cf/2)+4*R13/(3*PI()))/1000)/Bm_cf))/1E6)*1000/(((x1_cf-cx1_cf/2)+cx1_cf+((B_cf-cy1_cf)/2)+cy1_cf+PI()*R13/2)*dp_cf)/(vRdc_p*2*dp_cf/R13),0)</f>
        <v/>
      </c>
      <c r="V13">
        <f>IF(Z12&lt;AA12,X12,V12)</f>
        <v/>
      </c>
      <c r="W13">
        <f>IF(Z12&lt;AA12,W12,Y12)</f>
        <v/>
      </c>
      <c r="X13">
        <f>W13-((SQRT(5)-1)/2)*(W13-V13)</f>
        <v/>
      </c>
      <c r="Y13">
        <f>V13+((SQRT(5)-1)/2)*(W13-V13)</f>
        <v/>
      </c>
      <c r="Z13">
        <f>IFERROR(beta_cf*MAX(0,P2_cf-(((L_cf-x2_cf-cx2_cf/2)+cx2_cf)*(cy2_cf+2*X13)*((wa_cf+wb_cf*(((x2_cf-cx2_cf/2)+L_cf)/2)/1000)/Bm_cf)+cy2_cf*X13*((wa_cf+wb_cf*((x2_cf-cx2_cf/2)-X13/2)/1000)/Bm_cf)+PI()*X13^2/2*((wa_cf+wb_cf*((x2_cf-cx2_cf/2)-4*X13/(3*PI()))/1000)/Bm_cf))/1E6)*1000/((cy2_cf+PI()*X13+2*((L_cf-x2_cf-cx2_cf/2)+cx2_cf))*dp_cf)/(vRdc_p*2*dp_cf/X13),0)</f>
        <v/>
      </c>
      <c r="AA13">
        <f>IFERROR(beta_cf*MAX(0,P2_cf-(((L_cf-x2_cf-cx2_cf/2)+cx2_cf)*(cy2_cf+2*Y13)*((wa_cf+wb_cf*(((x2_cf-cx2_cf/2)+L_cf)/2)/1000)/Bm_cf)+cy2_cf*Y13*((wa_cf+wb_cf*((x2_cf-cx2_cf/2)-Y13/2)/1000)/Bm_cf)+PI()*Y13^2/2*((wa_cf+wb_cf*((x2_cf-cx2_cf/2)-4*Y13/(3*PI()))/1000)/Bm_cf))/1E6)*1000/((cy2_cf+PI()*Y13+2*((L_cf-x2_cf-cx2_cf/2)+cx2_cf))*dp_cf)/(vRdc_p*2*dp_cf/Y13),0)</f>
        <v/>
      </c>
      <c r="AC13">
        <f>IF(AG12&lt;AH12,AE12,AC12)</f>
        <v/>
      </c>
      <c r="AD13">
        <f>IF(AG12&lt;AH12,AD12,AF12)</f>
        <v/>
      </c>
      <c r="AE13">
        <f>AD13-((SQRT(5)-1)/2)*(AD13-AC13)</f>
        <v/>
      </c>
      <c r="AF13">
        <f>AC13+((SQRT(5)-1)/2)*(AD13-AC13)</f>
        <v/>
      </c>
      <c r="AG13">
        <f>IFERROR(beta_cf*MAX(0,P2_cf-(((cx2_cf+2*AE13)*(((B_cf-cy2_cf)/2)+cy2_cf)+cx2_cf*AE13+PI()*AE13^2/2)*((wa_cf+wb_cf*(x2_cf)/1000)/Bm_cf))/1E6)*1000/((cx2_cf+PI()*AE13+2*(((B_cf-cy2_cf)/2)+cy2_cf))*dp_cf)/(vRdc_p*2*dp_cf/AE13),0)</f>
        <v/>
      </c>
      <c r="AH13">
        <f>IFERROR(beta_cf*MAX(0,P2_cf-(((cx2_cf+2*AF13)*(((B_cf-cy2_cf)/2)+cy2_cf)+cx2_cf*AF13+PI()*AF13^2/2)*((wa_cf+wb_cf*(x2_cf)/1000)/Bm_cf))/1E6)*1000/((cx2_cf+PI()*AF13+2*(((B_cf-cy2_cf)/2)+cy2_cf))*dp_cf)/(vRdc_p*2*dp_cf/AF13),0)</f>
        <v/>
      </c>
      <c r="AJ13">
        <f>IF(AN12&lt;AO12,AL12,AJ12)</f>
        <v/>
      </c>
      <c r="AK13">
        <f>IF(AN12&lt;AO12,AK12,AM12)</f>
        <v/>
      </c>
      <c r="AL13">
        <f>AK13-((SQRT(5)-1)/2)*(AK13-AJ13)</f>
        <v/>
      </c>
      <c r="AM13">
        <f>AJ13+((SQRT(5)-1)/2)*(AK13-AJ13)</f>
        <v/>
      </c>
      <c r="AN13">
        <f>IFERROR(beta_cf*MAX(0,P2_cf-(((L_cf-x2_cf-cx2_cf/2)+cx2_cf)*(((B_cf-cy2_cf)/2)+cy2_cf+AL13)*((wa_cf+wb_cf*(((x2_cf-cx2_cf/2)+L_cf)/2)/1000)/Bm_cf)+(((B_cf-cy2_cf)/2)+cy2_cf)*AL13*((wa_cf+wb_cf*((x2_cf-cx2_cf/2)-AL13/2)/1000)/Bm_cf)+PI()*AL13^2/4*((wa_cf+wb_cf*((x2_cf-cx2_cf/2)-4*AL13/(3*PI()))/1000)/Bm_cf))/1E6)*1000/(((L_cf-x2_cf-cx2_cf/2)+cx2_cf+((B_cf-cy2_cf)/2)+cy2_cf+PI()*AL13/2)*dp_cf)/(vRdc_p*2*dp_cf/AL13),0)</f>
        <v/>
      </c>
      <c r="AO13">
        <f>IFERROR(beta_cf*MAX(0,P2_cf-(((L_cf-x2_cf-cx2_cf/2)+cx2_cf)*(((B_cf-cy2_cf)/2)+cy2_cf+AM13)*((wa_cf+wb_cf*(((x2_cf-cx2_cf/2)+L_cf)/2)/1000)/Bm_cf)+(((B_cf-cy2_cf)/2)+cy2_cf)*AM13*((wa_cf+wb_cf*((x2_cf-cx2_cf/2)-AM13/2)/1000)/Bm_cf)+PI()*AM13^2/4*((wa_cf+wb_cf*((x2_cf-cx2_cf/2)-4*AM13/(3*PI()))/1000)/Bm_cf))/1E6)*1000/(((L_cf-x2_cf-cx2_cf/2)+cx2_cf+((B_cf-cy2_cf)/2)+cy2_cf+PI()*AM13/2)*dp_cf)/(vRdc_p*2*dp_cf/AM13),0)</f>
        <v/>
      </c>
    </row>
    <row r="14">
      <c r="A14">
        <f>IF(E13&lt;F13,C13,A13)</f>
        <v/>
      </c>
      <c r="B14">
        <f>IF(E13&lt;F13,B13,D13)</f>
        <v/>
      </c>
      <c r="C14">
        <f>B14-((SQRT(5)-1)/2)*(B14-A14)</f>
        <v/>
      </c>
      <c r="D14">
        <f>A14+((SQRT(5)-1)/2)*(B14-A14)</f>
        <v/>
      </c>
      <c r="E14">
        <f>IFERROR(beta_cf*MAX(0,P1_cf-(((x1_cf-cx1_cf/2)+cx1_cf)*(cy1_cf+2*C14)*((wa_cf+wb_cf*((x1_cf+cx1_cf/2)/2)/1000)/Bm_cf)+cy1_cf*C14*((wa_cf+wb_cf*((x1_cf+cx1_cf/2)+C14/2)/1000)/Bm_cf)+PI()*C14^2/2*((wa_cf+wb_cf*((x1_cf+cx1_cf/2)+4*C14/(3*PI()))/1000)/Bm_cf))/1E6)*1000/((cy1_cf+PI()*C14+2*((x1_cf-cx1_cf/2)+cx1_cf))*dp_cf)/(vRdc_p*2*dp_cf/C14),0)</f>
        <v/>
      </c>
      <c r="F14">
        <f>IFERROR(beta_cf*MAX(0,P1_cf-(((x1_cf-cx1_cf/2)+cx1_cf)*(cy1_cf+2*D14)*((wa_cf+wb_cf*((x1_cf+cx1_cf/2)/2)/1000)/Bm_cf)+cy1_cf*D14*((wa_cf+wb_cf*((x1_cf+cx1_cf/2)+D14/2)/1000)/Bm_cf)+PI()*D14^2/2*((wa_cf+wb_cf*((x1_cf+cx1_cf/2)+4*D14/(3*PI()))/1000)/Bm_cf))/1E6)*1000/((cy1_cf+PI()*D14+2*((x1_cf-cx1_cf/2)+cx1_cf))*dp_cf)/(vRdc_p*2*dp_cf/D14),0)</f>
        <v/>
      </c>
      <c r="H14">
        <f>IF(L13&lt;M13,J13,H13)</f>
        <v/>
      </c>
      <c r="I14">
        <f>IF(L13&lt;M13,I13,K13)</f>
        <v/>
      </c>
      <c r="J14">
        <f>I14-((SQRT(5)-1)/2)*(I14-H14)</f>
        <v/>
      </c>
      <c r="K14">
        <f>H14+((SQRT(5)-1)/2)*(I14-H14)</f>
        <v/>
      </c>
      <c r="L14">
        <f>IFERROR(beta_cf*MAX(0,P1_cf-(((cx1_cf+2*J14)*(((B_cf-cy1_cf)/2)+cy1_cf)+cx1_cf*J14+PI()*J14^2/2)*((wa_cf+wb_cf*(x1_cf)/1000)/Bm_cf))/1E6)*1000/((cx1_cf+PI()*J14+2*(((B_cf-cy1_cf)/2)+cy1_cf))*dp_cf)/(vRdc_p*2*dp_cf/J14),0)</f>
        <v/>
      </c>
      <c r="M14">
        <f>IFERROR(beta_cf*MAX(0,P1_cf-(((cx1_cf+2*K14)*(((B_cf-cy1_cf)/2)+cy1_cf)+cx1_cf*K14+PI()*K14^2/2)*((wa_cf+wb_cf*(x1_cf)/1000)/Bm_cf))/1E6)*1000/((cx1_cf+PI()*K14+2*(((B_cf-cy1_cf)/2)+cy1_cf))*dp_cf)/(vRdc_p*2*dp_cf/K14),0)</f>
        <v/>
      </c>
      <c r="O14">
        <f>IF(S13&lt;T13,Q13,O13)</f>
        <v/>
      </c>
      <c r="P14">
        <f>IF(S13&lt;T13,P13,R13)</f>
        <v/>
      </c>
      <c r="Q14">
        <f>P14-((SQRT(5)-1)/2)*(P14-O14)</f>
        <v/>
      </c>
      <c r="R14">
        <f>O14+((SQRT(5)-1)/2)*(P14-O14)</f>
        <v/>
      </c>
      <c r="S14">
        <f>IFERROR(beta_cf*MAX(0,P1_cf-(((x1_cf-cx1_cf/2)+cx1_cf)*(((B_cf-cy1_cf)/2)+cy1_cf+Q14)*((wa_cf+wb_cf*((x1_cf+cx1_cf/2)/2)/1000)/Bm_cf)+(((B_cf-cy1_cf)/2)+cy1_cf)*Q14*((wa_cf+wb_cf*((x1_cf+cx1_cf/2)+Q14/2)/1000)/Bm_cf)+PI()*Q14^2/4*((wa_cf+wb_cf*((x1_cf+cx1_cf/2)+4*Q14/(3*PI()))/1000)/Bm_cf))/1E6)*1000/(((x1_cf-cx1_cf/2)+cx1_cf+((B_cf-cy1_cf)/2)+cy1_cf+PI()*Q14/2)*dp_cf)/(vRdc_p*2*dp_cf/Q14),0)</f>
        <v/>
      </c>
      <c r="T14">
        <f>IFERROR(beta_cf*MAX(0,P1_cf-(((x1_cf-cx1_cf/2)+cx1_cf)*(((B_cf-cy1_cf)/2)+cy1_cf+R14)*((wa_cf+wb_cf*((x1_cf+cx1_cf/2)/2)/1000)/Bm_cf)+(((B_cf-cy1_cf)/2)+cy1_cf)*R14*((wa_cf+wb_cf*((x1_cf+cx1_cf/2)+R14/2)/1000)/Bm_cf)+PI()*R14^2/4*((wa_cf+wb_cf*((x1_cf+cx1_cf/2)+4*R14/(3*PI()))/1000)/Bm_cf))/1E6)*1000/(((x1_cf-cx1_cf/2)+cx1_cf+((B_cf-cy1_cf)/2)+cy1_cf+PI()*R14/2)*dp_cf)/(vRdc_p*2*dp_cf/R14),0)</f>
        <v/>
      </c>
      <c r="V14">
        <f>IF(Z13&lt;AA13,X13,V13)</f>
        <v/>
      </c>
      <c r="W14">
        <f>IF(Z13&lt;AA13,W13,Y13)</f>
        <v/>
      </c>
      <c r="X14">
        <f>W14-((SQRT(5)-1)/2)*(W14-V14)</f>
        <v/>
      </c>
      <c r="Y14">
        <f>V14+((SQRT(5)-1)/2)*(W14-V14)</f>
        <v/>
      </c>
      <c r="Z14">
        <f>IFERROR(beta_cf*MAX(0,P2_cf-(((L_cf-x2_cf-cx2_cf/2)+cx2_cf)*(cy2_cf+2*X14)*((wa_cf+wb_cf*(((x2_cf-cx2_cf/2)+L_cf)/2)/1000)/Bm_cf)+cy2_cf*X14*((wa_cf+wb_cf*((x2_cf-cx2_cf/2)-X14/2)/1000)/Bm_cf)+PI()*X14^2/2*((wa_cf+wb_cf*((x2_cf-cx2_cf/2)-4*X14/(3*PI()))/1000)/Bm_cf))/1E6)*1000/((cy2_cf+PI()*X14+2*((L_cf-x2_cf-cx2_cf/2)+cx2_cf))*dp_cf)/(vRdc_p*2*dp_cf/X14),0)</f>
        <v/>
      </c>
      <c r="AA14">
        <f>IFERROR(beta_cf*MAX(0,P2_cf-(((L_cf-x2_cf-cx2_cf/2)+cx2_cf)*(cy2_cf+2*Y14)*((wa_cf+wb_cf*(((x2_cf-cx2_cf/2)+L_cf)/2)/1000)/Bm_cf)+cy2_cf*Y14*((wa_cf+wb_cf*((x2_cf-cx2_cf/2)-Y14/2)/1000)/Bm_cf)+PI()*Y14^2/2*((wa_cf+wb_cf*((x2_cf-cx2_cf/2)-4*Y14/(3*PI()))/1000)/Bm_cf))/1E6)*1000/((cy2_cf+PI()*Y14+2*((L_cf-x2_cf-cx2_cf/2)+cx2_cf))*dp_cf)/(vRdc_p*2*dp_cf/Y14),0)</f>
        <v/>
      </c>
      <c r="AC14">
        <f>IF(AG13&lt;AH13,AE13,AC13)</f>
        <v/>
      </c>
      <c r="AD14">
        <f>IF(AG13&lt;AH13,AD13,AF13)</f>
        <v/>
      </c>
      <c r="AE14">
        <f>AD14-((SQRT(5)-1)/2)*(AD14-AC14)</f>
        <v/>
      </c>
      <c r="AF14">
        <f>AC14+((SQRT(5)-1)/2)*(AD14-AC14)</f>
        <v/>
      </c>
      <c r="AG14">
        <f>IFERROR(beta_cf*MAX(0,P2_cf-(((cx2_cf+2*AE14)*(((B_cf-cy2_cf)/2)+cy2_cf)+cx2_cf*AE14+PI()*AE14^2/2)*((wa_cf+wb_cf*(x2_cf)/1000)/Bm_cf))/1E6)*1000/((cx2_cf+PI()*AE14+2*(((B_cf-cy2_cf)/2)+cy2_cf))*dp_cf)/(vRdc_p*2*dp_cf/AE14),0)</f>
        <v/>
      </c>
      <c r="AH14">
        <f>IFERROR(beta_cf*MAX(0,P2_cf-(((cx2_cf+2*AF14)*(((B_cf-cy2_cf)/2)+cy2_cf)+cx2_cf*AF14+PI()*AF14^2/2)*((wa_cf+wb_cf*(x2_cf)/1000)/Bm_cf))/1E6)*1000/((cx2_cf+PI()*AF14+2*(((B_cf-cy2_cf)/2)+cy2_cf))*dp_cf)/(vRdc_p*2*dp_cf/AF14),0)</f>
        <v/>
      </c>
      <c r="AJ14">
        <f>IF(AN13&lt;AO13,AL13,AJ13)</f>
        <v/>
      </c>
      <c r="AK14">
        <f>IF(AN13&lt;AO13,AK13,AM13)</f>
        <v/>
      </c>
      <c r="AL14">
        <f>AK14-((SQRT(5)-1)/2)*(AK14-AJ14)</f>
        <v/>
      </c>
      <c r="AM14">
        <f>AJ14+((SQRT(5)-1)/2)*(AK14-AJ14)</f>
        <v/>
      </c>
      <c r="AN14">
        <f>IFERROR(beta_cf*MAX(0,P2_cf-(((L_cf-x2_cf-cx2_cf/2)+cx2_cf)*(((B_cf-cy2_cf)/2)+cy2_cf+AL14)*((wa_cf+wb_cf*(((x2_cf-cx2_cf/2)+L_cf)/2)/1000)/Bm_cf)+(((B_cf-cy2_cf)/2)+cy2_cf)*AL14*((wa_cf+wb_cf*((x2_cf-cx2_cf/2)-AL14/2)/1000)/Bm_cf)+PI()*AL14^2/4*((wa_cf+wb_cf*((x2_cf-cx2_cf/2)-4*AL14/(3*PI()))/1000)/Bm_cf))/1E6)*1000/(((L_cf-x2_cf-cx2_cf/2)+cx2_cf+((B_cf-cy2_cf)/2)+cy2_cf+PI()*AL14/2)*dp_cf)/(vRdc_p*2*dp_cf/AL14),0)</f>
        <v/>
      </c>
      <c r="AO14">
        <f>IFERROR(beta_cf*MAX(0,P2_cf-(((L_cf-x2_cf-cx2_cf/2)+cx2_cf)*(((B_cf-cy2_cf)/2)+cy2_cf+AM14)*((wa_cf+wb_cf*(((x2_cf-cx2_cf/2)+L_cf)/2)/1000)/Bm_cf)+(((B_cf-cy2_cf)/2)+cy2_cf)*AM14*((wa_cf+wb_cf*((x2_cf-cx2_cf/2)-AM14/2)/1000)/Bm_cf)+PI()*AM14^2/4*((wa_cf+wb_cf*((x2_cf-cx2_cf/2)-4*AM14/(3*PI()))/1000)/Bm_cf))/1E6)*1000/(((L_cf-x2_cf-cx2_cf/2)+cx2_cf+((B_cf-cy2_cf)/2)+cy2_cf+PI()*AM14/2)*dp_cf)/(vRdc_p*2*dp_cf/AM14),0)</f>
        <v/>
      </c>
    </row>
    <row r="15">
      <c r="A15">
        <f>IF(E14&lt;F14,C14,A14)</f>
        <v/>
      </c>
      <c r="B15">
        <f>IF(E14&lt;F14,B14,D14)</f>
        <v/>
      </c>
      <c r="C15">
        <f>B15-((SQRT(5)-1)/2)*(B15-A15)</f>
        <v/>
      </c>
      <c r="D15">
        <f>A15+((SQRT(5)-1)/2)*(B15-A15)</f>
        <v/>
      </c>
      <c r="E15">
        <f>IFERROR(beta_cf*MAX(0,P1_cf-(((x1_cf-cx1_cf/2)+cx1_cf)*(cy1_cf+2*C15)*((wa_cf+wb_cf*((x1_cf+cx1_cf/2)/2)/1000)/Bm_cf)+cy1_cf*C15*((wa_cf+wb_cf*((x1_cf+cx1_cf/2)+C15/2)/1000)/Bm_cf)+PI()*C15^2/2*((wa_cf+wb_cf*((x1_cf+cx1_cf/2)+4*C15/(3*PI()))/1000)/Bm_cf))/1E6)*1000/((cy1_cf+PI()*C15+2*((x1_cf-cx1_cf/2)+cx1_cf))*dp_cf)/(vRdc_p*2*dp_cf/C15),0)</f>
        <v/>
      </c>
      <c r="F15">
        <f>IFERROR(beta_cf*MAX(0,P1_cf-(((x1_cf-cx1_cf/2)+cx1_cf)*(cy1_cf+2*D15)*((wa_cf+wb_cf*((x1_cf+cx1_cf/2)/2)/1000)/Bm_cf)+cy1_cf*D15*((wa_cf+wb_cf*((x1_cf+cx1_cf/2)+D15/2)/1000)/Bm_cf)+PI()*D15^2/2*((wa_cf+wb_cf*((x1_cf+cx1_cf/2)+4*D15/(3*PI()))/1000)/Bm_cf))/1E6)*1000/((cy1_cf+PI()*D15+2*((x1_cf-cx1_cf/2)+cx1_cf))*dp_cf)/(vRdc_p*2*dp_cf/D15),0)</f>
        <v/>
      </c>
      <c r="H15">
        <f>IF(L14&lt;M14,J14,H14)</f>
        <v/>
      </c>
      <c r="I15">
        <f>IF(L14&lt;M14,I14,K14)</f>
        <v/>
      </c>
      <c r="J15">
        <f>I15-((SQRT(5)-1)/2)*(I15-H15)</f>
        <v/>
      </c>
      <c r="K15">
        <f>H15+((SQRT(5)-1)/2)*(I15-H15)</f>
        <v/>
      </c>
      <c r="L15">
        <f>IFERROR(beta_cf*MAX(0,P1_cf-(((cx1_cf+2*J15)*(((B_cf-cy1_cf)/2)+cy1_cf)+cx1_cf*J15+PI()*J15^2/2)*((wa_cf+wb_cf*(x1_cf)/1000)/Bm_cf))/1E6)*1000/((cx1_cf+PI()*J15+2*(((B_cf-cy1_cf)/2)+cy1_cf))*dp_cf)/(vRdc_p*2*dp_cf/J15),0)</f>
        <v/>
      </c>
      <c r="M15">
        <f>IFERROR(beta_cf*MAX(0,P1_cf-(((cx1_cf+2*K15)*(((B_cf-cy1_cf)/2)+cy1_cf)+cx1_cf*K15+PI()*K15^2/2)*((wa_cf+wb_cf*(x1_cf)/1000)/Bm_cf))/1E6)*1000/((cx1_cf+PI()*K15+2*(((B_cf-cy1_cf)/2)+cy1_cf))*dp_cf)/(vRdc_p*2*dp_cf/K15),0)</f>
        <v/>
      </c>
      <c r="O15">
        <f>IF(S14&lt;T14,Q14,O14)</f>
        <v/>
      </c>
      <c r="P15">
        <f>IF(S14&lt;T14,P14,R14)</f>
        <v/>
      </c>
      <c r="Q15">
        <f>P15-((SQRT(5)-1)/2)*(P15-O15)</f>
        <v/>
      </c>
      <c r="R15">
        <f>O15+((SQRT(5)-1)/2)*(P15-O15)</f>
        <v/>
      </c>
      <c r="S15">
        <f>IFERROR(beta_cf*MAX(0,P1_cf-(((x1_cf-cx1_cf/2)+cx1_cf)*(((B_cf-cy1_cf)/2)+cy1_cf+Q15)*((wa_cf+wb_cf*((x1_cf+cx1_cf/2)/2)/1000)/Bm_cf)+(((B_cf-cy1_cf)/2)+cy1_cf)*Q15*((wa_cf+wb_cf*((x1_cf+cx1_cf/2)+Q15/2)/1000)/Bm_cf)+PI()*Q15^2/4*((wa_cf+wb_cf*((x1_cf+cx1_cf/2)+4*Q15/(3*PI()))/1000)/Bm_cf))/1E6)*1000/(((x1_cf-cx1_cf/2)+cx1_cf+((B_cf-cy1_cf)/2)+cy1_cf+PI()*Q15/2)*dp_cf)/(vRdc_p*2*dp_cf/Q15),0)</f>
        <v/>
      </c>
      <c r="T15">
        <f>IFERROR(beta_cf*MAX(0,P1_cf-(((x1_cf-cx1_cf/2)+cx1_cf)*(((B_cf-cy1_cf)/2)+cy1_cf+R15)*((wa_cf+wb_cf*((x1_cf+cx1_cf/2)/2)/1000)/Bm_cf)+(((B_cf-cy1_cf)/2)+cy1_cf)*R15*((wa_cf+wb_cf*((x1_cf+cx1_cf/2)+R15/2)/1000)/Bm_cf)+PI()*R15^2/4*((wa_cf+wb_cf*((x1_cf+cx1_cf/2)+4*R15/(3*PI()))/1000)/Bm_cf))/1E6)*1000/(((x1_cf-cx1_cf/2)+cx1_cf+((B_cf-cy1_cf)/2)+cy1_cf+PI()*R15/2)*dp_cf)/(vRdc_p*2*dp_cf/R15),0)</f>
        <v/>
      </c>
      <c r="V15">
        <f>IF(Z14&lt;AA14,X14,V14)</f>
        <v/>
      </c>
      <c r="W15">
        <f>IF(Z14&lt;AA14,W14,Y14)</f>
        <v/>
      </c>
      <c r="X15">
        <f>W15-((SQRT(5)-1)/2)*(W15-V15)</f>
        <v/>
      </c>
      <c r="Y15">
        <f>V15+((SQRT(5)-1)/2)*(W15-V15)</f>
        <v/>
      </c>
      <c r="Z15">
        <f>IFERROR(beta_cf*MAX(0,P2_cf-(((L_cf-x2_cf-cx2_cf/2)+cx2_cf)*(cy2_cf+2*X15)*((wa_cf+wb_cf*(((x2_cf-cx2_cf/2)+L_cf)/2)/1000)/Bm_cf)+cy2_cf*X15*((wa_cf+wb_cf*((x2_cf-cx2_cf/2)-X15/2)/1000)/Bm_cf)+PI()*X15^2/2*((wa_cf+wb_cf*((x2_cf-cx2_cf/2)-4*X15/(3*PI()))/1000)/Bm_cf))/1E6)*1000/((cy2_cf+PI()*X15+2*((L_cf-x2_cf-cx2_cf/2)+cx2_cf))*dp_cf)/(vRdc_p*2*dp_cf/X15),0)</f>
        <v/>
      </c>
      <c r="AA15">
        <f>IFERROR(beta_cf*MAX(0,P2_cf-(((L_cf-x2_cf-cx2_cf/2)+cx2_cf)*(cy2_cf+2*Y15)*((wa_cf+wb_cf*(((x2_cf-cx2_cf/2)+L_cf)/2)/1000)/Bm_cf)+cy2_cf*Y15*((wa_cf+wb_cf*((x2_cf-cx2_cf/2)-Y15/2)/1000)/Bm_cf)+PI()*Y15^2/2*((wa_cf+wb_cf*((x2_cf-cx2_cf/2)-4*Y15/(3*PI()))/1000)/Bm_cf))/1E6)*1000/((cy2_cf+PI()*Y15+2*((L_cf-x2_cf-cx2_cf/2)+cx2_cf))*dp_cf)/(vRdc_p*2*dp_cf/Y15),0)</f>
        <v/>
      </c>
      <c r="AC15">
        <f>IF(AG14&lt;AH14,AE14,AC14)</f>
        <v/>
      </c>
      <c r="AD15">
        <f>IF(AG14&lt;AH14,AD14,AF14)</f>
        <v/>
      </c>
      <c r="AE15">
        <f>AD15-((SQRT(5)-1)/2)*(AD15-AC15)</f>
        <v/>
      </c>
      <c r="AF15">
        <f>AC15+((SQRT(5)-1)/2)*(AD15-AC15)</f>
        <v/>
      </c>
      <c r="AG15">
        <f>IFERROR(beta_cf*MAX(0,P2_cf-(((cx2_cf+2*AE15)*(((B_cf-cy2_cf)/2)+cy2_cf)+cx2_cf*AE15+PI()*AE15^2/2)*((wa_cf+wb_cf*(x2_cf)/1000)/Bm_cf))/1E6)*1000/((cx2_cf+PI()*AE15+2*(((B_cf-cy2_cf)/2)+cy2_cf))*dp_cf)/(vRdc_p*2*dp_cf/AE15),0)</f>
        <v/>
      </c>
      <c r="AH15">
        <f>IFERROR(beta_cf*MAX(0,P2_cf-(((cx2_cf+2*AF15)*(((B_cf-cy2_cf)/2)+cy2_cf)+cx2_cf*AF15+PI()*AF15^2/2)*((wa_cf+wb_cf*(x2_cf)/1000)/Bm_cf))/1E6)*1000/((cx2_cf+PI()*AF15+2*(((B_cf-cy2_cf)/2)+cy2_cf))*dp_cf)/(vRdc_p*2*dp_cf/AF15),0)</f>
        <v/>
      </c>
      <c r="AJ15">
        <f>IF(AN14&lt;AO14,AL14,AJ14)</f>
        <v/>
      </c>
      <c r="AK15">
        <f>IF(AN14&lt;AO14,AK14,AM14)</f>
        <v/>
      </c>
      <c r="AL15">
        <f>AK15-((SQRT(5)-1)/2)*(AK15-AJ15)</f>
        <v/>
      </c>
      <c r="AM15">
        <f>AJ15+((SQRT(5)-1)/2)*(AK15-AJ15)</f>
        <v/>
      </c>
      <c r="AN15">
        <f>IFERROR(beta_cf*MAX(0,P2_cf-(((L_cf-x2_cf-cx2_cf/2)+cx2_cf)*(((B_cf-cy2_cf)/2)+cy2_cf+AL15)*((wa_cf+wb_cf*(((x2_cf-cx2_cf/2)+L_cf)/2)/1000)/Bm_cf)+(((B_cf-cy2_cf)/2)+cy2_cf)*AL15*((wa_cf+wb_cf*((x2_cf-cx2_cf/2)-AL15/2)/1000)/Bm_cf)+PI()*AL15^2/4*((wa_cf+wb_cf*((x2_cf-cx2_cf/2)-4*AL15/(3*PI()))/1000)/Bm_cf))/1E6)*1000/(((L_cf-x2_cf-cx2_cf/2)+cx2_cf+((B_cf-cy2_cf)/2)+cy2_cf+PI()*AL15/2)*dp_cf)/(vRdc_p*2*dp_cf/AL15),0)</f>
        <v/>
      </c>
      <c r="AO15">
        <f>IFERROR(beta_cf*MAX(0,P2_cf-(((L_cf-x2_cf-cx2_cf/2)+cx2_cf)*(((B_cf-cy2_cf)/2)+cy2_cf+AM15)*((wa_cf+wb_cf*(((x2_cf-cx2_cf/2)+L_cf)/2)/1000)/Bm_cf)+(((B_cf-cy2_cf)/2)+cy2_cf)*AM15*((wa_cf+wb_cf*((x2_cf-cx2_cf/2)-AM15/2)/1000)/Bm_cf)+PI()*AM15^2/4*((wa_cf+wb_cf*((x2_cf-cx2_cf/2)-4*AM15/(3*PI()))/1000)/Bm_cf))/1E6)*1000/(((L_cf-x2_cf-cx2_cf/2)+cx2_cf+((B_cf-cy2_cf)/2)+cy2_cf+PI()*AM15/2)*dp_cf)/(vRdc_p*2*dp_cf/AM15),0)</f>
        <v/>
      </c>
    </row>
    <row r="16">
      <c r="A16">
        <f>IF(E15&lt;F15,C15,A15)</f>
        <v/>
      </c>
      <c r="B16">
        <f>IF(E15&lt;F15,B15,D15)</f>
        <v/>
      </c>
      <c r="C16">
        <f>B16-((SQRT(5)-1)/2)*(B16-A16)</f>
        <v/>
      </c>
      <c r="D16">
        <f>A16+((SQRT(5)-1)/2)*(B16-A16)</f>
        <v/>
      </c>
      <c r="E16">
        <f>IFERROR(beta_cf*MAX(0,P1_cf-(((x1_cf-cx1_cf/2)+cx1_cf)*(cy1_cf+2*C16)*((wa_cf+wb_cf*((x1_cf+cx1_cf/2)/2)/1000)/Bm_cf)+cy1_cf*C16*((wa_cf+wb_cf*((x1_cf+cx1_cf/2)+C16/2)/1000)/Bm_cf)+PI()*C16^2/2*((wa_cf+wb_cf*((x1_cf+cx1_cf/2)+4*C16/(3*PI()))/1000)/Bm_cf))/1E6)*1000/((cy1_cf+PI()*C16+2*((x1_cf-cx1_cf/2)+cx1_cf))*dp_cf)/(vRdc_p*2*dp_cf/C16),0)</f>
        <v/>
      </c>
      <c r="F16">
        <f>IFERROR(beta_cf*MAX(0,P1_cf-(((x1_cf-cx1_cf/2)+cx1_cf)*(cy1_cf+2*D16)*((wa_cf+wb_cf*((x1_cf+cx1_cf/2)/2)/1000)/Bm_cf)+cy1_cf*D16*((wa_cf+wb_cf*((x1_cf+cx1_cf/2)+D16/2)/1000)/Bm_cf)+PI()*D16^2/2*((wa_cf+wb_cf*((x1_cf+cx1_cf/2)+4*D16/(3*PI()))/1000)/Bm_cf))/1E6)*1000/((cy1_cf+PI()*D16+2*((x1_cf-cx1_cf/2)+cx1_cf))*dp_cf)/(vRdc_p*2*dp_cf/D16),0)</f>
        <v/>
      </c>
      <c r="H16">
        <f>IF(L15&lt;M15,J15,H15)</f>
        <v/>
      </c>
      <c r="I16">
        <f>IF(L15&lt;M15,I15,K15)</f>
        <v/>
      </c>
      <c r="J16">
        <f>I16-((SQRT(5)-1)/2)*(I16-H16)</f>
        <v/>
      </c>
      <c r="K16">
        <f>H16+((SQRT(5)-1)/2)*(I16-H16)</f>
        <v/>
      </c>
      <c r="L16">
        <f>IFERROR(beta_cf*MAX(0,P1_cf-(((cx1_cf+2*J16)*(((B_cf-cy1_cf)/2)+cy1_cf)+cx1_cf*J16+PI()*J16^2/2)*((wa_cf+wb_cf*(x1_cf)/1000)/Bm_cf))/1E6)*1000/((cx1_cf+PI()*J16+2*(((B_cf-cy1_cf)/2)+cy1_cf))*dp_cf)/(vRdc_p*2*dp_cf/J16),0)</f>
        <v/>
      </c>
      <c r="M16">
        <f>IFERROR(beta_cf*MAX(0,P1_cf-(((cx1_cf+2*K16)*(((B_cf-cy1_cf)/2)+cy1_cf)+cx1_cf*K16+PI()*K16^2/2)*((wa_cf+wb_cf*(x1_cf)/1000)/Bm_cf))/1E6)*1000/((cx1_cf+PI()*K16+2*(((B_cf-cy1_cf)/2)+cy1_cf))*dp_cf)/(vRdc_p*2*dp_cf/K16),0)</f>
        <v/>
      </c>
      <c r="O16">
        <f>IF(S15&lt;T15,Q15,O15)</f>
        <v/>
      </c>
      <c r="P16">
        <f>IF(S15&lt;T15,P15,R15)</f>
        <v/>
      </c>
      <c r="Q16">
        <f>P16-((SQRT(5)-1)/2)*(P16-O16)</f>
        <v/>
      </c>
      <c r="R16">
        <f>O16+((SQRT(5)-1)/2)*(P16-O16)</f>
        <v/>
      </c>
      <c r="S16">
        <f>IFERROR(beta_cf*MAX(0,P1_cf-(((x1_cf-cx1_cf/2)+cx1_cf)*(((B_cf-cy1_cf)/2)+cy1_cf+Q16)*((wa_cf+wb_cf*((x1_cf+cx1_cf/2)/2)/1000)/Bm_cf)+(((B_cf-cy1_cf)/2)+cy1_cf)*Q16*((wa_cf+wb_cf*((x1_cf+cx1_cf/2)+Q16/2)/1000)/Bm_cf)+PI()*Q16^2/4*((wa_cf+wb_cf*((x1_cf+cx1_cf/2)+4*Q16/(3*PI()))/1000)/Bm_cf))/1E6)*1000/(((x1_cf-cx1_cf/2)+cx1_cf+((B_cf-cy1_cf)/2)+cy1_cf+PI()*Q16/2)*dp_cf)/(vRdc_p*2*dp_cf/Q16),0)</f>
        <v/>
      </c>
      <c r="T16">
        <f>IFERROR(beta_cf*MAX(0,P1_cf-(((x1_cf-cx1_cf/2)+cx1_cf)*(((B_cf-cy1_cf)/2)+cy1_cf+R16)*((wa_cf+wb_cf*((x1_cf+cx1_cf/2)/2)/1000)/Bm_cf)+(((B_cf-cy1_cf)/2)+cy1_cf)*R16*((wa_cf+wb_cf*((x1_cf+cx1_cf/2)+R16/2)/1000)/Bm_cf)+PI()*R16^2/4*((wa_cf+wb_cf*((x1_cf+cx1_cf/2)+4*R16/(3*PI()))/1000)/Bm_cf))/1E6)*1000/(((x1_cf-cx1_cf/2)+cx1_cf+((B_cf-cy1_cf)/2)+cy1_cf+PI()*R16/2)*dp_cf)/(vRdc_p*2*dp_cf/R16),0)</f>
        <v/>
      </c>
      <c r="V16">
        <f>IF(Z15&lt;AA15,X15,V15)</f>
        <v/>
      </c>
      <c r="W16">
        <f>IF(Z15&lt;AA15,W15,Y15)</f>
        <v/>
      </c>
      <c r="X16">
        <f>W16-((SQRT(5)-1)/2)*(W16-V16)</f>
        <v/>
      </c>
      <c r="Y16">
        <f>V16+((SQRT(5)-1)/2)*(W16-V16)</f>
        <v/>
      </c>
      <c r="Z16">
        <f>IFERROR(beta_cf*MAX(0,P2_cf-(((L_cf-x2_cf-cx2_cf/2)+cx2_cf)*(cy2_cf+2*X16)*((wa_cf+wb_cf*(((x2_cf-cx2_cf/2)+L_cf)/2)/1000)/Bm_cf)+cy2_cf*X16*((wa_cf+wb_cf*((x2_cf-cx2_cf/2)-X16/2)/1000)/Bm_cf)+PI()*X16^2/2*((wa_cf+wb_cf*((x2_cf-cx2_cf/2)-4*X16/(3*PI()))/1000)/Bm_cf))/1E6)*1000/((cy2_cf+PI()*X16+2*((L_cf-x2_cf-cx2_cf/2)+cx2_cf))*dp_cf)/(vRdc_p*2*dp_cf/X16),0)</f>
        <v/>
      </c>
      <c r="AA16">
        <f>IFERROR(beta_cf*MAX(0,P2_cf-(((L_cf-x2_cf-cx2_cf/2)+cx2_cf)*(cy2_cf+2*Y16)*((wa_cf+wb_cf*(((x2_cf-cx2_cf/2)+L_cf)/2)/1000)/Bm_cf)+cy2_cf*Y16*((wa_cf+wb_cf*((x2_cf-cx2_cf/2)-Y16/2)/1000)/Bm_cf)+PI()*Y16^2/2*((wa_cf+wb_cf*((x2_cf-cx2_cf/2)-4*Y16/(3*PI()))/1000)/Bm_cf))/1E6)*1000/((cy2_cf+PI()*Y16+2*((L_cf-x2_cf-cx2_cf/2)+cx2_cf))*dp_cf)/(vRdc_p*2*dp_cf/Y16),0)</f>
        <v/>
      </c>
      <c r="AC16">
        <f>IF(AG15&lt;AH15,AE15,AC15)</f>
        <v/>
      </c>
      <c r="AD16">
        <f>IF(AG15&lt;AH15,AD15,AF15)</f>
        <v/>
      </c>
      <c r="AE16">
        <f>AD16-((SQRT(5)-1)/2)*(AD16-AC16)</f>
        <v/>
      </c>
      <c r="AF16">
        <f>AC16+((SQRT(5)-1)/2)*(AD16-AC16)</f>
        <v/>
      </c>
      <c r="AG16">
        <f>IFERROR(beta_cf*MAX(0,P2_cf-(((cx2_cf+2*AE16)*(((B_cf-cy2_cf)/2)+cy2_cf)+cx2_cf*AE16+PI()*AE16^2/2)*((wa_cf+wb_cf*(x2_cf)/1000)/Bm_cf))/1E6)*1000/((cx2_cf+PI()*AE16+2*(((B_cf-cy2_cf)/2)+cy2_cf))*dp_cf)/(vRdc_p*2*dp_cf/AE16),0)</f>
        <v/>
      </c>
      <c r="AH16">
        <f>IFERROR(beta_cf*MAX(0,P2_cf-(((cx2_cf+2*AF16)*(((B_cf-cy2_cf)/2)+cy2_cf)+cx2_cf*AF16+PI()*AF16^2/2)*((wa_cf+wb_cf*(x2_cf)/1000)/Bm_cf))/1E6)*1000/((cx2_cf+PI()*AF16+2*(((B_cf-cy2_cf)/2)+cy2_cf))*dp_cf)/(vRdc_p*2*dp_cf/AF16),0)</f>
        <v/>
      </c>
      <c r="AJ16">
        <f>IF(AN15&lt;AO15,AL15,AJ15)</f>
        <v/>
      </c>
      <c r="AK16">
        <f>IF(AN15&lt;AO15,AK15,AM15)</f>
        <v/>
      </c>
      <c r="AL16">
        <f>AK16-((SQRT(5)-1)/2)*(AK16-AJ16)</f>
        <v/>
      </c>
      <c r="AM16">
        <f>AJ16+((SQRT(5)-1)/2)*(AK16-AJ16)</f>
        <v/>
      </c>
      <c r="AN16">
        <f>IFERROR(beta_cf*MAX(0,P2_cf-(((L_cf-x2_cf-cx2_cf/2)+cx2_cf)*(((B_cf-cy2_cf)/2)+cy2_cf+AL16)*((wa_cf+wb_cf*(((x2_cf-cx2_cf/2)+L_cf)/2)/1000)/Bm_cf)+(((B_cf-cy2_cf)/2)+cy2_cf)*AL16*((wa_cf+wb_cf*((x2_cf-cx2_cf/2)-AL16/2)/1000)/Bm_cf)+PI()*AL16^2/4*((wa_cf+wb_cf*((x2_cf-cx2_cf/2)-4*AL16/(3*PI()))/1000)/Bm_cf))/1E6)*1000/(((L_cf-x2_cf-cx2_cf/2)+cx2_cf+((B_cf-cy2_cf)/2)+cy2_cf+PI()*AL16/2)*dp_cf)/(vRdc_p*2*dp_cf/AL16),0)</f>
        <v/>
      </c>
      <c r="AO16">
        <f>IFERROR(beta_cf*MAX(0,P2_cf-(((L_cf-x2_cf-cx2_cf/2)+cx2_cf)*(((B_cf-cy2_cf)/2)+cy2_cf+AM16)*((wa_cf+wb_cf*(((x2_cf-cx2_cf/2)+L_cf)/2)/1000)/Bm_cf)+(((B_cf-cy2_cf)/2)+cy2_cf)*AM16*((wa_cf+wb_cf*((x2_cf-cx2_cf/2)-AM16/2)/1000)/Bm_cf)+PI()*AM16^2/4*((wa_cf+wb_cf*((x2_cf-cx2_cf/2)-4*AM16/(3*PI()))/1000)/Bm_cf))/1E6)*1000/(((L_cf-x2_cf-cx2_cf/2)+cx2_cf+((B_cf-cy2_cf)/2)+cy2_cf+PI()*AM16/2)*dp_cf)/(vRdc_p*2*dp_cf/AM16),0)</f>
        <v/>
      </c>
    </row>
    <row r="17">
      <c r="A17">
        <f>IF(E16&lt;F16,C16,A16)</f>
        <v/>
      </c>
      <c r="B17">
        <f>IF(E16&lt;F16,B16,D16)</f>
        <v/>
      </c>
      <c r="C17">
        <f>B17-((SQRT(5)-1)/2)*(B17-A17)</f>
        <v/>
      </c>
      <c r="D17">
        <f>A17+((SQRT(5)-1)/2)*(B17-A17)</f>
        <v/>
      </c>
      <c r="E17">
        <f>IFERROR(beta_cf*MAX(0,P1_cf-(((x1_cf-cx1_cf/2)+cx1_cf)*(cy1_cf+2*C17)*((wa_cf+wb_cf*((x1_cf+cx1_cf/2)/2)/1000)/Bm_cf)+cy1_cf*C17*((wa_cf+wb_cf*((x1_cf+cx1_cf/2)+C17/2)/1000)/Bm_cf)+PI()*C17^2/2*((wa_cf+wb_cf*((x1_cf+cx1_cf/2)+4*C17/(3*PI()))/1000)/Bm_cf))/1E6)*1000/((cy1_cf+PI()*C17+2*((x1_cf-cx1_cf/2)+cx1_cf))*dp_cf)/(vRdc_p*2*dp_cf/C17),0)</f>
        <v/>
      </c>
      <c r="F17">
        <f>IFERROR(beta_cf*MAX(0,P1_cf-(((x1_cf-cx1_cf/2)+cx1_cf)*(cy1_cf+2*D17)*((wa_cf+wb_cf*((x1_cf+cx1_cf/2)/2)/1000)/Bm_cf)+cy1_cf*D17*((wa_cf+wb_cf*((x1_cf+cx1_cf/2)+D17/2)/1000)/Bm_cf)+PI()*D17^2/2*((wa_cf+wb_cf*((x1_cf+cx1_cf/2)+4*D17/(3*PI()))/1000)/Bm_cf))/1E6)*1000/((cy1_cf+PI()*D17+2*((x1_cf-cx1_cf/2)+cx1_cf))*dp_cf)/(vRdc_p*2*dp_cf/D17),0)</f>
        <v/>
      </c>
      <c r="H17">
        <f>IF(L16&lt;M16,J16,H16)</f>
        <v/>
      </c>
      <c r="I17">
        <f>IF(L16&lt;M16,I16,K16)</f>
        <v/>
      </c>
      <c r="J17">
        <f>I17-((SQRT(5)-1)/2)*(I17-H17)</f>
        <v/>
      </c>
      <c r="K17">
        <f>H17+((SQRT(5)-1)/2)*(I17-H17)</f>
        <v/>
      </c>
      <c r="L17">
        <f>IFERROR(beta_cf*MAX(0,P1_cf-(((cx1_cf+2*J17)*(((B_cf-cy1_cf)/2)+cy1_cf)+cx1_cf*J17+PI()*J17^2/2)*((wa_cf+wb_cf*(x1_cf)/1000)/Bm_cf))/1E6)*1000/((cx1_cf+PI()*J17+2*(((B_cf-cy1_cf)/2)+cy1_cf))*dp_cf)/(vRdc_p*2*dp_cf/J17),0)</f>
        <v/>
      </c>
      <c r="M17">
        <f>IFERROR(beta_cf*MAX(0,P1_cf-(((cx1_cf+2*K17)*(((B_cf-cy1_cf)/2)+cy1_cf)+cx1_cf*K17+PI()*K17^2/2)*((wa_cf+wb_cf*(x1_cf)/1000)/Bm_cf))/1E6)*1000/((cx1_cf+PI()*K17+2*(((B_cf-cy1_cf)/2)+cy1_cf))*dp_cf)/(vRdc_p*2*dp_cf/K17),0)</f>
        <v/>
      </c>
      <c r="O17">
        <f>IF(S16&lt;T16,Q16,O16)</f>
        <v/>
      </c>
      <c r="P17">
        <f>IF(S16&lt;T16,P16,R16)</f>
        <v/>
      </c>
      <c r="Q17">
        <f>P17-((SQRT(5)-1)/2)*(P17-O17)</f>
        <v/>
      </c>
      <c r="R17">
        <f>O17+((SQRT(5)-1)/2)*(P17-O17)</f>
        <v/>
      </c>
      <c r="S17">
        <f>IFERROR(beta_cf*MAX(0,P1_cf-(((x1_cf-cx1_cf/2)+cx1_cf)*(((B_cf-cy1_cf)/2)+cy1_cf+Q17)*((wa_cf+wb_cf*((x1_cf+cx1_cf/2)/2)/1000)/Bm_cf)+(((B_cf-cy1_cf)/2)+cy1_cf)*Q17*((wa_cf+wb_cf*((x1_cf+cx1_cf/2)+Q17/2)/1000)/Bm_cf)+PI()*Q17^2/4*((wa_cf+wb_cf*((x1_cf+cx1_cf/2)+4*Q17/(3*PI()))/1000)/Bm_cf))/1E6)*1000/(((x1_cf-cx1_cf/2)+cx1_cf+((B_cf-cy1_cf)/2)+cy1_cf+PI()*Q17/2)*dp_cf)/(vRdc_p*2*dp_cf/Q17),0)</f>
        <v/>
      </c>
      <c r="T17">
        <f>IFERROR(beta_cf*MAX(0,P1_cf-(((x1_cf-cx1_cf/2)+cx1_cf)*(((B_cf-cy1_cf)/2)+cy1_cf+R17)*((wa_cf+wb_cf*((x1_cf+cx1_cf/2)/2)/1000)/Bm_cf)+(((B_cf-cy1_cf)/2)+cy1_cf)*R17*((wa_cf+wb_cf*((x1_cf+cx1_cf/2)+R17/2)/1000)/Bm_cf)+PI()*R17^2/4*((wa_cf+wb_cf*((x1_cf+cx1_cf/2)+4*R17/(3*PI()))/1000)/Bm_cf))/1E6)*1000/(((x1_cf-cx1_cf/2)+cx1_cf+((B_cf-cy1_cf)/2)+cy1_cf+PI()*R17/2)*dp_cf)/(vRdc_p*2*dp_cf/R17),0)</f>
        <v/>
      </c>
      <c r="V17">
        <f>IF(Z16&lt;AA16,X16,V16)</f>
        <v/>
      </c>
      <c r="W17">
        <f>IF(Z16&lt;AA16,W16,Y16)</f>
        <v/>
      </c>
      <c r="X17">
        <f>W17-((SQRT(5)-1)/2)*(W17-V17)</f>
        <v/>
      </c>
      <c r="Y17">
        <f>V17+((SQRT(5)-1)/2)*(W17-V17)</f>
        <v/>
      </c>
      <c r="Z17">
        <f>IFERROR(beta_cf*MAX(0,P2_cf-(((L_cf-x2_cf-cx2_cf/2)+cx2_cf)*(cy2_cf+2*X17)*((wa_cf+wb_cf*(((x2_cf-cx2_cf/2)+L_cf)/2)/1000)/Bm_cf)+cy2_cf*X17*((wa_cf+wb_cf*((x2_cf-cx2_cf/2)-X17/2)/1000)/Bm_cf)+PI()*X17^2/2*((wa_cf+wb_cf*((x2_cf-cx2_cf/2)-4*X17/(3*PI()))/1000)/Bm_cf))/1E6)*1000/((cy2_cf+PI()*X17+2*((L_cf-x2_cf-cx2_cf/2)+cx2_cf))*dp_cf)/(vRdc_p*2*dp_cf/X17),0)</f>
        <v/>
      </c>
      <c r="AA17">
        <f>IFERROR(beta_cf*MAX(0,P2_cf-(((L_cf-x2_cf-cx2_cf/2)+cx2_cf)*(cy2_cf+2*Y17)*((wa_cf+wb_cf*(((x2_cf-cx2_cf/2)+L_cf)/2)/1000)/Bm_cf)+cy2_cf*Y17*((wa_cf+wb_cf*((x2_cf-cx2_cf/2)-Y17/2)/1000)/Bm_cf)+PI()*Y17^2/2*((wa_cf+wb_cf*((x2_cf-cx2_cf/2)-4*Y17/(3*PI()))/1000)/Bm_cf))/1E6)*1000/((cy2_cf+PI()*Y17+2*((L_cf-x2_cf-cx2_cf/2)+cx2_cf))*dp_cf)/(vRdc_p*2*dp_cf/Y17),0)</f>
        <v/>
      </c>
      <c r="AC17">
        <f>IF(AG16&lt;AH16,AE16,AC16)</f>
        <v/>
      </c>
      <c r="AD17">
        <f>IF(AG16&lt;AH16,AD16,AF16)</f>
        <v/>
      </c>
      <c r="AE17">
        <f>AD17-((SQRT(5)-1)/2)*(AD17-AC17)</f>
        <v/>
      </c>
      <c r="AF17">
        <f>AC17+((SQRT(5)-1)/2)*(AD17-AC17)</f>
        <v/>
      </c>
      <c r="AG17">
        <f>IFERROR(beta_cf*MAX(0,P2_cf-(((cx2_cf+2*AE17)*(((B_cf-cy2_cf)/2)+cy2_cf)+cx2_cf*AE17+PI()*AE17^2/2)*((wa_cf+wb_cf*(x2_cf)/1000)/Bm_cf))/1E6)*1000/((cx2_cf+PI()*AE17+2*(((B_cf-cy2_cf)/2)+cy2_cf))*dp_cf)/(vRdc_p*2*dp_cf/AE17),0)</f>
        <v/>
      </c>
      <c r="AH17">
        <f>IFERROR(beta_cf*MAX(0,P2_cf-(((cx2_cf+2*AF17)*(((B_cf-cy2_cf)/2)+cy2_cf)+cx2_cf*AF17+PI()*AF17^2/2)*((wa_cf+wb_cf*(x2_cf)/1000)/Bm_cf))/1E6)*1000/((cx2_cf+PI()*AF17+2*(((B_cf-cy2_cf)/2)+cy2_cf))*dp_cf)/(vRdc_p*2*dp_cf/AF17),0)</f>
        <v/>
      </c>
      <c r="AJ17">
        <f>IF(AN16&lt;AO16,AL16,AJ16)</f>
        <v/>
      </c>
      <c r="AK17">
        <f>IF(AN16&lt;AO16,AK16,AM16)</f>
        <v/>
      </c>
      <c r="AL17">
        <f>AK17-((SQRT(5)-1)/2)*(AK17-AJ17)</f>
        <v/>
      </c>
      <c r="AM17">
        <f>AJ17+((SQRT(5)-1)/2)*(AK17-AJ17)</f>
        <v/>
      </c>
      <c r="AN17">
        <f>IFERROR(beta_cf*MAX(0,P2_cf-(((L_cf-x2_cf-cx2_cf/2)+cx2_cf)*(((B_cf-cy2_cf)/2)+cy2_cf+AL17)*((wa_cf+wb_cf*(((x2_cf-cx2_cf/2)+L_cf)/2)/1000)/Bm_cf)+(((B_cf-cy2_cf)/2)+cy2_cf)*AL17*((wa_cf+wb_cf*((x2_cf-cx2_cf/2)-AL17/2)/1000)/Bm_cf)+PI()*AL17^2/4*((wa_cf+wb_cf*((x2_cf-cx2_cf/2)-4*AL17/(3*PI()))/1000)/Bm_cf))/1E6)*1000/(((L_cf-x2_cf-cx2_cf/2)+cx2_cf+((B_cf-cy2_cf)/2)+cy2_cf+PI()*AL17/2)*dp_cf)/(vRdc_p*2*dp_cf/AL17),0)</f>
        <v/>
      </c>
      <c r="AO17">
        <f>IFERROR(beta_cf*MAX(0,P2_cf-(((L_cf-x2_cf-cx2_cf/2)+cx2_cf)*(((B_cf-cy2_cf)/2)+cy2_cf+AM17)*((wa_cf+wb_cf*(((x2_cf-cx2_cf/2)+L_cf)/2)/1000)/Bm_cf)+(((B_cf-cy2_cf)/2)+cy2_cf)*AM17*((wa_cf+wb_cf*((x2_cf-cx2_cf/2)-AM17/2)/1000)/Bm_cf)+PI()*AM17^2/4*((wa_cf+wb_cf*((x2_cf-cx2_cf/2)-4*AM17/(3*PI()))/1000)/Bm_cf))/1E6)*1000/(((L_cf-x2_cf-cx2_cf/2)+cx2_cf+((B_cf-cy2_cf)/2)+cy2_cf+PI()*AM17/2)*dp_cf)/(vRdc_p*2*dp_cf/AM17),0)</f>
        <v/>
      </c>
    </row>
    <row r="18">
      <c r="A18">
        <f>IF(E17&lt;F17,C17,A17)</f>
        <v/>
      </c>
      <c r="B18">
        <f>IF(E17&lt;F17,B17,D17)</f>
        <v/>
      </c>
      <c r="C18">
        <f>B18-((SQRT(5)-1)/2)*(B18-A18)</f>
        <v/>
      </c>
      <c r="D18">
        <f>A18+((SQRT(5)-1)/2)*(B18-A18)</f>
        <v/>
      </c>
      <c r="E18">
        <f>IFERROR(beta_cf*MAX(0,P1_cf-(((x1_cf-cx1_cf/2)+cx1_cf)*(cy1_cf+2*C18)*((wa_cf+wb_cf*((x1_cf+cx1_cf/2)/2)/1000)/Bm_cf)+cy1_cf*C18*((wa_cf+wb_cf*((x1_cf+cx1_cf/2)+C18/2)/1000)/Bm_cf)+PI()*C18^2/2*((wa_cf+wb_cf*((x1_cf+cx1_cf/2)+4*C18/(3*PI()))/1000)/Bm_cf))/1E6)*1000/((cy1_cf+PI()*C18+2*((x1_cf-cx1_cf/2)+cx1_cf))*dp_cf)/(vRdc_p*2*dp_cf/C18),0)</f>
        <v/>
      </c>
      <c r="F18">
        <f>IFERROR(beta_cf*MAX(0,P1_cf-(((x1_cf-cx1_cf/2)+cx1_cf)*(cy1_cf+2*D18)*((wa_cf+wb_cf*((x1_cf+cx1_cf/2)/2)/1000)/Bm_cf)+cy1_cf*D18*((wa_cf+wb_cf*((x1_cf+cx1_cf/2)+D18/2)/1000)/Bm_cf)+PI()*D18^2/2*((wa_cf+wb_cf*((x1_cf+cx1_cf/2)+4*D18/(3*PI()))/1000)/Bm_cf))/1E6)*1000/((cy1_cf+PI()*D18+2*((x1_cf-cx1_cf/2)+cx1_cf))*dp_cf)/(vRdc_p*2*dp_cf/D18),0)</f>
        <v/>
      </c>
      <c r="H18">
        <f>IF(L17&lt;M17,J17,H17)</f>
        <v/>
      </c>
      <c r="I18">
        <f>IF(L17&lt;M17,I17,K17)</f>
        <v/>
      </c>
      <c r="J18">
        <f>I18-((SQRT(5)-1)/2)*(I18-H18)</f>
        <v/>
      </c>
      <c r="K18">
        <f>H18+((SQRT(5)-1)/2)*(I18-H18)</f>
        <v/>
      </c>
      <c r="L18">
        <f>IFERROR(beta_cf*MAX(0,P1_cf-(((cx1_cf+2*J18)*(((B_cf-cy1_cf)/2)+cy1_cf)+cx1_cf*J18+PI()*J18^2/2)*((wa_cf+wb_cf*(x1_cf)/1000)/Bm_cf))/1E6)*1000/((cx1_cf+PI()*J18+2*(((B_cf-cy1_cf)/2)+cy1_cf))*dp_cf)/(vRdc_p*2*dp_cf/J18),0)</f>
        <v/>
      </c>
      <c r="M18">
        <f>IFERROR(beta_cf*MAX(0,P1_cf-(((cx1_cf+2*K18)*(((B_cf-cy1_cf)/2)+cy1_cf)+cx1_cf*K18+PI()*K18^2/2)*((wa_cf+wb_cf*(x1_cf)/1000)/Bm_cf))/1E6)*1000/((cx1_cf+PI()*K18+2*(((B_cf-cy1_cf)/2)+cy1_cf))*dp_cf)/(vRdc_p*2*dp_cf/K18),0)</f>
        <v/>
      </c>
      <c r="O18">
        <f>IF(S17&lt;T17,Q17,O17)</f>
        <v/>
      </c>
      <c r="P18">
        <f>IF(S17&lt;T17,P17,R17)</f>
        <v/>
      </c>
      <c r="Q18">
        <f>P18-((SQRT(5)-1)/2)*(P18-O18)</f>
        <v/>
      </c>
      <c r="R18">
        <f>O18+((SQRT(5)-1)/2)*(P18-O18)</f>
        <v/>
      </c>
      <c r="S18">
        <f>IFERROR(beta_cf*MAX(0,P1_cf-(((x1_cf-cx1_cf/2)+cx1_cf)*(((B_cf-cy1_cf)/2)+cy1_cf+Q18)*((wa_cf+wb_cf*((x1_cf+cx1_cf/2)/2)/1000)/Bm_cf)+(((B_cf-cy1_cf)/2)+cy1_cf)*Q18*((wa_cf+wb_cf*((x1_cf+cx1_cf/2)+Q18/2)/1000)/Bm_cf)+PI()*Q18^2/4*((wa_cf+wb_cf*((x1_cf+cx1_cf/2)+4*Q18/(3*PI()))/1000)/Bm_cf))/1E6)*1000/(((x1_cf-cx1_cf/2)+cx1_cf+((B_cf-cy1_cf)/2)+cy1_cf+PI()*Q18/2)*dp_cf)/(vRdc_p*2*dp_cf/Q18),0)</f>
        <v/>
      </c>
      <c r="T18">
        <f>IFERROR(beta_cf*MAX(0,P1_cf-(((x1_cf-cx1_cf/2)+cx1_cf)*(((B_cf-cy1_cf)/2)+cy1_cf+R18)*((wa_cf+wb_cf*((x1_cf+cx1_cf/2)/2)/1000)/Bm_cf)+(((B_cf-cy1_cf)/2)+cy1_cf)*R18*((wa_cf+wb_cf*((x1_cf+cx1_cf/2)+R18/2)/1000)/Bm_cf)+PI()*R18^2/4*((wa_cf+wb_cf*((x1_cf+cx1_cf/2)+4*R18/(3*PI()))/1000)/Bm_cf))/1E6)*1000/(((x1_cf-cx1_cf/2)+cx1_cf+((B_cf-cy1_cf)/2)+cy1_cf+PI()*R18/2)*dp_cf)/(vRdc_p*2*dp_cf/R18),0)</f>
        <v/>
      </c>
      <c r="V18">
        <f>IF(Z17&lt;AA17,X17,V17)</f>
        <v/>
      </c>
      <c r="W18">
        <f>IF(Z17&lt;AA17,W17,Y17)</f>
        <v/>
      </c>
      <c r="X18">
        <f>W18-((SQRT(5)-1)/2)*(W18-V18)</f>
        <v/>
      </c>
      <c r="Y18">
        <f>V18+((SQRT(5)-1)/2)*(W18-V18)</f>
        <v/>
      </c>
      <c r="Z18">
        <f>IFERROR(beta_cf*MAX(0,P2_cf-(((L_cf-x2_cf-cx2_cf/2)+cx2_cf)*(cy2_cf+2*X18)*((wa_cf+wb_cf*(((x2_cf-cx2_cf/2)+L_cf)/2)/1000)/Bm_cf)+cy2_cf*X18*((wa_cf+wb_cf*((x2_cf-cx2_cf/2)-X18/2)/1000)/Bm_cf)+PI()*X18^2/2*((wa_cf+wb_cf*((x2_cf-cx2_cf/2)-4*X18/(3*PI()))/1000)/Bm_cf))/1E6)*1000/((cy2_cf+PI()*X18+2*((L_cf-x2_cf-cx2_cf/2)+cx2_cf))*dp_cf)/(vRdc_p*2*dp_cf/X18),0)</f>
        <v/>
      </c>
      <c r="AA18">
        <f>IFERROR(beta_cf*MAX(0,P2_cf-(((L_cf-x2_cf-cx2_cf/2)+cx2_cf)*(cy2_cf+2*Y18)*((wa_cf+wb_cf*(((x2_cf-cx2_cf/2)+L_cf)/2)/1000)/Bm_cf)+cy2_cf*Y18*((wa_cf+wb_cf*((x2_cf-cx2_cf/2)-Y18/2)/1000)/Bm_cf)+PI()*Y18^2/2*((wa_cf+wb_cf*((x2_cf-cx2_cf/2)-4*Y18/(3*PI()))/1000)/Bm_cf))/1E6)*1000/((cy2_cf+PI()*Y18+2*((L_cf-x2_cf-cx2_cf/2)+cx2_cf))*dp_cf)/(vRdc_p*2*dp_cf/Y18),0)</f>
        <v/>
      </c>
      <c r="AC18">
        <f>IF(AG17&lt;AH17,AE17,AC17)</f>
        <v/>
      </c>
      <c r="AD18">
        <f>IF(AG17&lt;AH17,AD17,AF17)</f>
        <v/>
      </c>
      <c r="AE18">
        <f>AD18-((SQRT(5)-1)/2)*(AD18-AC18)</f>
        <v/>
      </c>
      <c r="AF18">
        <f>AC18+((SQRT(5)-1)/2)*(AD18-AC18)</f>
        <v/>
      </c>
      <c r="AG18">
        <f>IFERROR(beta_cf*MAX(0,P2_cf-(((cx2_cf+2*AE18)*(((B_cf-cy2_cf)/2)+cy2_cf)+cx2_cf*AE18+PI()*AE18^2/2)*((wa_cf+wb_cf*(x2_cf)/1000)/Bm_cf))/1E6)*1000/((cx2_cf+PI()*AE18+2*(((B_cf-cy2_cf)/2)+cy2_cf))*dp_cf)/(vRdc_p*2*dp_cf/AE18),0)</f>
        <v/>
      </c>
      <c r="AH18">
        <f>IFERROR(beta_cf*MAX(0,P2_cf-(((cx2_cf+2*AF18)*(((B_cf-cy2_cf)/2)+cy2_cf)+cx2_cf*AF18+PI()*AF18^2/2)*((wa_cf+wb_cf*(x2_cf)/1000)/Bm_cf))/1E6)*1000/((cx2_cf+PI()*AF18+2*(((B_cf-cy2_cf)/2)+cy2_cf))*dp_cf)/(vRdc_p*2*dp_cf/AF18),0)</f>
        <v/>
      </c>
      <c r="AJ18">
        <f>IF(AN17&lt;AO17,AL17,AJ17)</f>
        <v/>
      </c>
      <c r="AK18">
        <f>IF(AN17&lt;AO17,AK17,AM17)</f>
        <v/>
      </c>
      <c r="AL18">
        <f>AK18-((SQRT(5)-1)/2)*(AK18-AJ18)</f>
        <v/>
      </c>
      <c r="AM18">
        <f>AJ18+((SQRT(5)-1)/2)*(AK18-AJ18)</f>
        <v/>
      </c>
      <c r="AN18">
        <f>IFERROR(beta_cf*MAX(0,P2_cf-(((L_cf-x2_cf-cx2_cf/2)+cx2_cf)*(((B_cf-cy2_cf)/2)+cy2_cf+AL18)*((wa_cf+wb_cf*(((x2_cf-cx2_cf/2)+L_cf)/2)/1000)/Bm_cf)+(((B_cf-cy2_cf)/2)+cy2_cf)*AL18*((wa_cf+wb_cf*((x2_cf-cx2_cf/2)-AL18/2)/1000)/Bm_cf)+PI()*AL18^2/4*((wa_cf+wb_cf*((x2_cf-cx2_cf/2)-4*AL18/(3*PI()))/1000)/Bm_cf))/1E6)*1000/(((L_cf-x2_cf-cx2_cf/2)+cx2_cf+((B_cf-cy2_cf)/2)+cy2_cf+PI()*AL18/2)*dp_cf)/(vRdc_p*2*dp_cf/AL18),0)</f>
        <v/>
      </c>
      <c r="AO18">
        <f>IFERROR(beta_cf*MAX(0,P2_cf-(((L_cf-x2_cf-cx2_cf/2)+cx2_cf)*(((B_cf-cy2_cf)/2)+cy2_cf+AM18)*((wa_cf+wb_cf*(((x2_cf-cx2_cf/2)+L_cf)/2)/1000)/Bm_cf)+(((B_cf-cy2_cf)/2)+cy2_cf)*AM18*((wa_cf+wb_cf*((x2_cf-cx2_cf/2)-AM18/2)/1000)/Bm_cf)+PI()*AM18^2/4*((wa_cf+wb_cf*((x2_cf-cx2_cf/2)-4*AM18/(3*PI()))/1000)/Bm_cf))/1E6)*1000/(((L_cf-x2_cf-cx2_cf/2)+cx2_cf+((B_cf-cy2_cf)/2)+cy2_cf+PI()*AM18/2)*dp_cf)/(vRdc_p*2*dp_cf/AM18),0)</f>
        <v/>
      </c>
    </row>
    <row r="19">
      <c r="A19">
        <f>IF(E18&lt;F18,C18,A18)</f>
        <v/>
      </c>
      <c r="B19">
        <f>IF(E18&lt;F18,B18,D18)</f>
        <v/>
      </c>
      <c r="C19">
        <f>B19-((SQRT(5)-1)/2)*(B19-A19)</f>
        <v/>
      </c>
      <c r="D19">
        <f>A19+((SQRT(5)-1)/2)*(B19-A19)</f>
        <v/>
      </c>
      <c r="E19">
        <f>IFERROR(beta_cf*MAX(0,P1_cf-(((x1_cf-cx1_cf/2)+cx1_cf)*(cy1_cf+2*C19)*((wa_cf+wb_cf*((x1_cf+cx1_cf/2)/2)/1000)/Bm_cf)+cy1_cf*C19*((wa_cf+wb_cf*((x1_cf+cx1_cf/2)+C19/2)/1000)/Bm_cf)+PI()*C19^2/2*((wa_cf+wb_cf*((x1_cf+cx1_cf/2)+4*C19/(3*PI()))/1000)/Bm_cf))/1E6)*1000/((cy1_cf+PI()*C19+2*((x1_cf-cx1_cf/2)+cx1_cf))*dp_cf)/(vRdc_p*2*dp_cf/C19),0)</f>
        <v/>
      </c>
      <c r="F19">
        <f>IFERROR(beta_cf*MAX(0,P1_cf-(((x1_cf-cx1_cf/2)+cx1_cf)*(cy1_cf+2*D19)*((wa_cf+wb_cf*((x1_cf+cx1_cf/2)/2)/1000)/Bm_cf)+cy1_cf*D19*((wa_cf+wb_cf*((x1_cf+cx1_cf/2)+D19/2)/1000)/Bm_cf)+PI()*D19^2/2*((wa_cf+wb_cf*((x1_cf+cx1_cf/2)+4*D19/(3*PI()))/1000)/Bm_cf))/1E6)*1000/((cy1_cf+PI()*D19+2*((x1_cf-cx1_cf/2)+cx1_cf))*dp_cf)/(vRdc_p*2*dp_cf/D19),0)</f>
        <v/>
      </c>
      <c r="H19">
        <f>IF(L18&lt;M18,J18,H18)</f>
        <v/>
      </c>
      <c r="I19">
        <f>IF(L18&lt;M18,I18,K18)</f>
        <v/>
      </c>
      <c r="J19">
        <f>I19-((SQRT(5)-1)/2)*(I19-H19)</f>
        <v/>
      </c>
      <c r="K19">
        <f>H19+((SQRT(5)-1)/2)*(I19-H19)</f>
        <v/>
      </c>
      <c r="L19">
        <f>IFERROR(beta_cf*MAX(0,P1_cf-(((cx1_cf+2*J19)*(((B_cf-cy1_cf)/2)+cy1_cf)+cx1_cf*J19+PI()*J19^2/2)*((wa_cf+wb_cf*(x1_cf)/1000)/Bm_cf))/1E6)*1000/((cx1_cf+PI()*J19+2*(((B_cf-cy1_cf)/2)+cy1_cf))*dp_cf)/(vRdc_p*2*dp_cf/J19),0)</f>
        <v/>
      </c>
      <c r="M19">
        <f>IFERROR(beta_cf*MAX(0,P1_cf-(((cx1_cf+2*K19)*(((B_cf-cy1_cf)/2)+cy1_cf)+cx1_cf*K19+PI()*K19^2/2)*((wa_cf+wb_cf*(x1_cf)/1000)/Bm_cf))/1E6)*1000/((cx1_cf+PI()*K19+2*(((B_cf-cy1_cf)/2)+cy1_cf))*dp_cf)/(vRdc_p*2*dp_cf/K19),0)</f>
        <v/>
      </c>
      <c r="O19">
        <f>IF(S18&lt;T18,Q18,O18)</f>
        <v/>
      </c>
      <c r="P19">
        <f>IF(S18&lt;T18,P18,R18)</f>
        <v/>
      </c>
      <c r="Q19">
        <f>P19-((SQRT(5)-1)/2)*(P19-O19)</f>
        <v/>
      </c>
      <c r="R19">
        <f>O19+((SQRT(5)-1)/2)*(P19-O19)</f>
        <v/>
      </c>
      <c r="S19">
        <f>IFERROR(beta_cf*MAX(0,P1_cf-(((x1_cf-cx1_cf/2)+cx1_cf)*(((B_cf-cy1_cf)/2)+cy1_cf+Q19)*((wa_cf+wb_cf*((x1_cf+cx1_cf/2)/2)/1000)/Bm_cf)+(((B_cf-cy1_cf)/2)+cy1_cf)*Q19*((wa_cf+wb_cf*((x1_cf+cx1_cf/2)+Q19/2)/1000)/Bm_cf)+PI()*Q19^2/4*((wa_cf+wb_cf*((x1_cf+cx1_cf/2)+4*Q19/(3*PI()))/1000)/Bm_cf))/1E6)*1000/(((x1_cf-cx1_cf/2)+cx1_cf+((B_cf-cy1_cf)/2)+cy1_cf+PI()*Q19/2)*dp_cf)/(vRdc_p*2*dp_cf/Q19),0)</f>
        <v/>
      </c>
      <c r="T19">
        <f>IFERROR(beta_cf*MAX(0,P1_cf-(((x1_cf-cx1_cf/2)+cx1_cf)*(((B_cf-cy1_cf)/2)+cy1_cf+R19)*((wa_cf+wb_cf*((x1_cf+cx1_cf/2)/2)/1000)/Bm_cf)+(((B_cf-cy1_cf)/2)+cy1_cf)*R19*((wa_cf+wb_cf*((x1_cf+cx1_cf/2)+R19/2)/1000)/Bm_cf)+PI()*R19^2/4*((wa_cf+wb_cf*((x1_cf+cx1_cf/2)+4*R19/(3*PI()))/1000)/Bm_cf))/1E6)*1000/(((x1_cf-cx1_cf/2)+cx1_cf+((B_cf-cy1_cf)/2)+cy1_cf+PI()*R19/2)*dp_cf)/(vRdc_p*2*dp_cf/R19),0)</f>
        <v/>
      </c>
      <c r="V19">
        <f>IF(Z18&lt;AA18,X18,V18)</f>
        <v/>
      </c>
      <c r="W19">
        <f>IF(Z18&lt;AA18,W18,Y18)</f>
        <v/>
      </c>
      <c r="X19">
        <f>W19-((SQRT(5)-1)/2)*(W19-V19)</f>
        <v/>
      </c>
      <c r="Y19">
        <f>V19+((SQRT(5)-1)/2)*(W19-V19)</f>
        <v/>
      </c>
      <c r="Z19">
        <f>IFERROR(beta_cf*MAX(0,P2_cf-(((L_cf-x2_cf-cx2_cf/2)+cx2_cf)*(cy2_cf+2*X19)*((wa_cf+wb_cf*(((x2_cf-cx2_cf/2)+L_cf)/2)/1000)/Bm_cf)+cy2_cf*X19*((wa_cf+wb_cf*((x2_cf-cx2_cf/2)-X19/2)/1000)/Bm_cf)+PI()*X19^2/2*((wa_cf+wb_cf*((x2_cf-cx2_cf/2)-4*X19/(3*PI()))/1000)/Bm_cf))/1E6)*1000/((cy2_cf+PI()*X19+2*((L_cf-x2_cf-cx2_cf/2)+cx2_cf))*dp_cf)/(vRdc_p*2*dp_cf/X19),0)</f>
        <v/>
      </c>
      <c r="AA19">
        <f>IFERROR(beta_cf*MAX(0,P2_cf-(((L_cf-x2_cf-cx2_cf/2)+cx2_cf)*(cy2_cf+2*Y19)*((wa_cf+wb_cf*(((x2_cf-cx2_cf/2)+L_cf)/2)/1000)/Bm_cf)+cy2_cf*Y19*((wa_cf+wb_cf*((x2_cf-cx2_cf/2)-Y19/2)/1000)/Bm_cf)+PI()*Y19^2/2*((wa_cf+wb_cf*((x2_cf-cx2_cf/2)-4*Y19/(3*PI()))/1000)/Bm_cf))/1E6)*1000/((cy2_cf+PI()*Y19+2*((L_cf-x2_cf-cx2_cf/2)+cx2_cf))*dp_cf)/(vRdc_p*2*dp_cf/Y19),0)</f>
        <v/>
      </c>
      <c r="AC19">
        <f>IF(AG18&lt;AH18,AE18,AC18)</f>
        <v/>
      </c>
      <c r="AD19">
        <f>IF(AG18&lt;AH18,AD18,AF18)</f>
        <v/>
      </c>
      <c r="AE19">
        <f>AD19-((SQRT(5)-1)/2)*(AD19-AC19)</f>
        <v/>
      </c>
      <c r="AF19">
        <f>AC19+((SQRT(5)-1)/2)*(AD19-AC19)</f>
        <v/>
      </c>
      <c r="AG19">
        <f>IFERROR(beta_cf*MAX(0,P2_cf-(((cx2_cf+2*AE19)*(((B_cf-cy2_cf)/2)+cy2_cf)+cx2_cf*AE19+PI()*AE19^2/2)*((wa_cf+wb_cf*(x2_cf)/1000)/Bm_cf))/1E6)*1000/((cx2_cf+PI()*AE19+2*(((B_cf-cy2_cf)/2)+cy2_cf))*dp_cf)/(vRdc_p*2*dp_cf/AE19),0)</f>
        <v/>
      </c>
      <c r="AH19">
        <f>IFERROR(beta_cf*MAX(0,P2_cf-(((cx2_cf+2*AF19)*(((B_cf-cy2_cf)/2)+cy2_cf)+cx2_cf*AF19+PI()*AF19^2/2)*((wa_cf+wb_cf*(x2_cf)/1000)/Bm_cf))/1E6)*1000/((cx2_cf+PI()*AF19+2*(((B_cf-cy2_cf)/2)+cy2_cf))*dp_cf)/(vRdc_p*2*dp_cf/AF19),0)</f>
        <v/>
      </c>
      <c r="AJ19">
        <f>IF(AN18&lt;AO18,AL18,AJ18)</f>
        <v/>
      </c>
      <c r="AK19">
        <f>IF(AN18&lt;AO18,AK18,AM18)</f>
        <v/>
      </c>
      <c r="AL19">
        <f>AK19-((SQRT(5)-1)/2)*(AK19-AJ19)</f>
        <v/>
      </c>
      <c r="AM19">
        <f>AJ19+((SQRT(5)-1)/2)*(AK19-AJ19)</f>
        <v/>
      </c>
      <c r="AN19">
        <f>IFERROR(beta_cf*MAX(0,P2_cf-(((L_cf-x2_cf-cx2_cf/2)+cx2_cf)*(((B_cf-cy2_cf)/2)+cy2_cf+AL19)*((wa_cf+wb_cf*(((x2_cf-cx2_cf/2)+L_cf)/2)/1000)/Bm_cf)+(((B_cf-cy2_cf)/2)+cy2_cf)*AL19*((wa_cf+wb_cf*((x2_cf-cx2_cf/2)-AL19/2)/1000)/Bm_cf)+PI()*AL19^2/4*((wa_cf+wb_cf*((x2_cf-cx2_cf/2)-4*AL19/(3*PI()))/1000)/Bm_cf))/1E6)*1000/(((L_cf-x2_cf-cx2_cf/2)+cx2_cf+((B_cf-cy2_cf)/2)+cy2_cf+PI()*AL19/2)*dp_cf)/(vRdc_p*2*dp_cf/AL19),0)</f>
        <v/>
      </c>
      <c r="AO19">
        <f>IFERROR(beta_cf*MAX(0,P2_cf-(((L_cf-x2_cf-cx2_cf/2)+cx2_cf)*(((B_cf-cy2_cf)/2)+cy2_cf+AM19)*((wa_cf+wb_cf*(((x2_cf-cx2_cf/2)+L_cf)/2)/1000)/Bm_cf)+(((B_cf-cy2_cf)/2)+cy2_cf)*AM19*((wa_cf+wb_cf*((x2_cf-cx2_cf/2)-AM19/2)/1000)/Bm_cf)+PI()*AM19^2/4*((wa_cf+wb_cf*((x2_cf-cx2_cf/2)-4*AM19/(3*PI()))/1000)/Bm_cf))/1E6)*1000/(((L_cf-x2_cf-cx2_cf/2)+cx2_cf+((B_cf-cy2_cf)/2)+cy2_cf+PI()*AM19/2)*dp_cf)/(vRdc_p*2*dp_cf/AM19),0)</f>
        <v/>
      </c>
    </row>
    <row r="20">
      <c r="A20">
        <f>IF(E19&lt;F19,C19,A19)</f>
        <v/>
      </c>
      <c r="B20">
        <f>IF(E19&lt;F19,B19,D19)</f>
        <v/>
      </c>
      <c r="C20">
        <f>B20-((SQRT(5)-1)/2)*(B20-A20)</f>
        <v/>
      </c>
      <c r="D20">
        <f>A20+((SQRT(5)-1)/2)*(B20-A20)</f>
        <v/>
      </c>
      <c r="E20">
        <f>IFERROR(beta_cf*MAX(0,P1_cf-(((x1_cf-cx1_cf/2)+cx1_cf)*(cy1_cf+2*C20)*((wa_cf+wb_cf*((x1_cf+cx1_cf/2)/2)/1000)/Bm_cf)+cy1_cf*C20*((wa_cf+wb_cf*((x1_cf+cx1_cf/2)+C20/2)/1000)/Bm_cf)+PI()*C20^2/2*((wa_cf+wb_cf*((x1_cf+cx1_cf/2)+4*C20/(3*PI()))/1000)/Bm_cf))/1E6)*1000/((cy1_cf+PI()*C20+2*((x1_cf-cx1_cf/2)+cx1_cf))*dp_cf)/(vRdc_p*2*dp_cf/C20),0)</f>
        <v/>
      </c>
      <c r="F20">
        <f>IFERROR(beta_cf*MAX(0,P1_cf-(((x1_cf-cx1_cf/2)+cx1_cf)*(cy1_cf+2*D20)*((wa_cf+wb_cf*((x1_cf+cx1_cf/2)/2)/1000)/Bm_cf)+cy1_cf*D20*((wa_cf+wb_cf*((x1_cf+cx1_cf/2)+D20/2)/1000)/Bm_cf)+PI()*D20^2/2*((wa_cf+wb_cf*((x1_cf+cx1_cf/2)+4*D20/(3*PI()))/1000)/Bm_cf))/1E6)*1000/((cy1_cf+PI()*D20+2*((x1_cf-cx1_cf/2)+cx1_cf))*dp_cf)/(vRdc_p*2*dp_cf/D20),0)</f>
        <v/>
      </c>
      <c r="H20">
        <f>IF(L19&lt;M19,J19,H19)</f>
        <v/>
      </c>
      <c r="I20">
        <f>IF(L19&lt;M19,I19,K19)</f>
        <v/>
      </c>
      <c r="J20">
        <f>I20-((SQRT(5)-1)/2)*(I20-H20)</f>
        <v/>
      </c>
      <c r="K20">
        <f>H20+((SQRT(5)-1)/2)*(I20-H20)</f>
        <v/>
      </c>
      <c r="L20">
        <f>IFERROR(beta_cf*MAX(0,P1_cf-(((cx1_cf+2*J20)*(((B_cf-cy1_cf)/2)+cy1_cf)+cx1_cf*J20+PI()*J20^2/2)*((wa_cf+wb_cf*(x1_cf)/1000)/Bm_cf))/1E6)*1000/((cx1_cf+PI()*J20+2*(((B_cf-cy1_cf)/2)+cy1_cf))*dp_cf)/(vRdc_p*2*dp_cf/J20),0)</f>
        <v/>
      </c>
      <c r="M20">
        <f>IFERROR(beta_cf*MAX(0,P1_cf-(((cx1_cf+2*K20)*(((B_cf-cy1_cf)/2)+cy1_cf)+cx1_cf*K20+PI()*K20^2/2)*((wa_cf+wb_cf*(x1_cf)/1000)/Bm_cf))/1E6)*1000/((cx1_cf+PI()*K20+2*(((B_cf-cy1_cf)/2)+cy1_cf))*dp_cf)/(vRdc_p*2*dp_cf/K20),0)</f>
        <v/>
      </c>
      <c r="O20">
        <f>IF(S19&lt;T19,Q19,O19)</f>
        <v/>
      </c>
      <c r="P20">
        <f>IF(S19&lt;T19,P19,R19)</f>
        <v/>
      </c>
      <c r="Q20">
        <f>P20-((SQRT(5)-1)/2)*(P20-O20)</f>
        <v/>
      </c>
      <c r="R20">
        <f>O20+((SQRT(5)-1)/2)*(P20-O20)</f>
        <v/>
      </c>
      <c r="S20">
        <f>IFERROR(beta_cf*MAX(0,P1_cf-(((x1_cf-cx1_cf/2)+cx1_cf)*(((B_cf-cy1_cf)/2)+cy1_cf+Q20)*((wa_cf+wb_cf*((x1_cf+cx1_cf/2)/2)/1000)/Bm_cf)+(((B_cf-cy1_cf)/2)+cy1_cf)*Q20*((wa_cf+wb_cf*((x1_cf+cx1_cf/2)+Q20/2)/1000)/Bm_cf)+PI()*Q20^2/4*((wa_cf+wb_cf*((x1_cf+cx1_cf/2)+4*Q20/(3*PI()))/1000)/Bm_cf))/1E6)*1000/(((x1_cf-cx1_cf/2)+cx1_cf+((B_cf-cy1_cf)/2)+cy1_cf+PI()*Q20/2)*dp_cf)/(vRdc_p*2*dp_cf/Q20),0)</f>
        <v/>
      </c>
      <c r="T20">
        <f>IFERROR(beta_cf*MAX(0,P1_cf-(((x1_cf-cx1_cf/2)+cx1_cf)*(((B_cf-cy1_cf)/2)+cy1_cf+R20)*((wa_cf+wb_cf*((x1_cf+cx1_cf/2)/2)/1000)/Bm_cf)+(((B_cf-cy1_cf)/2)+cy1_cf)*R20*((wa_cf+wb_cf*((x1_cf+cx1_cf/2)+R20/2)/1000)/Bm_cf)+PI()*R20^2/4*((wa_cf+wb_cf*((x1_cf+cx1_cf/2)+4*R20/(3*PI()))/1000)/Bm_cf))/1E6)*1000/(((x1_cf-cx1_cf/2)+cx1_cf+((B_cf-cy1_cf)/2)+cy1_cf+PI()*R20/2)*dp_cf)/(vRdc_p*2*dp_cf/R20),0)</f>
        <v/>
      </c>
      <c r="V20">
        <f>IF(Z19&lt;AA19,X19,V19)</f>
        <v/>
      </c>
      <c r="W20">
        <f>IF(Z19&lt;AA19,W19,Y19)</f>
        <v/>
      </c>
      <c r="X20">
        <f>W20-((SQRT(5)-1)/2)*(W20-V20)</f>
        <v/>
      </c>
      <c r="Y20">
        <f>V20+((SQRT(5)-1)/2)*(W20-V20)</f>
        <v/>
      </c>
      <c r="Z20">
        <f>IFERROR(beta_cf*MAX(0,P2_cf-(((L_cf-x2_cf-cx2_cf/2)+cx2_cf)*(cy2_cf+2*X20)*((wa_cf+wb_cf*(((x2_cf-cx2_cf/2)+L_cf)/2)/1000)/Bm_cf)+cy2_cf*X20*((wa_cf+wb_cf*((x2_cf-cx2_cf/2)-X20/2)/1000)/Bm_cf)+PI()*X20^2/2*((wa_cf+wb_cf*((x2_cf-cx2_cf/2)-4*X20/(3*PI()))/1000)/Bm_cf))/1E6)*1000/((cy2_cf+PI()*X20+2*((L_cf-x2_cf-cx2_cf/2)+cx2_cf))*dp_cf)/(vRdc_p*2*dp_cf/X20),0)</f>
        <v/>
      </c>
      <c r="AA20">
        <f>IFERROR(beta_cf*MAX(0,P2_cf-(((L_cf-x2_cf-cx2_cf/2)+cx2_cf)*(cy2_cf+2*Y20)*((wa_cf+wb_cf*(((x2_cf-cx2_cf/2)+L_cf)/2)/1000)/Bm_cf)+cy2_cf*Y20*((wa_cf+wb_cf*((x2_cf-cx2_cf/2)-Y20/2)/1000)/Bm_cf)+PI()*Y20^2/2*((wa_cf+wb_cf*((x2_cf-cx2_cf/2)-4*Y20/(3*PI()))/1000)/Bm_cf))/1E6)*1000/((cy2_cf+PI()*Y20+2*((L_cf-x2_cf-cx2_cf/2)+cx2_cf))*dp_cf)/(vRdc_p*2*dp_cf/Y20),0)</f>
        <v/>
      </c>
      <c r="AC20">
        <f>IF(AG19&lt;AH19,AE19,AC19)</f>
        <v/>
      </c>
      <c r="AD20">
        <f>IF(AG19&lt;AH19,AD19,AF19)</f>
        <v/>
      </c>
      <c r="AE20">
        <f>AD20-((SQRT(5)-1)/2)*(AD20-AC20)</f>
        <v/>
      </c>
      <c r="AF20">
        <f>AC20+((SQRT(5)-1)/2)*(AD20-AC20)</f>
        <v/>
      </c>
      <c r="AG20">
        <f>IFERROR(beta_cf*MAX(0,P2_cf-(((cx2_cf+2*AE20)*(((B_cf-cy2_cf)/2)+cy2_cf)+cx2_cf*AE20+PI()*AE20^2/2)*((wa_cf+wb_cf*(x2_cf)/1000)/Bm_cf))/1E6)*1000/((cx2_cf+PI()*AE20+2*(((B_cf-cy2_cf)/2)+cy2_cf))*dp_cf)/(vRdc_p*2*dp_cf/AE20),0)</f>
        <v/>
      </c>
      <c r="AH20">
        <f>IFERROR(beta_cf*MAX(0,P2_cf-(((cx2_cf+2*AF20)*(((B_cf-cy2_cf)/2)+cy2_cf)+cx2_cf*AF20+PI()*AF20^2/2)*((wa_cf+wb_cf*(x2_cf)/1000)/Bm_cf))/1E6)*1000/((cx2_cf+PI()*AF20+2*(((B_cf-cy2_cf)/2)+cy2_cf))*dp_cf)/(vRdc_p*2*dp_cf/AF20),0)</f>
        <v/>
      </c>
      <c r="AJ20">
        <f>IF(AN19&lt;AO19,AL19,AJ19)</f>
        <v/>
      </c>
      <c r="AK20">
        <f>IF(AN19&lt;AO19,AK19,AM19)</f>
        <v/>
      </c>
      <c r="AL20">
        <f>AK20-((SQRT(5)-1)/2)*(AK20-AJ20)</f>
        <v/>
      </c>
      <c r="AM20">
        <f>AJ20+((SQRT(5)-1)/2)*(AK20-AJ20)</f>
        <v/>
      </c>
      <c r="AN20">
        <f>IFERROR(beta_cf*MAX(0,P2_cf-(((L_cf-x2_cf-cx2_cf/2)+cx2_cf)*(((B_cf-cy2_cf)/2)+cy2_cf+AL20)*((wa_cf+wb_cf*(((x2_cf-cx2_cf/2)+L_cf)/2)/1000)/Bm_cf)+(((B_cf-cy2_cf)/2)+cy2_cf)*AL20*((wa_cf+wb_cf*((x2_cf-cx2_cf/2)-AL20/2)/1000)/Bm_cf)+PI()*AL20^2/4*((wa_cf+wb_cf*((x2_cf-cx2_cf/2)-4*AL20/(3*PI()))/1000)/Bm_cf))/1E6)*1000/(((L_cf-x2_cf-cx2_cf/2)+cx2_cf+((B_cf-cy2_cf)/2)+cy2_cf+PI()*AL20/2)*dp_cf)/(vRdc_p*2*dp_cf/AL20),0)</f>
        <v/>
      </c>
      <c r="AO20">
        <f>IFERROR(beta_cf*MAX(0,P2_cf-(((L_cf-x2_cf-cx2_cf/2)+cx2_cf)*(((B_cf-cy2_cf)/2)+cy2_cf+AM20)*((wa_cf+wb_cf*(((x2_cf-cx2_cf/2)+L_cf)/2)/1000)/Bm_cf)+(((B_cf-cy2_cf)/2)+cy2_cf)*AM20*((wa_cf+wb_cf*((x2_cf-cx2_cf/2)-AM20/2)/1000)/Bm_cf)+PI()*AM20^2/4*((wa_cf+wb_cf*((x2_cf-cx2_cf/2)-4*AM20/(3*PI()))/1000)/Bm_cf))/1E6)*1000/(((L_cf-x2_cf-cx2_cf/2)+cx2_cf+((B_cf-cy2_cf)/2)+cy2_cf+PI()*AM20/2)*dp_cf)/(vRdc_p*2*dp_cf/AM20),0)</f>
        <v/>
      </c>
    </row>
    <row r="21">
      <c r="A21">
        <f>IF(E20&lt;F20,C20,A20)</f>
        <v/>
      </c>
      <c r="B21">
        <f>IF(E20&lt;F20,B20,D20)</f>
        <v/>
      </c>
      <c r="C21">
        <f>B21-((SQRT(5)-1)/2)*(B21-A21)</f>
        <v/>
      </c>
      <c r="D21">
        <f>A21+((SQRT(5)-1)/2)*(B21-A21)</f>
        <v/>
      </c>
      <c r="E21">
        <f>IFERROR(beta_cf*MAX(0,P1_cf-(((x1_cf-cx1_cf/2)+cx1_cf)*(cy1_cf+2*C21)*((wa_cf+wb_cf*((x1_cf+cx1_cf/2)/2)/1000)/Bm_cf)+cy1_cf*C21*((wa_cf+wb_cf*((x1_cf+cx1_cf/2)+C21/2)/1000)/Bm_cf)+PI()*C21^2/2*((wa_cf+wb_cf*((x1_cf+cx1_cf/2)+4*C21/(3*PI()))/1000)/Bm_cf))/1E6)*1000/((cy1_cf+PI()*C21+2*((x1_cf-cx1_cf/2)+cx1_cf))*dp_cf)/(vRdc_p*2*dp_cf/C21),0)</f>
        <v/>
      </c>
      <c r="F21">
        <f>IFERROR(beta_cf*MAX(0,P1_cf-(((x1_cf-cx1_cf/2)+cx1_cf)*(cy1_cf+2*D21)*((wa_cf+wb_cf*((x1_cf+cx1_cf/2)/2)/1000)/Bm_cf)+cy1_cf*D21*((wa_cf+wb_cf*((x1_cf+cx1_cf/2)+D21/2)/1000)/Bm_cf)+PI()*D21^2/2*((wa_cf+wb_cf*((x1_cf+cx1_cf/2)+4*D21/(3*PI()))/1000)/Bm_cf))/1E6)*1000/((cy1_cf+PI()*D21+2*((x1_cf-cx1_cf/2)+cx1_cf))*dp_cf)/(vRdc_p*2*dp_cf/D21),0)</f>
        <v/>
      </c>
      <c r="H21">
        <f>IF(L20&lt;M20,J20,H20)</f>
        <v/>
      </c>
      <c r="I21">
        <f>IF(L20&lt;M20,I20,K20)</f>
        <v/>
      </c>
      <c r="J21">
        <f>I21-((SQRT(5)-1)/2)*(I21-H21)</f>
        <v/>
      </c>
      <c r="K21">
        <f>H21+((SQRT(5)-1)/2)*(I21-H21)</f>
        <v/>
      </c>
      <c r="L21">
        <f>IFERROR(beta_cf*MAX(0,P1_cf-(((cx1_cf+2*J21)*(((B_cf-cy1_cf)/2)+cy1_cf)+cx1_cf*J21+PI()*J21^2/2)*((wa_cf+wb_cf*(x1_cf)/1000)/Bm_cf))/1E6)*1000/((cx1_cf+PI()*J21+2*(((B_cf-cy1_cf)/2)+cy1_cf))*dp_cf)/(vRdc_p*2*dp_cf/J21),0)</f>
        <v/>
      </c>
      <c r="M21">
        <f>IFERROR(beta_cf*MAX(0,P1_cf-(((cx1_cf+2*K21)*(((B_cf-cy1_cf)/2)+cy1_cf)+cx1_cf*K21+PI()*K21^2/2)*((wa_cf+wb_cf*(x1_cf)/1000)/Bm_cf))/1E6)*1000/((cx1_cf+PI()*K21+2*(((B_cf-cy1_cf)/2)+cy1_cf))*dp_cf)/(vRdc_p*2*dp_cf/K21),0)</f>
        <v/>
      </c>
      <c r="O21">
        <f>IF(S20&lt;T20,Q20,O20)</f>
        <v/>
      </c>
      <c r="P21">
        <f>IF(S20&lt;T20,P20,R20)</f>
        <v/>
      </c>
      <c r="Q21">
        <f>P21-((SQRT(5)-1)/2)*(P21-O21)</f>
        <v/>
      </c>
      <c r="R21">
        <f>O21+((SQRT(5)-1)/2)*(P21-O21)</f>
        <v/>
      </c>
      <c r="S21">
        <f>IFERROR(beta_cf*MAX(0,P1_cf-(((x1_cf-cx1_cf/2)+cx1_cf)*(((B_cf-cy1_cf)/2)+cy1_cf+Q21)*((wa_cf+wb_cf*((x1_cf+cx1_cf/2)/2)/1000)/Bm_cf)+(((B_cf-cy1_cf)/2)+cy1_cf)*Q21*((wa_cf+wb_cf*((x1_cf+cx1_cf/2)+Q21/2)/1000)/Bm_cf)+PI()*Q21^2/4*((wa_cf+wb_cf*((x1_cf+cx1_cf/2)+4*Q21/(3*PI()))/1000)/Bm_cf))/1E6)*1000/(((x1_cf-cx1_cf/2)+cx1_cf+((B_cf-cy1_cf)/2)+cy1_cf+PI()*Q21/2)*dp_cf)/(vRdc_p*2*dp_cf/Q21),0)</f>
        <v/>
      </c>
      <c r="T21">
        <f>IFERROR(beta_cf*MAX(0,P1_cf-(((x1_cf-cx1_cf/2)+cx1_cf)*(((B_cf-cy1_cf)/2)+cy1_cf+R21)*((wa_cf+wb_cf*((x1_cf+cx1_cf/2)/2)/1000)/Bm_cf)+(((B_cf-cy1_cf)/2)+cy1_cf)*R21*((wa_cf+wb_cf*((x1_cf+cx1_cf/2)+R21/2)/1000)/Bm_cf)+PI()*R21^2/4*((wa_cf+wb_cf*((x1_cf+cx1_cf/2)+4*R21/(3*PI()))/1000)/Bm_cf))/1E6)*1000/(((x1_cf-cx1_cf/2)+cx1_cf+((B_cf-cy1_cf)/2)+cy1_cf+PI()*R21/2)*dp_cf)/(vRdc_p*2*dp_cf/R21),0)</f>
        <v/>
      </c>
      <c r="V21">
        <f>IF(Z20&lt;AA20,X20,V20)</f>
        <v/>
      </c>
      <c r="W21">
        <f>IF(Z20&lt;AA20,W20,Y20)</f>
        <v/>
      </c>
      <c r="X21">
        <f>W21-((SQRT(5)-1)/2)*(W21-V21)</f>
        <v/>
      </c>
      <c r="Y21">
        <f>V21+((SQRT(5)-1)/2)*(W21-V21)</f>
        <v/>
      </c>
      <c r="Z21">
        <f>IFERROR(beta_cf*MAX(0,P2_cf-(((L_cf-x2_cf-cx2_cf/2)+cx2_cf)*(cy2_cf+2*X21)*((wa_cf+wb_cf*(((x2_cf-cx2_cf/2)+L_cf)/2)/1000)/Bm_cf)+cy2_cf*X21*((wa_cf+wb_cf*((x2_cf-cx2_cf/2)-X21/2)/1000)/Bm_cf)+PI()*X21^2/2*((wa_cf+wb_cf*((x2_cf-cx2_cf/2)-4*X21/(3*PI()))/1000)/Bm_cf))/1E6)*1000/((cy2_cf+PI()*X21+2*((L_cf-x2_cf-cx2_cf/2)+cx2_cf))*dp_cf)/(vRdc_p*2*dp_cf/X21),0)</f>
        <v/>
      </c>
      <c r="AA21">
        <f>IFERROR(beta_cf*MAX(0,P2_cf-(((L_cf-x2_cf-cx2_cf/2)+cx2_cf)*(cy2_cf+2*Y21)*((wa_cf+wb_cf*(((x2_cf-cx2_cf/2)+L_cf)/2)/1000)/Bm_cf)+cy2_cf*Y21*((wa_cf+wb_cf*((x2_cf-cx2_cf/2)-Y21/2)/1000)/Bm_cf)+PI()*Y21^2/2*((wa_cf+wb_cf*((x2_cf-cx2_cf/2)-4*Y21/(3*PI()))/1000)/Bm_cf))/1E6)*1000/((cy2_cf+PI()*Y21+2*((L_cf-x2_cf-cx2_cf/2)+cx2_cf))*dp_cf)/(vRdc_p*2*dp_cf/Y21),0)</f>
        <v/>
      </c>
      <c r="AC21">
        <f>IF(AG20&lt;AH20,AE20,AC20)</f>
        <v/>
      </c>
      <c r="AD21">
        <f>IF(AG20&lt;AH20,AD20,AF20)</f>
        <v/>
      </c>
      <c r="AE21">
        <f>AD21-((SQRT(5)-1)/2)*(AD21-AC21)</f>
        <v/>
      </c>
      <c r="AF21">
        <f>AC21+((SQRT(5)-1)/2)*(AD21-AC21)</f>
        <v/>
      </c>
      <c r="AG21">
        <f>IFERROR(beta_cf*MAX(0,P2_cf-(((cx2_cf+2*AE21)*(((B_cf-cy2_cf)/2)+cy2_cf)+cx2_cf*AE21+PI()*AE21^2/2)*((wa_cf+wb_cf*(x2_cf)/1000)/Bm_cf))/1E6)*1000/((cx2_cf+PI()*AE21+2*(((B_cf-cy2_cf)/2)+cy2_cf))*dp_cf)/(vRdc_p*2*dp_cf/AE21),0)</f>
        <v/>
      </c>
      <c r="AH21">
        <f>IFERROR(beta_cf*MAX(0,P2_cf-(((cx2_cf+2*AF21)*(((B_cf-cy2_cf)/2)+cy2_cf)+cx2_cf*AF21+PI()*AF21^2/2)*((wa_cf+wb_cf*(x2_cf)/1000)/Bm_cf))/1E6)*1000/((cx2_cf+PI()*AF21+2*(((B_cf-cy2_cf)/2)+cy2_cf))*dp_cf)/(vRdc_p*2*dp_cf/AF21),0)</f>
        <v/>
      </c>
      <c r="AJ21">
        <f>IF(AN20&lt;AO20,AL20,AJ20)</f>
        <v/>
      </c>
      <c r="AK21">
        <f>IF(AN20&lt;AO20,AK20,AM20)</f>
        <v/>
      </c>
      <c r="AL21">
        <f>AK21-((SQRT(5)-1)/2)*(AK21-AJ21)</f>
        <v/>
      </c>
      <c r="AM21">
        <f>AJ21+((SQRT(5)-1)/2)*(AK21-AJ21)</f>
        <v/>
      </c>
      <c r="AN21">
        <f>IFERROR(beta_cf*MAX(0,P2_cf-(((L_cf-x2_cf-cx2_cf/2)+cx2_cf)*(((B_cf-cy2_cf)/2)+cy2_cf+AL21)*((wa_cf+wb_cf*(((x2_cf-cx2_cf/2)+L_cf)/2)/1000)/Bm_cf)+(((B_cf-cy2_cf)/2)+cy2_cf)*AL21*((wa_cf+wb_cf*((x2_cf-cx2_cf/2)-AL21/2)/1000)/Bm_cf)+PI()*AL21^2/4*((wa_cf+wb_cf*((x2_cf-cx2_cf/2)-4*AL21/(3*PI()))/1000)/Bm_cf))/1E6)*1000/(((L_cf-x2_cf-cx2_cf/2)+cx2_cf+((B_cf-cy2_cf)/2)+cy2_cf+PI()*AL21/2)*dp_cf)/(vRdc_p*2*dp_cf/AL21),0)</f>
        <v/>
      </c>
      <c r="AO21">
        <f>IFERROR(beta_cf*MAX(0,P2_cf-(((L_cf-x2_cf-cx2_cf/2)+cx2_cf)*(((B_cf-cy2_cf)/2)+cy2_cf+AM21)*((wa_cf+wb_cf*(((x2_cf-cx2_cf/2)+L_cf)/2)/1000)/Bm_cf)+(((B_cf-cy2_cf)/2)+cy2_cf)*AM21*((wa_cf+wb_cf*((x2_cf-cx2_cf/2)-AM21/2)/1000)/Bm_cf)+PI()*AM21^2/4*((wa_cf+wb_cf*((x2_cf-cx2_cf/2)-4*AM21/(3*PI()))/1000)/Bm_cf))/1E6)*1000/(((L_cf-x2_cf-cx2_cf/2)+cx2_cf+((B_cf-cy2_cf)/2)+cy2_cf+PI()*AM21/2)*dp_cf)/(vRdc_p*2*dp_cf/AM21),0)</f>
        <v/>
      </c>
    </row>
    <row r="22">
      <c r="A22">
        <f>IF(E21&lt;F21,C21,A21)</f>
        <v/>
      </c>
      <c r="B22">
        <f>IF(E21&lt;F21,B21,D21)</f>
        <v/>
      </c>
      <c r="C22">
        <f>B22-((SQRT(5)-1)/2)*(B22-A22)</f>
        <v/>
      </c>
      <c r="D22">
        <f>A22+((SQRT(5)-1)/2)*(B22-A22)</f>
        <v/>
      </c>
      <c r="E22">
        <f>IFERROR(beta_cf*MAX(0,P1_cf-(((x1_cf-cx1_cf/2)+cx1_cf)*(cy1_cf+2*C22)*((wa_cf+wb_cf*((x1_cf+cx1_cf/2)/2)/1000)/Bm_cf)+cy1_cf*C22*((wa_cf+wb_cf*((x1_cf+cx1_cf/2)+C22/2)/1000)/Bm_cf)+PI()*C22^2/2*((wa_cf+wb_cf*((x1_cf+cx1_cf/2)+4*C22/(3*PI()))/1000)/Bm_cf))/1E6)*1000/((cy1_cf+PI()*C22+2*((x1_cf-cx1_cf/2)+cx1_cf))*dp_cf)/(vRdc_p*2*dp_cf/C22),0)</f>
        <v/>
      </c>
      <c r="F22">
        <f>IFERROR(beta_cf*MAX(0,P1_cf-(((x1_cf-cx1_cf/2)+cx1_cf)*(cy1_cf+2*D22)*((wa_cf+wb_cf*((x1_cf+cx1_cf/2)/2)/1000)/Bm_cf)+cy1_cf*D22*((wa_cf+wb_cf*((x1_cf+cx1_cf/2)+D22/2)/1000)/Bm_cf)+PI()*D22^2/2*((wa_cf+wb_cf*((x1_cf+cx1_cf/2)+4*D22/(3*PI()))/1000)/Bm_cf))/1E6)*1000/((cy1_cf+PI()*D22+2*((x1_cf-cx1_cf/2)+cx1_cf))*dp_cf)/(vRdc_p*2*dp_cf/D22),0)</f>
        <v/>
      </c>
      <c r="H22">
        <f>IF(L21&lt;M21,J21,H21)</f>
        <v/>
      </c>
      <c r="I22">
        <f>IF(L21&lt;M21,I21,K21)</f>
        <v/>
      </c>
      <c r="J22">
        <f>I22-((SQRT(5)-1)/2)*(I22-H22)</f>
        <v/>
      </c>
      <c r="K22">
        <f>H22+((SQRT(5)-1)/2)*(I22-H22)</f>
        <v/>
      </c>
      <c r="L22">
        <f>IFERROR(beta_cf*MAX(0,P1_cf-(((cx1_cf+2*J22)*(((B_cf-cy1_cf)/2)+cy1_cf)+cx1_cf*J22+PI()*J22^2/2)*((wa_cf+wb_cf*(x1_cf)/1000)/Bm_cf))/1E6)*1000/((cx1_cf+PI()*J22+2*(((B_cf-cy1_cf)/2)+cy1_cf))*dp_cf)/(vRdc_p*2*dp_cf/J22),0)</f>
        <v/>
      </c>
      <c r="M22">
        <f>IFERROR(beta_cf*MAX(0,P1_cf-(((cx1_cf+2*K22)*(((B_cf-cy1_cf)/2)+cy1_cf)+cx1_cf*K22+PI()*K22^2/2)*((wa_cf+wb_cf*(x1_cf)/1000)/Bm_cf))/1E6)*1000/((cx1_cf+PI()*K22+2*(((B_cf-cy1_cf)/2)+cy1_cf))*dp_cf)/(vRdc_p*2*dp_cf/K22),0)</f>
        <v/>
      </c>
      <c r="O22">
        <f>IF(S21&lt;T21,Q21,O21)</f>
        <v/>
      </c>
      <c r="P22">
        <f>IF(S21&lt;T21,P21,R21)</f>
        <v/>
      </c>
      <c r="Q22">
        <f>P22-((SQRT(5)-1)/2)*(P22-O22)</f>
        <v/>
      </c>
      <c r="R22">
        <f>O22+((SQRT(5)-1)/2)*(P22-O22)</f>
        <v/>
      </c>
      <c r="S22">
        <f>IFERROR(beta_cf*MAX(0,P1_cf-(((x1_cf-cx1_cf/2)+cx1_cf)*(((B_cf-cy1_cf)/2)+cy1_cf+Q22)*((wa_cf+wb_cf*((x1_cf+cx1_cf/2)/2)/1000)/Bm_cf)+(((B_cf-cy1_cf)/2)+cy1_cf)*Q22*((wa_cf+wb_cf*((x1_cf+cx1_cf/2)+Q22/2)/1000)/Bm_cf)+PI()*Q22^2/4*((wa_cf+wb_cf*((x1_cf+cx1_cf/2)+4*Q22/(3*PI()))/1000)/Bm_cf))/1E6)*1000/(((x1_cf-cx1_cf/2)+cx1_cf+((B_cf-cy1_cf)/2)+cy1_cf+PI()*Q22/2)*dp_cf)/(vRdc_p*2*dp_cf/Q22),0)</f>
        <v/>
      </c>
      <c r="T22">
        <f>IFERROR(beta_cf*MAX(0,P1_cf-(((x1_cf-cx1_cf/2)+cx1_cf)*(((B_cf-cy1_cf)/2)+cy1_cf+R22)*((wa_cf+wb_cf*((x1_cf+cx1_cf/2)/2)/1000)/Bm_cf)+(((B_cf-cy1_cf)/2)+cy1_cf)*R22*((wa_cf+wb_cf*((x1_cf+cx1_cf/2)+R22/2)/1000)/Bm_cf)+PI()*R22^2/4*((wa_cf+wb_cf*((x1_cf+cx1_cf/2)+4*R22/(3*PI()))/1000)/Bm_cf))/1E6)*1000/(((x1_cf-cx1_cf/2)+cx1_cf+((B_cf-cy1_cf)/2)+cy1_cf+PI()*R22/2)*dp_cf)/(vRdc_p*2*dp_cf/R22),0)</f>
        <v/>
      </c>
      <c r="V22">
        <f>IF(Z21&lt;AA21,X21,V21)</f>
        <v/>
      </c>
      <c r="W22">
        <f>IF(Z21&lt;AA21,W21,Y21)</f>
        <v/>
      </c>
      <c r="X22">
        <f>W22-((SQRT(5)-1)/2)*(W22-V22)</f>
        <v/>
      </c>
      <c r="Y22">
        <f>V22+((SQRT(5)-1)/2)*(W22-V22)</f>
        <v/>
      </c>
      <c r="Z22">
        <f>IFERROR(beta_cf*MAX(0,P2_cf-(((L_cf-x2_cf-cx2_cf/2)+cx2_cf)*(cy2_cf+2*X22)*((wa_cf+wb_cf*(((x2_cf-cx2_cf/2)+L_cf)/2)/1000)/Bm_cf)+cy2_cf*X22*((wa_cf+wb_cf*((x2_cf-cx2_cf/2)-X22/2)/1000)/Bm_cf)+PI()*X22^2/2*((wa_cf+wb_cf*((x2_cf-cx2_cf/2)-4*X22/(3*PI()))/1000)/Bm_cf))/1E6)*1000/((cy2_cf+PI()*X22+2*((L_cf-x2_cf-cx2_cf/2)+cx2_cf))*dp_cf)/(vRdc_p*2*dp_cf/X22),0)</f>
        <v/>
      </c>
      <c r="AA22">
        <f>IFERROR(beta_cf*MAX(0,P2_cf-(((L_cf-x2_cf-cx2_cf/2)+cx2_cf)*(cy2_cf+2*Y22)*((wa_cf+wb_cf*(((x2_cf-cx2_cf/2)+L_cf)/2)/1000)/Bm_cf)+cy2_cf*Y22*((wa_cf+wb_cf*((x2_cf-cx2_cf/2)-Y22/2)/1000)/Bm_cf)+PI()*Y22^2/2*((wa_cf+wb_cf*((x2_cf-cx2_cf/2)-4*Y22/(3*PI()))/1000)/Bm_cf))/1E6)*1000/((cy2_cf+PI()*Y22+2*((L_cf-x2_cf-cx2_cf/2)+cx2_cf))*dp_cf)/(vRdc_p*2*dp_cf/Y22),0)</f>
        <v/>
      </c>
      <c r="AC22">
        <f>IF(AG21&lt;AH21,AE21,AC21)</f>
        <v/>
      </c>
      <c r="AD22">
        <f>IF(AG21&lt;AH21,AD21,AF21)</f>
        <v/>
      </c>
      <c r="AE22">
        <f>AD22-((SQRT(5)-1)/2)*(AD22-AC22)</f>
        <v/>
      </c>
      <c r="AF22">
        <f>AC22+((SQRT(5)-1)/2)*(AD22-AC22)</f>
        <v/>
      </c>
      <c r="AG22">
        <f>IFERROR(beta_cf*MAX(0,P2_cf-(((cx2_cf+2*AE22)*(((B_cf-cy2_cf)/2)+cy2_cf)+cx2_cf*AE22+PI()*AE22^2/2)*((wa_cf+wb_cf*(x2_cf)/1000)/Bm_cf))/1E6)*1000/((cx2_cf+PI()*AE22+2*(((B_cf-cy2_cf)/2)+cy2_cf))*dp_cf)/(vRdc_p*2*dp_cf/AE22),0)</f>
        <v/>
      </c>
      <c r="AH22">
        <f>IFERROR(beta_cf*MAX(0,P2_cf-(((cx2_cf+2*AF22)*(((B_cf-cy2_cf)/2)+cy2_cf)+cx2_cf*AF22+PI()*AF22^2/2)*((wa_cf+wb_cf*(x2_cf)/1000)/Bm_cf))/1E6)*1000/((cx2_cf+PI()*AF22+2*(((B_cf-cy2_cf)/2)+cy2_cf))*dp_cf)/(vRdc_p*2*dp_cf/AF22),0)</f>
        <v/>
      </c>
      <c r="AJ22">
        <f>IF(AN21&lt;AO21,AL21,AJ21)</f>
        <v/>
      </c>
      <c r="AK22">
        <f>IF(AN21&lt;AO21,AK21,AM21)</f>
        <v/>
      </c>
      <c r="AL22">
        <f>AK22-((SQRT(5)-1)/2)*(AK22-AJ22)</f>
        <v/>
      </c>
      <c r="AM22">
        <f>AJ22+((SQRT(5)-1)/2)*(AK22-AJ22)</f>
        <v/>
      </c>
      <c r="AN22">
        <f>IFERROR(beta_cf*MAX(0,P2_cf-(((L_cf-x2_cf-cx2_cf/2)+cx2_cf)*(((B_cf-cy2_cf)/2)+cy2_cf+AL22)*((wa_cf+wb_cf*(((x2_cf-cx2_cf/2)+L_cf)/2)/1000)/Bm_cf)+(((B_cf-cy2_cf)/2)+cy2_cf)*AL22*((wa_cf+wb_cf*((x2_cf-cx2_cf/2)-AL22/2)/1000)/Bm_cf)+PI()*AL22^2/4*((wa_cf+wb_cf*((x2_cf-cx2_cf/2)-4*AL22/(3*PI()))/1000)/Bm_cf))/1E6)*1000/(((L_cf-x2_cf-cx2_cf/2)+cx2_cf+((B_cf-cy2_cf)/2)+cy2_cf+PI()*AL22/2)*dp_cf)/(vRdc_p*2*dp_cf/AL22),0)</f>
        <v/>
      </c>
      <c r="AO22">
        <f>IFERROR(beta_cf*MAX(0,P2_cf-(((L_cf-x2_cf-cx2_cf/2)+cx2_cf)*(((B_cf-cy2_cf)/2)+cy2_cf+AM22)*((wa_cf+wb_cf*(((x2_cf-cx2_cf/2)+L_cf)/2)/1000)/Bm_cf)+(((B_cf-cy2_cf)/2)+cy2_cf)*AM22*((wa_cf+wb_cf*((x2_cf-cx2_cf/2)-AM22/2)/1000)/Bm_cf)+PI()*AM22^2/4*((wa_cf+wb_cf*((x2_cf-cx2_cf/2)-4*AM22/(3*PI()))/1000)/Bm_cf))/1E6)*1000/(((L_cf-x2_cf-cx2_cf/2)+cx2_cf+((B_cf-cy2_cf)/2)+cy2_cf+PI()*AM22/2)*dp_cf)/(vRdc_p*2*dp_cf/AM22),0)</f>
        <v/>
      </c>
    </row>
    <row r="23">
      <c r="A23">
        <f>IF(E22&lt;F22,C22,A22)</f>
        <v/>
      </c>
      <c r="B23">
        <f>IF(E22&lt;F22,B22,D22)</f>
        <v/>
      </c>
      <c r="C23">
        <f>B23-((SQRT(5)-1)/2)*(B23-A23)</f>
        <v/>
      </c>
      <c r="D23">
        <f>A23+((SQRT(5)-1)/2)*(B23-A23)</f>
        <v/>
      </c>
      <c r="E23">
        <f>IFERROR(beta_cf*MAX(0,P1_cf-(((x1_cf-cx1_cf/2)+cx1_cf)*(cy1_cf+2*C23)*((wa_cf+wb_cf*((x1_cf+cx1_cf/2)/2)/1000)/Bm_cf)+cy1_cf*C23*((wa_cf+wb_cf*((x1_cf+cx1_cf/2)+C23/2)/1000)/Bm_cf)+PI()*C23^2/2*((wa_cf+wb_cf*((x1_cf+cx1_cf/2)+4*C23/(3*PI()))/1000)/Bm_cf))/1E6)*1000/((cy1_cf+PI()*C23+2*((x1_cf-cx1_cf/2)+cx1_cf))*dp_cf)/(vRdc_p*2*dp_cf/C23),0)</f>
        <v/>
      </c>
      <c r="F23">
        <f>IFERROR(beta_cf*MAX(0,P1_cf-(((x1_cf-cx1_cf/2)+cx1_cf)*(cy1_cf+2*D23)*((wa_cf+wb_cf*((x1_cf+cx1_cf/2)/2)/1000)/Bm_cf)+cy1_cf*D23*((wa_cf+wb_cf*((x1_cf+cx1_cf/2)+D23/2)/1000)/Bm_cf)+PI()*D23^2/2*((wa_cf+wb_cf*((x1_cf+cx1_cf/2)+4*D23/(3*PI()))/1000)/Bm_cf))/1E6)*1000/((cy1_cf+PI()*D23+2*((x1_cf-cx1_cf/2)+cx1_cf))*dp_cf)/(vRdc_p*2*dp_cf/D23),0)</f>
        <v/>
      </c>
      <c r="H23">
        <f>IF(L22&lt;M22,J22,H22)</f>
        <v/>
      </c>
      <c r="I23">
        <f>IF(L22&lt;M22,I22,K22)</f>
        <v/>
      </c>
      <c r="J23">
        <f>I23-((SQRT(5)-1)/2)*(I23-H23)</f>
        <v/>
      </c>
      <c r="K23">
        <f>H23+((SQRT(5)-1)/2)*(I23-H23)</f>
        <v/>
      </c>
      <c r="L23">
        <f>IFERROR(beta_cf*MAX(0,P1_cf-(((cx1_cf+2*J23)*(((B_cf-cy1_cf)/2)+cy1_cf)+cx1_cf*J23+PI()*J23^2/2)*((wa_cf+wb_cf*(x1_cf)/1000)/Bm_cf))/1E6)*1000/((cx1_cf+PI()*J23+2*(((B_cf-cy1_cf)/2)+cy1_cf))*dp_cf)/(vRdc_p*2*dp_cf/J23),0)</f>
        <v/>
      </c>
      <c r="M23">
        <f>IFERROR(beta_cf*MAX(0,P1_cf-(((cx1_cf+2*K23)*(((B_cf-cy1_cf)/2)+cy1_cf)+cx1_cf*K23+PI()*K23^2/2)*((wa_cf+wb_cf*(x1_cf)/1000)/Bm_cf))/1E6)*1000/((cx1_cf+PI()*K23+2*(((B_cf-cy1_cf)/2)+cy1_cf))*dp_cf)/(vRdc_p*2*dp_cf/K23),0)</f>
        <v/>
      </c>
      <c r="O23">
        <f>IF(S22&lt;T22,Q22,O22)</f>
        <v/>
      </c>
      <c r="P23">
        <f>IF(S22&lt;T22,P22,R22)</f>
        <v/>
      </c>
      <c r="Q23">
        <f>P23-((SQRT(5)-1)/2)*(P23-O23)</f>
        <v/>
      </c>
      <c r="R23">
        <f>O23+((SQRT(5)-1)/2)*(P23-O23)</f>
        <v/>
      </c>
      <c r="S23">
        <f>IFERROR(beta_cf*MAX(0,P1_cf-(((x1_cf-cx1_cf/2)+cx1_cf)*(((B_cf-cy1_cf)/2)+cy1_cf+Q23)*((wa_cf+wb_cf*((x1_cf+cx1_cf/2)/2)/1000)/Bm_cf)+(((B_cf-cy1_cf)/2)+cy1_cf)*Q23*((wa_cf+wb_cf*((x1_cf+cx1_cf/2)+Q23/2)/1000)/Bm_cf)+PI()*Q23^2/4*((wa_cf+wb_cf*((x1_cf+cx1_cf/2)+4*Q23/(3*PI()))/1000)/Bm_cf))/1E6)*1000/(((x1_cf-cx1_cf/2)+cx1_cf+((B_cf-cy1_cf)/2)+cy1_cf+PI()*Q23/2)*dp_cf)/(vRdc_p*2*dp_cf/Q23),0)</f>
        <v/>
      </c>
      <c r="T23">
        <f>IFERROR(beta_cf*MAX(0,P1_cf-(((x1_cf-cx1_cf/2)+cx1_cf)*(((B_cf-cy1_cf)/2)+cy1_cf+R23)*((wa_cf+wb_cf*((x1_cf+cx1_cf/2)/2)/1000)/Bm_cf)+(((B_cf-cy1_cf)/2)+cy1_cf)*R23*((wa_cf+wb_cf*((x1_cf+cx1_cf/2)+R23/2)/1000)/Bm_cf)+PI()*R23^2/4*((wa_cf+wb_cf*((x1_cf+cx1_cf/2)+4*R23/(3*PI()))/1000)/Bm_cf))/1E6)*1000/(((x1_cf-cx1_cf/2)+cx1_cf+((B_cf-cy1_cf)/2)+cy1_cf+PI()*R23/2)*dp_cf)/(vRdc_p*2*dp_cf/R23),0)</f>
        <v/>
      </c>
      <c r="V23">
        <f>IF(Z22&lt;AA22,X22,V22)</f>
        <v/>
      </c>
      <c r="W23">
        <f>IF(Z22&lt;AA22,W22,Y22)</f>
        <v/>
      </c>
      <c r="X23">
        <f>W23-((SQRT(5)-1)/2)*(W23-V23)</f>
        <v/>
      </c>
      <c r="Y23">
        <f>V23+((SQRT(5)-1)/2)*(W23-V23)</f>
        <v/>
      </c>
      <c r="Z23">
        <f>IFERROR(beta_cf*MAX(0,P2_cf-(((L_cf-x2_cf-cx2_cf/2)+cx2_cf)*(cy2_cf+2*X23)*((wa_cf+wb_cf*(((x2_cf-cx2_cf/2)+L_cf)/2)/1000)/Bm_cf)+cy2_cf*X23*((wa_cf+wb_cf*((x2_cf-cx2_cf/2)-X23/2)/1000)/Bm_cf)+PI()*X23^2/2*((wa_cf+wb_cf*((x2_cf-cx2_cf/2)-4*X23/(3*PI()))/1000)/Bm_cf))/1E6)*1000/((cy2_cf+PI()*X23+2*((L_cf-x2_cf-cx2_cf/2)+cx2_cf))*dp_cf)/(vRdc_p*2*dp_cf/X23),0)</f>
        <v/>
      </c>
      <c r="AA23">
        <f>IFERROR(beta_cf*MAX(0,P2_cf-(((L_cf-x2_cf-cx2_cf/2)+cx2_cf)*(cy2_cf+2*Y23)*((wa_cf+wb_cf*(((x2_cf-cx2_cf/2)+L_cf)/2)/1000)/Bm_cf)+cy2_cf*Y23*((wa_cf+wb_cf*((x2_cf-cx2_cf/2)-Y23/2)/1000)/Bm_cf)+PI()*Y23^2/2*((wa_cf+wb_cf*((x2_cf-cx2_cf/2)-4*Y23/(3*PI()))/1000)/Bm_cf))/1E6)*1000/((cy2_cf+PI()*Y23+2*((L_cf-x2_cf-cx2_cf/2)+cx2_cf))*dp_cf)/(vRdc_p*2*dp_cf/Y23),0)</f>
        <v/>
      </c>
      <c r="AC23">
        <f>IF(AG22&lt;AH22,AE22,AC22)</f>
        <v/>
      </c>
      <c r="AD23">
        <f>IF(AG22&lt;AH22,AD22,AF22)</f>
        <v/>
      </c>
      <c r="AE23">
        <f>AD23-((SQRT(5)-1)/2)*(AD23-AC23)</f>
        <v/>
      </c>
      <c r="AF23">
        <f>AC23+((SQRT(5)-1)/2)*(AD23-AC23)</f>
        <v/>
      </c>
      <c r="AG23">
        <f>IFERROR(beta_cf*MAX(0,P2_cf-(((cx2_cf+2*AE23)*(((B_cf-cy2_cf)/2)+cy2_cf)+cx2_cf*AE23+PI()*AE23^2/2)*((wa_cf+wb_cf*(x2_cf)/1000)/Bm_cf))/1E6)*1000/((cx2_cf+PI()*AE23+2*(((B_cf-cy2_cf)/2)+cy2_cf))*dp_cf)/(vRdc_p*2*dp_cf/AE23),0)</f>
        <v/>
      </c>
      <c r="AH23">
        <f>IFERROR(beta_cf*MAX(0,P2_cf-(((cx2_cf+2*AF23)*(((B_cf-cy2_cf)/2)+cy2_cf)+cx2_cf*AF23+PI()*AF23^2/2)*((wa_cf+wb_cf*(x2_cf)/1000)/Bm_cf))/1E6)*1000/((cx2_cf+PI()*AF23+2*(((B_cf-cy2_cf)/2)+cy2_cf))*dp_cf)/(vRdc_p*2*dp_cf/AF23),0)</f>
        <v/>
      </c>
      <c r="AJ23">
        <f>IF(AN22&lt;AO22,AL22,AJ22)</f>
        <v/>
      </c>
      <c r="AK23">
        <f>IF(AN22&lt;AO22,AK22,AM22)</f>
        <v/>
      </c>
      <c r="AL23">
        <f>AK23-((SQRT(5)-1)/2)*(AK23-AJ23)</f>
        <v/>
      </c>
      <c r="AM23">
        <f>AJ23+((SQRT(5)-1)/2)*(AK23-AJ23)</f>
        <v/>
      </c>
      <c r="AN23">
        <f>IFERROR(beta_cf*MAX(0,P2_cf-(((L_cf-x2_cf-cx2_cf/2)+cx2_cf)*(((B_cf-cy2_cf)/2)+cy2_cf+AL23)*((wa_cf+wb_cf*(((x2_cf-cx2_cf/2)+L_cf)/2)/1000)/Bm_cf)+(((B_cf-cy2_cf)/2)+cy2_cf)*AL23*((wa_cf+wb_cf*((x2_cf-cx2_cf/2)-AL23/2)/1000)/Bm_cf)+PI()*AL23^2/4*((wa_cf+wb_cf*((x2_cf-cx2_cf/2)-4*AL23/(3*PI()))/1000)/Bm_cf))/1E6)*1000/(((L_cf-x2_cf-cx2_cf/2)+cx2_cf+((B_cf-cy2_cf)/2)+cy2_cf+PI()*AL23/2)*dp_cf)/(vRdc_p*2*dp_cf/AL23),0)</f>
        <v/>
      </c>
      <c r="AO23">
        <f>IFERROR(beta_cf*MAX(0,P2_cf-(((L_cf-x2_cf-cx2_cf/2)+cx2_cf)*(((B_cf-cy2_cf)/2)+cy2_cf+AM23)*((wa_cf+wb_cf*(((x2_cf-cx2_cf/2)+L_cf)/2)/1000)/Bm_cf)+(((B_cf-cy2_cf)/2)+cy2_cf)*AM23*((wa_cf+wb_cf*((x2_cf-cx2_cf/2)-AM23/2)/1000)/Bm_cf)+PI()*AM23^2/4*((wa_cf+wb_cf*((x2_cf-cx2_cf/2)-4*AM23/(3*PI()))/1000)/Bm_cf))/1E6)*1000/(((L_cf-x2_cf-cx2_cf/2)+cx2_cf+((B_cf-cy2_cf)/2)+cy2_cf+PI()*AM23/2)*dp_cf)/(vRdc_p*2*dp_cf/AM23),0)</f>
        <v/>
      </c>
    </row>
    <row r="24">
      <c r="A24">
        <f>IF(E23&lt;F23,C23,A23)</f>
        <v/>
      </c>
      <c r="B24">
        <f>IF(E23&lt;F23,B23,D23)</f>
        <v/>
      </c>
      <c r="C24">
        <f>B24-((SQRT(5)-1)/2)*(B24-A24)</f>
        <v/>
      </c>
      <c r="D24">
        <f>A24+((SQRT(5)-1)/2)*(B24-A24)</f>
        <v/>
      </c>
      <c r="E24">
        <f>IFERROR(beta_cf*MAX(0,P1_cf-(((x1_cf-cx1_cf/2)+cx1_cf)*(cy1_cf+2*C24)*((wa_cf+wb_cf*((x1_cf+cx1_cf/2)/2)/1000)/Bm_cf)+cy1_cf*C24*((wa_cf+wb_cf*((x1_cf+cx1_cf/2)+C24/2)/1000)/Bm_cf)+PI()*C24^2/2*((wa_cf+wb_cf*((x1_cf+cx1_cf/2)+4*C24/(3*PI()))/1000)/Bm_cf))/1E6)*1000/((cy1_cf+PI()*C24+2*((x1_cf-cx1_cf/2)+cx1_cf))*dp_cf)/(vRdc_p*2*dp_cf/C24),0)</f>
        <v/>
      </c>
      <c r="F24">
        <f>IFERROR(beta_cf*MAX(0,P1_cf-(((x1_cf-cx1_cf/2)+cx1_cf)*(cy1_cf+2*D24)*((wa_cf+wb_cf*((x1_cf+cx1_cf/2)/2)/1000)/Bm_cf)+cy1_cf*D24*((wa_cf+wb_cf*((x1_cf+cx1_cf/2)+D24/2)/1000)/Bm_cf)+PI()*D24^2/2*((wa_cf+wb_cf*((x1_cf+cx1_cf/2)+4*D24/(3*PI()))/1000)/Bm_cf))/1E6)*1000/((cy1_cf+PI()*D24+2*((x1_cf-cx1_cf/2)+cx1_cf))*dp_cf)/(vRdc_p*2*dp_cf/D24),0)</f>
        <v/>
      </c>
      <c r="H24">
        <f>IF(L23&lt;M23,J23,H23)</f>
        <v/>
      </c>
      <c r="I24">
        <f>IF(L23&lt;M23,I23,K23)</f>
        <v/>
      </c>
      <c r="J24">
        <f>I24-((SQRT(5)-1)/2)*(I24-H24)</f>
        <v/>
      </c>
      <c r="K24">
        <f>H24+((SQRT(5)-1)/2)*(I24-H24)</f>
        <v/>
      </c>
      <c r="L24">
        <f>IFERROR(beta_cf*MAX(0,P1_cf-(((cx1_cf+2*J24)*(((B_cf-cy1_cf)/2)+cy1_cf)+cx1_cf*J24+PI()*J24^2/2)*((wa_cf+wb_cf*(x1_cf)/1000)/Bm_cf))/1E6)*1000/((cx1_cf+PI()*J24+2*(((B_cf-cy1_cf)/2)+cy1_cf))*dp_cf)/(vRdc_p*2*dp_cf/J24),0)</f>
        <v/>
      </c>
      <c r="M24">
        <f>IFERROR(beta_cf*MAX(0,P1_cf-(((cx1_cf+2*K24)*(((B_cf-cy1_cf)/2)+cy1_cf)+cx1_cf*K24+PI()*K24^2/2)*((wa_cf+wb_cf*(x1_cf)/1000)/Bm_cf))/1E6)*1000/((cx1_cf+PI()*K24+2*(((B_cf-cy1_cf)/2)+cy1_cf))*dp_cf)/(vRdc_p*2*dp_cf/K24),0)</f>
        <v/>
      </c>
      <c r="O24">
        <f>IF(S23&lt;T23,Q23,O23)</f>
        <v/>
      </c>
      <c r="P24">
        <f>IF(S23&lt;T23,P23,R23)</f>
        <v/>
      </c>
      <c r="Q24">
        <f>P24-((SQRT(5)-1)/2)*(P24-O24)</f>
        <v/>
      </c>
      <c r="R24">
        <f>O24+((SQRT(5)-1)/2)*(P24-O24)</f>
        <v/>
      </c>
      <c r="S24">
        <f>IFERROR(beta_cf*MAX(0,P1_cf-(((x1_cf-cx1_cf/2)+cx1_cf)*(((B_cf-cy1_cf)/2)+cy1_cf+Q24)*((wa_cf+wb_cf*((x1_cf+cx1_cf/2)/2)/1000)/Bm_cf)+(((B_cf-cy1_cf)/2)+cy1_cf)*Q24*((wa_cf+wb_cf*((x1_cf+cx1_cf/2)+Q24/2)/1000)/Bm_cf)+PI()*Q24^2/4*((wa_cf+wb_cf*((x1_cf+cx1_cf/2)+4*Q24/(3*PI()))/1000)/Bm_cf))/1E6)*1000/(((x1_cf-cx1_cf/2)+cx1_cf+((B_cf-cy1_cf)/2)+cy1_cf+PI()*Q24/2)*dp_cf)/(vRdc_p*2*dp_cf/Q24),0)</f>
        <v/>
      </c>
      <c r="T24">
        <f>IFERROR(beta_cf*MAX(0,P1_cf-(((x1_cf-cx1_cf/2)+cx1_cf)*(((B_cf-cy1_cf)/2)+cy1_cf+R24)*((wa_cf+wb_cf*((x1_cf+cx1_cf/2)/2)/1000)/Bm_cf)+(((B_cf-cy1_cf)/2)+cy1_cf)*R24*((wa_cf+wb_cf*((x1_cf+cx1_cf/2)+R24/2)/1000)/Bm_cf)+PI()*R24^2/4*((wa_cf+wb_cf*((x1_cf+cx1_cf/2)+4*R24/(3*PI()))/1000)/Bm_cf))/1E6)*1000/(((x1_cf-cx1_cf/2)+cx1_cf+((B_cf-cy1_cf)/2)+cy1_cf+PI()*R24/2)*dp_cf)/(vRdc_p*2*dp_cf/R24),0)</f>
        <v/>
      </c>
      <c r="V24">
        <f>IF(Z23&lt;AA23,X23,V23)</f>
        <v/>
      </c>
      <c r="W24">
        <f>IF(Z23&lt;AA23,W23,Y23)</f>
        <v/>
      </c>
      <c r="X24">
        <f>W24-((SQRT(5)-1)/2)*(W24-V24)</f>
        <v/>
      </c>
      <c r="Y24">
        <f>V24+((SQRT(5)-1)/2)*(W24-V24)</f>
        <v/>
      </c>
      <c r="Z24">
        <f>IFERROR(beta_cf*MAX(0,P2_cf-(((L_cf-x2_cf-cx2_cf/2)+cx2_cf)*(cy2_cf+2*X24)*((wa_cf+wb_cf*(((x2_cf-cx2_cf/2)+L_cf)/2)/1000)/Bm_cf)+cy2_cf*X24*((wa_cf+wb_cf*((x2_cf-cx2_cf/2)-X24/2)/1000)/Bm_cf)+PI()*X24^2/2*((wa_cf+wb_cf*((x2_cf-cx2_cf/2)-4*X24/(3*PI()))/1000)/Bm_cf))/1E6)*1000/((cy2_cf+PI()*X24+2*((L_cf-x2_cf-cx2_cf/2)+cx2_cf))*dp_cf)/(vRdc_p*2*dp_cf/X24),0)</f>
        <v/>
      </c>
      <c r="AA24">
        <f>IFERROR(beta_cf*MAX(0,P2_cf-(((L_cf-x2_cf-cx2_cf/2)+cx2_cf)*(cy2_cf+2*Y24)*((wa_cf+wb_cf*(((x2_cf-cx2_cf/2)+L_cf)/2)/1000)/Bm_cf)+cy2_cf*Y24*((wa_cf+wb_cf*((x2_cf-cx2_cf/2)-Y24/2)/1000)/Bm_cf)+PI()*Y24^2/2*((wa_cf+wb_cf*((x2_cf-cx2_cf/2)-4*Y24/(3*PI()))/1000)/Bm_cf))/1E6)*1000/((cy2_cf+PI()*Y24+2*((L_cf-x2_cf-cx2_cf/2)+cx2_cf))*dp_cf)/(vRdc_p*2*dp_cf/Y24),0)</f>
        <v/>
      </c>
      <c r="AC24">
        <f>IF(AG23&lt;AH23,AE23,AC23)</f>
        <v/>
      </c>
      <c r="AD24">
        <f>IF(AG23&lt;AH23,AD23,AF23)</f>
        <v/>
      </c>
      <c r="AE24">
        <f>AD24-((SQRT(5)-1)/2)*(AD24-AC24)</f>
        <v/>
      </c>
      <c r="AF24">
        <f>AC24+((SQRT(5)-1)/2)*(AD24-AC24)</f>
        <v/>
      </c>
      <c r="AG24">
        <f>IFERROR(beta_cf*MAX(0,P2_cf-(((cx2_cf+2*AE24)*(((B_cf-cy2_cf)/2)+cy2_cf)+cx2_cf*AE24+PI()*AE24^2/2)*((wa_cf+wb_cf*(x2_cf)/1000)/Bm_cf))/1E6)*1000/((cx2_cf+PI()*AE24+2*(((B_cf-cy2_cf)/2)+cy2_cf))*dp_cf)/(vRdc_p*2*dp_cf/AE24),0)</f>
        <v/>
      </c>
      <c r="AH24">
        <f>IFERROR(beta_cf*MAX(0,P2_cf-(((cx2_cf+2*AF24)*(((B_cf-cy2_cf)/2)+cy2_cf)+cx2_cf*AF24+PI()*AF24^2/2)*((wa_cf+wb_cf*(x2_cf)/1000)/Bm_cf))/1E6)*1000/((cx2_cf+PI()*AF24+2*(((B_cf-cy2_cf)/2)+cy2_cf))*dp_cf)/(vRdc_p*2*dp_cf/AF24),0)</f>
        <v/>
      </c>
      <c r="AJ24">
        <f>IF(AN23&lt;AO23,AL23,AJ23)</f>
        <v/>
      </c>
      <c r="AK24">
        <f>IF(AN23&lt;AO23,AK23,AM23)</f>
        <v/>
      </c>
      <c r="AL24">
        <f>AK24-((SQRT(5)-1)/2)*(AK24-AJ24)</f>
        <v/>
      </c>
      <c r="AM24">
        <f>AJ24+((SQRT(5)-1)/2)*(AK24-AJ24)</f>
        <v/>
      </c>
      <c r="AN24">
        <f>IFERROR(beta_cf*MAX(0,P2_cf-(((L_cf-x2_cf-cx2_cf/2)+cx2_cf)*(((B_cf-cy2_cf)/2)+cy2_cf+AL24)*((wa_cf+wb_cf*(((x2_cf-cx2_cf/2)+L_cf)/2)/1000)/Bm_cf)+(((B_cf-cy2_cf)/2)+cy2_cf)*AL24*((wa_cf+wb_cf*((x2_cf-cx2_cf/2)-AL24/2)/1000)/Bm_cf)+PI()*AL24^2/4*((wa_cf+wb_cf*((x2_cf-cx2_cf/2)-4*AL24/(3*PI()))/1000)/Bm_cf))/1E6)*1000/(((L_cf-x2_cf-cx2_cf/2)+cx2_cf+((B_cf-cy2_cf)/2)+cy2_cf+PI()*AL24/2)*dp_cf)/(vRdc_p*2*dp_cf/AL24),0)</f>
        <v/>
      </c>
      <c r="AO24">
        <f>IFERROR(beta_cf*MAX(0,P2_cf-(((L_cf-x2_cf-cx2_cf/2)+cx2_cf)*(((B_cf-cy2_cf)/2)+cy2_cf+AM24)*((wa_cf+wb_cf*(((x2_cf-cx2_cf/2)+L_cf)/2)/1000)/Bm_cf)+(((B_cf-cy2_cf)/2)+cy2_cf)*AM24*((wa_cf+wb_cf*((x2_cf-cx2_cf/2)-AM24/2)/1000)/Bm_cf)+PI()*AM24^2/4*((wa_cf+wb_cf*((x2_cf-cx2_cf/2)-4*AM24/(3*PI()))/1000)/Bm_cf))/1E6)*1000/(((L_cf-x2_cf-cx2_cf/2)+cx2_cf+((B_cf-cy2_cf)/2)+cy2_cf+PI()*AM24/2)*dp_cf)/(vRdc_p*2*dp_cf/AM24),0)</f>
        <v/>
      </c>
    </row>
    <row r="25">
      <c r="A25">
        <f>IF(E24&lt;F24,C24,A24)</f>
        <v/>
      </c>
      <c r="B25">
        <f>IF(E24&lt;F24,B24,D24)</f>
        <v/>
      </c>
      <c r="C25">
        <f>B25-((SQRT(5)-1)/2)*(B25-A25)</f>
        <v/>
      </c>
      <c r="D25">
        <f>A25+((SQRT(5)-1)/2)*(B25-A25)</f>
        <v/>
      </c>
      <c r="E25">
        <f>IFERROR(beta_cf*MAX(0,P1_cf-(((x1_cf-cx1_cf/2)+cx1_cf)*(cy1_cf+2*C25)*((wa_cf+wb_cf*((x1_cf+cx1_cf/2)/2)/1000)/Bm_cf)+cy1_cf*C25*((wa_cf+wb_cf*((x1_cf+cx1_cf/2)+C25/2)/1000)/Bm_cf)+PI()*C25^2/2*((wa_cf+wb_cf*((x1_cf+cx1_cf/2)+4*C25/(3*PI()))/1000)/Bm_cf))/1E6)*1000/((cy1_cf+PI()*C25+2*((x1_cf-cx1_cf/2)+cx1_cf))*dp_cf)/(vRdc_p*2*dp_cf/C25),0)</f>
        <v/>
      </c>
      <c r="F25">
        <f>IFERROR(beta_cf*MAX(0,P1_cf-(((x1_cf-cx1_cf/2)+cx1_cf)*(cy1_cf+2*D25)*((wa_cf+wb_cf*((x1_cf+cx1_cf/2)/2)/1000)/Bm_cf)+cy1_cf*D25*((wa_cf+wb_cf*((x1_cf+cx1_cf/2)+D25/2)/1000)/Bm_cf)+PI()*D25^2/2*((wa_cf+wb_cf*((x1_cf+cx1_cf/2)+4*D25/(3*PI()))/1000)/Bm_cf))/1E6)*1000/((cy1_cf+PI()*D25+2*((x1_cf-cx1_cf/2)+cx1_cf))*dp_cf)/(vRdc_p*2*dp_cf/D25),0)</f>
        <v/>
      </c>
      <c r="H25">
        <f>IF(L24&lt;M24,J24,H24)</f>
        <v/>
      </c>
      <c r="I25">
        <f>IF(L24&lt;M24,I24,K24)</f>
        <v/>
      </c>
      <c r="J25">
        <f>I25-((SQRT(5)-1)/2)*(I25-H25)</f>
        <v/>
      </c>
      <c r="K25">
        <f>H25+((SQRT(5)-1)/2)*(I25-H25)</f>
        <v/>
      </c>
      <c r="L25">
        <f>IFERROR(beta_cf*MAX(0,P1_cf-(((cx1_cf+2*J25)*(((B_cf-cy1_cf)/2)+cy1_cf)+cx1_cf*J25+PI()*J25^2/2)*((wa_cf+wb_cf*(x1_cf)/1000)/Bm_cf))/1E6)*1000/((cx1_cf+PI()*J25+2*(((B_cf-cy1_cf)/2)+cy1_cf))*dp_cf)/(vRdc_p*2*dp_cf/J25),0)</f>
        <v/>
      </c>
      <c r="M25">
        <f>IFERROR(beta_cf*MAX(0,P1_cf-(((cx1_cf+2*K25)*(((B_cf-cy1_cf)/2)+cy1_cf)+cx1_cf*K25+PI()*K25^2/2)*((wa_cf+wb_cf*(x1_cf)/1000)/Bm_cf))/1E6)*1000/((cx1_cf+PI()*K25+2*(((B_cf-cy1_cf)/2)+cy1_cf))*dp_cf)/(vRdc_p*2*dp_cf/K25),0)</f>
        <v/>
      </c>
      <c r="O25">
        <f>IF(S24&lt;T24,Q24,O24)</f>
        <v/>
      </c>
      <c r="P25">
        <f>IF(S24&lt;T24,P24,R24)</f>
        <v/>
      </c>
      <c r="Q25">
        <f>P25-((SQRT(5)-1)/2)*(P25-O25)</f>
        <v/>
      </c>
      <c r="R25">
        <f>O25+((SQRT(5)-1)/2)*(P25-O25)</f>
        <v/>
      </c>
      <c r="S25">
        <f>IFERROR(beta_cf*MAX(0,P1_cf-(((x1_cf-cx1_cf/2)+cx1_cf)*(((B_cf-cy1_cf)/2)+cy1_cf+Q25)*((wa_cf+wb_cf*((x1_cf+cx1_cf/2)/2)/1000)/Bm_cf)+(((B_cf-cy1_cf)/2)+cy1_cf)*Q25*((wa_cf+wb_cf*((x1_cf+cx1_cf/2)+Q25/2)/1000)/Bm_cf)+PI()*Q25^2/4*((wa_cf+wb_cf*((x1_cf+cx1_cf/2)+4*Q25/(3*PI()))/1000)/Bm_cf))/1E6)*1000/(((x1_cf-cx1_cf/2)+cx1_cf+((B_cf-cy1_cf)/2)+cy1_cf+PI()*Q25/2)*dp_cf)/(vRdc_p*2*dp_cf/Q25),0)</f>
        <v/>
      </c>
      <c r="T25">
        <f>IFERROR(beta_cf*MAX(0,P1_cf-(((x1_cf-cx1_cf/2)+cx1_cf)*(((B_cf-cy1_cf)/2)+cy1_cf+R25)*((wa_cf+wb_cf*((x1_cf+cx1_cf/2)/2)/1000)/Bm_cf)+(((B_cf-cy1_cf)/2)+cy1_cf)*R25*((wa_cf+wb_cf*((x1_cf+cx1_cf/2)+R25/2)/1000)/Bm_cf)+PI()*R25^2/4*((wa_cf+wb_cf*((x1_cf+cx1_cf/2)+4*R25/(3*PI()))/1000)/Bm_cf))/1E6)*1000/(((x1_cf-cx1_cf/2)+cx1_cf+((B_cf-cy1_cf)/2)+cy1_cf+PI()*R25/2)*dp_cf)/(vRdc_p*2*dp_cf/R25),0)</f>
        <v/>
      </c>
      <c r="V25">
        <f>IF(Z24&lt;AA24,X24,V24)</f>
        <v/>
      </c>
      <c r="W25">
        <f>IF(Z24&lt;AA24,W24,Y24)</f>
        <v/>
      </c>
      <c r="X25">
        <f>W25-((SQRT(5)-1)/2)*(W25-V25)</f>
        <v/>
      </c>
      <c r="Y25">
        <f>V25+((SQRT(5)-1)/2)*(W25-V25)</f>
        <v/>
      </c>
      <c r="Z25">
        <f>IFERROR(beta_cf*MAX(0,P2_cf-(((L_cf-x2_cf-cx2_cf/2)+cx2_cf)*(cy2_cf+2*X25)*((wa_cf+wb_cf*(((x2_cf-cx2_cf/2)+L_cf)/2)/1000)/Bm_cf)+cy2_cf*X25*((wa_cf+wb_cf*((x2_cf-cx2_cf/2)-X25/2)/1000)/Bm_cf)+PI()*X25^2/2*((wa_cf+wb_cf*((x2_cf-cx2_cf/2)-4*X25/(3*PI()))/1000)/Bm_cf))/1E6)*1000/((cy2_cf+PI()*X25+2*((L_cf-x2_cf-cx2_cf/2)+cx2_cf))*dp_cf)/(vRdc_p*2*dp_cf/X25),0)</f>
        <v/>
      </c>
      <c r="AA25">
        <f>IFERROR(beta_cf*MAX(0,P2_cf-(((L_cf-x2_cf-cx2_cf/2)+cx2_cf)*(cy2_cf+2*Y25)*((wa_cf+wb_cf*(((x2_cf-cx2_cf/2)+L_cf)/2)/1000)/Bm_cf)+cy2_cf*Y25*((wa_cf+wb_cf*((x2_cf-cx2_cf/2)-Y25/2)/1000)/Bm_cf)+PI()*Y25^2/2*((wa_cf+wb_cf*((x2_cf-cx2_cf/2)-4*Y25/(3*PI()))/1000)/Bm_cf))/1E6)*1000/((cy2_cf+PI()*Y25+2*((L_cf-x2_cf-cx2_cf/2)+cx2_cf))*dp_cf)/(vRdc_p*2*dp_cf/Y25),0)</f>
        <v/>
      </c>
      <c r="AC25">
        <f>IF(AG24&lt;AH24,AE24,AC24)</f>
        <v/>
      </c>
      <c r="AD25">
        <f>IF(AG24&lt;AH24,AD24,AF24)</f>
        <v/>
      </c>
      <c r="AE25">
        <f>AD25-((SQRT(5)-1)/2)*(AD25-AC25)</f>
        <v/>
      </c>
      <c r="AF25">
        <f>AC25+((SQRT(5)-1)/2)*(AD25-AC25)</f>
        <v/>
      </c>
      <c r="AG25">
        <f>IFERROR(beta_cf*MAX(0,P2_cf-(((cx2_cf+2*AE25)*(((B_cf-cy2_cf)/2)+cy2_cf)+cx2_cf*AE25+PI()*AE25^2/2)*((wa_cf+wb_cf*(x2_cf)/1000)/Bm_cf))/1E6)*1000/((cx2_cf+PI()*AE25+2*(((B_cf-cy2_cf)/2)+cy2_cf))*dp_cf)/(vRdc_p*2*dp_cf/AE25),0)</f>
        <v/>
      </c>
      <c r="AH25">
        <f>IFERROR(beta_cf*MAX(0,P2_cf-(((cx2_cf+2*AF25)*(((B_cf-cy2_cf)/2)+cy2_cf)+cx2_cf*AF25+PI()*AF25^2/2)*((wa_cf+wb_cf*(x2_cf)/1000)/Bm_cf))/1E6)*1000/((cx2_cf+PI()*AF25+2*(((B_cf-cy2_cf)/2)+cy2_cf))*dp_cf)/(vRdc_p*2*dp_cf/AF25),0)</f>
        <v/>
      </c>
      <c r="AJ25">
        <f>IF(AN24&lt;AO24,AL24,AJ24)</f>
        <v/>
      </c>
      <c r="AK25">
        <f>IF(AN24&lt;AO24,AK24,AM24)</f>
        <v/>
      </c>
      <c r="AL25">
        <f>AK25-((SQRT(5)-1)/2)*(AK25-AJ25)</f>
        <v/>
      </c>
      <c r="AM25">
        <f>AJ25+((SQRT(5)-1)/2)*(AK25-AJ25)</f>
        <v/>
      </c>
      <c r="AN25">
        <f>IFERROR(beta_cf*MAX(0,P2_cf-(((L_cf-x2_cf-cx2_cf/2)+cx2_cf)*(((B_cf-cy2_cf)/2)+cy2_cf+AL25)*((wa_cf+wb_cf*(((x2_cf-cx2_cf/2)+L_cf)/2)/1000)/Bm_cf)+(((B_cf-cy2_cf)/2)+cy2_cf)*AL25*((wa_cf+wb_cf*((x2_cf-cx2_cf/2)-AL25/2)/1000)/Bm_cf)+PI()*AL25^2/4*((wa_cf+wb_cf*((x2_cf-cx2_cf/2)-4*AL25/(3*PI()))/1000)/Bm_cf))/1E6)*1000/(((L_cf-x2_cf-cx2_cf/2)+cx2_cf+((B_cf-cy2_cf)/2)+cy2_cf+PI()*AL25/2)*dp_cf)/(vRdc_p*2*dp_cf/AL25),0)</f>
        <v/>
      </c>
      <c r="AO25">
        <f>IFERROR(beta_cf*MAX(0,P2_cf-(((L_cf-x2_cf-cx2_cf/2)+cx2_cf)*(((B_cf-cy2_cf)/2)+cy2_cf+AM25)*((wa_cf+wb_cf*(((x2_cf-cx2_cf/2)+L_cf)/2)/1000)/Bm_cf)+(((B_cf-cy2_cf)/2)+cy2_cf)*AM25*((wa_cf+wb_cf*((x2_cf-cx2_cf/2)-AM25/2)/1000)/Bm_cf)+PI()*AM25^2/4*((wa_cf+wb_cf*((x2_cf-cx2_cf/2)-4*AM25/(3*PI()))/1000)/Bm_cf))/1E6)*1000/(((L_cf-x2_cf-cx2_cf/2)+cx2_cf+((B_cf-cy2_cf)/2)+cy2_cf+PI()*AM25/2)*dp_cf)/(vRdc_p*2*dp_cf/AM25),0)</f>
        <v/>
      </c>
    </row>
    <row r="26">
      <c r="A26">
        <f>IF(E25&lt;F25,C25,A25)</f>
        <v/>
      </c>
      <c r="B26">
        <f>IF(E25&lt;F25,B25,D25)</f>
        <v/>
      </c>
      <c r="C26">
        <f>B26-((SQRT(5)-1)/2)*(B26-A26)</f>
        <v/>
      </c>
      <c r="D26">
        <f>A26+((SQRT(5)-1)/2)*(B26-A26)</f>
        <v/>
      </c>
      <c r="E26">
        <f>IFERROR(beta_cf*MAX(0,P1_cf-(((x1_cf-cx1_cf/2)+cx1_cf)*(cy1_cf+2*C26)*((wa_cf+wb_cf*((x1_cf+cx1_cf/2)/2)/1000)/Bm_cf)+cy1_cf*C26*((wa_cf+wb_cf*((x1_cf+cx1_cf/2)+C26/2)/1000)/Bm_cf)+PI()*C26^2/2*((wa_cf+wb_cf*((x1_cf+cx1_cf/2)+4*C26/(3*PI()))/1000)/Bm_cf))/1E6)*1000/((cy1_cf+PI()*C26+2*((x1_cf-cx1_cf/2)+cx1_cf))*dp_cf)/(vRdc_p*2*dp_cf/C26),0)</f>
        <v/>
      </c>
      <c r="F26">
        <f>IFERROR(beta_cf*MAX(0,P1_cf-(((x1_cf-cx1_cf/2)+cx1_cf)*(cy1_cf+2*D26)*((wa_cf+wb_cf*((x1_cf+cx1_cf/2)/2)/1000)/Bm_cf)+cy1_cf*D26*((wa_cf+wb_cf*((x1_cf+cx1_cf/2)+D26/2)/1000)/Bm_cf)+PI()*D26^2/2*((wa_cf+wb_cf*((x1_cf+cx1_cf/2)+4*D26/(3*PI()))/1000)/Bm_cf))/1E6)*1000/((cy1_cf+PI()*D26+2*((x1_cf-cx1_cf/2)+cx1_cf))*dp_cf)/(vRdc_p*2*dp_cf/D26),0)</f>
        <v/>
      </c>
      <c r="H26">
        <f>IF(L25&lt;M25,J25,H25)</f>
        <v/>
      </c>
      <c r="I26">
        <f>IF(L25&lt;M25,I25,K25)</f>
        <v/>
      </c>
      <c r="J26">
        <f>I26-((SQRT(5)-1)/2)*(I26-H26)</f>
        <v/>
      </c>
      <c r="K26">
        <f>H26+((SQRT(5)-1)/2)*(I26-H26)</f>
        <v/>
      </c>
      <c r="L26">
        <f>IFERROR(beta_cf*MAX(0,P1_cf-(((cx1_cf+2*J26)*(((B_cf-cy1_cf)/2)+cy1_cf)+cx1_cf*J26+PI()*J26^2/2)*((wa_cf+wb_cf*(x1_cf)/1000)/Bm_cf))/1E6)*1000/((cx1_cf+PI()*J26+2*(((B_cf-cy1_cf)/2)+cy1_cf))*dp_cf)/(vRdc_p*2*dp_cf/J26),0)</f>
        <v/>
      </c>
      <c r="M26">
        <f>IFERROR(beta_cf*MAX(0,P1_cf-(((cx1_cf+2*K26)*(((B_cf-cy1_cf)/2)+cy1_cf)+cx1_cf*K26+PI()*K26^2/2)*((wa_cf+wb_cf*(x1_cf)/1000)/Bm_cf))/1E6)*1000/((cx1_cf+PI()*K26+2*(((B_cf-cy1_cf)/2)+cy1_cf))*dp_cf)/(vRdc_p*2*dp_cf/K26),0)</f>
        <v/>
      </c>
      <c r="O26">
        <f>IF(S25&lt;T25,Q25,O25)</f>
        <v/>
      </c>
      <c r="P26">
        <f>IF(S25&lt;T25,P25,R25)</f>
        <v/>
      </c>
      <c r="Q26">
        <f>P26-((SQRT(5)-1)/2)*(P26-O26)</f>
        <v/>
      </c>
      <c r="R26">
        <f>O26+((SQRT(5)-1)/2)*(P26-O26)</f>
        <v/>
      </c>
      <c r="S26">
        <f>IFERROR(beta_cf*MAX(0,P1_cf-(((x1_cf-cx1_cf/2)+cx1_cf)*(((B_cf-cy1_cf)/2)+cy1_cf+Q26)*((wa_cf+wb_cf*((x1_cf+cx1_cf/2)/2)/1000)/Bm_cf)+(((B_cf-cy1_cf)/2)+cy1_cf)*Q26*((wa_cf+wb_cf*((x1_cf+cx1_cf/2)+Q26/2)/1000)/Bm_cf)+PI()*Q26^2/4*((wa_cf+wb_cf*((x1_cf+cx1_cf/2)+4*Q26/(3*PI()))/1000)/Bm_cf))/1E6)*1000/(((x1_cf-cx1_cf/2)+cx1_cf+((B_cf-cy1_cf)/2)+cy1_cf+PI()*Q26/2)*dp_cf)/(vRdc_p*2*dp_cf/Q26),0)</f>
        <v/>
      </c>
      <c r="T26">
        <f>IFERROR(beta_cf*MAX(0,P1_cf-(((x1_cf-cx1_cf/2)+cx1_cf)*(((B_cf-cy1_cf)/2)+cy1_cf+R26)*((wa_cf+wb_cf*((x1_cf+cx1_cf/2)/2)/1000)/Bm_cf)+(((B_cf-cy1_cf)/2)+cy1_cf)*R26*((wa_cf+wb_cf*((x1_cf+cx1_cf/2)+R26/2)/1000)/Bm_cf)+PI()*R26^2/4*((wa_cf+wb_cf*((x1_cf+cx1_cf/2)+4*R26/(3*PI()))/1000)/Bm_cf))/1E6)*1000/(((x1_cf-cx1_cf/2)+cx1_cf+((B_cf-cy1_cf)/2)+cy1_cf+PI()*R26/2)*dp_cf)/(vRdc_p*2*dp_cf/R26),0)</f>
        <v/>
      </c>
      <c r="V26">
        <f>IF(Z25&lt;AA25,X25,V25)</f>
        <v/>
      </c>
      <c r="W26">
        <f>IF(Z25&lt;AA25,W25,Y25)</f>
        <v/>
      </c>
      <c r="X26">
        <f>W26-((SQRT(5)-1)/2)*(W26-V26)</f>
        <v/>
      </c>
      <c r="Y26">
        <f>V26+((SQRT(5)-1)/2)*(W26-V26)</f>
        <v/>
      </c>
      <c r="Z26">
        <f>IFERROR(beta_cf*MAX(0,P2_cf-(((L_cf-x2_cf-cx2_cf/2)+cx2_cf)*(cy2_cf+2*X26)*((wa_cf+wb_cf*(((x2_cf-cx2_cf/2)+L_cf)/2)/1000)/Bm_cf)+cy2_cf*X26*((wa_cf+wb_cf*((x2_cf-cx2_cf/2)-X26/2)/1000)/Bm_cf)+PI()*X26^2/2*((wa_cf+wb_cf*((x2_cf-cx2_cf/2)-4*X26/(3*PI()))/1000)/Bm_cf))/1E6)*1000/((cy2_cf+PI()*X26+2*((L_cf-x2_cf-cx2_cf/2)+cx2_cf))*dp_cf)/(vRdc_p*2*dp_cf/X26),0)</f>
        <v/>
      </c>
      <c r="AA26">
        <f>IFERROR(beta_cf*MAX(0,P2_cf-(((L_cf-x2_cf-cx2_cf/2)+cx2_cf)*(cy2_cf+2*Y26)*((wa_cf+wb_cf*(((x2_cf-cx2_cf/2)+L_cf)/2)/1000)/Bm_cf)+cy2_cf*Y26*((wa_cf+wb_cf*((x2_cf-cx2_cf/2)-Y26/2)/1000)/Bm_cf)+PI()*Y26^2/2*((wa_cf+wb_cf*((x2_cf-cx2_cf/2)-4*Y26/(3*PI()))/1000)/Bm_cf))/1E6)*1000/((cy2_cf+PI()*Y26+2*((L_cf-x2_cf-cx2_cf/2)+cx2_cf))*dp_cf)/(vRdc_p*2*dp_cf/Y26),0)</f>
        <v/>
      </c>
      <c r="AC26">
        <f>IF(AG25&lt;AH25,AE25,AC25)</f>
        <v/>
      </c>
      <c r="AD26">
        <f>IF(AG25&lt;AH25,AD25,AF25)</f>
        <v/>
      </c>
      <c r="AE26">
        <f>AD26-((SQRT(5)-1)/2)*(AD26-AC26)</f>
        <v/>
      </c>
      <c r="AF26">
        <f>AC26+((SQRT(5)-1)/2)*(AD26-AC26)</f>
        <v/>
      </c>
      <c r="AG26">
        <f>IFERROR(beta_cf*MAX(0,P2_cf-(((cx2_cf+2*AE26)*(((B_cf-cy2_cf)/2)+cy2_cf)+cx2_cf*AE26+PI()*AE26^2/2)*((wa_cf+wb_cf*(x2_cf)/1000)/Bm_cf))/1E6)*1000/((cx2_cf+PI()*AE26+2*(((B_cf-cy2_cf)/2)+cy2_cf))*dp_cf)/(vRdc_p*2*dp_cf/AE26),0)</f>
        <v/>
      </c>
      <c r="AH26">
        <f>IFERROR(beta_cf*MAX(0,P2_cf-(((cx2_cf+2*AF26)*(((B_cf-cy2_cf)/2)+cy2_cf)+cx2_cf*AF26+PI()*AF26^2/2)*((wa_cf+wb_cf*(x2_cf)/1000)/Bm_cf))/1E6)*1000/((cx2_cf+PI()*AF26+2*(((B_cf-cy2_cf)/2)+cy2_cf))*dp_cf)/(vRdc_p*2*dp_cf/AF26),0)</f>
        <v/>
      </c>
      <c r="AJ26">
        <f>IF(AN25&lt;AO25,AL25,AJ25)</f>
        <v/>
      </c>
      <c r="AK26">
        <f>IF(AN25&lt;AO25,AK25,AM25)</f>
        <v/>
      </c>
      <c r="AL26">
        <f>AK26-((SQRT(5)-1)/2)*(AK26-AJ26)</f>
        <v/>
      </c>
      <c r="AM26">
        <f>AJ26+((SQRT(5)-1)/2)*(AK26-AJ26)</f>
        <v/>
      </c>
      <c r="AN26">
        <f>IFERROR(beta_cf*MAX(0,P2_cf-(((L_cf-x2_cf-cx2_cf/2)+cx2_cf)*(((B_cf-cy2_cf)/2)+cy2_cf+AL26)*((wa_cf+wb_cf*(((x2_cf-cx2_cf/2)+L_cf)/2)/1000)/Bm_cf)+(((B_cf-cy2_cf)/2)+cy2_cf)*AL26*((wa_cf+wb_cf*((x2_cf-cx2_cf/2)-AL26/2)/1000)/Bm_cf)+PI()*AL26^2/4*((wa_cf+wb_cf*((x2_cf-cx2_cf/2)-4*AL26/(3*PI()))/1000)/Bm_cf))/1E6)*1000/(((L_cf-x2_cf-cx2_cf/2)+cx2_cf+((B_cf-cy2_cf)/2)+cy2_cf+PI()*AL26/2)*dp_cf)/(vRdc_p*2*dp_cf/AL26),0)</f>
        <v/>
      </c>
      <c r="AO26">
        <f>IFERROR(beta_cf*MAX(0,P2_cf-(((L_cf-x2_cf-cx2_cf/2)+cx2_cf)*(((B_cf-cy2_cf)/2)+cy2_cf+AM26)*((wa_cf+wb_cf*(((x2_cf-cx2_cf/2)+L_cf)/2)/1000)/Bm_cf)+(((B_cf-cy2_cf)/2)+cy2_cf)*AM26*((wa_cf+wb_cf*((x2_cf-cx2_cf/2)-AM26/2)/1000)/Bm_cf)+PI()*AM26^2/4*((wa_cf+wb_cf*((x2_cf-cx2_cf/2)-4*AM26/(3*PI()))/1000)/Bm_cf))/1E6)*1000/(((L_cf-x2_cf-cx2_cf/2)+cx2_cf+((B_cf-cy2_cf)/2)+cy2_cf+PI()*AM26/2)*dp_cf)/(vRdc_p*2*dp_cf/AM26),0)</f>
        <v/>
      </c>
    </row>
    <row r="27">
      <c r="A27">
        <f>IF(E26&lt;F26,C26,A26)</f>
        <v/>
      </c>
      <c r="B27">
        <f>IF(E26&lt;F26,B26,D26)</f>
        <v/>
      </c>
      <c r="C27">
        <f>B27-((SQRT(5)-1)/2)*(B27-A27)</f>
        <v/>
      </c>
      <c r="D27">
        <f>A27+((SQRT(5)-1)/2)*(B27-A27)</f>
        <v/>
      </c>
      <c r="E27">
        <f>IFERROR(beta_cf*MAX(0,P1_cf-(((x1_cf-cx1_cf/2)+cx1_cf)*(cy1_cf+2*C27)*((wa_cf+wb_cf*((x1_cf+cx1_cf/2)/2)/1000)/Bm_cf)+cy1_cf*C27*((wa_cf+wb_cf*((x1_cf+cx1_cf/2)+C27/2)/1000)/Bm_cf)+PI()*C27^2/2*((wa_cf+wb_cf*((x1_cf+cx1_cf/2)+4*C27/(3*PI()))/1000)/Bm_cf))/1E6)*1000/((cy1_cf+PI()*C27+2*((x1_cf-cx1_cf/2)+cx1_cf))*dp_cf)/(vRdc_p*2*dp_cf/C27),0)</f>
        <v/>
      </c>
      <c r="F27">
        <f>IFERROR(beta_cf*MAX(0,P1_cf-(((x1_cf-cx1_cf/2)+cx1_cf)*(cy1_cf+2*D27)*((wa_cf+wb_cf*((x1_cf+cx1_cf/2)/2)/1000)/Bm_cf)+cy1_cf*D27*((wa_cf+wb_cf*((x1_cf+cx1_cf/2)+D27/2)/1000)/Bm_cf)+PI()*D27^2/2*((wa_cf+wb_cf*((x1_cf+cx1_cf/2)+4*D27/(3*PI()))/1000)/Bm_cf))/1E6)*1000/((cy1_cf+PI()*D27+2*((x1_cf-cx1_cf/2)+cx1_cf))*dp_cf)/(vRdc_p*2*dp_cf/D27),0)</f>
        <v/>
      </c>
      <c r="H27">
        <f>IF(L26&lt;M26,J26,H26)</f>
        <v/>
      </c>
      <c r="I27">
        <f>IF(L26&lt;M26,I26,K26)</f>
        <v/>
      </c>
      <c r="J27">
        <f>I27-((SQRT(5)-1)/2)*(I27-H27)</f>
        <v/>
      </c>
      <c r="K27">
        <f>H27+((SQRT(5)-1)/2)*(I27-H27)</f>
        <v/>
      </c>
      <c r="L27">
        <f>IFERROR(beta_cf*MAX(0,P1_cf-(((cx1_cf+2*J27)*(((B_cf-cy1_cf)/2)+cy1_cf)+cx1_cf*J27+PI()*J27^2/2)*((wa_cf+wb_cf*(x1_cf)/1000)/Bm_cf))/1E6)*1000/((cx1_cf+PI()*J27+2*(((B_cf-cy1_cf)/2)+cy1_cf))*dp_cf)/(vRdc_p*2*dp_cf/J27),0)</f>
        <v/>
      </c>
      <c r="M27">
        <f>IFERROR(beta_cf*MAX(0,P1_cf-(((cx1_cf+2*K27)*(((B_cf-cy1_cf)/2)+cy1_cf)+cx1_cf*K27+PI()*K27^2/2)*((wa_cf+wb_cf*(x1_cf)/1000)/Bm_cf))/1E6)*1000/((cx1_cf+PI()*K27+2*(((B_cf-cy1_cf)/2)+cy1_cf))*dp_cf)/(vRdc_p*2*dp_cf/K27),0)</f>
        <v/>
      </c>
      <c r="O27">
        <f>IF(S26&lt;T26,Q26,O26)</f>
        <v/>
      </c>
      <c r="P27">
        <f>IF(S26&lt;T26,P26,R26)</f>
        <v/>
      </c>
      <c r="Q27">
        <f>P27-((SQRT(5)-1)/2)*(P27-O27)</f>
        <v/>
      </c>
      <c r="R27">
        <f>O27+((SQRT(5)-1)/2)*(P27-O27)</f>
        <v/>
      </c>
      <c r="S27">
        <f>IFERROR(beta_cf*MAX(0,P1_cf-(((x1_cf-cx1_cf/2)+cx1_cf)*(((B_cf-cy1_cf)/2)+cy1_cf+Q27)*((wa_cf+wb_cf*((x1_cf+cx1_cf/2)/2)/1000)/Bm_cf)+(((B_cf-cy1_cf)/2)+cy1_cf)*Q27*((wa_cf+wb_cf*((x1_cf+cx1_cf/2)+Q27/2)/1000)/Bm_cf)+PI()*Q27^2/4*((wa_cf+wb_cf*((x1_cf+cx1_cf/2)+4*Q27/(3*PI()))/1000)/Bm_cf))/1E6)*1000/(((x1_cf-cx1_cf/2)+cx1_cf+((B_cf-cy1_cf)/2)+cy1_cf+PI()*Q27/2)*dp_cf)/(vRdc_p*2*dp_cf/Q27),0)</f>
        <v/>
      </c>
      <c r="T27">
        <f>IFERROR(beta_cf*MAX(0,P1_cf-(((x1_cf-cx1_cf/2)+cx1_cf)*(((B_cf-cy1_cf)/2)+cy1_cf+R27)*((wa_cf+wb_cf*((x1_cf+cx1_cf/2)/2)/1000)/Bm_cf)+(((B_cf-cy1_cf)/2)+cy1_cf)*R27*((wa_cf+wb_cf*((x1_cf+cx1_cf/2)+R27/2)/1000)/Bm_cf)+PI()*R27^2/4*((wa_cf+wb_cf*((x1_cf+cx1_cf/2)+4*R27/(3*PI()))/1000)/Bm_cf))/1E6)*1000/(((x1_cf-cx1_cf/2)+cx1_cf+((B_cf-cy1_cf)/2)+cy1_cf+PI()*R27/2)*dp_cf)/(vRdc_p*2*dp_cf/R27),0)</f>
        <v/>
      </c>
      <c r="V27">
        <f>IF(Z26&lt;AA26,X26,V26)</f>
        <v/>
      </c>
      <c r="W27">
        <f>IF(Z26&lt;AA26,W26,Y26)</f>
        <v/>
      </c>
      <c r="X27">
        <f>W27-((SQRT(5)-1)/2)*(W27-V27)</f>
        <v/>
      </c>
      <c r="Y27">
        <f>V27+((SQRT(5)-1)/2)*(W27-V27)</f>
        <v/>
      </c>
      <c r="Z27">
        <f>IFERROR(beta_cf*MAX(0,P2_cf-(((L_cf-x2_cf-cx2_cf/2)+cx2_cf)*(cy2_cf+2*X27)*((wa_cf+wb_cf*(((x2_cf-cx2_cf/2)+L_cf)/2)/1000)/Bm_cf)+cy2_cf*X27*((wa_cf+wb_cf*((x2_cf-cx2_cf/2)-X27/2)/1000)/Bm_cf)+PI()*X27^2/2*((wa_cf+wb_cf*((x2_cf-cx2_cf/2)-4*X27/(3*PI()))/1000)/Bm_cf))/1E6)*1000/((cy2_cf+PI()*X27+2*((L_cf-x2_cf-cx2_cf/2)+cx2_cf))*dp_cf)/(vRdc_p*2*dp_cf/X27),0)</f>
        <v/>
      </c>
      <c r="AA27">
        <f>IFERROR(beta_cf*MAX(0,P2_cf-(((L_cf-x2_cf-cx2_cf/2)+cx2_cf)*(cy2_cf+2*Y27)*((wa_cf+wb_cf*(((x2_cf-cx2_cf/2)+L_cf)/2)/1000)/Bm_cf)+cy2_cf*Y27*((wa_cf+wb_cf*((x2_cf-cx2_cf/2)-Y27/2)/1000)/Bm_cf)+PI()*Y27^2/2*((wa_cf+wb_cf*((x2_cf-cx2_cf/2)-4*Y27/(3*PI()))/1000)/Bm_cf))/1E6)*1000/((cy2_cf+PI()*Y27+2*((L_cf-x2_cf-cx2_cf/2)+cx2_cf))*dp_cf)/(vRdc_p*2*dp_cf/Y27),0)</f>
        <v/>
      </c>
      <c r="AC27">
        <f>IF(AG26&lt;AH26,AE26,AC26)</f>
        <v/>
      </c>
      <c r="AD27">
        <f>IF(AG26&lt;AH26,AD26,AF26)</f>
        <v/>
      </c>
      <c r="AE27">
        <f>AD27-((SQRT(5)-1)/2)*(AD27-AC27)</f>
        <v/>
      </c>
      <c r="AF27">
        <f>AC27+((SQRT(5)-1)/2)*(AD27-AC27)</f>
        <v/>
      </c>
      <c r="AG27">
        <f>IFERROR(beta_cf*MAX(0,P2_cf-(((cx2_cf+2*AE27)*(((B_cf-cy2_cf)/2)+cy2_cf)+cx2_cf*AE27+PI()*AE27^2/2)*((wa_cf+wb_cf*(x2_cf)/1000)/Bm_cf))/1E6)*1000/((cx2_cf+PI()*AE27+2*(((B_cf-cy2_cf)/2)+cy2_cf))*dp_cf)/(vRdc_p*2*dp_cf/AE27),0)</f>
        <v/>
      </c>
      <c r="AH27">
        <f>IFERROR(beta_cf*MAX(0,P2_cf-(((cx2_cf+2*AF27)*(((B_cf-cy2_cf)/2)+cy2_cf)+cx2_cf*AF27+PI()*AF27^2/2)*((wa_cf+wb_cf*(x2_cf)/1000)/Bm_cf))/1E6)*1000/((cx2_cf+PI()*AF27+2*(((B_cf-cy2_cf)/2)+cy2_cf))*dp_cf)/(vRdc_p*2*dp_cf/AF27),0)</f>
        <v/>
      </c>
      <c r="AJ27">
        <f>IF(AN26&lt;AO26,AL26,AJ26)</f>
        <v/>
      </c>
      <c r="AK27">
        <f>IF(AN26&lt;AO26,AK26,AM26)</f>
        <v/>
      </c>
      <c r="AL27">
        <f>AK27-((SQRT(5)-1)/2)*(AK27-AJ27)</f>
        <v/>
      </c>
      <c r="AM27">
        <f>AJ27+((SQRT(5)-1)/2)*(AK27-AJ27)</f>
        <v/>
      </c>
      <c r="AN27">
        <f>IFERROR(beta_cf*MAX(0,P2_cf-(((L_cf-x2_cf-cx2_cf/2)+cx2_cf)*(((B_cf-cy2_cf)/2)+cy2_cf+AL27)*((wa_cf+wb_cf*(((x2_cf-cx2_cf/2)+L_cf)/2)/1000)/Bm_cf)+(((B_cf-cy2_cf)/2)+cy2_cf)*AL27*((wa_cf+wb_cf*((x2_cf-cx2_cf/2)-AL27/2)/1000)/Bm_cf)+PI()*AL27^2/4*((wa_cf+wb_cf*((x2_cf-cx2_cf/2)-4*AL27/(3*PI()))/1000)/Bm_cf))/1E6)*1000/(((L_cf-x2_cf-cx2_cf/2)+cx2_cf+((B_cf-cy2_cf)/2)+cy2_cf+PI()*AL27/2)*dp_cf)/(vRdc_p*2*dp_cf/AL27),0)</f>
        <v/>
      </c>
      <c r="AO27">
        <f>IFERROR(beta_cf*MAX(0,P2_cf-(((L_cf-x2_cf-cx2_cf/2)+cx2_cf)*(((B_cf-cy2_cf)/2)+cy2_cf+AM27)*((wa_cf+wb_cf*(((x2_cf-cx2_cf/2)+L_cf)/2)/1000)/Bm_cf)+(((B_cf-cy2_cf)/2)+cy2_cf)*AM27*((wa_cf+wb_cf*((x2_cf-cx2_cf/2)-AM27/2)/1000)/Bm_cf)+PI()*AM27^2/4*((wa_cf+wb_cf*((x2_cf-cx2_cf/2)-4*AM27/(3*PI()))/1000)/Bm_cf))/1E6)*1000/(((L_cf-x2_cf-cx2_cf/2)+cx2_cf+((B_cf-cy2_cf)/2)+cy2_cf+PI()*AM27/2)*dp_cf)/(vRdc_p*2*dp_cf/AM27),0)</f>
        <v/>
      </c>
    </row>
    <row r="28">
      <c r="A28">
        <f>IF(E27&lt;F27,C27,A27)</f>
        <v/>
      </c>
      <c r="B28">
        <f>IF(E27&lt;F27,B27,D27)</f>
        <v/>
      </c>
      <c r="C28">
        <f>B28-((SQRT(5)-1)/2)*(B28-A28)</f>
        <v/>
      </c>
      <c r="D28">
        <f>A28+((SQRT(5)-1)/2)*(B28-A28)</f>
        <v/>
      </c>
      <c r="E28">
        <f>IFERROR(beta_cf*MAX(0,P1_cf-(((x1_cf-cx1_cf/2)+cx1_cf)*(cy1_cf+2*C28)*((wa_cf+wb_cf*((x1_cf+cx1_cf/2)/2)/1000)/Bm_cf)+cy1_cf*C28*((wa_cf+wb_cf*((x1_cf+cx1_cf/2)+C28/2)/1000)/Bm_cf)+PI()*C28^2/2*((wa_cf+wb_cf*((x1_cf+cx1_cf/2)+4*C28/(3*PI()))/1000)/Bm_cf))/1E6)*1000/((cy1_cf+PI()*C28+2*((x1_cf-cx1_cf/2)+cx1_cf))*dp_cf)/(vRdc_p*2*dp_cf/C28),0)</f>
        <v/>
      </c>
      <c r="F28">
        <f>IFERROR(beta_cf*MAX(0,P1_cf-(((x1_cf-cx1_cf/2)+cx1_cf)*(cy1_cf+2*D28)*((wa_cf+wb_cf*((x1_cf+cx1_cf/2)/2)/1000)/Bm_cf)+cy1_cf*D28*((wa_cf+wb_cf*((x1_cf+cx1_cf/2)+D28/2)/1000)/Bm_cf)+PI()*D28^2/2*((wa_cf+wb_cf*((x1_cf+cx1_cf/2)+4*D28/(3*PI()))/1000)/Bm_cf))/1E6)*1000/((cy1_cf+PI()*D28+2*((x1_cf-cx1_cf/2)+cx1_cf))*dp_cf)/(vRdc_p*2*dp_cf/D28),0)</f>
        <v/>
      </c>
      <c r="H28">
        <f>IF(L27&lt;M27,J27,H27)</f>
        <v/>
      </c>
      <c r="I28">
        <f>IF(L27&lt;M27,I27,K27)</f>
        <v/>
      </c>
      <c r="J28">
        <f>I28-((SQRT(5)-1)/2)*(I28-H28)</f>
        <v/>
      </c>
      <c r="K28">
        <f>H28+((SQRT(5)-1)/2)*(I28-H28)</f>
        <v/>
      </c>
      <c r="L28">
        <f>IFERROR(beta_cf*MAX(0,P1_cf-(((cx1_cf+2*J28)*(((B_cf-cy1_cf)/2)+cy1_cf)+cx1_cf*J28+PI()*J28^2/2)*((wa_cf+wb_cf*(x1_cf)/1000)/Bm_cf))/1E6)*1000/((cx1_cf+PI()*J28+2*(((B_cf-cy1_cf)/2)+cy1_cf))*dp_cf)/(vRdc_p*2*dp_cf/J28),0)</f>
        <v/>
      </c>
      <c r="M28">
        <f>IFERROR(beta_cf*MAX(0,P1_cf-(((cx1_cf+2*K28)*(((B_cf-cy1_cf)/2)+cy1_cf)+cx1_cf*K28+PI()*K28^2/2)*((wa_cf+wb_cf*(x1_cf)/1000)/Bm_cf))/1E6)*1000/((cx1_cf+PI()*K28+2*(((B_cf-cy1_cf)/2)+cy1_cf))*dp_cf)/(vRdc_p*2*dp_cf/K28),0)</f>
        <v/>
      </c>
      <c r="O28">
        <f>IF(S27&lt;T27,Q27,O27)</f>
        <v/>
      </c>
      <c r="P28">
        <f>IF(S27&lt;T27,P27,R27)</f>
        <v/>
      </c>
      <c r="Q28">
        <f>P28-((SQRT(5)-1)/2)*(P28-O28)</f>
        <v/>
      </c>
      <c r="R28">
        <f>O28+((SQRT(5)-1)/2)*(P28-O28)</f>
        <v/>
      </c>
      <c r="S28">
        <f>IFERROR(beta_cf*MAX(0,P1_cf-(((x1_cf-cx1_cf/2)+cx1_cf)*(((B_cf-cy1_cf)/2)+cy1_cf+Q28)*((wa_cf+wb_cf*((x1_cf+cx1_cf/2)/2)/1000)/Bm_cf)+(((B_cf-cy1_cf)/2)+cy1_cf)*Q28*((wa_cf+wb_cf*((x1_cf+cx1_cf/2)+Q28/2)/1000)/Bm_cf)+PI()*Q28^2/4*((wa_cf+wb_cf*((x1_cf+cx1_cf/2)+4*Q28/(3*PI()))/1000)/Bm_cf))/1E6)*1000/(((x1_cf-cx1_cf/2)+cx1_cf+((B_cf-cy1_cf)/2)+cy1_cf+PI()*Q28/2)*dp_cf)/(vRdc_p*2*dp_cf/Q28),0)</f>
        <v/>
      </c>
      <c r="T28">
        <f>IFERROR(beta_cf*MAX(0,P1_cf-(((x1_cf-cx1_cf/2)+cx1_cf)*(((B_cf-cy1_cf)/2)+cy1_cf+R28)*((wa_cf+wb_cf*((x1_cf+cx1_cf/2)/2)/1000)/Bm_cf)+(((B_cf-cy1_cf)/2)+cy1_cf)*R28*((wa_cf+wb_cf*((x1_cf+cx1_cf/2)+R28/2)/1000)/Bm_cf)+PI()*R28^2/4*((wa_cf+wb_cf*((x1_cf+cx1_cf/2)+4*R28/(3*PI()))/1000)/Bm_cf))/1E6)*1000/(((x1_cf-cx1_cf/2)+cx1_cf+((B_cf-cy1_cf)/2)+cy1_cf+PI()*R28/2)*dp_cf)/(vRdc_p*2*dp_cf/R28),0)</f>
        <v/>
      </c>
      <c r="V28">
        <f>IF(Z27&lt;AA27,X27,V27)</f>
        <v/>
      </c>
      <c r="W28">
        <f>IF(Z27&lt;AA27,W27,Y27)</f>
        <v/>
      </c>
      <c r="X28">
        <f>W28-((SQRT(5)-1)/2)*(W28-V28)</f>
        <v/>
      </c>
      <c r="Y28">
        <f>V28+((SQRT(5)-1)/2)*(W28-V28)</f>
        <v/>
      </c>
      <c r="Z28">
        <f>IFERROR(beta_cf*MAX(0,P2_cf-(((L_cf-x2_cf-cx2_cf/2)+cx2_cf)*(cy2_cf+2*X28)*((wa_cf+wb_cf*(((x2_cf-cx2_cf/2)+L_cf)/2)/1000)/Bm_cf)+cy2_cf*X28*((wa_cf+wb_cf*((x2_cf-cx2_cf/2)-X28/2)/1000)/Bm_cf)+PI()*X28^2/2*((wa_cf+wb_cf*((x2_cf-cx2_cf/2)-4*X28/(3*PI()))/1000)/Bm_cf))/1E6)*1000/((cy2_cf+PI()*X28+2*((L_cf-x2_cf-cx2_cf/2)+cx2_cf))*dp_cf)/(vRdc_p*2*dp_cf/X28),0)</f>
        <v/>
      </c>
      <c r="AA28">
        <f>IFERROR(beta_cf*MAX(0,P2_cf-(((L_cf-x2_cf-cx2_cf/2)+cx2_cf)*(cy2_cf+2*Y28)*((wa_cf+wb_cf*(((x2_cf-cx2_cf/2)+L_cf)/2)/1000)/Bm_cf)+cy2_cf*Y28*((wa_cf+wb_cf*((x2_cf-cx2_cf/2)-Y28/2)/1000)/Bm_cf)+PI()*Y28^2/2*((wa_cf+wb_cf*((x2_cf-cx2_cf/2)-4*Y28/(3*PI()))/1000)/Bm_cf))/1E6)*1000/((cy2_cf+PI()*Y28+2*((L_cf-x2_cf-cx2_cf/2)+cx2_cf))*dp_cf)/(vRdc_p*2*dp_cf/Y28),0)</f>
        <v/>
      </c>
      <c r="AC28">
        <f>IF(AG27&lt;AH27,AE27,AC27)</f>
        <v/>
      </c>
      <c r="AD28">
        <f>IF(AG27&lt;AH27,AD27,AF27)</f>
        <v/>
      </c>
      <c r="AE28">
        <f>AD28-((SQRT(5)-1)/2)*(AD28-AC28)</f>
        <v/>
      </c>
      <c r="AF28">
        <f>AC28+((SQRT(5)-1)/2)*(AD28-AC28)</f>
        <v/>
      </c>
      <c r="AG28">
        <f>IFERROR(beta_cf*MAX(0,P2_cf-(((cx2_cf+2*AE28)*(((B_cf-cy2_cf)/2)+cy2_cf)+cx2_cf*AE28+PI()*AE28^2/2)*((wa_cf+wb_cf*(x2_cf)/1000)/Bm_cf))/1E6)*1000/((cx2_cf+PI()*AE28+2*(((B_cf-cy2_cf)/2)+cy2_cf))*dp_cf)/(vRdc_p*2*dp_cf/AE28),0)</f>
        <v/>
      </c>
      <c r="AH28">
        <f>IFERROR(beta_cf*MAX(0,P2_cf-(((cx2_cf+2*AF28)*(((B_cf-cy2_cf)/2)+cy2_cf)+cx2_cf*AF28+PI()*AF28^2/2)*((wa_cf+wb_cf*(x2_cf)/1000)/Bm_cf))/1E6)*1000/((cx2_cf+PI()*AF28+2*(((B_cf-cy2_cf)/2)+cy2_cf))*dp_cf)/(vRdc_p*2*dp_cf/AF28),0)</f>
        <v/>
      </c>
      <c r="AJ28">
        <f>IF(AN27&lt;AO27,AL27,AJ27)</f>
        <v/>
      </c>
      <c r="AK28">
        <f>IF(AN27&lt;AO27,AK27,AM27)</f>
        <v/>
      </c>
      <c r="AL28">
        <f>AK28-((SQRT(5)-1)/2)*(AK28-AJ28)</f>
        <v/>
      </c>
      <c r="AM28">
        <f>AJ28+((SQRT(5)-1)/2)*(AK28-AJ28)</f>
        <v/>
      </c>
      <c r="AN28">
        <f>IFERROR(beta_cf*MAX(0,P2_cf-(((L_cf-x2_cf-cx2_cf/2)+cx2_cf)*(((B_cf-cy2_cf)/2)+cy2_cf+AL28)*((wa_cf+wb_cf*(((x2_cf-cx2_cf/2)+L_cf)/2)/1000)/Bm_cf)+(((B_cf-cy2_cf)/2)+cy2_cf)*AL28*((wa_cf+wb_cf*((x2_cf-cx2_cf/2)-AL28/2)/1000)/Bm_cf)+PI()*AL28^2/4*((wa_cf+wb_cf*((x2_cf-cx2_cf/2)-4*AL28/(3*PI()))/1000)/Bm_cf))/1E6)*1000/(((L_cf-x2_cf-cx2_cf/2)+cx2_cf+((B_cf-cy2_cf)/2)+cy2_cf+PI()*AL28/2)*dp_cf)/(vRdc_p*2*dp_cf/AL28),0)</f>
        <v/>
      </c>
      <c r="AO28">
        <f>IFERROR(beta_cf*MAX(0,P2_cf-(((L_cf-x2_cf-cx2_cf/2)+cx2_cf)*(((B_cf-cy2_cf)/2)+cy2_cf+AM28)*((wa_cf+wb_cf*(((x2_cf-cx2_cf/2)+L_cf)/2)/1000)/Bm_cf)+(((B_cf-cy2_cf)/2)+cy2_cf)*AM28*((wa_cf+wb_cf*((x2_cf-cx2_cf/2)-AM28/2)/1000)/Bm_cf)+PI()*AM28^2/4*((wa_cf+wb_cf*((x2_cf-cx2_cf/2)-4*AM28/(3*PI()))/1000)/Bm_cf))/1E6)*1000/(((L_cf-x2_cf-cx2_cf/2)+cx2_cf+((B_cf-cy2_cf)/2)+cy2_cf+PI()*AM28/2)*dp_cf)/(vRdc_p*2*dp_cf/AM28),0)</f>
        <v/>
      </c>
    </row>
    <row r="29">
      <c r="A29">
        <f>IF(E28&lt;F28,C28,A28)</f>
        <v/>
      </c>
      <c r="B29">
        <f>IF(E28&lt;F28,B28,D28)</f>
        <v/>
      </c>
      <c r="C29">
        <f>B29-((SQRT(5)-1)/2)*(B29-A29)</f>
        <v/>
      </c>
      <c r="D29">
        <f>A29+((SQRT(5)-1)/2)*(B29-A29)</f>
        <v/>
      </c>
      <c r="E29">
        <f>IFERROR(beta_cf*MAX(0,P1_cf-(((x1_cf-cx1_cf/2)+cx1_cf)*(cy1_cf+2*C29)*((wa_cf+wb_cf*((x1_cf+cx1_cf/2)/2)/1000)/Bm_cf)+cy1_cf*C29*((wa_cf+wb_cf*((x1_cf+cx1_cf/2)+C29/2)/1000)/Bm_cf)+PI()*C29^2/2*((wa_cf+wb_cf*((x1_cf+cx1_cf/2)+4*C29/(3*PI()))/1000)/Bm_cf))/1E6)*1000/((cy1_cf+PI()*C29+2*((x1_cf-cx1_cf/2)+cx1_cf))*dp_cf)/(vRdc_p*2*dp_cf/C29),0)</f>
        <v/>
      </c>
      <c r="F29">
        <f>IFERROR(beta_cf*MAX(0,P1_cf-(((x1_cf-cx1_cf/2)+cx1_cf)*(cy1_cf+2*D29)*((wa_cf+wb_cf*((x1_cf+cx1_cf/2)/2)/1000)/Bm_cf)+cy1_cf*D29*((wa_cf+wb_cf*((x1_cf+cx1_cf/2)+D29/2)/1000)/Bm_cf)+PI()*D29^2/2*((wa_cf+wb_cf*((x1_cf+cx1_cf/2)+4*D29/(3*PI()))/1000)/Bm_cf))/1E6)*1000/((cy1_cf+PI()*D29+2*((x1_cf-cx1_cf/2)+cx1_cf))*dp_cf)/(vRdc_p*2*dp_cf/D29),0)</f>
        <v/>
      </c>
      <c r="H29">
        <f>IF(L28&lt;M28,J28,H28)</f>
        <v/>
      </c>
      <c r="I29">
        <f>IF(L28&lt;M28,I28,K28)</f>
        <v/>
      </c>
      <c r="J29">
        <f>I29-((SQRT(5)-1)/2)*(I29-H29)</f>
        <v/>
      </c>
      <c r="K29">
        <f>H29+((SQRT(5)-1)/2)*(I29-H29)</f>
        <v/>
      </c>
      <c r="L29">
        <f>IFERROR(beta_cf*MAX(0,P1_cf-(((cx1_cf+2*J29)*(((B_cf-cy1_cf)/2)+cy1_cf)+cx1_cf*J29+PI()*J29^2/2)*((wa_cf+wb_cf*(x1_cf)/1000)/Bm_cf))/1E6)*1000/((cx1_cf+PI()*J29+2*(((B_cf-cy1_cf)/2)+cy1_cf))*dp_cf)/(vRdc_p*2*dp_cf/J29),0)</f>
        <v/>
      </c>
      <c r="M29">
        <f>IFERROR(beta_cf*MAX(0,P1_cf-(((cx1_cf+2*K29)*(((B_cf-cy1_cf)/2)+cy1_cf)+cx1_cf*K29+PI()*K29^2/2)*((wa_cf+wb_cf*(x1_cf)/1000)/Bm_cf))/1E6)*1000/((cx1_cf+PI()*K29+2*(((B_cf-cy1_cf)/2)+cy1_cf))*dp_cf)/(vRdc_p*2*dp_cf/K29),0)</f>
        <v/>
      </c>
      <c r="O29">
        <f>IF(S28&lt;T28,Q28,O28)</f>
        <v/>
      </c>
      <c r="P29">
        <f>IF(S28&lt;T28,P28,R28)</f>
        <v/>
      </c>
      <c r="Q29">
        <f>P29-((SQRT(5)-1)/2)*(P29-O29)</f>
        <v/>
      </c>
      <c r="R29">
        <f>O29+((SQRT(5)-1)/2)*(P29-O29)</f>
        <v/>
      </c>
      <c r="S29">
        <f>IFERROR(beta_cf*MAX(0,P1_cf-(((x1_cf-cx1_cf/2)+cx1_cf)*(((B_cf-cy1_cf)/2)+cy1_cf+Q29)*((wa_cf+wb_cf*((x1_cf+cx1_cf/2)/2)/1000)/Bm_cf)+(((B_cf-cy1_cf)/2)+cy1_cf)*Q29*((wa_cf+wb_cf*((x1_cf+cx1_cf/2)+Q29/2)/1000)/Bm_cf)+PI()*Q29^2/4*((wa_cf+wb_cf*((x1_cf+cx1_cf/2)+4*Q29/(3*PI()))/1000)/Bm_cf))/1E6)*1000/(((x1_cf-cx1_cf/2)+cx1_cf+((B_cf-cy1_cf)/2)+cy1_cf+PI()*Q29/2)*dp_cf)/(vRdc_p*2*dp_cf/Q29),0)</f>
        <v/>
      </c>
      <c r="T29">
        <f>IFERROR(beta_cf*MAX(0,P1_cf-(((x1_cf-cx1_cf/2)+cx1_cf)*(((B_cf-cy1_cf)/2)+cy1_cf+R29)*((wa_cf+wb_cf*((x1_cf+cx1_cf/2)/2)/1000)/Bm_cf)+(((B_cf-cy1_cf)/2)+cy1_cf)*R29*((wa_cf+wb_cf*((x1_cf+cx1_cf/2)+R29/2)/1000)/Bm_cf)+PI()*R29^2/4*((wa_cf+wb_cf*((x1_cf+cx1_cf/2)+4*R29/(3*PI()))/1000)/Bm_cf))/1E6)*1000/(((x1_cf-cx1_cf/2)+cx1_cf+((B_cf-cy1_cf)/2)+cy1_cf+PI()*R29/2)*dp_cf)/(vRdc_p*2*dp_cf/R29),0)</f>
        <v/>
      </c>
      <c r="V29">
        <f>IF(Z28&lt;AA28,X28,V28)</f>
        <v/>
      </c>
      <c r="W29">
        <f>IF(Z28&lt;AA28,W28,Y28)</f>
        <v/>
      </c>
      <c r="X29">
        <f>W29-((SQRT(5)-1)/2)*(W29-V29)</f>
        <v/>
      </c>
      <c r="Y29">
        <f>V29+((SQRT(5)-1)/2)*(W29-V29)</f>
        <v/>
      </c>
      <c r="Z29">
        <f>IFERROR(beta_cf*MAX(0,P2_cf-(((L_cf-x2_cf-cx2_cf/2)+cx2_cf)*(cy2_cf+2*X29)*((wa_cf+wb_cf*(((x2_cf-cx2_cf/2)+L_cf)/2)/1000)/Bm_cf)+cy2_cf*X29*((wa_cf+wb_cf*((x2_cf-cx2_cf/2)-X29/2)/1000)/Bm_cf)+PI()*X29^2/2*((wa_cf+wb_cf*((x2_cf-cx2_cf/2)-4*X29/(3*PI()))/1000)/Bm_cf))/1E6)*1000/((cy2_cf+PI()*X29+2*((L_cf-x2_cf-cx2_cf/2)+cx2_cf))*dp_cf)/(vRdc_p*2*dp_cf/X29),0)</f>
        <v/>
      </c>
      <c r="AA29">
        <f>IFERROR(beta_cf*MAX(0,P2_cf-(((L_cf-x2_cf-cx2_cf/2)+cx2_cf)*(cy2_cf+2*Y29)*((wa_cf+wb_cf*(((x2_cf-cx2_cf/2)+L_cf)/2)/1000)/Bm_cf)+cy2_cf*Y29*((wa_cf+wb_cf*((x2_cf-cx2_cf/2)-Y29/2)/1000)/Bm_cf)+PI()*Y29^2/2*((wa_cf+wb_cf*((x2_cf-cx2_cf/2)-4*Y29/(3*PI()))/1000)/Bm_cf))/1E6)*1000/((cy2_cf+PI()*Y29+2*((L_cf-x2_cf-cx2_cf/2)+cx2_cf))*dp_cf)/(vRdc_p*2*dp_cf/Y29),0)</f>
        <v/>
      </c>
      <c r="AC29">
        <f>IF(AG28&lt;AH28,AE28,AC28)</f>
        <v/>
      </c>
      <c r="AD29">
        <f>IF(AG28&lt;AH28,AD28,AF28)</f>
        <v/>
      </c>
      <c r="AE29">
        <f>AD29-((SQRT(5)-1)/2)*(AD29-AC29)</f>
        <v/>
      </c>
      <c r="AF29">
        <f>AC29+((SQRT(5)-1)/2)*(AD29-AC29)</f>
        <v/>
      </c>
      <c r="AG29">
        <f>IFERROR(beta_cf*MAX(0,P2_cf-(((cx2_cf+2*AE29)*(((B_cf-cy2_cf)/2)+cy2_cf)+cx2_cf*AE29+PI()*AE29^2/2)*((wa_cf+wb_cf*(x2_cf)/1000)/Bm_cf))/1E6)*1000/((cx2_cf+PI()*AE29+2*(((B_cf-cy2_cf)/2)+cy2_cf))*dp_cf)/(vRdc_p*2*dp_cf/AE29),0)</f>
        <v/>
      </c>
      <c r="AH29">
        <f>IFERROR(beta_cf*MAX(0,P2_cf-(((cx2_cf+2*AF29)*(((B_cf-cy2_cf)/2)+cy2_cf)+cx2_cf*AF29+PI()*AF29^2/2)*((wa_cf+wb_cf*(x2_cf)/1000)/Bm_cf))/1E6)*1000/((cx2_cf+PI()*AF29+2*(((B_cf-cy2_cf)/2)+cy2_cf))*dp_cf)/(vRdc_p*2*dp_cf/AF29),0)</f>
        <v/>
      </c>
      <c r="AJ29">
        <f>IF(AN28&lt;AO28,AL28,AJ28)</f>
        <v/>
      </c>
      <c r="AK29">
        <f>IF(AN28&lt;AO28,AK28,AM28)</f>
        <v/>
      </c>
      <c r="AL29">
        <f>AK29-((SQRT(5)-1)/2)*(AK29-AJ29)</f>
        <v/>
      </c>
      <c r="AM29">
        <f>AJ29+((SQRT(5)-1)/2)*(AK29-AJ29)</f>
        <v/>
      </c>
      <c r="AN29">
        <f>IFERROR(beta_cf*MAX(0,P2_cf-(((L_cf-x2_cf-cx2_cf/2)+cx2_cf)*(((B_cf-cy2_cf)/2)+cy2_cf+AL29)*((wa_cf+wb_cf*(((x2_cf-cx2_cf/2)+L_cf)/2)/1000)/Bm_cf)+(((B_cf-cy2_cf)/2)+cy2_cf)*AL29*((wa_cf+wb_cf*((x2_cf-cx2_cf/2)-AL29/2)/1000)/Bm_cf)+PI()*AL29^2/4*((wa_cf+wb_cf*((x2_cf-cx2_cf/2)-4*AL29/(3*PI()))/1000)/Bm_cf))/1E6)*1000/(((L_cf-x2_cf-cx2_cf/2)+cx2_cf+((B_cf-cy2_cf)/2)+cy2_cf+PI()*AL29/2)*dp_cf)/(vRdc_p*2*dp_cf/AL29),0)</f>
        <v/>
      </c>
      <c r="AO29">
        <f>IFERROR(beta_cf*MAX(0,P2_cf-(((L_cf-x2_cf-cx2_cf/2)+cx2_cf)*(((B_cf-cy2_cf)/2)+cy2_cf+AM29)*((wa_cf+wb_cf*(((x2_cf-cx2_cf/2)+L_cf)/2)/1000)/Bm_cf)+(((B_cf-cy2_cf)/2)+cy2_cf)*AM29*((wa_cf+wb_cf*((x2_cf-cx2_cf/2)-AM29/2)/1000)/Bm_cf)+PI()*AM29^2/4*((wa_cf+wb_cf*((x2_cf-cx2_cf/2)-4*AM29/(3*PI()))/1000)/Bm_cf))/1E6)*1000/(((L_cf-x2_cf-cx2_cf/2)+cx2_cf+((B_cf-cy2_cf)/2)+cy2_cf+PI()*AM29/2)*dp_cf)/(vRdc_p*2*dp_cf/AM29),0)</f>
        <v/>
      </c>
    </row>
    <row r="30">
      <c r="A30">
        <f>IF(E29&lt;F29,C29,A29)</f>
        <v/>
      </c>
      <c r="B30">
        <f>IF(E29&lt;F29,B29,D29)</f>
        <v/>
      </c>
      <c r="C30">
        <f>B30-((SQRT(5)-1)/2)*(B30-A30)</f>
        <v/>
      </c>
      <c r="D30">
        <f>A30+((SQRT(5)-1)/2)*(B30-A30)</f>
        <v/>
      </c>
      <c r="E30">
        <f>IFERROR(beta_cf*MAX(0,P1_cf-(((x1_cf-cx1_cf/2)+cx1_cf)*(cy1_cf+2*C30)*((wa_cf+wb_cf*((x1_cf+cx1_cf/2)/2)/1000)/Bm_cf)+cy1_cf*C30*((wa_cf+wb_cf*((x1_cf+cx1_cf/2)+C30/2)/1000)/Bm_cf)+PI()*C30^2/2*((wa_cf+wb_cf*((x1_cf+cx1_cf/2)+4*C30/(3*PI()))/1000)/Bm_cf))/1E6)*1000/((cy1_cf+PI()*C30+2*((x1_cf-cx1_cf/2)+cx1_cf))*dp_cf)/(vRdc_p*2*dp_cf/C30),0)</f>
        <v/>
      </c>
      <c r="F30">
        <f>IFERROR(beta_cf*MAX(0,P1_cf-(((x1_cf-cx1_cf/2)+cx1_cf)*(cy1_cf+2*D30)*((wa_cf+wb_cf*((x1_cf+cx1_cf/2)/2)/1000)/Bm_cf)+cy1_cf*D30*((wa_cf+wb_cf*((x1_cf+cx1_cf/2)+D30/2)/1000)/Bm_cf)+PI()*D30^2/2*((wa_cf+wb_cf*((x1_cf+cx1_cf/2)+4*D30/(3*PI()))/1000)/Bm_cf))/1E6)*1000/((cy1_cf+PI()*D30+2*((x1_cf-cx1_cf/2)+cx1_cf))*dp_cf)/(vRdc_p*2*dp_cf/D30),0)</f>
        <v/>
      </c>
      <c r="H30">
        <f>IF(L29&lt;M29,J29,H29)</f>
        <v/>
      </c>
      <c r="I30">
        <f>IF(L29&lt;M29,I29,K29)</f>
        <v/>
      </c>
      <c r="J30">
        <f>I30-((SQRT(5)-1)/2)*(I30-H30)</f>
        <v/>
      </c>
      <c r="K30">
        <f>H30+((SQRT(5)-1)/2)*(I30-H30)</f>
        <v/>
      </c>
      <c r="L30">
        <f>IFERROR(beta_cf*MAX(0,P1_cf-(((cx1_cf+2*J30)*(((B_cf-cy1_cf)/2)+cy1_cf)+cx1_cf*J30+PI()*J30^2/2)*((wa_cf+wb_cf*(x1_cf)/1000)/Bm_cf))/1E6)*1000/((cx1_cf+PI()*J30+2*(((B_cf-cy1_cf)/2)+cy1_cf))*dp_cf)/(vRdc_p*2*dp_cf/J30),0)</f>
        <v/>
      </c>
      <c r="M30">
        <f>IFERROR(beta_cf*MAX(0,P1_cf-(((cx1_cf+2*K30)*(((B_cf-cy1_cf)/2)+cy1_cf)+cx1_cf*K30+PI()*K30^2/2)*((wa_cf+wb_cf*(x1_cf)/1000)/Bm_cf))/1E6)*1000/((cx1_cf+PI()*K30+2*(((B_cf-cy1_cf)/2)+cy1_cf))*dp_cf)/(vRdc_p*2*dp_cf/K30),0)</f>
        <v/>
      </c>
      <c r="O30">
        <f>IF(S29&lt;T29,Q29,O29)</f>
        <v/>
      </c>
      <c r="P30">
        <f>IF(S29&lt;T29,P29,R29)</f>
        <v/>
      </c>
      <c r="Q30">
        <f>P30-((SQRT(5)-1)/2)*(P30-O30)</f>
        <v/>
      </c>
      <c r="R30">
        <f>O30+((SQRT(5)-1)/2)*(P30-O30)</f>
        <v/>
      </c>
      <c r="S30">
        <f>IFERROR(beta_cf*MAX(0,P1_cf-(((x1_cf-cx1_cf/2)+cx1_cf)*(((B_cf-cy1_cf)/2)+cy1_cf+Q30)*((wa_cf+wb_cf*((x1_cf+cx1_cf/2)/2)/1000)/Bm_cf)+(((B_cf-cy1_cf)/2)+cy1_cf)*Q30*((wa_cf+wb_cf*((x1_cf+cx1_cf/2)+Q30/2)/1000)/Bm_cf)+PI()*Q30^2/4*((wa_cf+wb_cf*((x1_cf+cx1_cf/2)+4*Q30/(3*PI()))/1000)/Bm_cf))/1E6)*1000/(((x1_cf-cx1_cf/2)+cx1_cf+((B_cf-cy1_cf)/2)+cy1_cf+PI()*Q30/2)*dp_cf)/(vRdc_p*2*dp_cf/Q30),0)</f>
        <v/>
      </c>
      <c r="T30">
        <f>IFERROR(beta_cf*MAX(0,P1_cf-(((x1_cf-cx1_cf/2)+cx1_cf)*(((B_cf-cy1_cf)/2)+cy1_cf+R30)*((wa_cf+wb_cf*((x1_cf+cx1_cf/2)/2)/1000)/Bm_cf)+(((B_cf-cy1_cf)/2)+cy1_cf)*R30*((wa_cf+wb_cf*((x1_cf+cx1_cf/2)+R30/2)/1000)/Bm_cf)+PI()*R30^2/4*((wa_cf+wb_cf*((x1_cf+cx1_cf/2)+4*R30/(3*PI()))/1000)/Bm_cf))/1E6)*1000/(((x1_cf-cx1_cf/2)+cx1_cf+((B_cf-cy1_cf)/2)+cy1_cf+PI()*R30/2)*dp_cf)/(vRdc_p*2*dp_cf/R30),0)</f>
        <v/>
      </c>
      <c r="V30">
        <f>IF(Z29&lt;AA29,X29,V29)</f>
        <v/>
      </c>
      <c r="W30">
        <f>IF(Z29&lt;AA29,W29,Y29)</f>
        <v/>
      </c>
      <c r="X30">
        <f>W30-((SQRT(5)-1)/2)*(W30-V30)</f>
        <v/>
      </c>
      <c r="Y30">
        <f>V30+((SQRT(5)-1)/2)*(W30-V30)</f>
        <v/>
      </c>
      <c r="Z30">
        <f>IFERROR(beta_cf*MAX(0,P2_cf-(((L_cf-x2_cf-cx2_cf/2)+cx2_cf)*(cy2_cf+2*X30)*((wa_cf+wb_cf*(((x2_cf-cx2_cf/2)+L_cf)/2)/1000)/Bm_cf)+cy2_cf*X30*((wa_cf+wb_cf*((x2_cf-cx2_cf/2)-X30/2)/1000)/Bm_cf)+PI()*X30^2/2*((wa_cf+wb_cf*((x2_cf-cx2_cf/2)-4*X30/(3*PI()))/1000)/Bm_cf))/1E6)*1000/((cy2_cf+PI()*X30+2*((L_cf-x2_cf-cx2_cf/2)+cx2_cf))*dp_cf)/(vRdc_p*2*dp_cf/X30),0)</f>
        <v/>
      </c>
      <c r="AA30">
        <f>IFERROR(beta_cf*MAX(0,P2_cf-(((L_cf-x2_cf-cx2_cf/2)+cx2_cf)*(cy2_cf+2*Y30)*((wa_cf+wb_cf*(((x2_cf-cx2_cf/2)+L_cf)/2)/1000)/Bm_cf)+cy2_cf*Y30*((wa_cf+wb_cf*((x2_cf-cx2_cf/2)-Y30/2)/1000)/Bm_cf)+PI()*Y30^2/2*((wa_cf+wb_cf*((x2_cf-cx2_cf/2)-4*Y30/(3*PI()))/1000)/Bm_cf))/1E6)*1000/((cy2_cf+PI()*Y30+2*((L_cf-x2_cf-cx2_cf/2)+cx2_cf))*dp_cf)/(vRdc_p*2*dp_cf/Y30),0)</f>
        <v/>
      </c>
      <c r="AC30">
        <f>IF(AG29&lt;AH29,AE29,AC29)</f>
        <v/>
      </c>
      <c r="AD30">
        <f>IF(AG29&lt;AH29,AD29,AF29)</f>
        <v/>
      </c>
      <c r="AE30">
        <f>AD30-((SQRT(5)-1)/2)*(AD30-AC30)</f>
        <v/>
      </c>
      <c r="AF30">
        <f>AC30+((SQRT(5)-1)/2)*(AD30-AC30)</f>
        <v/>
      </c>
      <c r="AG30">
        <f>IFERROR(beta_cf*MAX(0,P2_cf-(((cx2_cf+2*AE30)*(((B_cf-cy2_cf)/2)+cy2_cf)+cx2_cf*AE30+PI()*AE30^2/2)*((wa_cf+wb_cf*(x2_cf)/1000)/Bm_cf))/1E6)*1000/((cx2_cf+PI()*AE30+2*(((B_cf-cy2_cf)/2)+cy2_cf))*dp_cf)/(vRdc_p*2*dp_cf/AE30),0)</f>
        <v/>
      </c>
      <c r="AH30">
        <f>IFERROR(beta_cf*MAX(0,P2_cf-(((cx2_cf+2*AF30)*(((B_cf-cy2_cf)/2)+cy2_cf)+cx2_cf*AF30+PI()*AF30^2/2)*((wa_cf+wb_cf*(x2_cf)/1000)/Bm_cf))/1E6)*1000/((cx2_cf+PI()*AF30+2*(((B_cf-cy2_cf)/2)+cy2_cf))*dp_cf)/(vRdc_p*2*dp_cf/AF30),0)</f>
        <v/>
      </c>
      <c r="AJ30">
        <f>IF(AN29&lt;AO29,AL29,AJ29)</f>
        <v/>
      </c>
      <c r="AK30">
        <f>IF(AN29&lt;AO29,AK29,AM29)</f>
        <v/>
      </c>
      <c r="AL30">
        <f>AK30-((SQRT(5)-1)/2)*(AK30-AJ30)</f>
        <v/>
      </c>
      <c r="AM30">
        <f>AJ30+((SQRT(5)-1)/2)*(AK30-AJ30)</f>
        <v/>
      </c>
      <c r="AN30">
        <f>IFERROR(beta_cf*MAX(0,P2_cf-(((L_cf-x2_cf-cx2_cf/2)+cx2_cf)*(((B_cf-cy2_cf)/2)+cy2_cf+AL30)*((wa_cf+wb_cf*(((x2_cf-cx2_cf/2)+L_cf)/2)/1000)/Bm_cf)+(((B_cf-cy2_cf)/2)+cy2_cf)*AL30*((wa_cf+wb_cf*((x2_cf-cx2_cf/2)-AL30/2)/1000)/Bm_cf)+PI()*AL30^2/4*((wa_cf+wb_cf*((x2_cf-cx2_cf/2)-4*AL30/(3*PI()))/1000)/Bm_cf))/1E6)*1000/(((L_cf-x2_cf-cx2_cf/2)+cx2_cf+((B_cf-cy2_cf)/2)+cy2_cf+PI()*AL30/2)*dp_cf)/(vRdc_p*2*dp_cf/AL30),0)</f>
        <v/>
      </c>
      <c r="AO30">
        <f>IFERROR(beta_cf*MAX(0,P2_cf-(((L_cf-x2_cf-cx2_cf/2)+cx2_cf)*(((B_cf-cy2_cf)/2)+cy2_cf+AM30)*((wa_cf+wb_cf*(((x2_cf-cx2_cf/2)+L_cf)/2)/1000)/Bm_cf)+(((B_cf-cy2_cf)/2)+cy2_cf)*AM30*((wa_cf+wb_cf*((x2_cf-cx2_cf/2)-AM30/2)/1000)/Bm_cf)+PI()*AM30^2/4*((wa_cf+wb_cf*((x2_cf-cx2_cf/2)-4*AM30/(3*PI()))/1000)/Bm_cf))/1E6)*1000/(((L_cf-x2_cf-cx2_cf/2)+cx2_cf+((B_cf-cy2_cf)/2)+cy2_cf+PI()*AM30/2)*dp_cf)/(vRdc_p*2*dp_cf/AM30),0)</f>
        <v/>
      </c>
    </row>
    <row r="31">
      <c r="A31">
        <f>IF(E30&lt;F30,C30,A30)</f>
        <v/>
      </c>
      <c r="B31">
        <f>IF(E30&lt;F30,B30,D30)</f>
        <v/>
      </c>
      <c r="C31">
        <f>B31-((SQRT(5)-1)/2)*(B31-A31)</f>
        <v/>
      </c>
      <c r="D31">
        <f>A31+((SQRT(5)-1)/2)*(B31-A31)</f>
        <v/>
      </c>
      <c r="E31">
        <f>IFERROR(beta_cf*MAX(0,P1_cf-(((x1_cf-cx1_cf/2)+cx1_cf)*(cy1_cf+2*C31)*((wa_cf+wb_cf*((x1_cf+cx1_cf/2)/2)/1000)/Bm_cf)+cy1_cf*C31*((wa_cf+wb_cf*((x1_cf+cx1_cf/2)+C31/2)/1000)/Bm_cf)+PI()*C31^2/2*((wa_cf+wb_cf*((x1_cf+cx1_cf/2)+4*C31/(3*PI()))/1000)/Bm_cf))/1E6)*1000/((cy1_cf+PI()*C31+2*((x1_cf-cx1_cf/2)+cx1_cf))*dp_cf)/(vRdc_p*2*dp_cf/C31),0)</f>
        <v/>
      </c>
      <c r="F31">
        <f>IFERROR(beta_cf*MAX(0,P1_cf-(((x1_cf-cx1_cf/2)+cx1_cf)*(cy1_cf+2*D31)*((wa_cf+wb_cf*((x1_cf+cx1_cf/2)/2)/1000)/Bm_cf)+cy1_cf*D31*((wa_cf+wb_cf*((x1_cf+cx1_cf/2)+D31/2)/1000)/Bm_cf)+PI()*D31^2/2*((wa_cf+wb_cf*((x1_cf+cx1_cf/2)+4*D31/(3*PI()))/1000)/Bm_cf))/1E6)*1000/((cy1_cf+PI()*D31+2*((x1_cf-cx1_cf/2)+cx1_cf))*dp_cf)/(vRdc_p*2*dp_cf/D31),0)</f>
        <v/>
      </c>
      <c r="H31">
        <f>IF(L30&lt;M30,J30,H30)</f>
        <v/>
      </c>
      <c r="I31">
        <f>IF(L30&lt;M30,I30,K30)</f>
        <v/>
      </c>
      <c r="J31">
        <f>I31-((SQRT(5)-1)/2)*(I31-H31)</f>
        <v/>
      </c>
      <c r="K31">
        <f>H31+((SQRT(5)-1)/2)*(I31-H31)</f>
        <v/>
      </c>
      <c r="L31">
        <f>IFERROR(beta_cf*MAX(0,P1_cf-(((cx1_cf+2*J31)*(((B_cf-cy1_cf)/2)+cy1_cf)+cx1_cf*J31+PI()*J31^2/2)*((wa_cf+wb_cf*(x1_cf)/1000)/Bm_cf))/1E6)*1000/((cx1_cf+PI()*J31+2*(((B_cf-cy1_cf)/2)+cy1_cf))*dp_cf)/(vRdc_p*2*dp_cf/J31),0)</f>
        <v/>
      </c>
      <c r="M31">
        <f>IFERROR(beta_cf*MAX(0,P1_cf-(((cx1_cf+2*K31)*(((B_cf-cy1_cf)/2)+cy1_cf)+cx1_cf*K31+PI()*K31^2/2)*((wa_cf+wb_cf*(x1_cf)/1000)/Bm_cf))/1E6)*1000/((cx1_cf+PI()*K31+2*(((B_cf-cy1_cf)/2)+cy1_cf))*dp_cf)/(vRdc_p*2*dp_cf/K31),0)</f>
        <v/>
      </c>
      <c r="O31">
        <f>IF(S30&lt;T30,Q30,O30)</f>
        <v/>
      </c>
      <c r="P31">
        <f>IF(S30&lt;T30,P30,R30)</f>
        <v/>
      </c>
      <c r="Q31">
        <f>P31-((SQRT(5)-1)/2)*(P31-O31)</f>
        <v/>
      </c>
      <c r="R31">
        <f>O31+((SQRT(5)-1)/2)*(P31-O31)</f>
        <v/>
      </c>
      <c r="S31">
        <f>IFERROR(beta_cf*MAX(0,P1_cf-(((x1_cf-cx1_cf/2)+cx1_cf)*(((B_cf-cy1_cf)/2)+cy1_cf+Q31)*((wa_cf+wb_cf*((x1_cf+cx1_cf/2)/2)/1000)/Bm_cf)+(((B_cf-cy1_cf)/2)+cy1_cf)*Q31*((wa_cf+wb_cf*((x1_cf+cx1_cf/2)+Q31/2)/1000)/Bm_cf)+PI()*Q31^2/4*((wa_cf+wb_cf*((x1_cf+cx1_cf/2)+4*Q31/(3*PI()))/1000)/Bm_cf))/1E6)*1000/(((x1_cf-cx1_cf/2)+cx1_cf+((B_cf-cy1_cf)/2)+cy1_cf+PI()*Q31/2)*dp_cf)/(vRdc_p*2*dp_cf/Q31),0)</f>
        <v/>
      </c>
      <c r="T31">
        <f>IFERROR(beta_cf*MAX(0,P1_cf-(((x1_cf-cx1_cf/2)+cx1_cf)*(((B_cf-cy1_cf)/2)+cy1_cf+R31)*((wa_cf+wb_cf*((x1_cf+cx1_cf/2)/2)/1000)/Bm_cf)+(((B_cf-cy1_cf)/2)+cy1_cf)*R31*((wa_cf+wb_cf*((x1_cf+cx1_cf/2)+R31/2)/1000)/Bm_cf)+PI()*R31^2/4*((wa_cf+wb_cf*((x1_cf+cx1_cf/2)+4*R31/(3*PI()))/1000)/Bm_cf))/1E6)*1000/(((x1_cf-cx1_cf/2)+cx1_cf+((B_cf-cy1_cf)/2)+cy1_cf+PI()*R31/2)*dp_cf)/(vRdc_p*2*dp_cf/R31),0)</f>
        <v/>
      </c>
      <c r="V31">
        <f>IF(Z30&lt;AA30,X30,V30)</f>
        <v/>
      </c>
      <c r="W31">
        <f>IF(Z30&lt;AA30,W30,Y30)</f>
        <v/>
      </c>
      <c r="X31">
        <f>W31-((SQRT(5)-1)/2)*(W31-V31)</f>
        <v/>
      </c>
      <c r="Y31">
        <f>V31+((SQRT(5)-1)/2)*(W31-V31)</f>
        <v/>
      </c>
      <c r="Z31">
        <f>IFERROR(beta_cf*MAX(0,P2_cf-(((L_cf-x2_cf-cx2_cf/2)+cx2_cf)*(cy2_cf+2*X31)*((wa_cf+wb_cf*(((x2_cf-cx2_cf/2)+L_cf)/2)/1000)/Bm_cf)+cy2_cf*X31*((wa_cf+wb_cf*((x2_cf-cx2_cf/2)-X31/2)/1000)/Bm_cf)+PI()*X31^2/2*((wa_cf+wb_cf*((x2_cf-cx2_cf/2)-4*X31/(3*PI()))/1000)/Bm_cf))/1E6)*1000/((cy2_cf+PI()*X31+2*((L_cf-x2_cf-cx2_cf/2)+cx2_cf))*dp_cf)/(vRdc_p*2*dp_cf/X31),0)</f>
        <v/>
      </c>
      <c r="AA31">
        <f>IFERROR(beta_cf*MAX(0,P2_cf-(((L_cf-x2_cf-cx2_cf/2)+cx2_cf)*(cy2_cf+2*Y31)*((wa_cf+wb_cf*(((x2_cf-cx2_cf/2)+L_cf)/2)/1000)/Bm_cf)+cy2_cf*Y31*((wa_cf+wb_cf*((x2_cf-cx2_cf/2)-Y31/2)/1000)/Bm_cf)+PI()*Y31^2/2*((wa_cf+wb_cf*((x2_cf-cx2_cf/2)-4*Y31/(3*PI()))/1000)/Bm_cf))/1E6)*1000/((cy2_cf+PI()*Y31+2*((L_cf-x2_cf-cx2_cf/2)+cx2_cf))*dp_cf)/(vRdc_p*2*dp_cf/Y31),0)</f>
        <v/>
      </c>
      <c r="AC31">
        <f>IF(AG30&lt;AH30,AE30,AC30)</f>
        <v/>
      </c>
      <c r="AD31">
        <f>IF(AG30&lt;AH30,AD30,AF30)</f>
        <v/>
      </c>
      <c r="AE31">
        <f>AD31-((SQRT(5)-1)/2)*(AD31-AC31)</f>
        <v/>
      </c>
      <c r="AF31">
        <f>AC31+((SQRT(5)-1)/2)*(AD31-AC31)</f>
        <v/>
      </c>
      <c r="AG31">
        <f>IFERROR(beta_cf*MAX(0,P2_cf-(((cx2_cf+2*AE31)*(((B_cf-cy2_cf)/2)+cy2_cf)+cx2_cf*AE31+PI()*AE31^2/2)*((wa_cf+wb_cf*(x2_cf)/1000)/Bm_cf))/1E6)*1000/((cx2_cf+PI()*AE31+2*(((B_cf-cy2_cf)/2)+cy2_cf))*dp_cf)/(vRdc_p*2*dp_cf/AE31),0)</f>
        <v/>
      </c>
      <c r="AH31">
        <f>IFERROR(beta_cf*MAX(0,P2_cf-(((cx2_cf+2*AF31)*(((B_cf-cy2_cf)/2)+cy2_cf)+cx2_cf*AF31+PI()*AF31^2/2)*((wa_cf+wb_cf*(x2_cf)/1000)/Bm_cf))/1E6)*1000/((cx2_cf+PI()*AF31+2*(((B_cf-cy2_cf)/2)+cy2_cf))*dp_cf)/(vRdc_p*2*dp_cf/AF31),0)</f>
        <v/>
      </c>
      <c r="AJ31">
        <f>IF(AN30&lt;AO30,AL30,AJ30)</f>
        <v/>
      </c>
      <c r="AK31">
        <f>IF(AN30&lt;AO30,AK30,AM30)</f>
        <v/>
      </c>
      <c r="AL31">
        <f>AK31-((SQRT(5)-1)/2)*(AK31-AJ31)</f>
        <v/>
      </c>
      <c r="AM31">
        <f>AJ31+((SQRT(5)-1)/2)*(AK31-AJ31)</f>
        <v/>
      </c>
      <c r="AN31">
        <f>IFERROR(beta_cf*MAX(0,P2_cf-(((L_cf-x2_cf-cx2_cf/2)+cx2_cf)*(((B_cf-cy2_cf)/2)+cy2_cf+AL31)*((wa_cf+wb_cf*(((x2_cf-cx2_cf/2)+L_cf)/2)/1000)/Bm_cf)+(((B_cf-cy2_cf)/2)+cy2_cf)*AL31*((wa_cf+wb_cf*((x2_cf-cx2_cf/2)-AL31/2)/1000)/Bm_cf)+PI()*AL31^2/4*((wa_cf+wb_cf*((x2_cf-cx2_cf/2)-4*AL31/(3*PI()))/1000)/Bm_cf))/1E6)*1000/(((L_cf-x2_cf-cx2_cf/2)+cx2_cf+((B_cf-cy2_cf)/2)+cy2_cf+PI()*AL31/2)*dp_cf)/(vRdc_p*2*dp_cf/AL31),0)</f>
        <v/>
      </c>
      <c r="AO31">
        <f>IFERROR(beta_cf*MAX(0,P2_cf-(((L_cf-x2_cf-cx2_cf/2)+cx2_cf)*(((B_cf-cy2_cf)/2)+cy2_cf+AM31)*((wa_cf+wb_cf*(((x2_cf-cx2_cf/2)+L_cf)/2)/1000)/Bm_cf)+(((B_cf-cy2_cf)/2)+cy2_cf)*AM31*((wa_cf+wb_cf*((x2_cf-cx2_cf/2)-AM31/2)/1000)/Bm_cf)+PI()*AM31^2/4*((wa_cf+wb_cf*((x2_cf-cx2_cf/2)-4*AM31/(3*PI()))/1000)/Bm_cf))/1E6)*1000/(((L_cf-x2_cf-cx2_cf/2)+cx2_cf+((B_cf-cy2_cf)/2)+cy2_cf+PI()*AM31/2)*dp_cf)/(vRdc_p*2*dp_cf/AM31),0)</f>
        <v/>
      </c>
    </row>
    <row r="32">
      <c r="A32">
        <f>IF(E31&lt;F31,C31,A31)</f>
        <v/>
      </c>
      <c r="B32">
        <f>IF(E31&lt;F31,B31,D31)</f>
        <v/>
      </c>
      <c r="C32">
        <f>B32-((SQRT(5)-1)/2)*(B32-A32)</f>
        <v/>
      </c>
      <c r="D32">
        <f>A32+((SQRT(5)-1)/2)*(B32-A32)</f>
        <v/>
      </c>
      <c r="E32">
        <f>IFERROR(beta_cf*MAX(0,P1_cf-(((x1_cf-cx1_cf/2)+cx1_cf)*(cy1_cf+2*C32)*((wa_cf+wb_cf*((x1_cf+cx1_cf/2)/2)/1000)/Bm_cf)+cy1_cf*C32*((wa_cf+wb_cf*((x1_cf+cx1_cf/2)+C32/2)/1000)/Bm_cf)+PI()*C32^2/2*((wa_cf+wb_cf*((x1_cf+cx1_cf/2)+4*C32/(3*PI()))/1000)/Bm_cf))/1E6)*1000/((cy1_cf+PI()*C32+2*((x1_cf-cx1_cf/2)+cx1_cf))*dp_cf)/(vRdc_p*2*dp_cf/C32),0)</f>
        <v/>
      </c>
      <c r="F32">
        <f>IFERROR(beta_cf*MAX(0,P1_cf-(((x1_cf-cx1_cf/2)+cx1_cf)*(cy1_cf+2*D32)*((wa_cf+wb_cf*((x1_cf+cx1_cf/2)/2)/1000)/Bm_cf)+cy1_cf*D32*((wa_cf+wb_cf*((x1_cf+cx1_cf/2)+D32/2)/1000)/Bm_cf)+PI()*D32^2/2*((wa_cf+wb_cf*((x1_cf+cx1_cf/2)+4*D32/(3*PI()))/1000)/Bm_cf))/1E6)*1000/((cy1_cf+PI()*D32+2*((x1_cf-cx1_cf/2)+cx1_cf))*dp_cf)/(vRdc_p*2*dp_cf/D32),0)</f>
        <v/>
      </c>
      <c r="H32">
        <f>IF(L31&lt;M31,J31,H31)</f>
        <v/>
      </c>
      <c r="I32">
        <f>IF(L31&lt;M31,I31,K31)</f>
        <v/>
      </c>
      <c r="J32">
        <f>I32-((SQRT(5)-1)/2)*(I32-H32)</f>
        <v/>
      </c>
      <c r="K32">
        <f>H32+((SQRT(5)-1)/2)*(I32-H32)</f>
        <v/>
      </c>
      <c r="L32">
        <f>IFERROR(beta_cf*MAX(0,P1_cf-(((cx1_cf+2*J32)*(((B_cf-cy1_cf)/2)+cy1_cf)+cx1_cf*J32+PI()*J32^2/2)*((wa_cf+wb_cf*(x1_cf)/1000)/Bm_cf))/1E6)*1000/((cx1_cf+PI()*J32+2*(((B_cf-cy1_cf)/2)+cy1_cf))*dp_cf)/(vRdc_p*2*dp_cf/J32),0)</f>
        <v/>
      </c>
      <c r="M32">
        <f>IFERROR(beta_cf*MAX(0,P1_cf-(((cx1_cf+2*K32)*(((B_cf-cy1_cf)/2)+cy1_cf)+cx1_cf*K32+PI()*K32^2/2)*((wa_cf+wb_cf*(x1_cf)/1000)/Bm_cf))/1E6)*1000/((cx1_cf+PI()*K32+2*(((B_cf-cy1_cf)/2)+cy1_cf))*dp_cf)/(vRdc_p*2*dp_cf/K32),0)</f>
        <v/>
      </c>
      <c r="O32">
        <f>IF(S31&lt;T31,Q31,O31)</f>
        <v/>
      </c>
      <c r="P32">
        <f>IF(S31&lt;T31,P31,R31)</f>
        <v/>
      </c>
      <c r="Q32">
        <f>P32-((SQRT(5)-1)/2)*(P32-O32)</f>
        <v/>
      </c>
      <c r="R32">
        <f>O32+((SQRT(5)-1)/2)*(P32-O32)</f>
        <v/>
      </c>
      <c r="S32">
        <f>IFERROR(beta_cf*MAX(0,P1_cf-(((x1_cf-cx1_cf/2)+cx1_cf)*(((B_cf-cy1_cf)/2)+cy1_cf+Q32)*((wa_cf+wb_cf*((x1_cf+cx1_cf/2)/2)/1000)/Bm_cf)+(((B_cf-cy1_cf)/2)+cy1_cf)*Q32*((wa_cf+wb_cf*((x1_cf+cx1_cf/2)+Q32/2)/1000)/Bm_cf)+PI()*Q32^2/4*((wa_cf+wb_cf*((x1_cf+cx1_cf/2)+4*Q32/(3*PI()))/1000)/Bm_cf))/1E6)*1000/(((x1_cf-cx1_cf/2)+cx1_cf+((B_cf-cy1_cf)/2)+cy1_cf+PI()*Q32/2)*dp_cf)/(vRdc_p*2*dp_cf/Q32),0)</f>
        <v/>
      </c>
      <c r="T32">
        <f>IFERROR(beta_cf*MAX(0,P1_cf-(((x1_cf-cx1_cf/2)+cx1_cf)*(((B_cf-cy1_cf)/2)+cy1_cf+R32)*((wa_cf+wb_cf*((x1_cf+cx1_cf/2)/2)/1000)/Bm_cf)+(((B_cf-cy1_cf)/2)+cy1_cf)*R32*((wa_cf+wb_cf*((x1_cf+cx1_cf/2)+R32/2)/1000)/Bm_cf)+PI()*R32^2/4*((wa_cf+wb_cf*((x1_cf+cx1_cf/2)+4*R32/(3*PI()))/1000)/Bm_cf))/1E6)*1000/(((x1_cf-cx1_cf/2)+cx1_cf+((B_cf-cy1_cf)/2)+cy1_cf+PI()*R32/2)*dp_cf)/(vRdc_p*2*dp_cf/R32),0)</f>
        <v/>
      </c>
      <c r="V32">
        <f>IF(Z31&lt;AA31,X31,V31)</f>
        <v/>
      </c>
      <c r="W32">
        <f>IF(Z31&lt;AA31,W31,Y31)</f>
        <v/>
      </c>
      <c r="X32">
        <f>W32-((SQRT(5)-1)/2)*(W32-V32)</f>
        <v/>
      </c>
      <c r="Y32">
        <f>V32+((SQRT(5)-1)/2)*(W32-V32)</f>
        <v/>
      </c>
      <c r="Z32">
        <f>IFERROR(beta_cf*MAX(0,P2_cf-(((L_cf-x2_cf-cx2_cf/2)+cx2_cf)*(cy2_cf+2*X32)*((wa_cf+wb_cf*(((x2_cf-cx2_cf/2)+L_cf)/2)/1000)/Bm_cf)+cy2_cf*X32*((wa_cf+wb_cf*((x2_cf-cx2_cf/2)-X32/2)/1000)/Bm_cf)+PI()*X32^2/2*((wa_cf+wb_cf*((x2_cf-cx2_cf/2)-4*X32/(3*PI()))/1000)/Bm_cf))/1E6)*1000/((cy2_cf+PI()*X32+2*((L_cf-x2_cf-cx2_cf/2)+cx2_cf))*dp_cf)/(vRdc_p*2*dp_cf/X32),0)</f>
        <v/>
      </c>
      <c r="AA32">
        <f>IFERROR(beta_cf*MAX(0,P2_cf-(((L_cf-x2_cf-cx2_cf/2)+cx2_cf)*(cy2_cf+2*Y32)*((wa_cf+wb_cf*(((x2_cf-cx2_cf/2)+L_cf)/2)/1000)/Bm_cf)+cy2_cf*Y32*((wa_cf+wb_cf*((x2_cf-cx2_cf/2)-Y32/2)/1000)/Bm_cf)+PI()*Y32^2/2*((wa_cf+wb_cf*((x2_cf-cx2_cf/2)-4*Y32/(3*PI()))/1000)/Bm_cf))/1E6)*1000/((cy2_cf+PI()*Y32+2*((L_cf-x2_cf-cx2_cf/2)+cx2_cf))*dp_cf)/(vRdc_p*2*dp_cf/Y32),0)</f>
        <v/>
      </c>
      <c r="AC32">
        <f>IF(AG31&lt;AH31,AE31,AC31)</f>
        <v/>
      </c>
      <c r="AD32">
        <f>IF(AG31&lt;AH31,AD31,AF31)</f>
        <v/>
      </c>
      <c r="AE32">
        <f>AD32-((SQRT(5)-1)/2)*(AD32-AC32)</f>
        <v/>
      </c>
      <c r="AF32">
        <f>AC32+((SQRT(5)-1)/2)*(AD32-AC32)</f>
        <v/>
      </c>
      <c r="AG32">
        <f>IFERROR(beta_cf*MAX(0,P2_cf-(((cx2_cf+2*AE32)*(((B_cf-cy2_cf)/2)+cy2_cf)+cx2_cf*AE32+PI()*AE32^2/2)*((wa_cf+wb_cf*(x2_cf)/1000)/Bm_cf))/1E6)*1000/((cx2_cf+PI()*AE32+2*(((B_cf-cy2_cf)/2)+cy2_cf))*dp_cf)/(vRdc_p*2*dp_cf/AE32),0)</f>
        <v/>
      </c>
      <c r="AH32">
        <f>IFERROR(beta_cf*MAX(0,P2_cf-(((cx2_cf+2*AF32)*(((B_cf-cy2_cf)/2)+cy2_cf)+cx2_cf*AF32+PI()*AF32^2/2)*((wa_cf+wb_cf*(x2_cf)/1000)/Bm_cf))/1E6)*1000/((cx2_cf+PI()*AF32+2*(((B_cf-cy2_cf)/2)+cy2_cf))*dp_cf)/(vRdc_p*2*dp_cf/AF32),0)</f>
        <v/>
      </c>
      <c r="AJ32">
        <f>IF(AN31&lt;AO31,AL31,AJ31)</f>
        <v/>
      </c>
      <c r="AK32">
        <f>IF(AN31&lt;AO31,AK31,AM31)</f>
        <v/>
      </c>
      <c r="AL32">
        <f>AK32-((SQRT(5)-1)/2)*(AK32-AJ32)</f>
        <v/>
      </c>
      <c r="AM32">
        <f>AJ32+((SQRT(5)-1)/2)*(AK32-AJ32)</f>
        <v/>
      </c>
      <c r="AN32">
        <f>IFERROR(beta_cf*MAX(0,P2_cf-(((L_cf-x2_cf-cx2_cf/2)+cx2_cf)*(((B_cf-cy2_cf)/2)+cy2_cf+AL32)*((wa_cf+wb_cf*(((x2_cf-cx2_cf/2)+L_cf)/2)/1000)/Bm_cf)+(((B_cf-cy2_cf)/2)+cy2_cf)*AL32*((wa_cf+wb_cf*((x2_cf-cx2_cf/2)-AL32/2)/1000)/Bm_cf)+PI()*AL32^2/4*((wa_cf+wb_cf*((x2_cf-cx2_cf/2)-4*AL32/(3*PI()))/1000)/Bm_cf))/1E6)*1000/(((L_cf-x2_cf-cx2_cf/2)+cx2_cf+((B_cf-cy2_cf)/2)+cy2_cf+PI()*AL32/2)*dp_cf)/(vRdc_p*2*dp_cf/AL32),0)</f>
        <v/>
      </c>
      <c r="AO32">
        <f>IFERROR(beta_cf*MAX(0,P2_cf-(((L_cf-x2_cf-cx2_cf/2)+cx2_cf)*(((B_cf-cy2_cf)/2)+cy2_cf+AM32)*((wa_cf+wb_cf*(((x2_cf-cx2_cf/2)+L_cf)/2)/1000)/Bm_cf)+(((B_cf-cy2_cf)/2)+cy2_cf)*AM32*((wa_cf+wb_cf*((x2_cf-cx2_cf/2)-AM32/2)/1000)/Bm_cf)+PI()*AM32^2/4*((wa_cf+wb_cf*((x2_cf-cx2_cf/2)-4*AM32/(3*PI()))/1000)/Bm_cf))/1E6)*1000/(((L_cf-x2_cf-cx2_cf/2)+cx2_cf+((B_cf-cy2_cf)/2)+cy2_cf+PI()*AM32/2)*dp_cf)/(vRdc_p*2*dp_cf/AM32),0)</f>
        <v/>
      </c>
    </row>
    <row r="33">
      <c r="A33">
        <f>IF(E32&lt;F32,C32,A32)</f>
        <v/>
      </c>
      <c r="B33">
        <f>IF(E32&lt;F32,B32,D32)</f>
        <v/>
      </c>
      <c r="C33">
        <f>B33-((SQRT(5)-1)/2)*(B33-A33)</f>
        <v/>
      </c>
      <c r="D33">
        <f>A33+((SQRT(5)-1)/2)*(B33-A33)</f>
        <v/>
      </c>
      <c r="E33">
        <f>IFERROR(beta_cf*MAX(0,P1_cf-(((x1_cf-cx1_cf/2)+cx1_cf)*(cy1_cf+2*C33)*((wa_cf+wb_cf*((x1_cf+cx1_cf/2)/2)/1000)/Bm_cf)+cy1_cf*C33*((wa_cf+wb_cf*((x1_cf+cx1_cf/2)+C33/2)/1000)/Bm_cf)+PI()*C33^2/2*((wa_cf+wb_cf*((x1_cf+cx1_cf/2)+4*C33/(3*PI()))/1000)/Bm_cf))/1E6)*1000/((cy1_cf+PI()*C33+2*((x1_cf-cx1_cf/2)+cx1_cf))*dp_cf)/(vRdc_p*2*dp_cf/C33),0)</f>
        <v/>
      </c>
      <c r="F33">
        <f>IFERROR(beta_cf*MAX(0,P1_cf-(((x1_cf-cx1_cf/2)+cx1_cf)*(cy1_cf+2*D33)*((wa_cf+wb_cf*((x1_cf+cx1_cf/2)/2)/1000)/Bm_cf)+cy1_cf*D33*((wa_cf+wb_cf*((x1_cf+cx1_cf/2)+D33/2)/1000)/Bm_cf)+PI()*D33^2/2*((wa_cf+wb_cf*((x1_cf+cx1_cf/2)+4*D33/(3*PI()))/1000)/Bm_cf))/1E6)*1000/((cy1_cf+PI()*D33+2*((x1_cf-cx1_cf/2)+cx1_cf))*dp_cf)/(vRdc_p*2*dp_cf/D33),0)</f>
        <v/>
      </c>
      <c r="H33">
        <f>IF(L32&lt;M32,J32,H32)</f>
        <v/>
      </c>
      <c r="I33">
        <f>IF(L32&lt;M32,I32,K32)</f>
        <v/>
      </c>
      <c r="J33">
        <f>I33-((SQRT(5)-1)/2)*(I33-H33)</f>
        <v/>
      </c>
      <c r="K33">
        <f>H33+((SQRT(5)-1)/2)*(I33-H33)</f>
        <v/>
      </c>
      <c r="L33">
        <f>IFERROR(beta_cf*MAX(0,P1_cf-(((cx1_cf+2*J33)*(((B_cf-cy1_cf)/2)+cy1_cf)+cx1_cf*J33+PI()*J33^2/2)*((wa_cf+wb_cf*(x1_cf)/1000)/Bm_cf))/1E6)*1000/((cx1_cf+PI()*J33+2*(((B_cf-cy1_cf)/2)+cy1_cf))*dp_cf)/(vRdc_p*2*dp_cf/J33),0)</f>
        <v/>
      </c>
      <c r="M33">
        <f>IFERROR(beta_cf*MAX(0,P1_cf-(((cx1_cf+2*K33)*(((B_cf-cy1_cf)/2)+cy1_cf)+cx1_cf*K33+PI()*K33^2/2)*((wa_cf+wb_cf*(x1_cf)/1000)/Bm_cf))/1E6)*1000/((cx1_cf+PI()*K33+2*(((B_cf-cy1_cf)/2)+cy1_cf))*dp_cf)/(vRdc_p*2*dp_cf/K33),0)</f>
        <v/>
      </c>
      <c r="O33">
        <f>IF(S32&lt;T32,Q32,O32)</f>
        <v/>
      </c>
      <c r="P33">
        <f>IF(S32&lt;T32,P32,R32)</f>
        <v/>
      </c>
      <c r="Q33">
        <f>P33-((SQRT(5)-1)/2)*(P33-O33)</f>
        <v/>
      </c>
      <c r="R33">
        <f>O33+((SQRT(5)-1)/2)*(P33-O33)</f>
        <v/>
      </c>
      <c r="S33">
        <f>IFERROR(beta_cf*MAX(0,P1_cf-(((x1_cf-cx1_cf/2)+cx1_cf)*(((B_cf-cy1_cf)/2)+cy1_cf+Q33)*((wa_cf+wb_cf*((x1_cf+cx1_cf/2)/2)/1000)/Bm_cf)+(((B_cf-cy1_cf)/2)+cy1_cf)*Q33*((wa_cf+wb_cf*((x1_cf+cx1_cf/2)+Q33/2)/1000)/Bm_cf)+PI()*Q33^2/4*((wa_cf+wb_cf*((x1_cf+cx1_cf/2)+4*Q33/(3*PI()))/1000)/Bm_cf))/1E6)*1000/(((x1_cf-cx1_cf/2)+cx1_cf+((B_cf-cy1_cf)/2)+cy1_cf+PI()*Q33/2)*dp_cf)/(vRdc_p*2*dp_cf/Q33),0)</f>
        <v/>
      </c>
      <c r="T33">
        <f>IFERROR(beta_cf*MAX(0,P1_cf-(((x1_cf-cx1_cf/2)+cx1_cf)*(((B_cf-cy1_cf)/2)+cy1_cf+R33)*((wa_cf+wb_cf*((x1_cf+cx1_cf/2)/2)/1000)/Bm_cf)+(((B_cf-cy1_cf)/2)+cy1_cf)*R33*((wa_cf+wb_cf*((x1_cf+cx1_cf/2)+R33/2)/1000)/Bm_cf)+PI()*R33^2/4*((wa_cf+wb_cf*((x1_cf+cx1_cf/2)+4*R33/(3*PI()))/1000)/Bm_cf))/1E6)*1000/(((x1_cf-cx1_cf/2)+cx1_cf+((B_cf-cy1_cf)/2)+cy1_cf+PI()*R33/2)*dp_cf)/(vRdc_p*2*dp_cf/R33),0)</f>
        <v/>
      </c>
      <c r="V33">
        <f>IF(Z32&lt;AA32,X32,V32)</f>
        <v/>
      </c>
      <c r="W33">
        <f>IF(Z32&lt;AA32,W32,Y32)</f>
        <v/>
      </c>
      <c r="X33">
        <f>W33-((SQRT(5)-1)/2)*(W33-V33)</f>
        <v/>
      </c>
      <c r="Y33">
        <f>V33+((SQRT(5)-1)/2)*(W33-V33)</f>
        <v/>
      </c>
      <c r="Z33">
        <f>IFERROR(beta_cf*MAX(0,P2_cf-(((L_cf-x2_cf-cx2_cf/2)+cx2_cf)*(cy2_cf+2*X33)*((wa_cf+wb_cf*(((x2_cf-cx2_cf/2)+L_cf)/2)/1000)/Bm_cf)+cy2_cf*X33*((wa_cf+wb_cf*((x2_cf-cx2_cf/2)-X33/2)/1000)/Bm_cf)+PI()*X33^2/2*((wa_cf+wb_cf*((x2_cf-cx2_cf/2)-4*X33/(3*PI()))/1000)/Bm_cf))/1E6)*1000/((cy2_cf+PI()*X33+2*((L_cf-x2_cf-cx2_cf/2)+cx2_cf))*dp_cf)/(vRdc_p*2*dp_cf/X33),0)</f>
        <v/>
      </c>
      <c r="AA33">
        <f>IFERROR(beta_cf*MAX(0,P2_cf-(((L_cf-x2_cf-cx2_cf/2)+cx2_cf)*(cy2_cf+2*Y33)*((wa_cf+wb_cf*(((x2_cf-cx2_cf/2)+L_cf)/2)/1000)/Bm_cf)+cy2_cf*Y33*((wa_cf+wb_cf*((x2_cf-cx2_cf/2)-Y33/2)/1000)/Bm_cf)+PI()*Y33^2/2*((wa_cf+wb_cf*((x2_cf-cx2_cf/2)-4*Y33/(3*PI()))/1000)/Bm_cf))/1E6)*1000/((cy2_cf+PI()*Y33+2*((L_cf-x2_cf-cx2_cf/2)+cx2_cf))*dp_cf)/(vRdc_p*2*dp_cf/Y33),0)</f>
        <v/>
      </c>
      <c r="AC33">
        <f>IF(AG32&lt;AH32,AE32,AC32)</f>
        <v/>
      </c>
      <c r="AD33">
        <f>IF(AG32&lt;AH32,AD32,AF32)</f>
        <v/>
      </c>
      <c r="AE33">
        <f>AD33-((SQRT(5)-1)/2)*(AD33-AC33)</f>
        <v/>
      </c>
      <c r="AF33">
        <f>AC33+((SQRT(5)-1)/2)*(AD33-AC33)</f>
        <v/>
      </c>
      <c r="AG33">
        <f>IFERROR(beta_cf*MAX(0,P2_cf-(((cx2_cf+2*AE33)*(((B_cf-cy2_cf)/2)+cy2_cf)+cx2_cf*AE33+PI()*AE33^2/2)*((wa_cf+wb_cf*(x2_cf)/1000)/Bm_cf))/1E6)*1000/((cx2_cf+PI()*AE33+2*(((B_cf-cy2_cf)/2)+cy2_cf))*dp_cf)/(vRdc_p*2*dp_cf/AE33),0)</f>
        <v/>
      </c>
      <c r="AH33">
        <f>IFERROR(beta_cf*MAX(0,P2_cf-(((cx2_cf+2*AF33)*(((B_cf-cy2_cf)/2)+cy2_cf)+cx2_cf*AF33+PI()*AF33^2/2)*((wa_cf+wb_cf*(x2_cf)/1000)/Bm_cf))/1E6)*1000/((cx2_cf+PI()*AF33+2*(((B_cf-cy2_cf)/2)+cy2_cf))*dp_cf)/(vRdc_p*2*dp_cf/AF33),0)</f>
        <v/>
      </c>
      <c r="AJ33">
        <f>IF(AN32&lt;AO32,AL32,AJ32)</f>
        <v/>
      </c>
      <c r="AK33">
        <f>IF(AN32&lt;AO32,AK32,AM32)</f>
        <v/>
      </c>
      <c r="AL33">
        <f>AK33-((SQRT(5)-1)/2)*(AK33-AJ33)</f>
        <v/>
      </c>
      <c r="AM33">
        <f>AJ33+((SQRT(5)-1)/2)*(AK33-AJ33)</f>
        <v/>
      </c>
      <c r="AN33">
        <f>IFERROR(beta_cf*MAX(0,P2_cf-(((L_cf-x2_cf-cx2_cf/2)+cx2_cf)*(((B_cf-cy2_cf)/2)+cy2_cf+AL33)*((wa_cf+wb_cf*(((x2_cf-cx2_cf/2)+L_cf)/2)/1000)/Bm_cf)+(((B_cf-cy2_cf)/2)+cy2_cf)*AL33*((wa_cf+wb_cf*((x2_cf-cx2_cf/2)-AL33/2)/1000)/Bm_cf)+PI()*AL33^2/4*((wa_cf+wb_cf*((x2_cf-cx2_cf/2)-4*AL33/(3*PI()))/1000)/Bm_cf))/1E6)*1000/(((L_cf-x2_cf-cx2_cf/2)+cx2_cf+((B_cf-cy2_cf)/2)+cy2_cf+PI()*AL33/2)*dp_cf)/(vRdc_p*2*dp_cf/AL33),0)</f>
        <v/>
      </c>
      <c r="AO33">
        <f>IFERROR(beta_cf*MAX(0,P2_cf-(((L_cf-x2_cf-cx2_cf/2)+cx2_cf)*(((B_cf-cy2_cf)/2)+cy2_cf+AM33)*((wa_cf+wb_cf*(((x2_cf-cx2_cf/2)+L_cf)/2)/1000)/Bm_cf)+(((B_cf-cy2_cf)/2)+cy2_cf)*AM33*((wa_cf+wb_cf*((x2_cf-cx2_cf/2)-AM33/2)/1000)/Bm_cf)+PI()*AM33^2/4*((wa_cf+wb_cf*((x2_cf-cx2_cf/2)-4*AM33/(3*PI()))/1000)/Bm_cf))/1E6)*1000/(((L_cf-x2_cf-cx2_cf/2)+cx2_cf+((B_cf-cy2_cf)/2)+cy2_cf+PI()*AM33/2)*dp_cf)/(vRdc_p*2*dp_cf/AM33),0)</f>
        <v/>
      </c>
    </row>
    <row r="34">
      <c r="A34">
        <f>IF(E33&lt;F33,C33,A33)</f>
        <v/>
      </c>
      <c r="B34">
        <f>IF(E33&lt;F33,B33,D33)</f>
        <v/>
      </c>
      <c r="C34">
        <f>B34-((SQRT(5)-1)/2)*(B34-A34)</f>
        <v/>
      </c>
      <c r="D34">
        <f>A34+((SQRT(5)-1)/2)*(B34-A34)</f>
        <v/>
      </c>
      <c r="E34">
        <f>IFERROR(beta_cf*MAX(0,P1_cf-(((x1_cf-cx1_cf/2)+cx1_cf)*(cy1_cf+2*C34)*((wa_cf+wb_cf*((x1_cf+cx1_cf/2)/2)/1000)/Bm_cf)+cy1_cf*C34*((wa_cf+wb_cf*((x1_cf+cx1_cf/2)+C34/2)/1000)/Bm_cf)+PI()*C34^2/2*((wa_cf+wb_cf*((x1_cf+cx1_cf/2)+4*C34/(3*PI()))/1000)/Bm_cf))/1E6)*1000/((cy1_cf+PI()*C34+2*((x1_cf-cx1_cf/2)+cx1_cf))*dp_cf)/(vRdc_p*2*dp_cf/C34),0)</f>
        <v/>
      </c>
      <c r="F34">
        <f>IFERROR(beta_cf*MAX(0,P1_cf-(((x1_cf-cx1_cf/2)+cx1_cf)*(cy1_cf+2*D34)*((wa_cf+wb_cf*((x1_cf+cx1_cf/2)/2)/1000)/Bm_cf)+cy1_cf*D34*((wa_cf+wb_cf*((x1_cf+cx1_cf/2)+D34/2)/1000)/Bm_cf)+PI()*D34^2/2*((wa_cf+wb_cf*((x1_cf+cx1_cf/2)+4*D34/(3*PI()))/1000)/Bm_cf))/1E6)*1000/((cy1_cf+PI()*D34+2*((x1_cf-cx1_cf/2)+cx1_cf))*dp_cf)/(vRdc_p*2*dp_cf/D34),0)</f>
        <v/>
      </c>
      <c r="H34">
        <f>IF(L33&lt;M33,J33,H33)</f>
        <v/>
      </c>
      <c r="I34">
        <f>IF(L33&lt;M33,I33,K33)</f>
        <v/>
      </c>
      <c r="J34">
        <f>I34-((SQRT(5)-1)/2)*(I34-H34)</f>
        <v/>
      </c>
      <c r="K34">
        <f>H34+((SQRT(5)-1)/2)*(I34-H34)</f>
        <v/>
      </c>
      <c r="L34">
        <f>IFERROR(beta_cf*MAX(0,P1_cf-(((cx1_cf+2*J34)*(((B_cf-cy1_cf)/2)+cy1_cf)+cx1_cf*J34+PI()*J34^2/2)*((wa_cf+wb_cf*(x1_cf)/1000)/Bm_cf))/1E6)*1000/((cx1_cf+PI()*J34+2*(((B_cf-cy1_cf)/2)+cy1_cf))*dp_cf)/(vRdc_p*2*dp_cf/J34),0)</f>
        <v/>
      </c>
      <c r="M34">
        <f>IFERROR(beta_cf*MAX(0,P1_cf-(((cx1_cf+2*K34)*(((B_cf-cy1_cf)/2)+cy1_cf)+cx1_cf*K34+PI()*K34^2/2)*((wa_cf+wb_cf*(x1_cf)/1000)/Bm_cf))/1E6)*1000/((cx1_cf+PI()*K34+2*(((B_cf-cy1_cf)/2)+cy1_cf))*dp_cf)/(vRdc_p*2*dp_cf/K34),0)</f>
        <v/>
      </c>
      <c r="O34">
        <f>IF(S33&lt;T33,Q33,O33)</f>
        <v/>
      </c>
      <c r="P34">
        <f>IF(S33&lt;T33,P33,R33)</f>
        <v/>
      </c>
      <c r="Q34">
        <f>P34-((SQRT(5)-1)/2)*(P34-O34)</f>
        <v/>
      </c>
      <c r="R34">
        <f>O34+((SQRT(5)-1)/2)*(P34-O34)</f>
        <v/>
      </c>
      <c r="S34">
        <f>IFERROR(beta_cf*MAX(0,P1_cf-(((x1_cf-cx1_cf/2)+cx1_cf)*(((B_cf-cy1_cf)/2)+cy1_cf+Q34)*((wa_cf+wb_cf*((x1_cf+cx1_cf/2)/2)/1000)/Bm_cf)+(((B_cf-cy1_cf)/2)+cy1_cf)*Q34*((wa_cf+wb_cf*((x1_cf+cx1_cf/2)+Q34/2)/1000)/Bm_cf)+PI()*Q34^2/4*((wa_cf+wb_cf*((x1_cf+cx1_cf/2)+4*Q34/(3*PI()))/1000)/Bm_cf))/1E6)*1000/(((x1_cf-cx1_cf/2)+cx1_cf+((B_cf-cy1_cf)/2)+cy1_cf+PI()*Q34/2)*dp_cf)/(vRdc_p*2*dp_cf/Q34),0)</f>
        <v/>
      </c>
      <c r="T34">
        <f>IFERROR(beta_cf*MAX(0,P1_cf-(((x1_cf-cx1_cf/2)+cx1_cf)*(((B_cf-cy1_cf)/2)+cy1_cf+R34)*((wa_cf+wb_cf*((x1_cf+cx1_cf/2)/2)/1000)/Bm_cf)+(((B_cf-cy1_cf)/2)+cy1_cf)*R34*((wa_cf+wb_cf*((x1_cf+cx1_cf/2)+R34/2)/1000)/Bm_cf)+PI()*R34^2/4*((wa_cf+wb_cf*((x1_cf+cx1_cf/2)+4*R34/(3*PI()))/1000)/Bm_cf))/1E6)*1000/(((x1_cf-cx1_cf/2)+cx1_cf+((B_cf-cy1_cf)/2)+cy1_cf+PI()*R34/2)*dp_cf)/(vRdc_p*2*dp_cf/R34),0)</f>
        <v/>
      </c>
      <c r="V34">
        <f>IF(Z33&lt;AA33,X33,V33)</f>
        <v/>
      </c>
      <c r="W34">
        <f>IF(Z33&lt;AA33,W33,Y33)</f>
        <v/>
      </c>
      <c r="X34">
        <f>W34-((SQRT(5)-1)/2)*(W34-V34)</f>
        <v/>
      </c>
      <c r="Y34">
        <f>V34+((SQRT(5)-1)/2)*(W34-V34)</f>
        <v/>
      </c>
      <c r="Z34">
        <f>IFERROR(beta_cf*MAX(0,P2_cf-(((L_cf-x2_cf-cx2_cf/2)+cx2_cf)*(cy2_cf+2*X34)*((wa_cf+wb_cf*(((x2_cf-cx2_cf/2)+L_cf)/2)/1000)/Bm_cf)+cy2_cf*X34*((wa_cf+wb_cf*((x2_cf-cx2_cf/2)-X34/2)/1000)/Bm_cf)+PI()*X34^2/2*((wa_cf+wb_cf*((x2_cf-cx2_cf/2)-4*X34/(3*PI()))/1000)/Bm_cf))/1E6)*1000/((cy2_cf+PI()*X34+2*((L_cf-x2_cf-cx2_cf/2)+cx2_cf))*dp_cf)/(vRdc_p*2*dp_cf/X34),0)</f>
        <v/>
      </c>
      <c r="AA34">
        <f>IFERROR(beta_cf*MAX(0,P2_cf-(((L_cf-x2_cf-cx2_cf/2)+cx2_cf)*(cy2_cf+2*Y34)*((wa_cf+wb_cf*(((x2_cf-cx2_cf/2)+L_cf)/2)/1000)/Bm_cf)+cy2_cf*Y34*((wa_cf+wb_cf*((x2_cf-cx2_cf/2)-Y34/2)/1000)/Bm_cf)+PI()*Y34^2/2*((wa_cf+wb_cf*((x2_cf-cx2_cf/2)-4*Y34/(3*PI()))/1000)/Bm_cf))/1E6)*1000/((cy2_cf+PI()*Y34+2*((L_cf-x2_cf-cx2_cf/2)+cx2_cf))*dp_cf)/(vRdc_p*2*dp_cf/Y34),0)</f>
        <v/>
      </c>
      <c r="AC34">
        <f>IF(AG33&lt;AH33,AE33,AC33)</f>
        <v/>
      </c>
      <c r="AD34">
        <f>IF(AG33&lt;AH33,AD33,AF33)</f>
        <v/>
      </c>
      <c r="AE34">
        <f>AD34-((SQRT(5)-1)/2)*(AD34-AC34)</f>
        <v/>
      </c>
      <c r="AF34">
        <f>AC34+((SQRT(5)-1)/2)*(AD34-AC34)</f>
        <v/>
      </c>
      <c r="AG34">
        <f>IFERROR(beta_cf*MAX(0,P2_cf-(((cx2_cf+2*AE34)*(((B_cf-cy2_cf)/2)+cy2_cf)+cx2_cf*AE34+PI()*AE34^2/2)*((wa_cf+wb_cf*(x2_cf)/1000)/Bm_cf))/1E6)*1000/((cx2_cf+PI()*AE34+2*(((B_cf-cy2_cf)/2)+cy2_cf))*dp_cf)/(vRdc_p*2*dp_cf/AE34),0)</f>
        <v/>
      </c>
      <c r="AH34">
        <f>IFERROR(beta_cf*MAX(0,P2_cf-(((cx2_cf+2*AF34)*(((B_cf-cy2_cf)/2)+cy2_cf)+cx2_cf*AF34+PI()*AF34^2/2)*((wa_cf+wb_cf*(x2_cf)/1000)/Bm_cf))/1E6)*1000/((cx2_cf+PI()*AF34+2*(((B_cf-cy2_cf)/2)+cy2_cf))*dp_cf)/(vRdc_p*2*dp_cf/AF34),0)</f>
        <v/>
      </c>
      <c r="AJ34">
        <f>IF(AN33&lt;AO33,AL33,AJ33)</f>
        <v/>
      </c>
      <c r="AK34">
        <f>IF(AN33&lt;AO33,AK33,AM33)</f>
        <v/>
      </c>
      <c r="AL34">
        <f>AK34-((SQRT(5)-1)/2)*(AK34-AJ34)</f>
        <v/>
      </c>
      <c r="AM34">
        <f>AJ34+((SQRT(5)-1)/2)*(AK34-AJ34)</f>
        <v/>
      </c>
      <c r="AN34">
        <f>IFERROR(beta_cf*MAX(0,P2_cf-(((L_cf-x2_cf-cx2_cf/2)+cx2_cf)*(((B_cf-cy2_cf)/2)+cy2_cf+AL34)*((wa_cf+wb_cf*(((x2_cf-cx2_cf/2)+L_cf)/2)/1000)/Bm_cf)+(((B_cf-cy2_cf)/2)+cy2_cf)*AL34*((wa_cf+wb_cf*((x2_cf-cx2_cf/2)-AL34/2)/1000)/Bm_cf)+PI()*AL34^2/4*((wa_cf+wb_cf*((x2_cf-cx2_cf/2)-4*AL34/(3*PI()))/1000)/Bm_cf))/1E6)*1000/(((L_cf-x2_cf-cx2_cf/2)+cx2_cf+((B_cf-cy2_cf)/2)+cy2_cf+PI()*AL34/2)*dp_cf)/(vRdc_p*2*dp_cf/AL34),0)</f>
        <v/>
      </c>
      <c r="AO34">
        <f>IFERROR(beta_cf*MAX(0,P2_cf-(((L_cf-x2_cf-cx2_cf/2)+cx2_cf)*(((B_cf-cy2_cf)/2)+cy2_cf+AM34)*((wa_cf+wb_cf*(((x2_cf-cx2_cf/2)+L_cf)/2)/1000)/Bm_cf)+(((B_cf-cy2_cf)/2)+cy2_cf)*AM34*((wa_cf+wb_cf*((x2_cf-cx2_cf/2)-AM34/2)/1000)/Bm_cf)+PI()*AM34^2/4*((wa_cf+wb_cf*((x2_cf-cx2_cf/2)-4*AM34/(3*PI()))/1000)/Bm_cf))/1E6)*1000/(((L_cf-x2_cf-cx2_cf/2)+cx2_cf+((B_cf-cy2_cf)/2)+cy2_cf+PI()*AM34/2)*dp_cf)/(vRdc_p*2*dp_cf/AM34),0)</f>
        <v/>
      </c>
    </row>
    <row r="35">
      <c r="A35">
        <f>IF(E34&lt;F34,C34,A34)</f>
        <v/>
      </c>
      <c r="B35">
        <f>IF(E34&lt;F34,B34,D34)</f>
        <v/>
      </c>
      <c r="C35">
        <f>B35-((SQRT(5)-1)/2)*(B35-A35)</f>
        <v/>
      </c>
      <c r="D35">
        <f>A35+((SQRT(5)-1)/2)*(B35-A35)</f>
        <v/>
      </c>
      <c r="E35">
        <f>IFERROR(beta_cf*MAX(0,P1_cf-(((x1_cf-cx1_cf/2)+cx1_cf)*(cy1_cf+2*C35)*((wa_cf+wb_cf*((x1_cf+cx1_cf/2)/2)/1000)/Bm_cf)+cy1_cf*C35*((wa_cf+wb_cf*((x1_cf+cx1_cf/2)+C35/2)/1000)/Bm_cf)+PI()*C35^2/2*((wa_cf+wb_cf*((x1_cf+cx1_cf/2)+4*C35/(3*PI()))/1000)/Bm_cf))/1E6)*1000/((cy1_cf+PI()*C35+2*((x1_cf-cx1_cf/2)+cx1_cf))*dp_cf)/(vRdc_p*2*dp_cf/C35),0)</f>
        <v/>
      </c>
      <c r="F35">
        <f>IFERROR(beta_cf*MAX(0,P1_cf-(((x1_cf-cx1_cf/2)+cx1_cf)*(cy1_cf+2*D35)*((wa_cf+wb_cf*((x1_cf+cx1_cf/2)/2)/1000)/Bm_cf)+cy1_cf*D35*((wa_cf+wb_cf*((x1_cf+cx1_cf/2)+D35/2)/1000)/Bm_cf)+PI()*D35^2/2*((wa_cf+wb_cf*((x1_cf+cx1_cf/2)+4*D35/(3*PI()))/1000)/Bm_cf))/1E6)*1000/((cy1_cf+PI()*D35+2*((x1_cf-cx1_cf/2)+cx1_cf))*dp_cf)/(vRdc_p*2*dp_cf/D35),0)</f>
        <v/>
      </c>
      <c r="H35">
        <f>IF(L34&lt;M34,J34,H34)</f>
        <v/>
      </c>
      <c r="I35">
        <f>IF(L34&lt;M34,I34,K34)</f>
        <v/>
      </c>
      <c r="J35">
        <f>I35-((SQRT(5)-1)/2)*(I35-H35)</f>
        <v/>
      </c>
      <c r="K35">
        <f>H35+((SQRT(5)-1)/2)*(I35-H35)</f>
        <v/>
      </c>
      <c r="L35">
        <f>IFERROR(beta_cf*MAX(0,P1_cf-(((cx1_cf+2*J35)*(((B_cf-cy1_cf)/2)+cy1_cf)+cx1_cf*J35+PI()*J35^2/2)*((wa_cf+wb_cf*(x1_cf)/1000)/Bm_cf))/1E6)*1000/((cx1_cf+PI()*J35+2*(((B_cf-cy1_cf)/2)+cy1_cf))*dp_cf)/(vRdc_p*2*dp_cf/J35),0)</f>
        <v/>
      </c>
      <c r="M35">
        <f>IFERROR(beta_cf*MAX(0,P1_cf-(((cx1_cf+2*K35)*(((B_cf-cy1_cf)/2)+cy1_cf)+cx1_cf*K35+PI()*K35^2/2)*((wa_cf+wb_cf*(x1_cf)/1000)/Bm_cf))/1E6)*1000/((cx1_cf+PI()*K35+2*(((B_cf-cy1_cf)/2)+cy1_cf))*dp_cf)/(vRdc_p*2*dp_cf/K35),0)</f>
        <v/>
      </c>
      <c r="O35">
        <f>IF(S34&lt;T34,Q34,O34)</f>
        <v/>
      </c>
      <c r="P35">
        <f>IF(S34&lt;T34,P34,R34)</f>
        <v/>
      </c>
      <c r="Q35">
        <f>P35-((SQRT(5)-1)/2)*(P35-O35)</f>
        <v/>
      </c>
      <c r="R35">
        <f>O35+((SQRT(5)-1)/2)*(P35-O35)</f>
        <v/>
      </c>
      <c r="S35">
        <f>IFERROR(beta_cf*MAX(0,P1_cf-(((x1_cf-cx1_cf/2)+cx1_cf)*(((B_cf-cy1_cf)/2)+cy1_cf+Q35)*((wa_cf+wb_cf*((x1_cf+cx1_cf/2)/2)/1000)/Bm_cf)+(((B_cf-cy1_cf)/2)+cy1_cf)*Q35*((wa_cf+wb_cf*((x1_cf+cx1_cf/2)+Q35/2)/1000)/Bm_cf)+PI()*Q35^2/4*((wa_cf+wb_cf*((x1_cf+cx1_cf/2)+4*Q35/(3*PI()))/1000)/Bm_cf))/1E6)*1000/(((x1_cf-cx1_cf/2)+cx1_cf+((B_cf-cy1_cf)/2)+cy1_cf+PI()*Q35/2)*dp_cf)/(vRdc_p*2*dp_cf/Q35),0)</f>
        <v/>
      </c>
      <c r="T35">
        <f>IFERROR(beta_cf*MAX(0,P1_cf-(((x1_cf-cx1_cf/2)+cx1_cf)*(((B_cf-cy1_cf)/2)+cy1_cf+R35)*((wa_cf+wb_cf*((x1_cf+cx1_cf/2)/2)/1000)/Bm_cf)+(((B_cf-cy1_cf)/2)+cy1_cf)*R35*((wa_cf+wb_cf*((x1_cf+cx1_cf/2)+R35/2)/1000)/Bm_cf)+PI()*R35^2/4*((wa_cf+wb_cf*((x1_cf+cx1_cf/2)+4*R35/(3*PI()))/1000)/Bm_cf))/1E6)*1000/(((x1_cf-cx1_cf/2)+cx1_cf+((B_cf-cy1_cf)/2)+cy1_cf+PI()*R35/2)*dp_cf)/(vRdc_p*2*dp_cf/R35),0)</f>
        <v/>
      </c>
      <c r="V35">
        <f>IF(Z34&lt;AA34,X34,V34)</f>
        <v/>
      </c>
      <c r="W35">
        <f>IF(Z34&lt;AA34,W34,Y34)</f>
        <v/>
      </c>
      <c r="X35">
        <f>W35-((SQRT(5)-1)/2)*(W35-V35)</f>
        <v/>
      </c>
      <c r="Y35">
        <f>V35+((SQRT(5)-1)/2)*(W35-V35)</f>
        <v/>
      </c>
      <c r="Z35">
        <f>IFERROR(beta_cf*MAX(0,P2_cf-(((L_cf-x2_cf-cx2_cf/2)+cx2_cf)*(cy2_cf+2*X35)*((wa_cf+wb_cf*(((x2_cf-cx2_cf/2)+L_cf)/2)/1000)/Bm_cf)+cy2_cf*X35*((wa_cf+wb_cf*((x2_cf-cx2_cf/2)-X35/2)/1000)/Bm_cf)+PI()*X35^2/2*((wa_cf+wb_cf*((x2_cf-cx2_cf/2)-4*X35/(3*PI()))/1000)/Bm_cf))/1E6)*1000/((cy2_cf+PI()*X35+2*((L_cf-x2_cf-cx2_cf/2)+cx2_cf))*dp_cf)/(vRdc_p*2*dp_cf/X35),0)</f>
        <v/>
      </c>
      <c r="AA35">
        <f>IFERROR(beta_cf*MAX(0,P2_cf-(((L_cf-x2_cf-cx2_cf/2)+cx2_cf)*(cy2_cf+2*Y35)*((wa_cf+wb_cf*(((x2_cf-cx2_cf/2)+L_cf)/2)/1000)/Bm_cf)+cy2_cf*Y35*((wa_cf+wb_cf*((x2_cf-cx2_cf/2)-Y35/2)/1000)/Bm_cf)+PI()*Y35^2/2*((wa_cf+wb_cf*((x2_cf-cx2_cf/2)-4*Y35/(3*PI()))/1000)/Bm_cf))/1E6)*1000/((cy2_cf+PI()*Y35+2*((L_cf-x2_cf-cx2_cf/2)+cx2_cf))*dp_cf)/(vRdc_p*2*dp_cf/Y35),0)</f>
        <v/>
      </c>
      <c r="AC35">
        <f>IF(AG34&lt;AH34,AE34,AC34)</f>
        <v/>
      </c>
      <c r="AD35">
        <f>IF(AG34&lt;AH34,AD34,AF34)</f>
        <v/>
      </c>
      <c r="AE35">
        <f>AD35-((SQRT(5)-1)/2)*(AD35-AC35)</f>
        <v/>
      </c>
      <c r="AF35">
        <f>AC35+((SQRT(5)-1)/2)*(AD35-AC35)</f>
        <v/>
      </c>
      <c r="AG35">
        <f>IFERROR(beta_cf*MAX(0,P2_cf-(((cx2_cf+2*AE35)*(((B_cf-cy2_cf)/2)+cy2_cf)+cx2_cf*AE35+PI()*AE35^2/2)*((wa_cf+wb_cf*(x2_cf)/1000)/Bm_cf))/1E6)*1000/((cx2_cf+PI()*AE35+2*(((B_cf-cy2_cf)/2)+cy2_cf))*dp_cf)/(vRdc_p*2*dp_cf/AE35),0)</f>
        <v/>
      </c>
      <c r="AH35">
        <f>IFERROR(beta_cf*MAX(0,P2_cf-(((cx2_cf+2*AF35)*(((B_cf-cy2_cf)/2)+cy2_cf)+cx2_cf*AF35+PI()*AF35^2/2)*((wa_cf+wb_cf*(x2_cf)/1000)/Bm_cf))/1E6)*1000/((cx2_cf+PI()*AF35+2*(((B_cf-cy2_cf)/2)+cy2_cf))*dp_cf)/(vRdc_p*2*dp_cf/AF35),0)</f>
        <v/>
      </c>
      <c r="AJ35">
        <f>IF(AN34&lt;AO34,AL34,AJ34)</f>
        <v/>
      </c>
      <c r="AK35">
        <f>IF(AN34&lt;AO34,AK34,AM34)</f>
        <v/>
      </c>
      <c r="AL35">
        <f>AK35-((SQRT(5)-1)/2)*(AK35-AJ35)</f>
        <v/>
      </c>
      <c r="AM35">
        <f>AJ35+((SQRT(5)-1)/2)*(AK35-AJ35)</f>
        <v/>
      </c>
      <c r="AN35">
        <f>IFERROR(beta_cf*MAX(0,P2_cf-(((L_cf-x2_cf-cx2_cf/2)+cx2_cf)*(((B_cf-cy2_cf)/2)+cy2_cf+AL35)*((wa_cf+wb_cf*(((x2_cf-cx2_cf/2)+L_cf)/2)/1000)/Bm_cf)+(((B_cf-cy2_cf)/2)+cy2_cf)*AL35*((wa_cf+wb_cf*((x2_cf-cx2_cf/2)-AL35/2)/1000)/Bm_cf)+PI()*AL35^2/4*((wa_cf+wb_cf*((x2_cf-cx2_cf/2)-4*AL35/(3*PI()))/1000)/Bm_cf))/1E6)*1000/(((L_cf-x2_cf-cx2_cf/2)+cx2_cf+((B_cf-cy2_cf)/2)+cy2_cf+PI()*AL35/2)*dp_cf)/(vRdc_p*2*dp_cf/AL35),0)</f>
        <v/>
      </c>
      <c r="AO35">
        <f>IFERROR(beta_cf*MAX(0,P2_cf-(((L_cf-x2_cf-cx2_cf/2)+cx2_cf)*(((B_cf-cy2_cf)/2)+cy2_cf+AM35)*((wa_cf+wb_cf*(((x2_cf-cx2_cf/2)+L_cf)/2)/1000)/Bm_cf)+(((B_cf-cy2_cf)/2)+cy2_cf)*AM35*((wa_cf+wb_cf*((x2_cf-cx2_cf/2)-AM35/2)/1000)/Bm_cf)+PI()*AM35^2/4*((wa_cf+wb_cf*((x2_cf-cx2_cf/2)-4*AM35/(3*PI()))/1000)/Bm_cf))/1E6)*1000/(((L_cf-x2_cf-cx2_cf/2)+cx2_cf+((B_cf-cy2_cf)/2)+cy2_cf+PI()*AM35/2)*dp_cf)/(vRdc_p*2*dp_cf/AM35),0)</f>
        <v/>
      </c>
    </row>
    <row r="36">
      <c r="A36">
        <f>IF(E35&lt;F35,C35,A35)</f>
        <v/>
      </c>
      <c r="B36">
        <f>IF(E35&lt;F35,B35,D35)</f>
        <v/>
      </c>
      <c r="C36">
        <f>B36-((SQRT(5)-1)/2)*(B36-A36)</f>
        <v/>
      </c>
      <c r="D36">
        <f>A36+((SQRT(5)-1)/2)*(B36-A36)</f>
        <v/>
      </c>
      <c r="E36">
        <f>IFERROR(beta_cf*MAX(0,P1_cf-(((x1_cf-cx1_cf/2)+cx1_cf)*(cy1_cf+2*C36)*((wa_cf+wb_cf*((x1_cf+cx1_cf/2)/2)/1000)/Bm_cf)+cy1_cf*C36*((wa_cf+wb_cf*((x1_cf+cx1_cf/2)+C36/2)/1000)/Bm_cf)+PI()*C36^2/2*((wa_cf+wb_cf*((x1_cf+cx1_cf/2)+4*C36/(3*PI()))/1000)/Bm_cf))/1E6)*1000/((cy1_cf+PI()*C36+2*((x1_cf-cx1_cf/2)+cx1_cf))*dp_cf)/(vRdc_p*2*dp_cf/C36),0)</f>
        <v/>
      </c>
      <c r="F36">
        <f>IFERROR(beta_cf*MAX(0,P1_cf-(((x1_cf-cx1_cf/2)+cx1_cf)*(cy1_cf+2*D36)*((wa_cf+wb_cf*((x1_cf+cx1_cf/2)/2)/1000)/Bm_cf)+cy1_cf*D36*((wa_cf+wb_cf*((x1_cf+cx1_cf/2)+D36/2)/1000)/Bm_cf)+PI()*D36^2/2*((wa_cf+wb_cf*((x1_cf+cx1_cf/2)+4*D36/(3*PI()))/1000)/Bm_cf))/1E6)*1000/((cy1_cf+PI()*D36+2*((x1_cf-cx1_cf/2)+cx1_cf))*dp_cf)/(vRdc_p*2*dp_cf/D36),0)</f>
        <v/>
      </c>
      <c r="H36">
        <f>IF(L35&lt;M35,J35,H35)</f>
        <v/>
      </c>
      <c r="I36">
        <f>IF(L35&lt;M35,I35,K35)</f>
        <v/>
      </c>
      <c r="J36">
        <f>I36-((SQRT(5)-1)/2)*(I36-H36)</f>
        <v/>
      </c>
      <c r="K36">
        <f>H36+((SQRT(5)-1)/2)*(I36-H36)</f>
        <v/>
      </c>
      <c r="L36">
        <f>IFERROR(beta_cf*MAX(0,P1_cf-(((cx1_cf+2*J36)*(((B_cf-cy1_cf)/2)+cy1_cf)+cx1_cf*J36+PI()*J36^2/2)*((wa_cf+wb_cf*(x1_cf)/1000)/Bm_cf))/1E6)*1000/((cx1_cf+PI()*J36+2*(((B_cf-cy1_cf)/2)+cy1_cf))*dp_cf)/(vRdc_p*2*dp_cf/J36),0)</f>
        <v/>
      </c>
      <c r="M36">
        <f>IFERROR(beta_cf*MAX(0,P1_cf-(((cx1_cf+2*K36)*(((B_cf-cy1_cf)/2)+cy1_cf)+cx1_cf*K36+PI()*K36^2/2)*((wa_cf+wb_cf*(x1_cf)/1000)/Bm_cf))/1E6)*1000/((cx1_cf+PI()*K36+2*(((B_cf-cy1_cf)/2)+cy1_cf))*dp_cf)/(vRdc_p*2*dp_cf/K36),0)</f>
        <v/>
      </c>
      <c r="O36">
        <f>IF(S35&lt;T35,Q35,O35)</f>
        <v/>
      </c>
      <c r="P36">
        <f>IF(S35&lt;T35,P35,R35)</f>
        <v/>
      </c>
      <c r="Q36">
        <f>P36-((SQRT(5)-1)/2)*(P36-O36)</f>
        <v/>
      </c>
      <c r="R36">
        <f>O36+((SQRT(5)-1)/2)*(P36-O36)</f>
        <v/>
      </c>
      <c r="S36">
        <f>IFERROR(beta_cf*MAX(0,P1_cf-(((x1_cf-cx1_cf/2)+cx1_cf)*(((B_cf-cy1_cf)/2)+cy1_cf+Q36)*((wa_cf+wb_cf*((x1_cf+cx1_cf/2)/2)/1000)/Bm_cf)+(((B_cf-cy1_cf)/2)+cy1_cf)*Q36*((wa_cf+wb_cf*((x1_cf+cx1_cf/2)+Q36/2)/1000)/Bm_cf)+PI()*Q36^2/4*((wa_cf+wb_cf*((x1_cf+cx1_cf/2)+4*Q36/(3*PI()))/1000)/Bm_cf))/1E6)*1000/(((x1_cf-cx1_cf/2)+cx1_cf+((B_cf-cy1_cf)/2)+cy1_cf+PI()*Q36/2)*dp_cf)/(vRdc_p*2*dp_cf/Q36),0)</f>
        <v/>
      </c>
      <c r="T36">
        <f>IFERROR(beta_cf*MAX(0,P1_cf-(((x1_cf-cx1_cf/2)+cx1_cf)*(((B_cf-cy1_cf)/2)+cy1_cf+R36)*((wa_cf+wb_cf*((x1_cf+cx1_cf/2)/2)/1000)/Bm_cf)+(((B_cf-cy1_cf)/2)+cy1_cf)*R36*((wa_cf+wb_cf*((x1_cf+cx1_cf/2)+R36/2)/1000)/Bm_cf)+PI()*R36^2/4*((wa_cf+wb_cf*((x1_cf+cx1_cf/2)+4*R36/(3*PI()))/1000)/Bm_cf))/1E6)*1000/(((x1_cf-cx1_cf/2)+cx1_cf+((B_cf-cy1_cf)/2)+cy1_cf+PI()*R36/2)*dp_cf)/(vRdc_p*2*dp_cf/R36),0)</f>
        <v/>
      </c>
      <c r="V36">
        <f>IF(Z35&lt;AA35,X35,V35)</f>
        <v/>
      </c>
      <c r="W36">
        <f>IF(Z35&lt;AA35,W35,Y35)</f>
        <v/>
      </c>
      <c r="X36">
        <f>W36-((SQRT(5)-1)/2)*(W36-V36)</f>
        <v/>
      </c>
      <c r="Y36">
        <f>V36+((SQRT(5)-1)/2)*(W36-V36)</f>
        <v/>
      </c>
      <c r="Z36">
        <f>IFERROR(beta_cf*MAX(0,P2_cf-(((L_cf-x2_cf-cx2_cf/2)+cx2_cf)*(cy2_cf+2*X36)*((wa_cf+wb_cf*(((x2_cf-cx2_cf/2)+L_cf)/2)/1000)/Bm_cf)+cy2_cf*X36*((wa_cf+wb_cf*((x2_cf-cx2_cf/2)-X36/2)/1000)/Bm_cf)+PI()*X36^2/2*((wa_cf+wb_cf*((x2_cf-cx2_cf/2)-4*X36/(3*PI()))/1000)/Bm_cf))/1E6)*1000/((cy2_cf+PI()*X36+2*((L_cf-x2_cf-cx2_cf/2)+cx2_cf))*dp_cf)/(vRdc_p*2*dp_cf/X36),0)</f>
        <v/>
      </c>
      <c r="AA36">
        <f>IFERROR(beta_cf*MAX(0,P2_cf-(((L_cf-x2_cf-cx2_cf/2)+cx2_cf)*(cy2_cf+2*Y36)*((wa_cf+wb_cf*(((x2_cf-cx2_cf/2)+L_cf)/2)/1000)/Bm_cf)+cy2_cf*Y36*((wa_cf+wb_cf*((x2_cf-cx2_cf/2)-Y36/2)/1000)/Bm_cf)+PI()*Y36^2/2*((wa_cf+wb_cf*((x2_cf-cx2_cf/2)-4*Y36/(3*PI()))/1000)/Bm_cf))/1E6)*1000/((cy2_cf+PI()*Y36+2*((L_cf-x2_cf-cx2_cf/2)+cx2_cf))*dp_cf)/(vRdc_p*2*dp_cf/Y36),0)</f>
        <v/>
      </c>
      <c r="AC36">
        <f>IF(AG35&lt;AH35,AE35,AC35)</f>
        <v/>
      </c>
      <c r="AD36">
        <f>IF(AG35&lt;AH35,AD35,AF35)</f>
        <v/>
      </c>
      <c r="AE36">
        <f>AD36-((SQRT(5)-1)/2)*(AD36-AC36)</f>
        <v/>
      </c>
      <c r="AF36">
        <f>AC36+((SQRT(5)-1)/2)*(AD36-AC36)</f>
        <v/>
      </c>
      <c r="AG36">
        <f>IFERROR(beta_cf*MAX(0,P2_cf-(((cx2_cf+2*AE36)*(((B_cf-cy2_cf)/2)+cy2_cf)+cx2_cf*AE36+PI()*AE36^2/2)*((wa_cf+wb_cf*(x2_cf)/1000)/Bm_cf))/1E6)*1000/((cx2_cf+PI()*AE36+2*(((B_cf-cy2_cf)/2)+cy2_cf))*dp_cf)/(vRdc_p*2*dp_cf/AE36),0)</f>
        <v/>
      </c>
      <c r="AH36">
        <f>IFERROR(beta_cf*MAX(0,P2_cf-(((cx2_cf+2*AF36)*(((B_cf-cy2_cf)/2)+cy2_cf)+cx2_cf*AF36+PI()*AF36^2/2)*((wa_cf+wb_cf*(x2_cf)/1000)/Bm_cf))/1E6)*1000/((cx2_cf+PI()*AF36+2*(((B_cf-cy2_cf)/2)+cy2_cf))*dp_cf)/(vRdc_p*2*dp_cf/AF36),0)</f>
        <v/>
      </c>
      <c r="AJ36">
        <f>IF(AN35&lt;AO35,AL35,AJ35)</f>
        <v/>
      </c>
      <c r="AK36">
        <f>IF(AN35&lt;AO35,AK35,AM35)</f>
        <v/>
      </c>
      <c r="AL36">
        <f>AK36-((SQRT(5)-1)/2)*(AK36-AJ36)</f>
        <v/>
      </c>
      <c r="AM36">
        <f>AJ36+((SQRT(5)-1)/2)*(AK36-AJ36)</f>
        <v/>
      </c>
      <c r="AN36">
        <f>IFERROR(beta_cf*MAX(0,P2_cf-(((L_cf-x2_cf-cx2_cf/2)+cx2_cf)*(((B_cf-cy2_cf)/2)+cy2_cf+AL36)*((wa_cf+wb_cf*(((x2_cf-cx2_cf/2)+L_cf)/2)/1000)/Bm_cf)+(((B_cf-cy2_cf)/2)+cy2_cf)*AL36*((wa_cf+wb_cf*((x2_cf-cx2_cf/2)-AL36/2)/1000)/Bm_cf)+PI()*AL36^2/4*((wa_cf+wb_cf*((x2_cf-cx2_cf/2)-4*AL36/(3*PI()))/1000)/Bm_cf))/1E6)*1000/(((L_cf-x2_cf-cx2_cf/2)+cx2_cf+((B_cf-cy2_cf)/2)+cy2_cf+PI()*AL36/2)*dp_cf)/(vRdc_p*2*dp_cf/AL36),0)</f>
        <v/>
      </c>
      <c r="AO36">
        <f>IFERROR(beta_cf*MAX(0,P2_cf-(((L_cf-x2_cf-cx2_cf/2)+cx2_cf)*(((B_cf-cy2_cf)/2)+cy2_cf+AM36)*((wa_cf+wb_cf*(((x2_cf-cx2_cf/2)+L_cf)/2)/1000)/Bm_cf)+(((B_cf-cy2_cf)/2)+cy2_cf)*AM36*((wa_cf+wb_cf*((x2_cf-cx2_cf/2)-AM36/2)/1000)/Bm_cf)+PI()*AM36^2/4*((wa_cf+wb_cf*((x2_cf-cx2_cf/2)-4*AM36/(3*PI()))/1000)/Bm_cf))/1E6)*1000/(((L_cf-x2_cf-cx2_cf/2)+cx2_cf+((B_cf-cy2_cf)/2)+cy2_cf+PI()*AM36/2)*dp_cf)/(vRdc_p*2*dp_cf/AM36),0)</f>
        <v/>
      </c>
    </row>
    <row r="37">
      <c r="A37">
        <f>IF(E36&lt;F36,C36,A36)</f>
        <v/>
      </c>
      <c r="B37">
        <f>IF(E36&lt;F36,B36,D36)</f>
        <v/>
      </c>
      <c r="C37">
        <f>B37-((SQRT(5)-1)/2)*(B37-A37)</f>
        <v/>
      </c>
      <c r="D37">
        <f>A37+((SQRT(5)-1)/2)*(B37-A37)</f>
        <v/>
      </c>
      <c r="E37">
        <f>IFERROR(beta_cf*MAX(0,P1_cf-(((x1_cf-cx1_cf/2)+cx1_cf)*(cy1_cf+2*C37)*((wa_cf+wb_cf*((x1_cf+cx1_cf/2)/2)/1000)/Bm_cf)+cy1_cf*C37*((wa_cf+wb_cf*((x1_cf+cx1_cf/2)+C37/2)/1000)/Bm_cf)+PI()*C37^2/2*((wa_cf+wb_cf*((x1_cf+cx1_cf/2)+4*C37/(3*PI()))/1000)/Bm_cf))/1E6)*1000/((cy1_cf+PI()*C37+2*((x1_cf-cx1_cf/2)+cx1_cf))*dp_cf)/(vRdc_p*2*dp_cf/C37),0)</f>
        <v/>
      </c>
      <c r="F37">
        <f>IFERROR(beta_cf*MAX(0,P1_cf-(((x1_cf-cx1_cf/2)+cx1_cf)*(cy1_cf+2*D37)*((wa_cf+wb_cf*((x1_cf+cx1_cf/2)/2)/1000)/Bm_cf)+cy1_cf*D37*((wa_cf+wb_cf*((x1_cf+cx1_cf/2)+D37/2)/1000)/Bm_cf)+PI()*D37^2/2*((wa_cf+wb_cf*((x1_cf+cx1_cf/2)+4*D37/(3*PI()))/1000)/Bm_cf))/1E6)*1000/((cy1_cf+PI()*D37+2*((x1_cf-cx1_cf/2)+cx1_cf))*dp_cf)/(vRdc_p*2*dp_cf/D37),0)</f>
        <v/>
      </c>
      <c r="H37">
        <f>IF(L36&lt;M36,J36,H36)</f>
        <v/>
      </c>
      <c r="I37">
        <f>IF(L36&lt;M36,I36,K36)</f>
        <v/>
      </c>
      <c r="J37">
        <f>I37-((SQRT(5)-1)/2)*(I37-H37)</f>
        <v/>
      </c>
      <c r="K37">
        <f>H37+((SQRT(5)-1)/2)*(I37-H37)</f>
        <v/>
      </c>
      <c r="L37">
        <f>IFERROR(beta_cf*MAX(0,P1_cf-(((cx1_cf+2*J37)*(((B_cf-cy1_cf)/2)+cy1_cf)+cx1_cf*J37+PI()*J37^2/2)*((wa_cf+wb_cf*(x1_cf)/1000)/Bm_cf))/1E6)*1000/((cx1_cf+PI()*J37+2*(((B_cf-cy1_cf)/2)+cy1_cf))*dp_cf)/(vRdc_p*2*dp_cf/J37),0)</f>
        <v/>
      </c>
      <c r="M37">
        <f>IFERROR(beta_cf*MAX(0,P1_cf-(((cx1_cf+2*K37)*(((B_cf-cy1_cf)/2)+cy1_cf)+cx1_cf*K37+PI()*K37^2/2)*((wa_cf+wb_cf*(x1_cf)/1000)/Bm_cf))/1E6)*1000/((cx1_cf+PI()*K37+2*(((B_cf-cy1_cf)/2)+cy1_cf))*dp_cf)/(vRdc_p*2*dp_cf/K37),0)</f>
        <v/>
      </c>
      <c r="O37">
        <f>IF(S36&lt;T36,Q36,O36)</f>
        <v/>
      </c>
      <c r="P37">
        <f>IF(S36&lt;T36,P36,R36)</f>
        <v/>
      </c>
      <c r="Q37">
        <f>P37-((SQRT(5)-1)/2)*(P37-O37)</f>
        <v/>
      </c>
      <c r="R37">
        <f>O37+((SQRT(5)-1)/2)*(P37-O37)</f>
        <v/>
      </c>
      <c r="S37">
        <f>IFERROR(beta_cf*MAX(0,P1_cf-(((x1_cf-cx1_cf/2)+cx1_cf)*(((B_cf-cy1_cf)/2)+cy1_cf+Q37)*((wa_cf+wb_cf*((x1_cf+cx1_cf/2)/2)/1000)/Bm_cf)+(((B_cf-cy1_cf)/2)+cy1_cf)*Q37*((wa_cf+wb_cf*((x1_cf+cx1_cf/2)+Q37/2)/1000)/Bm_cf)+PI()*Q37^2/4*((wa_cf+wb_cf*((x1_cf+cx1_cf/2)+4*Q37/(3*PI()))/1000)/Bm_cf))/1E6)*1000/(((x1_cf-cx1_cf/2)+cx1_cf+((B_cf-cy1_cf)/2)+cy1_cf+PI()*Q37/2)*dp_cf)/(vRdc_p*2*dp_cf/Q37),0)</f>
        <v/>
      </c>
      <c r="T37">
        <f>IFERROR(beta_cf*MAX(0,P1_cf-(((x1_cf-cx1_cf/2)+cx1_cf)*(((B_cf-cy1_cf)/2)+cy1_cf+R37)*((wa_cf+wb_cf*((x1_cf+cx1_cf/2)/2)/1000)/Bm_cf)+(((B_cf-cy1_cf)/2)+cy1_cf)*R37*((wa_cf+wb_cf*((x1_cf+cx1_cf/2)+R37/2)/1000)/Bm_cf)+PI()*R37^2/4*((wa_cf+wb_cf*((x1_cf+cx1_cf/2)+4*R37/(3*PI()))/1000)/Bm_cf))/1E6)*1000/(((x1_cf-cx1_cf/2)+cx1_cf+((B_cf-cy1_cf)/2)+cy1_cf+PI()*R37/2)*dp_cf)/(vRdc_p*2*dp_cf/R37),0)</f>
        <v/>
      </c>
      <c r="V37">
        <f>IF(Z36&lt;AA36,X36,V36)</f>
        <v/>
      </c>
      <c r="W37">
        <f>IF(Z36&lt;AA36,W36,Y36)</f>
        <v/>
      </c>
      <c r="X37">
        <f>W37-((SQRT(5)-1)/2)*(W37-V37)</f>
        <v/>
      </c>
      <c r="Y37">
        <f>V37+((SQRT(5)-1)/2)*(W37-V37)</f>
        <v/>
      </c>
      <c r="Z37">
        <f>IFERROR(beta_cf*MAX(0,P2_cf-(((L_cf-x2_cf-cx2_cf/2)+cx2_cf)*(cy2_cf+2*X37)*((wa_cf+wb_cf*(((x2_cf-cx2_cf/2)+L_cf)/2)/1000)/Bm_cf)+cy2_cf*X37*((wa_cf+wb_cf*((x2_cf-cx2_cf/2)-X37/2)/1000)/Bm_cf)+PI()*X37^2/2*((wa_cf+wb_cf*((x2_cf-cx2_cf/2)-4*X37/(3*PI()))/1000)/Bm_cf))/1E6)*1000/((cy2_cf+PI()*X37+2*((L_cf-x2_cf-cx2_cf/2)+cx2_cf))*dp_cf)/(vRdc_p*2*dp_cf/X37),0)</f>
        <v/>
      </c>
      <c r="AA37">
        <f>IFERROR(beta_cf*MAX(0,P2_cf-(((L_cf-x2_cf-cx2_cf/2)+cx2_cf)*(cy2_cf+2*Y37)*((wa_cf+wb_cf*(((x2_cf-cx2_cf/2)+L_cf)/2)/1000)/Bm_cf)+cy2_cf*Y37*((wa_cf+wb_cf*((x2_cf-cx2_cf/2)-Y37/2)/1000)/Bm_cf)+PI()*Y37^2/2*((wa_cf+wb_cf*((x2_cf-cx2_cf/2)-4*Y37/(3*PI()))/1000)/Bm_cf))/1E6)*1000/((cy2_cf+PI()*Y37+2*((L_cf-x2_cf-cx2_cf/2)+cx2_cf))*dp_cf)/(vRdc_p*2*dp_cf/Y37),0)</f>
        <v/>
      </c>
      <c r="AC37">
        <f>IF(AG36&lt;AH36,AE36,AC36)</f>
        <v/>
      </c>
      <c r="AD37">
        <f>IF(AG36&lt;AH36,AD36,AF36)</f>
        <v/>
      </c>
      <c r="AE37">
        <f>AD37-((SQRT(5)-1)/2)*(AD37-AC37)</f>
        <v/>
      </c>
      <c r="AF37">
        <f>AC37+((SQRT(5)-1)/2)*(AD37-AC37)</f>
        <v/>
      </c>
      <c r="AG37">
        <f>IFERROR(beta_cf*MAX(0,P2_cf-(((cx2_cf+2*AE37)*(((B_cf-cy2_cf)/2)+cy2_cf)+cx2_cf*AE37+PI()*AE37^2/2)*((wa_cf+wb_cf*(x2_cf)/1000)/Bm_cf))/1E6)*1000/((cx2_cf+PI()*AE37+2*(((B_cf-cy2_cf)/2)+cy2_cf))*dp_cf)/(vRdc_p*2*dp_cf/AE37),0)</f>
        <v/>
      </c>
      <c r="AH37">
        <f>IFERROR(beta_cf*MAX(0,P2_cf-(((cx2_cf+2*AF37)*(((B_cf-cy2_cf)/2)+cy2_cf)+cx2_cf*AF37+PI()*AF37^2/2)*((wa_cf+wb_cf*(x2_cf)/1000)/Bm_cf))/1E6)*1000/((cx2_cf+PI()*AF37+2*(((B_cf-cy2_cf)/2)+cy2_cf))*dp_cf)/(vRdc_p*2*dp_cf/AF37),0)</f>
        <v/>
      </c>
      <c r="AJ37">
        <f>IF(AN36&lt;AO36,AL36,AJ36)</f>
        <v/>
      </c>
      <c r="AK37">
        <f>IF(AN36&lt;AO36,AK36,AM36)</f>
        <v/>
      </c>
      <c r="AL37">
        <f>AK37-((SQRT(5)-1)/2)*(AK37-AJ37)</f>
        <v/>
      </c>
      <c r="AM37">
        <f>AJ37+((SQRT(5)-1)/2)*(AK37-AJ37)</f>
        <v/>
      </c>
      <c r="AN37">
        <f>IFERROR(beta_cf*MAX(0,P2_cf-(((L_cf-x2_cf-cx2_cf/2)+cx2_cf)*(((B_cf-cy2_cf)/2)+cy2_cf+AL37)*((wa_cf+wb_cf*(((x2_cf-cx2_cf/2)+L_cf)/2)/1000)/Bm_cf)+(((B_cf-cy2_cf)/2)+cy2_cf)*AL37*((wa_cf+wb_cf*((x2_cf-cx2_cf/2)-AL37/2)/1000)/Bm_cf)+PI()*AL37^2/4*((wa_cf+wb_cf*((x2_cf-cx2_cf/2)-4*AL37/(3*PI()))/1000)/Bm_cf))/1E6)*1000/(((L_cf-x2_cf-cx2_cf/2)+cx2_cf+((B_cf-cy2_cf)/2)+cy2_cf+PI()*AL37/2)*dp_cf)/(vRdc_p*2*dp_cf/AL37),0)</f>
        <v/>
      </c>
      <c r="AO37">
        <f>IFERROR(beta_cf*MAX(0,P2_cf-(((L_cf-x2_cf-cx2_cf/2)+cx2_cf)*(((B_cf-cy2_cf)/2)+cy2_cf+AM37)*((wa_cf+wb_cf*(((x2_cf-cx2_cf/2)+L_cf)/2)/1000)/Bm_cf)+(((B_cf-cy2_cf)/2)+cy2_cf)*AM37*((wa_cf+wb_cf*((x2_cf-cx2_cf/2)-AM37/2)/1000)/Bm_cf)+PI()*AM37^2/4*((wa_cf+wb_cf*((x2_cf-cx2_cf/2)-4*AM37/(3*PI()))/1000)/Bm_cf))/1E6)*1000/(((L_cf-x2_cf-cx2_cf/2)+cx2_cf+((B_cf-cy2_cf)/2)+cy2_cf+PI()*AM37/2)*dp_cf)/(vRdc_p*2*dp_cf/AM37),0)</f>
        <v/>
      </c>
    </row>
    <row r="38">
      <c r="A38">
        <f>IF(E37&lt;F37,C37,A37)</f>
        <v/>
      </c>
      <c r="B38">
        <f>IF(E37&lt;F37,B37,D37)</f>
        <v/>
      </c>
      <c r="C38">
        <f>B38-((SQRT(5)-1)/2)*(B38-A38)</f>
        <v/>
      </c>
      <c r="D38">
        <f>A38+((SQRT(5)-1)/2)*(B38-A38)</f>
        <v/>
      </c>
      <c r="E38">
        <f>IFERROR(beta_cf*MAX(0,P1_cf-(((x1_cf-cx1_cf/2)+cx1_cf)*(cy1_cf+2*C38)*((wa_cf+wb_cf*((x1_cf+cx1_cf/2)/2)/1000)/Bm_cf)+cy1_cf*C38*((wa_cf+wb_cf*((x1_cf+cx1_cf/2)+C38/2)/1000)/Bm_cf)+PI()*C38^2/2*((wa_cf+wb_cf*((x1_cf+cx1_cf/2)+4*C38/(3*PI()))/1000)/Bm_cf))/1E6)*1000/((cy1_cf+PI()*C38+2*((x1_cf-cx1_cf/2)+cx1_cf))*dp_cf)/(vRdc_p*2*dp_cf/C38),0)</f>
        <v/>
      </c>
      <c r="F38">
        <f>IFERROR(beta_cf*MAX(0,P1_cf-(((x1_cf-cx1_cf/2)+cx1_cf)*(cy1_cf+2*D38)*((wa_cf+wb_cf*((x1_cf+cx1_cf/2)/2)/1000)/Bm_cf)+cy1_cf*D38*((wa_cf+wb_cf*((x1_cf+cx1_cf/2)+D38/2)/1000)/Bm_cf)+PI()*D38^2/2*((wa_cf+wb_cf*((x1_cf+cx1_cf/2)+4*D38/(3*PI()))/1000)/Bm_cf))/1E6)*1000/((cy1_cf+PI()*D38+2*((x1_cf-cx1_cf/2)+cx1_cf))*dp_cf)/(vRdc_p*2*dp_cf/D38),0)</f>
        <v/>
      </c>
      <c r="H38">
        <f>IF(L37&lt;M37,J37,H37)</f>
        <v/>
      </c>
      <c r="I38">
        <f>IF(L37&lt;M37,I37,K37)</f>
        <v/>
      </c>
      <c r="J38">
        <f>I38-((SQRT(5)-1)/2)*(I38-H38)</f>
        <v/>
      </c>
      <c r="K38">
        <f>H38+((SQRT(5)-1)/2)*(I38-H38)</f>
        <v/>
      </c>
      <c r="L38">
        <f>IFERROR(beta_cf*MAX(0,P1_cf-(((cx1_cf+2*J38)*(((B_cf-cy1_cf)/2)+cy1_cf)+cx1_cf*J38+PI()*J38^2/2)*((wa_cf+wb_cf*(x1_cf)/1000)/Bm_cf))/1E6)*1000/((cx1_cf+PI()*J38+2*(((B_cf-cy1_cf)/2)+cy1_cf))*dp_cf)/(vRdc_p*2*dp_cf/J38),0)</f>
        <v/>
      </c>
      <c r="M38">
        <f>IFERROR(beta_cf*MAX(0,P1_cf-(((cx1_cf+2*K38)*(((B_cf-cy1_cf)/2)+cy1_cf)+cx1_cf*K38+PI()*K38^2/2)*((wa_cf+wb_cf*(x1_cf)/1000)/Bm_cf))/1E6)*1000/((cx1_cf+PI()*K38+2*(((B_cf-cy1_cf)/2)+cy1_cf))*dp_cf)/(vRdc_p*2*dp_cf/K38),0)</f>
        <v/>
      </c>
      <c r="O38">
        <f>IF(S37&lt;T37,Q37,O37)</f>
        <v/>
      </c>
      <c r="P38">
        <f>IF(S37&lt;T37,P37,R37)</f>
        <v/>
      </c>
      <c r="Q38">
        <f>P38-((SQRT(5)-1)/2)*(P38-O38)</f>
        <v/>
      </c>
      <c r="R38">
        <f>O38+((SQRT(5)-1)/2)*(P38-O38)</f>
        <v/>
      </c>
      <c r="S38">
        <f>IFERROR(beta_cf*MAX(0,P1_cf-(((x1_cf-cx1_cf/2)+cx1_cf)*(((B_cf-cy1_cf)/2)+cy1_cf+Q38)*((wa_cf+wb_cf*((x1_cf+cx1_cf/2)/2)/1000)/Bm_cf)+(((B_cf-cy1_cf)/2)+cy1_cf)*Q38*((wa_cf+wb_cf*((x1_cf+cx1_cf/2)+Q38/2)/1000)/Bm_cf)+PI()*Q38^2/4*((wa_cf+wb_cf*((x1_cf+cx1_cf/2)+4*Q38/(3*PI()))/1000)/Bm_cf))/1E6)*1000/(((x1_cf-cx1_cf/2)+cx1_cf+((B_cf-cy1_cf)/2)+cy1_cf+PI()*Q38/2)*dp_cf)/(vRdc_p*2*dp_cf/Q38),0)</f>
        <v/>
      </c>
      <c r="T38">
        <f>IFERROR(beta_cf*MAX(0,P1_cf-(((x1_cf-cx1_cf/2)+cx1_cf)*(((B_cf-cy1_cf)/2)+cy1_cf+R38)*((wa_cf+wb_cf*((x1_cf+cx1_cf/2)/2)/1000)/Bm_cf)+(((B_cf-cy1_cf)/2)+cy1_cf)*R38*((wa_cf+wb_cf*((x1_cf+cx1_cf/2)+R38/2)/1000)/Bm_cf)+PI()*R38^2/4*((wa_cf+wb_cf*((x1_cf+cx1_cf/2)+4*R38/(3*PI()))/1000)/Bm_cf))/1E6)*1000/(((x1_cf-cx1_cf/2)+cx1_cf+((B_cf-cy1_cf)/2)+cy1_cf+PI()*R38/2)*dp_cf)/(vRdc_p*2*dp_cf/R38),0)</f>
        <v/>
      </c>
      <c r="V38">
        <f>IF(Z37&lt;AA37,X37,V37)</f>
        <v/>
      </c>
      <c r="W38">
        <f>IF(Z37&lt;AA37,W37,Y37)</f>
        <v/>
      </c>
      <c r="X38">
        <f>W38-((SQRT(5)-1)/2)*(W38-V38)</f>
        <v/>
      </c>
      <c r="Y38">
        <f>V38+((SQRT(5)-1)/2)*(W38-V38)</f>
        <v/>
      </c>
      <c r="Z38">
        <f>IFERROR(beta_cf*MAX(0,P2_cf-(((L_cf-x2_cf-cx2_cf/2)+cx2_cf)*(cy2_cf+2*X38)*((wa_cf+wb_cf*(((x2_cf-cx2_cf/2)+L_cf)/2)/1000)/Bm_cf)+cy2_cf*X38*((wa_cf+wb_cf*((x2_cf-cx2_cf/2)-X38/2)/1000)/Bm_cf)+PI()*X38^2/2*((wa_cf+wb_cf*((x2_cf-cx2_cf/2)-4*X38/(3*PI()))/1000)/Bm_cf))/1E6)*1000/((cy2_cf+PI()*X38+2*((L_cf-x2_cf-cx2_cf/2)+cx2_cf))*dp_cf)/(vRdc_p*2*dp_cf/X38),0)</f>
        <v/>
      </c>
      <c r="AA38">
        <f>IFERROR(beta_cf*MAX(0,P2_cf-(((L_cf-x2_cf-cx2_cf/2)+cx2_cf)*(cy2_cf+2*Y38)*((wa_cf+wb_cf*(((x2_cf-cx2_cf/2)+L_cf)/2)/1000)/Bm_cf)+cy2_cf*Y38*((wa_cf+wb_cf*((x2_cf-cx2_cf/2)-Y38/2)/1000)/Bm_cf)+PI()*Y38^2/2*((wa_cf+wb_cf*((x2_cf-cx2_cf/2)-4*Y38/(3*PI()))/1000)/Bm_cf))/1E6)*1000/((cy2_cf+PI()*Y38+2*((L_cf-x2_cf-cx2_cf/2)+cx2_cf))*dp_cf)/(vRdc_p*2*dp_cf/Y38),0)</f>
        <v/>
      </c>
      <c r="AC38">
        <f>IF(AG37&lt;AH37,AE37,AC37)</f>
        <v/>
      </c>
      <c r="AD38">
        <f>IF(AG37&lt;AH37,AD37,AF37)</f>
        <v/>
      </c>
      <c r="AE38">
        <f>AD38-((SQRT(5)-1)/2)*(AD38-AC38)</f>
        <v/>
      </c>
      <c r="AF38">
        <f>AC38+((SQRT(5)-1)/2)*(AD38-AC38)</f>
        <v/>
      </c>
      <c r="AG38">
        <f>IFERROR(beta_cf*MAX(0,P2_cf-(((cx2_cf+2*AE38)*(((B_cf-cy2_cf)/2)+cy2_cf)+cx2_cf*AE38+PI()*AE38^2/2)*((wa_cf+wb_cf*(x2_cf)/1000)/Bm_cf))/1E6)*1000/((cx2_cf+PI()*AE38+2*(((B_cf-cy2_cf)/2)+cy2_cf))*dp_cf)/(vRdc_p*2*dp_cf/AE38),0)</f>
        <v/>
      </c>
      <c r="AH38">
        <f>IFERROR(beta_cf*MAX(0,P2_cf-(((cx2_cf+2*AF38)*(((B_cf-cy2_cf)/2)+cy2_cf)+cx2_cf*AF38+PI()*AF38^2/2)*((wa_cf+wb_cf*(x2_cf)/1000)/Bm_cf))/1E6)*1000/((cx2_cf+PI()*AF38+2*(((B_cf-cy2_cf)/2)+cy2_cf))*dp_cf)/(vRdc_p*2*dp_cf/AF38),0)</f>
        <v/>
      </c>
      <c r="AJ38">
        <f>IF(AN37&lt;AO37,AL37,AJ37)</f>
        <v/>
      </c>
      <c r="AK38">
        <f>IF(AN37&lt;AO37,AK37,AM37)</f>
        <v/>
      </c>
      <c r="AL38">
        <f>AK38-((SQRT(5)-1)/2)*(AK38-AJ38)</f>
        <v/>
      </c>
      <c r="AM38">
        <f>AJ38+((SQRT(5)-1)/2)*(AK38-AJ38)</f>
        <v/>
      </c>
      <c r="AN38">
        <f>IFERROR(beta_cf*MAX(0,P2_cf-(((L_cf-x2_cf-cx2_cf/2)+cx2_cf)*(((B_cf-cy2_cf)/2)+cy2_cf+AL38)*((wa_cf+wb_cf*(((x2_cf-cx2_cf/2)+L_cf)/2)/1000)/Bm_cf)+(((B_cf-cy2_cf)/2)+cy2_cf)*AL38*((wa_cf+wb_cf*((x2_cf-cx2_cf/2)-AL38/2)/1000)/Bm_cf)+PI()*AL38^2/4*((wa_cf+wb_cf*((x2_cf-cx2_cf/2)-4*AL38/(3*PI()))/1000)/Bm_cf))/1E6)*1000/(((L_cf-x2_cf-cx2_cf/2)+cx2_cf+((B_cf-cy2_cf)/2)+cy2_cf+PI()*AL38/2)*dp_cf)/(vRdc_p*2*dp_cf/AL38),0)</f>
        <v/>
      </c>
      <c r="AO38">
        <f>IFERROR(beta_cf*MAX(0,P2_cf-(((L_cf-x2_cf-cx2_cf/2)+cx2_cf)*(((B_cf-cy2_cf)/2)+cy2_cf+AM38)*((wa_cf+wb_cf*(((x2_cf-cx2_cf/2)+L_cf)/2)/1000)/Bm_cf)+(((B_cf-cy2_cf)/2)+cy2_cf)*AM38*((wa_cf+wb_cf*((x2_cf-cx2_cf/2)-AM38/2)/1000)/Bm_cf)+PI()*AM38^2/4*((wa_cf+wb_cf*((x2_cf-cx2_cf/2)-4*AM38/(3*PI()))/1000)/Bm_cf))/1E6)*1000/(((L_cf-x2_cf-cx2_cf/2)+cx2_cf+((B_cf-cy2_cf)/2)+cy2_cf+PI()*AM38/2)*dp_cf)/(vRdc_p*2*dp_cf/AM38),0)</f>
        <v/>
      </c>
    </row>
    <row r="39">
      <c r="A39">
        <f>IF(E38&lt;F38,C38,A38)</f>
        <v/>
      </c>
      <c r="B39">
        <f>IF(E38&lt;F38,B38,D38)</f>
        <v/>
      </c>
      <c r="C39">
        <f>B39-((SQRT(5)-1)/2)*(B39-A39)</f>
        <v/>
      </c>
      <c r="D39">
        <f>A39+((SQRT(5)-1)/2)*(B39-A39)</f>
        <v/>
      </c>
      <c r="E39">
        <f>IFERROR(beta_cf*MAX(0,P1_cf-(((x1_cf-cx1_cf/2)+cx1_cf)*(cy1_cf+2*C39)*((wa_cf+wb_cf*((x1_cf+cx1_cf/2)/2)/1000)/Bm_cf)+cy1_cf*C39*((wa_cf+wb_cf*((x1_cf+cx1_cf/2)+C39/2)/1000)/Bm_cf)+PI()*C39^2/2*((wa_cf+wb_cf*((x1_cf+cx1_cf/2)+4*C39/(3*PI()))/1000)/Bm_cf))/1E6)*1000/((cy1_cf+PI()*C39+2*((x1_cf-cx1_cf/2)+cx1_cf))*dp_cf)/(vRdc_p*2*dp_cf/C39),0)</f>
        <v/>
      </c>
      <c r="F39">
        <f>IFERROR(beta_cf*MAX(0,P1_cf-(((x1_cf-cx1_cf/2)+cx1_cf)*(cy1_cf+2*D39)*((wa_cf+wb_cf*((x1_cf+cx1_cf/2)/2)/1000)/Bm_cf)+cy1_cf*D39*((wa_cf+wb_cf*((x1_cf+cx1_cf/2)+D39/2)/1000)/Bm_cf)+PI()*D39^2/2*((wa_cf+wb_cf*((x1_cf+cx1_cf/2)+4*D39/(3*PI()))/1000)/Bm_cf))/1E6)*1000/((cy1_cf+PI()*D39+2*((x1_cf-cx1_cf/2)+cx1_cf))*dp_cf)/(vRdc_p*2*dp_cf/D39),0)</f>
        <v/>
      </c>
      <c r="H39">
        <f>IF(L38&lt;M38,J38,H38)</f>
        <v/>
      </c>
      <c r="I39">
        <f>IF(L38&lt;M38,I38,K38)</f>
        <v/>
      </c>
      <c r="J39">
        <f>I39-((SQRT(5)-1)/2)*(I39-H39)</f>
        <v/>
      </c>
      <c r="K39">
        <f>H39+((SQRT(5)-1)/2)*(I39-H39)</f>
        <v/>
      </c>
      <c r="L39">
        <f>IFERROR(beta_cf*MAX(0,P1_cf-(((cx1_cf+2*J39)*(((B_cf-cy1_cf)/2)+cy1_cf)+cx1_cf*J39+PI()*J39^2/2)*((wa_cf+wb_cf*(x1_cf)/1000)/Bm_cf))/1E6)*1000/((cx1_cf+PI()*J39+2*(((B_cf-cy1_cf)/2)+cy1_cf))*dp_cf)/(vRdc_p*2*dp_cf/J39),0)</f>
        <v/>
      </c>
      <c r="M39">
        <f>IFERROR(beta_cf*MAX(0,P1_cf-(((cx1_cf+2*K39)*(((B_cf-cy1_cf)/2)+cy1_cf)+cx1_cf*K39+PI()*K39^2/2)*((wa_cf+wb_cf*(x1_cf)/1000)/Bm_cf))/1E6)*1000/((cx1_cf+PI()*K39+2*(((B_cf-cy1_cf)/2)+cy1_cf))*dp_cf)/(vRdc_p*2*dp_cf/K39),0)</f>
        <v/>
      </c>
      <c r="O39">
        <f>IF(S38&lt;T38,Q38,O38)</f>
        <v/>
      </c>
      <c r="P39">
        <f>IF(S38&lt;T38,P38,R38)</f>
        <v/>
      </c>
      <c r="Q39">
        <f>P39-((SQRT(5)-1)/2)*(P39-O39)</f>
        <v/>
      </c>
      <c r="R39">
        <f>O39+((SQRT(5)-1)/2)*(P39-O39)</f>
        <v/>
      </c>
      <c r="S39">
        <f>IFERROR(beta_cf*MAX(0,P1_cf-(((x1_cf-cx1_cf/2)+cx1_cf)*(((B_cf-cy1_cf)/2)+cy1_cf+Q39)*((wa_cf+wb_cf*((x1_cf+cx1_cf/2)/2)/1000)/Bm_cf)+(((B_cf-cy1_cf)/2)+cy1_cf)*Q39*((wa_cf+wb_cf*((x1_cf+cx1_cf/2)+Q39/2)/1000)/Bm_cf)+PI()*Q39^2/4*((wa_cf+wb_cf*((x1_cf+cx1_cf/2)+4*Q39/(3*PI()))/1000)/Bm_cf))/1E6)*1000/(((x1_cf-cx1_cf/2)+cx1_cf+((B_cf-cy1_cf)/2)+cy1_cf+PI()*Q39/2)*dp_cf)/(vRdc_p*2*dp_cf/Q39),0)</f>
        <v/>
      </c>
      <c r="T39">
        <f>IFERROR(beta_cf*MAX(0,P1_cf-(((x1_cf-cx1_cf/2)+cx1_cf)*(((B_cf-cy1_cf)/2)+cy1_cf+R39)*((wa_cf+wb_cf*((x1_cf+cx1_cf/2)/2)/1000)/Bm_cf)+(((B_cf-cy1_cf)/2)+cy1_cf)*R39*((wa_cf+wb_cf*((x1_cf+cx1_cf/2)+R39/2)/1000)/Bm_cf)+PI()*R39^2/4*((wa_cf+wb_cf*((x1_cf+cx1_cf/2)+4*R39/(3*PI()))/1000)/Bm_cf))/1E6)*1000/(((x1_cf-cx1_cf/2)+cx1_cf+((B_cf-cy1_cf)/2)+cy1_cf+PI()*R39/2)*dp_cf)/(vRdc_p*2*dp_cf/R39),0)</f>
        <v/>
      </c>
      <c r="V39">
        <f>IF(Z38&lt;AA38,X38,V38)</f>
        <v/>
      </c>
      <c r="W39">
        <f>IF(Z38&lt;AA38,W38,Y38)</f>
        <v/>
      </c>
      <c r="X39">
        <f>W39-((SQRT(5)-1)/2)*(W39-V39)</f>
        <v/>
      </c>
      <c r="Y39">
        <f>V39+((SQRT(5)-1)/2)*(W39-V39)</f>
        <v/>
      </c>
      <c r="Z39">
        <f>IFERROR(beta_cf*MAX(0,P2_cf-(((L_cf-x2_cf-cx2_cf/2)+cx2_cf)*(cy2_cf+2*X39)*((wa_cf+wb_cf*(((x2_cf-cx2_cf/2)+L_cf)/2)/1000)/Bm_cf)+cy2_cf*X39*((wa_cf+wb_cf*((x2_cf-cx2_cf/2)-X39/2)/1000)/Bm_cf)+PI()*X39^2/2*((wa_cf+wb_cf*((x2_cf-cx2_cf/2)-4*X39/(3*PI()))/1000)/Bm_cf))/1E6)*1000/((cy2_cf+PI()*X39+2*((L_cf-x2_cf-cx2_cf/2)+cx2_cf))*dp_cf)/(vRdc_p*2*dp_cf/X39),0)</f>
        <v/>
      </c>
      <c r="AA39">
        <f>IFERROR(beta_cf*MAX(0,P2_cf-(((L_cf-x2_cf-cx2_cf/2)+cx2_cf)*(cy2_cf+2*Y39)*((wa_cf+wb_cf*(((x2_cf-cx2_cf/2)+L_cf)/2)/1000)/Bm_cf)+cy2_cf*Y39*((wa_cf+wb_cf*((x2_cf-cx2_cf/2)-Y39/2)/1000)/Bm_cf)+PI()*Y39^2/2*((wa_cf+wb_cf*((x2_cf-cx2_cf/2)-4*Y39/(3*PI()))/1000)/Bm_cf))/1E6)*1000/((cy2_cf+PI()*Y39+2*((L_cf-x2_cf-cx2_cf/2)+cx2_cf))*dp_cf)/(vRdc_p*2*dp_cf/Y39),0)</f>
        <v/>
      </c>
      <c r="AC39">
        <f>IF(AG38&lt;AH38,AE38,AC38)</f>
        <v/>
      </c>
      <c r="AD39">
        <f>IF(AG38&lt;AH38,AD38,AF38)</f>
        <v/>
      </c>
      <c r="AE39">
        <f>AD39-((SQRT(5)-1)/2)*(AD39-AC39)</f>
        <v/>
      </c>
      <c r="AF39">
        <f>AC39+((SQRT(5)-1)/2)*(AD39-AC39)</f>
        <v/>
      </c>
      <c r="AG39">
        <f>IFERROR(beta_cf*MAX(0,P2_cf-(((cx2_cf+2*AE39)*(((B_cf-cy2_cf)/2)+cy2_cf)+cx2_cf*AE39+PI()*AE39^2/2)*((wa_cf+wb_cf*(x2_cf)/1000)/Bm_cf))/1E6)*1000/((cx2_cf+PI()*AE39+2*(((B_cf-cy2_cf)/2)+cy2_cf))*dp_cf)/(vRdc_p*2*dp_cf/AE39),0)</f>
        <v/>
      </c>
      <c r="AH39">
        <f>IFERROR(beta_cf*MAX(0,P2_cf-(((cx2_cf+2*AF39)*(((B_cf-cy2_cf)/2)+cy2_cf)+cx2_cf*AF39+PI()*AF39^2/2)*((wa_cf+wb_cf*(x2_cf)/1000)/Bm_cf))/1E6)*1000/((cx2_cf+PI()*AF39+2*(((B_cf-cy2_cf)/2)+cy2_cf))*dp_cf)/(vRdc_p*2*dp_cf/AF39),0)</f>
        <v/>
      </c>
      <c r="AJ39">
        <f>IF(AN38&lt;AO38,AL38,AJ38)</f>
        <v/>
      </c>
      <c r="AK39">
        <f>IF(AN38&lt;AO38,AK38,AM38)</f>
        <v/>
      </c>
      <c r="AL39">
        <f>AK39-((SQRT(5)-1)/2)*(AK39-AJ39)</f>
        <v/>
      </c>
      <c r="AM39">
        <f>AJ39+((SQRT(5)-1)/2)*(AK39-AJ39)</f>
        <v/>
      </c>
      <c r="AN39">
        <f>IFERROR(beta_cf*MAX(0,P2_cf-(((L_cf-x2_cf-cx2_cf/2)+cx2_cf)*(((B_cf-cy2_cf)/2)+cy2_cf+AL39)*((wa_cf+wb_cf*(((x2_cf-cx2_cf/2)+L_cf)/2)/1000)/Bm_cf)+(((B_cf-cy2_cf)/2)+cy2_cf)*AL39*((wa_cf+wb_cf*((x2_cf-cx2_cf/2)-AL39/2)/1000)/Bm_cf)+PI()*AL39^2/4*((wa_cf+wb_cf*((x2_cf-cx2_cf/2)-4*AL39/(3*PI()))/1000)/Bm_cf))/1E6)*1000/(((L_cf-x2_cf-cx2_cf/2)+cx2_cf+((B_cf-cy2_cf)/2)+cy2_cf+PI()*AL39/2)*dp_cf)/(vRdc_p*2*dp_cf/AL39),0)</f>
        <v/>
      </c>
      <c r="AO39">
        <f>IFERROR(beta_cf*MAX(0,P2_cf-(((L_cf-x2_cf-cx2_cf/2)+cx2_cf)*(((B_cf-cy2_cf)/2)+cy2_cf+AM39)*((wa_cf+wb_cf*(((x2_cf-cx2_cf/2)+L_cf)/2)/1000)/Bm_cf)+(((B_cf-cy2_cf)/2)+cy2_cf)*AM39*((wa_cf+wb_cf*((x2_cf-cx2_cf/2)-AM39/2)/1000)/Bm_cf)+PI()*AM39^2/4*((wa_cf+wb_cf*((x2_cf-cx2_cf/2)-4*AM39/(3*PI()))/1000)/Bm_cf))/1E6)*1000/(((L_cf-x2_cf-cx2_cf/2)+cx2_cf+((B_cf-cy2_cf)/2)+cy2_cf+PI()*AM39/2)*dp_cf)/(vRdc_p*2*dp_cf/AM39),0)</f>
        <v/>
      </c>
    </row>
    <row r="40">
      <c r="A40">
        <f>IF(E39&lt;F39,C39,A39)</f>
        <v/>
      </c>
      <c r="B40">
        <f>IF(E39&lt;F39,B39,D39)</f>
        <v/>
      </c>
      <c r="C40">
        <f>B40-((SQRT(5)-1)/2)*(B40-A40)</f>
        <v/>
      </c>
      <c r="D40">
        <f>A40+((SQRT(5)-1)/2)*(B40-A40)</f>
        <v/>
      </c>
      <c r="E40">
        <f>IFERROR(beta_cf*MAX(0,P1_cf-(((x1_cf-cx1_cf/2)+cx1_cf)*(cy1_cf+2*C40)*((wa_cf+wb_cf*((x1_cf+cx1_cf/2)/2)/1000)/Bm_cf)+cy1_cf*C40*((wa_cf+wb_cf*((x1_cf+cx1_cf/2)+C40/2)/1000)/Bm_cf)+PI()*C40^2/2*((wa_cf+wb_cf*((x1_cf+cx1_cf/2)+4*C40/(3*PI()))/1000)/Bm_cf))/1E6)*1000/((cy1_cf+PI()*C40+2*((x1_cf-cx1_cf/2)+cx1_cf))*dp_cf)/(vRdc_p*2*dp_cf/C40),0)</f>
        <v/>
      </c>
      <c r="F40">
        <f>IFERROR(beta_cf*MAX(0,P1_cf-(((x1_cf-cx1_cf/2)+cx1_cf)*(cy1_cf+2*D40)*((wa_cf+wb_cf*((x1_cf+cx1_cf/2)/2)/1000)/Bm_cf)+cy1_cf*D40*((wa_cf+wb_cf*((x1_cf+cx1_cf/2)+D40/2)/1000)/Bm_cf)+PI()*D40^2/2*((wa_cf+wb_cf*((x1_cf+cx1_cf/2)+4*D40/(3*PI()))/1000)/Bm_cf))/1E6)*1000/((cy1_cf+PI()*D40+2*((x1_cf-cx1_cf/2)+cx1_cf))*dp_cf)/(vRdc_p*2*dp_cf/D40),0)</f>
        <v/>
      </c>
      <c r="H40">
        <f>IF(L39&lt;M39,J39,H39)</f>
        <v/>
      </c>
      <c r="I40">
        <f>IF(L39&lt;M39,I39,K39)</f>
        <v/>
      </c>
      <c r="J40">
        <f>I40-((SQRT(5)-1)/2)*(I40-H40)</f>
        <v/>
      </c>
      <c r="K40">
        <f>H40+((SQRT(5)-1)/2)*(I40-H40)</f>
        <v/>
      </c>
      <c r="L40">
        <f>IFERROR(beta_cf*MAX(0,P1_cf-(((cx1_cf+2*J40)*(((B_cf-cy1_cf)/2)+cy1_cf)+cx1_cf*J40+PI()*J40^2/2)*((wa_cf+wb_cf*(x1_cf)/1000)/Bm_cf))/1E6)*1000/((cx1_cf+PI()*J40+2*(((B_cf-cy1_cf)/2)+cy1_cf))*dp_cf)/(vRdc_p*2*dp_cf/J40),0)</f>
        <v/>
      </c>
      <c r="M40">
        <f>IFERROR(beta_cf*MAX(0,P1_cf-(((cx1_cf+2*K40)*(((B_cf-cy1_cf)/2)+cy1_cf)+cx1_cf*K40+PI()*K40^2/2)*((wa_cf+wb_cf*(x1_cf)/1000)/Bm_cf))/1E6)*1000/((cx1_cf+PI()*K40+2*(((B_cf-cy1_cf)/2)+cy1_cf))*dp_cf)/(vRdc_p*2*dp_cf/K40),0)</f>
        <v/>
      </c>
      <c r="O40">
        <f>IF(S39&lt;T39,Q39,O39)</f>
        <v/>
      </c>
      <c r="P40">
        <f>IF(S39&lt;T39,P39,R39)</f>
        <v/>
      </c>
      <c r="Q40">
        <f>P40-((SQRT(5)-1)/2)*(P40-O40)</f>
        <v/>
      </c>
      <c r="R40">
        <f>O40+((SQRT(5)-1)/2)*(P40-O40)</f>
        <v/>
      </c>
      <c r="S40">
        <f>IFERROR(beta_cf*MAX(0,P1_cf-(((x1_cf-cx1_cf/2)+cx1_cf)*(((B_cf-cy1_cf)/2)+cy1_cf+Q40)*((wa_cf+wb_cf*((x1_cf+cx1_cf/2)/2)/1000)/Bm_cf)+(((B_cf-cy1_cf)/2)+cy1_cf)*Q40*((wa_cf+wb_cf*((x1_cf+cx1_cf/2)+Q40/2)/1000)/Bm_cf)+PI()*Q40^2/4*((wa_cf+wb_cf*((x1_cf+cx1_cf/2)+4*Q40/(3*PI()))/1000)/Bm_cf))/1E6)*1000/(((x1_cf-cx1_cf/2)+cx1_cf+((B_cf-cy1_cf)/2)+cy1_cf+PI()*Q40/2)*dp_cf)/(vRdc_p*2*dp_cf/Q40),0)</f>
        <v/>
      </c>
      <c r="T40">
        <f>IFERROR(beta_cf*MAX(0,P1_cf-(((x1_cf-cx1_cf/2)+cx1_cf)*(((B_cf-cy1_cf)/2)+cy1_cf+R40)*((wa_cf+wb_cf*((x1_cf+cx1_cf/2)/2)/1000)/Bm_cf)+(((B_cf-cy1_cf)/2)+cy1_cf)*R40*((wa_cf+wb_cf*((x1_cf+cx1_cf/2)+R40/2)/1000)/Bm_cf)+PI()*R40^2/4*((wa_cf+wb_cf*((x1_cf+cx1_cf/2)+4*R40/(3*PI()))/1000)/Bm_cf))/1E6)*1000/(((x1_cf-cx1_cf/2)+cx1_cf+((B_cf-cy1_cf)/2)+cy1_cf+PI()*R40/2)*dp_cf)/(vRdc_p*2*dp_cf/R40),0)</f>
        <v/>
      </c>
      <c r="V40">
        <f>IF(Z39&lt;AA39,X39,V39)</f>
        <v/>
      </c>
      <c r="W40">
        <f>IF(Z39&lt;AA39,W39,Y39)</f>
        <v/>
      </c>
      <c r="X40">
        <f>W40-((SQRT(5)-1)/2)*(W40-V40)</f>
        <v/>
      </c>
      <c r="Y40">
        <f>V40+((SQRT(5)-1)/2)*(W40-V40)</f>
        <v/>
      </c>
      <c r="Z40">
        <f>IFERROR(beta_cf*MAX(0,P2_cf-(((L_cf-x2_cf-cx2_cf/2)+cx2_cf)*(cy2_cf+2*X40)*((wa_cf+wb_cf*(((x2_cf-cx2_cf/2)+L_cf)/2)/1000)/Bm_cf)+cy2_cf*X40*((wa_cf+wb_cf*((x2_cf-cx2_cf/2)-X40/2)/1000)/Bm_cf)+PI()*X40^2/2*((wa_cf+wb_cf*((x2_cf-cx2_cf/2)-4*X40/(3*PI()))/1000)/Bm_cf))/1E6)*1000/((cy2_cf+PI()*X40+2*((L_cf-x2_cf-cx2_cf/2)+cx2_cf))*dp_cf)/(vRdc_p*2*dp_cf/X40),0)</f>
        <v/>
      </c>
      <c r="AA40">
        <f>IFERROR(beta_cf*MAX(0,P2_cf-(((L_cf-x2_cf-cx2_cf/2)+cx2_cf)*(cy2_cf+2*Y40)*((wa_cf+wb_cf*(((x2_cf-cx2_cf/2)+L_cf)/2)/1000)/Bm_cf)+cy2_cf*Y40*((wa_cf+wb_cf*((x2_cf-cx2_cf/2)-Y40/2)/1000)/Bm_cf)+PI()*Y40^2/2*((wa_cf+wb_cf*((x2_cf-cx2_cf/2)-4*Y40/(3*PI()))/1000)/Bm_cf))/1E6)*1000/((cy2_cf+PI()*Y40+2*((L_cf-x2_cf-cx2_cf/2)+cx2_cf))*dp_cf)/(vRdc_p*2*dp_cf/Y40),0)</f>
        <v/>
      </c>
      <c r="AC40">
        <f>IF(AG39&lt;AH39,AE39,AC39)</f>
        <v/>
      </c>
      <c r="AD40">
        <f>IF(AG39&lt;AH39,AD39,AF39)</f>
        <v/>
      </c>
      <c r="AE40">
        <f>AD40-((SQRT(5)-1)/2)*(AD40-AC40)</f>
        <v/>
      </c>
      <c r="AF40">
        <f>AC40+((SQRT(5)-1)/2)*(AD40-AC40)</f>
        <v/>
      </c>
      <c r="AG40">
        <f>IFERROR(beta_cf*MAX(0,P2_cf-(((cx2_cf+2*AE40)*(((B_cf-cy2_cf)/2)+cy2_cf)+cx2_cf*AE40+PI()*AE40^2/2)*((wa_cf+wb_cf*(x2_cf)/1000)/Bm_cf))/1E6)*1000/((cx2_cf+PI()*AE40+2*(((B_cf-cy2_cf)/2)+cy2_cf))*dp_cf)/(vRdc_p*2*dp_cf/AE40),0)</f>
        <v/>
      </c>
      <c r="AH40">
        <f>IFERROR(beta_cf*MAX(0,P2_cf-(((cx2_cf+2*AF40)*(((B_cf-cy2_cf)/2)+cy2_cf)+cx2_cf*AF40+PI()*AF40^2/2)*((wa_cf+wb_cf*(x2_cf)/1000)/Bm_cf))/1E6)*1000/((cx2_cf+PI()*AF40+2*(((B_cf-cy2_cf)/2)+cy2_cf))*dp_cf)/(vRdc_p*2*dp_cf/AF40),0)</f>
        <v/>
      </c>
      <c r="AJ40">
        <f>IF(AN39&lt;AO39,AL39,AJ39)</f>
        <v/>
      </c>
      <c r="AK40">
        <f>IF(AN39&lt;AO39,AK39,AM39)</f>
        <v/>
      </c>
      <c r="AL40">
        <f>AK40-((SQRT(5)-1)/2)*(AK40-AJ40)</f>
        <v/>
      </c>
      <c r="AM40">
        <f>AJ40+((SQRT(5)-1)/2)*(AK40-AJ40)</f>
        <v/>
      </c>
      <c r="AN40">
        <f>IFERROR(beta_cf*MAX(0,P2_cf-(((L_cf-x2_cf-cx2_cf/2)+cx2_cf)*(((B_cf-cy2_cf)/2)+cy2_cf+AL40)*((wa_cf+wb_cf*(((x2_cf-cx2_cf/2)+L_cf)/2)/1000)/Bm_cf)+(((B_cf-cy2_cf)/2)+cy2_cf)*AL40*((wa_cf+wb_cf*((x2_cf-cx2_cf/2)-AL40/2)/1000)/Bm_cf)+PI()*AL40^2/4*((wa_cf+wb_cf*((x2_cf-cx2_cf/2)-4*AL40/(3*PI()))/1000)/Bm_cf))/1E6)*1000/(((L_cf-x2_cf-cx2_cf/2)+cx2_cf+((B_cf-cy2_cf)/2)+cy2_cf+PI()*AL40/2)*dp_cf)/(vRdc_p*2*dp_cf/AL40),0)</f>
        <v/>
      </c>
      <c r="AO40">
        <f>IFERROR(beta_cf*MAX(0,P2_cf-(((L_cf-x2_cf-cx2_cf/2)+cx2_cf)*(((B_cf-cy2_cf)/2)+cy2_cf+AM40)*((wa_cf+wb_cf*(((x2_cf-cx2_cf/2)+L_cf)/2)/1000)/Bm_cf)+(((B_cf-cy2_cf)/2)+cy2_cf)*AM40*((wa_cf+wb_cf*((x2_cf-cx2_cf/2)-AM40/2)/1000)/Bm_cf)+PI()*AM40^2/4*((wa_cf+wb_cf*((x2_cf-cx2_cf/2)-4*AM40/(3*PI()))/1000)/Bm_cf))/1E6)*1000/(((L_cf-x2_cf-cx2_cf/2)+cx2_cf+((B_cf-cy2_cf)/2)+cy2_cf+PI()*AM40/2)*dp_cf)/(vRdc_p*2*dp_cf/AM40),0)</f>
        <v/>
      </c>
    </row>
    <row r="41">
      <c r="A41">
        <f>IF(E40&lt;F40,C40,A40)</f>
        <v/>
      </c>
      <c r="B41">
        <f>IF(E40&lt;F40,B40,D40)</f>
        <v/>
      </c>
      <c r="C41">
        <f>B41-((SQRT(5)-1)/2)*(B41-A41)</f>
        <v/>
      </c>
      <c r="D41">
        <f>A41+((SQRT(5)-1)/2)*(B41-A41)</f>
        <v/>
      </c>
      <c r="E41">
        <f>IFERROR(beta_cf*MAX(0,P1_cf-(((x1_cf-cx1_cf/2)+cx1_cf)*(cy1_cf+2*C41)*((wa_cf+wb_cf*((x1_cf+cx1_cf/2)/2)/1000)/Bm_cf)+cy1_cf*C41*((wa_cf+wb_cf*((x1_cf+cx1_cf/2)+C41/2)/1000)/Bm_cf)+PI()*C41^2/2*((wa_cf+wb_cf*((x1_cf+cx1_cf/2)+4*C41/(3*PI()))/1000)/Bm_cf))/1E6)*1000/((cy1_cf+PI()*C41+2*((x1_cf-cx1_cf/2)+cx1_cf))*dp_cf)/(vRdc_p*2*dp_cf/C41),0)</f>
        <v/>
      </c>
      <c r="F41">
        <f>IFERROR(beta_cf*MAX(0,P1_cf-(((x1_cf-cx1_cf/2)+cx1_cf)*(cy1_cf+2*D41)*((wa_cf+wb_cf*((x1_cf+cx1_cf/2)/2)/1000)/Bm_cf)+cy1_cf*D41*((wa_cf+wb_cf*((x1_cf+cx1_cf/2)+D41/2)/1000)/Bm_cf)+PI()*D41^2/2*((wa_cf+wb_cf*((x1_cf+cx1_cf/2)+4*D41/(3*PI()))/1000)/Bm_cf))/1E6)*1000/((cy1_cf+PI()*D41+2*((x1_cf-cx1_cf/2)+cx1_cf))*dp_cf)/(vRdc_p*2*dp_cf/D41),0)</f>
        <v/>
      </c>
      <c r="H41">
        <f>IF(L40&lt;M40,J40,H40)</f>
        <v/>
      </c>
      <c r="I41">
        <f>IF(L40&lt;M40,I40,K40)</f>
        <v/>
      </c>
      <c r="J41">
        <f>I41-((SQRT(5)-1)/2)*(I41-H41)</f>
        <v/>
      </c>
      <c r="K41">
        <f>H41+((SQRT(5)-1)/2)*(I41-H41)</f>
        <v/>
      </c>
      <c r="L41">
        <f>IFERROR(beta_cf*MAX(0,P1_cf-(((cx1_cf+2*J41)*(((B_cf-cy1_cf)/2)+cy1_cf)+cx1_cf*J41+PI()*J41^2/2)*((wa_cf+wb_cf*(x1_cf)/1000)/Bm_cf))/1E6)*1000/((cx1_cf+PI()*J41+2*(((B_cf-cy1_cf)/2)+cy1_cf))*dp_cf)/(vRdc_p*2*dp_cf/J41),0)</f>
        <v/>
      </c>
      <c r="M41">
        <f>IFERROR(beta_cf*MAX(0,P1_cf-(((cx1_cf+2*K41)*(((B_cf-cy1_cf)/2)+cy1_cf)+cx1_cf*K41+PI()*K41^2/2)*((wa_cf+wb_cf*(x1_cf)/1000)/Bm_cf))/1E6)*1000/((cx1_cf+PI()*K41+2*(((B_cf-cy1_cf)/2)+cy1_cf))*dp_cf)/(vRdc_p*2*dp_cf/K41),0)</f>
        <v/>
      </c>
      <c r="O41">
        <f>IF(S40&lt;T40,Q40,O40)</f>
        <v/>
      </c>
      <c r="P41">
        <f>IF(S40&lt;T40,P40,R40)</f>
        <v/>
      </c>
      <c r="Q41">
        <f>P41-((SQRT(5)-1)/2)*(P41-O41)</f>
        <v/>
      </c>
      <c r="R41">
        <f>O41+((SQRT(5)-1)/2)*(P41-O41)</f>
        <v/>
      </c>
      <c r="S41">
        <f>IFERROR(beta_cf*MAX(0,P1_cf-(((x1_cf-cx1_cf/2)+cx1_cf)*(((B_cf-cy1_cf)/2)+cy1_cf+Q41)*((wa_cf+wb_cf*((x1_cf+cx1_cf/2)/2)/1000)/Bm_cf)+(((B_cf-cy1_cf)/2)+cy1_cf)*Q41*((wa_cf+wb_cf*((x1_cf+cx1_cf/2)+Q41/2)/1000)/Bm_cf)+PI()*Q41^2/4*((wa_cf+wb_cf*((x1_cf+cx1_cf/2)+4*Q41/(3*PI()))/1000)/Bm_cf))/1E6)*1000/(((x1_cf-cx1_cf/2)+cx1_cf+((B_cf-cy1_cf)/2)+cy1_cf+PI()*Q41/2)*dp_cf)/(vRdc_p*2*dp_cf/Q41),0)</f>
        <v/>
      </c>
      <c r="T41">
        <f>IFERROR(beta_cf*MAX(0,P1_cf-(((x1_cf-cx1_cf/2)+cx1_cf)*(((B_cf-cy1_cf)/2)+cy1_cf+R41)*((wa_cf+wb_cf*((x1_cf+cx1_cf/2)/2)/1000)/Bm_cf)+(((B_cf-cy1_cf)/2)+cy1_cf)*R41*((wa_cf+wb_cf*((x1_cf+cx1_cf/2)+R41/2)/1000)/Bm_cf)+PI()*R41^2/4*((wa_cf+wb_cf*((x1_cf+cx1_cf/2)+4*R41/(3*PI()))/1000)/Bm_cf))/1E6)*1000/(((x1_cf-cx1_cf/2)+cx1_cf+((B_cf-cy1_cf)/2)+cy1_cf+PI()*R41/2)*dp_cf)/(vRdc_p*2*dp_cf/R41),0)</f>
        <v/>
      </c>
      <c r="V41">
        <f>IF(Z40&lt;AA40,X40,V40)</f>
        <v/>
      </c>
      <c r="W41">
        <f>IF(Z40&lt;AA40,W40,Y40)</f>
        <v/>
      </c>
      <c r="X41">
        <f>W41-((SQRT(5)-1)/2)*(W41-V41)</f>
        <v/>
      </c>
      <c r="Y41">
        <f>V41+((SQRT(5)-1)/2)*(W41-V41)</f>
        <v/>
      </c>
      <c r="Z41">
        <f>IFERROR(beta_cf*MAX(0,P2_cf-(((L_cf-x2_cf-cx2_cf/2)+cx2_cf)*(cy2_cf+2*X41)*((wa_cf+wb_cf*(((x2_cf-cx2_cf/2)+L_cf)/2)/1000)/Bm_cf)+cy2_cf*X41*((wa_cf+wb_cf*((x2_cf-cx2_cf/2)-X41/2)/1000)/Bm_cf)+PI()*X41^2/2*((wa_cf+wb_cf*((x2_cf-cx2_cf/2)-4*X41/(3*PI()))/1000)/Bm_cf))/1E6)*1000/((cy2_cf+PI()*X41+2*((L_cf-x2_cf-cx2_cf/2)+cx2_cf))*dp_cf)/(vRdc_p*2*dp_cf/X41),0)</f>
        <v/>
      </c>
      <c r="AA41">
        <f>IFERROR(beta_cf*MAX(0,P2_cf-(((L_cf-x2_cf-cx2_cf/2)+cx2_cf)*(cy2_cf+2*Y41)*((wa_cf+wb_cf*(((x2_cf-cx2_cf/2)+L_cf)/2)/1000)/Bm_cf)+cy2_cf*Y41*((wa_cf+wb_cf*((x2_cf-cx2_cf/2)-Y41/2)/1000)/Bm_cf)+PI()*Y41^2/2*((wa_cf+wb_cf*((x2_cf-cx2_cf/2)-4*Y41/(3*PI()))/1000)/Bm_cf))/1E6)*1000/((cy2_cf+PI()*Y41+2*((L_cf-x2_cf-cx2_cf/2)+cx2_cf))*dp_cf)/(vRdc_p*2*dp_cf/Y41),0)</f>
        <v/>
      </c>
      <c r="AC41">
        <f>IF(AG40&lt;AH40,AE40,AC40)</f>
        <v/>
      </c>
      <c r="AD41">
        <f>IF(AG40&lt;AH40,AD40,AF40)</f>
        <v/>
      </c>
      <c r="AE41">
        <f>AD41-((SQRT(5)-1)/2)*(AD41-AC41)</f>
        <v/>
      </c>
      <c r="AF41">
        <f>AC41+((SQRT(5)-1)/2)*(AD41-AC41)</f>
        <v/>
      </c>
      <c r="AG41">
        <f>IFERROR(beta_cf*MAX(0,P2_cf-(((cx2_cf+2*AE41)*(((B_cf-cy2_cf)/2)+cy2_cf)+cx2_cf*AE41+PI()*AE41^2/2)*((wa_cf+wb_cf*(x2_cf)/1000)/Bm_cf))/1E6)*1000/((cx2_cf+PI()*AE41+2*(((B_cf-cy2_cf)/2)+cy2_cf))*dp_cf)/(vRdc_p*2*dp_cf/AE41),0)</f>
        <v/>
      </c>
      <c r="AH41">
        <f>IFERROR(beta_cf*MAX(0,P2_cf-(((cx2_cf+2*AF41)*(((B_cf-cy2_cf)/2)+cy2_cf)+cx2_cf*AF41+PI()*AF41^2/2)*((wa_cf+wb_cf*(x2_cf)/1000)/Bm_cf))/1E6)*1000/((cx2_cf+PI()*AF41+2*(((B_cf-cy2_cf)/2)+cy2_cf))*dp_cf)/(vRdc_p*2*dp_cf/AF41),0)</f>
        <v/>
      </c>
      <c r="AJ41">
        <f>IF(AN40&lt;AO40,AL40,AJ40)</f>
        <v/>
      </c>
      <c r="AK41">
        <f>IF(AN40&lt;AO40,AK40,AM40)</f>
        <v/>
      </c>
      <c r="AL41">
        <f>AK41-((SQRT(5)-1)/2)*(AK41-AJ41)</f>
        <v/>
      </c>
      <c r="AM41">
        <f>AJ41+((SQRT(5)-1)/2)*(AK41-AJ41)</f>
        <v/>
      </c>
      <c r="AN41">
        <f>IFERROR(beta_cf*MAX(0,P2_cf-(((L_cf-x2_cf-cx2_cf/2)+cx2_cf)*(((B_cf-cy2_cf)/2)+cy2_cf+AL41)*((wa_cf+wb_cf*(((x2_cf-cx2_cf/2)+L_cf)/2)/1000)/Bm_cf)+(((B_cf-cy2_cf)/2)+cy2_cf)*AL41*((wa_cf+wb_cf*((x2_cf-cx2_cf/2)-AL41/2)/1000)/Bm_cf)+PI()*AL41^2/4*((wa_cf+wb_cf*((x2_cf-cx2_cf/2)-4*AL41/(3*PI()))/1000)/Bm_cf))/1E6)*1000/(((L_cf-x2_cf-cx2_cf/2)+cx2_cf+((B_cf-cy2_cf)/2)+cy2_cf+PI()*AL41/2)*dp_cf)/(vRdc_p*2*dp_cf/AL41),0)</f>
        <v/>
      </c>
      <c r="AO41">
        <f>IFERROR(beta_cf*MAX(0,P2_cf-(((L_cf-x2_cf-cx2_cf/2)+cx2_cf)*(((B_cf-cy2_cf)/2)+cy2_cf+AM41)*((wa_cf+wb_cf*(((x2_cf-cx2_cf/2)+L_cf)/2)/1000)/Bm_cf)+(((B_cf-cy2_cf)/2)+cy2_cf)*AM41*((wa_cf+wb_cf*((x2_cf-cx2_cf/2)-AM41/2)/1000)/Bm_cf)+PI()*AM41^2/4*((wa_cf+wb_cf*((x2_cf-cx2_cf/2)-4*AM41/(3*PI()))/1000)/Bm_cf))/1E6)*1000/(((L_cf-x2_cf-cx2_cf/2)+cx2_cf+((B_cf-cy2_cf)/2)+cy2_cf+PI()*AM41/2)*dp_cf)/(vRdc_p*2*dp_cf/AM41),0)</f>
        <v/>
      </c>
    </row>
    <row r="42">
      <c r="A42">
        <f>IF(E41&lt;F41,C41,A41)</f>
        <v/>
      </c>
      <c r="B42">
        <f>IF(E41&lt;F41,B41,D41)</f>
        <v/>
      </c>
      <c r="C42">
        <f>B42-((SQRT(5)-1)/2)*(B42-A42)</f>
        <v/>
      </c>
      <c r="D42">
        <f>A42+((SQRT(5)-1)/2)*(B42-A42)</f>
        <v/>
      </c>
      <c r="E42">
        <f>IFERROR(beta_cf*MAX(0,P1_cf-(((x1_cf-cx1_cf/2)+cx1_cf)*(cy1_cf+2*C42)*((wa_cf+wb_cf*((x1_cf+cx1_cf/2)/2)/1000)/Bm_cf)+cy1_cf*C42*((wa_cf+wb_cf*((x1_cf+cx1_cf/2)+C42/2)/1000)/Bm_cf)+PI()*C42^2/2*((wa_cf+wb_cf*((x1_cf+cx1_cf/2)+4*C42/(3*PI()))/1000)/Bm_cf))/1E6)*1000/((cy1_cf+PI()*C42+2*((x1_cf-cx1_cf/2)+cx1_cf))*dp_cf)/(vRdc_p*2*dp_cf/C42),0)</f>
        <v/>
      </c>
      <c r="F42">
        <f>IFERROR(beta_cf*MAX(0,P1_cf-(((x1_cf-cx1_cf/2)+cx1_cf)*(cy1_cf+2*D42)*((wa_cf+wb_cf*((x1_cf+cx1_cf/2)/2)/1000)/Bm_cf)+cy1_cf*D42*((wa_cf+wb_cf*((x1_cf+cx1_cf/2)+D42/2)/1000)/Bm_cf)+PI()*D42^2/2*((wa_cf+wb_cf*((x1_cf+cx1_cf/2)+4*D42/(3*PI()))/1000)/Bm_cf))/1E6)*1000/((cy1_cf+PI()*D42+2*((x1_cf-cx1_cf/2)+cx1_cf))*dp_cf)/(vRdc_p*2*dp_cf/D42),0)</f>
        <v/>
      </c>
      <c r="H42">
        <f>IF(L41&lt;M41,J41,H41)</f>
        <v/>
      </c>
      <c r="I42">
        <f>IF(L41&lt;M41,I41,K41)</f>
        <v/>
      </c>
      <c r="J42">
        <f>I42-((SQRT(5)-1)/2)*(I42-H42)</f>
        <v/>
      </c>
      <c r="K42">
        <f>H42+((SQRT(5)-1)/2)*(I42-H42)</f>
        <v/>
      </c>
      <c r="L42">
        <f>IFERROR(beta_cf*MAX(0,P1_cf-(((cx1_cf+2*J42)*(((B_cf-cy1_cf)/2)+cy1_cf)+cx1_cf*J42+PI()*J42^2/2)*((wa_cf+wb_cf*(x1_cf)/1000)/Bm_cf))/1E6)*1000/((cx1_cf+PI()*J42+2*(((B_cf-cy1_cf)/2)+cy1_cf))*dp_cf)/(vRdc_p*2*dp_cf/J42),0)</f>
        <v/>
      </c>
      <c r="M42">
        <f>IFERROR(beta_cf*MAX(0,P1_cf-(((cx1_cf+2*K42)*(((B_cf-cy1_cf)/2)+cy1_cf)+cx1_cf*K42+PI()*K42^2/2)*((wa_cf+wb_cf*(x1_cf)/1000)/Bm_cf))/1E6)*1000/((cx1_cf+PI()*K42+2*(((B_cf-cy1_cf)/2)+cy1_cf))*dp_cf)/(vRdc_p*2*dp_cf/K42),0)</f>
        <v/>
      </c>
      <c r="O42">
        <f>IF(S41&lt;T41,Q41,O41)</f>
        <v/>
      </c>
      <c r="P42">
        <f>IF(S41&lt;T41,P41,R41)</f>
        <v/>
      </c>
      <c r="Q42">
        <f>P42-((SQRT(5)-1)/2)*(P42-O42)</f>
        <v/>
      </c>
      <c r="R42">
        <f>O42+((SQRT(5)-1)/2)*(P42-O42)</f>
        <v/>
      </c>
      <c r="S42">
        <f>IFERROR(beta_cf*MAX(0,P1_cf-(((x1_cf-cx1_cf/2)+cx1_cf)*(((B_cf-cy1_cf)/2)+cy1_cf+Q42)*((wa_cf+wb_cf*((x1_cf+cx1_cf/2)/2)/1000)/Bm_cf)+(((B_cf-cy1_cf)/2)+cy1_cf)*Q42*((wa_cf+wb_cf*((x1_cf+cx1_cf/2)+Q42/2)/1000)/Bm_cf)+PI()*Q42^2/4*((wa_cf+wb_cf*((x1_cf+cx1_cf/2)+4*Q42/(3*PI()))/1000)/Bm_cf))/1E6)*1000/(((x1_cf-cx1_cf/2)+cx1_cf+((B_cf-cy1_cf)/2)+cy1_cf+PI()*Q42/2)*dp_cf)/(vRdc_p*2*dp_cf/Q42),0)</f>
        <v/>
      </c>
      <c r="T42">
        <f>IFERROR(beta_cf*MAX(0,P1_cf-(((x1_cf-cx1_cf/2)+cx1_cf)*(((B_cf-cy1_cf)/2)+cy1_cf+R42)*((wa_cf+wb_cf*((x1_cf+cx1_cf/2)/2)/1000)/Bm_cf)+(((B_cf-cy1_cf)/2)+cy1_cf)*R42*((wa_cf+wb_cf*((x1_cf+cx1_cf/2)+R42/2)/1000)/Bm_cf)+PI()*R42^2/4*((wa_cf+wb_cf*((x1_cf+cx1_cf/2)+4*R42/(3*PI()))/1000)/Bm_cf))/1E6)*1000/(((x1_cf-cx1_cf/2)+cx1_cf+((B_cf-cy1_cf)/2)+cy1_cf+PI()*R42/2)*dp_cf)/(vRdc_p*2*dp_cf/R42),0)</f>
        <v/>
      </c>
      <c r="V42">
        <f>IF(Z41&lt;AA41,X41,V41)</f>
        <v/>
      </c>
      <c r="W42">
        <f>IF(Z41&lt;AA41,W41,Y41)</f>
        <v/>
      </c>
      <c r="X42">
        <f>W42-((SQRT(5)-1)/2)*(W42-V42)</f>
        <v/>
      </c>
      <c r="Y42">
        <f>V42+((SQRT(5)-1)/2)*(W42-V42)</f>
        <v/>
      </c>
      <c r="Z42">
        <f>IFERROR(beta_cf*MAX(0,P2_cf-(((L_cf-x2_cf-cx2_cf/2)+cx2_cf)*(cy2_cf+2*X42)*((wa_cf+wb_cf*(((x2_cf-cx2_cf/2)+L_cf)/2)/1000)/Bm_cf)+cy2_cf*X42*((wa_cf+wb_cf*((x2_cf-cx2_cf/2)-X42/2)/1000)/Bm_cf)+PI()*X42^2/2*((wa_cf+wb_cf*((x2_cf-cx2_cf/2)-4*X42/(3*PI()))/1000)/Bm_cf))/1E6)*1000/((cy2_cf+PI()*X42+2*((L_cf-x2_cf-cx2_cf/2)+cx2_cf))*dp_cf)/(vRdc_p*2*dp_cf/X42),0)</f>
        <v/>
      </c>
      <c r="AA42">
        <f>IFERROR(beta_cf*MAX(0,P2_cf-(((L_cf-x2_cf-cx2_cf/2)+cx2_cf)*(cy2_cf+2*Y42)*((wa_cf+wb_cf*(((x2_cf-cx2_cf/2)+L_cf)/2)/1000)/Bm_cf)+cy2_cf*Y42*((wa_cf+wb_cf*((x2_cf-cx2_cf/2)-Y42/2)/1000)/Bm_cf)+PI()*Y42^2/2*((wa_cf+wb_cf*((x2_cf-cx2_cf/2)-4*Y42/(3*PI()))/1000)/Bm_cf))/1E6)*1000/((cy2_cf+PI()*Y42+2*((L_cf-x2_cf-cx2_cf/2)+cx2_cf))*dp_cf)/(vRdc_p*2*dp_cf/Y42),0)</f>
        <v/>
      </c>
      <c r="AC42">
        <f>IF(AG41&lt;AH41,AE41,AC41)</f>
        <v/>
      </c>
      <c r="AD42">
        <f>IF(AG41&lt;AH41,AD41,AF41)</f>
        <v/>
      </c>
      <c r="AE42">
        <f>AD42-((SQRT(5)-1)/2)*(AD42-AC42)</f>
        <v/>
      </c>
      <c r="AF42">
        <f>AC42+((SQRT(5)-1)/2)*(AD42-AC42)</f>
        <v/>
      </c>
      <c r="AG42">
        <f>IFERROR(beta_cf*MAX(0,P2_cf-(((cx2_cf+2*AE42)*(((B_cf-cy2_cf)/2)+cy2_cf)+cx2_cf*AE42+PI()*AE42^2/2)*((wa_cf+wb_cf*(x2_cf)/1000)/Bm_cf))/1E6)*1000/((cx2_cf+PI()*AE42+2*(((B_cf-cy2_cf)/2)+cy2_cf))*dp_cf)/(vRdc_p*2*dp_cf/AE42),0)</f>
        <v/>
      </c>
      <c r="AH42">
        <f>IFERROR(beta_cf*MAX(0,P2_cf-(((cx2_cf+2*AF42)*(((B_cf-cy2_cf)/2)+cy2_cf)+cx2_cf*AF42+PI()*AF42^2/2)*((wa_cf+wb_cf*(x2_cf)/1000)/Bm_cf))/1E6)*1000/((cx2_cf+PI()*AF42+2*(((B_cf-cy2_cf)/2)+cy2_cf))*dp_cf)/(vRdc_p*2*dp_cf/AF42),0)</f>
        <v/>
      </c>
      <c r="AJ42">
        <f>IF(AN41&lt;AO41,AL41,AJ41)</f>
        <v/>
      </c>
      <c r="AK42">
        <f>IF(AN41&lt;AO41,AK41,AM41)</f>
        <v/>
      </c>
      <c r="AL42">
        <f>AK42-((SQRT(5)-1)/2)*(AK42-AJ42)</f>
        <v/>
      </c>
      <c r="AM42">
        <f>AJ42+((SQRT(5)-1)/2)*(AK42-AJ42)</f>
        <v/>
      </c>
      <c r="AN42">
        <f>IFERROR(beta_cf*MAX(0,P2_cf-(((L_cf-x2_cf-cx2_cf/2)+cx2_cf)*(((B_cf-cy2_cf)/2)+cy2_cf+AL42)*((wa_cf+wb_cf*(((x2_cf-cx2_cf/2)+L_cf)/2)/1000)/Bm_cf)+(((B_cf-cy2_cf)/2)+cy2_cf)*AL42*((wa_cf+wb_cf*((x2_cf-cx2_cf/2)-AL42/2)/1000)/Bm_cf)+PI()*AL42^2/4*((wa_cf+wb_cf*((x2_cf-cx2_cf/2)-4*AL42/(3*PI()))/1000)/Bm_cf))/1E6)*1000/(((L_cf-x2_cf-cx2_cf/2)+cx2_cf+((B_cf-cy2_cf)/2)+cy2_cf+PI()*AL42/2)*dp_cf)/(vRdc_p*2*dp_cf/AL42),0)</f>
        <v/>
      </c>
      <c r="AO42">
        <f>IFERROR(beta_cf*MAX(0,P2_cf-(((L_cf-x2_cf-cx2_cf/2)+cx2_cf)*(((B_cf-cy2_cf)/2)+cy2_cf+AM42)*((wa_cf+wb_cf*(((x2_cf-cx2_cf/2)+L_cf)/2)/1000)/Bm_cf)+(((B_cf-cy2_cf)/2)+cy2_cf)*AM42*((wa_cf+wb_cf*((x2_cf-cx2_cf/2)-AM42/2)/1000)/Bm_cf)+PI()*AM42^2/4*((wa_cf+wb_cf*((x2_cf-cx2_cf/2)-4*AM42/(3*PI()))/1000)/Bm_cf))/1E6)*1000/(((L_cf-x2_cf-cx2_cf/2)+cx2_cf+((B_cf-cy2_cf)/2)+cy2_cf+PI()*AM42/2)*dp_cf)/(vRdc_p*2*dp_cf/AM42),0)</f>
        <v/>
      </c>
    </row>
    <row r="43">
      <c r="A43">
        <f>IF(E42&lt;F42,C42,A42)</f>
        <v/>
      </c>
      <c r="B43">
        <f>IF(E42&lt;F42,B42,D42)</f>
        <v/>
      </c>
      <c r="C43">
        <f>B43-((SQRT(5)-1)/2)*(B43-A43)</f>
        <v/>
      </c>
      <c r="D43">
        <f>A43+((SQRT(5)-1)/2)*(B43-A43)</f>
        <v/>
      </c>
      <c r="E43">
        <f>IFERROR(beta_cf*MAX(0,P1_cf-(((x1_cf-cx1_cf/2)+cx1_cf)*(cy1_cf+2*C43)*((wa_cf+wb_cf*((x1_cf+cx1_cf/2)/2)/1000)/Bm_cf)+cy1_cf*C43*((wa_cf+wb_cf*((x1_cf+cx1_cf/2)+C43/2)/1000)/Bm_cf)+PI()*C43^2/2*((wa_cf+wb_cf*((x1_cf+cx1_cf/2)+4*C43/(3*PI()))/1000)/Bm_cf))/1E6)*1000/((cy1_cf+PI()*C43+2*((x1_cf-cx1_cf/2)+cx1_cf))*dp_cf)/(vRdc_p*2*dp_cf/C43),0)</f>
        <v/>
      </c>
      <c r="F43">
        <f>IFERROR(beta_cf*MAX(0,P1_cf-(((x1_cf-cx1_cf/2)+cx1_cf)*(cy1_cf+2*D43)*((wa_cf+wb_cf*((x1_cf+cx1_cf/2)/2)/1000)/Bm_cf)+cy1_cf*D43*((wa_cf+wb_cf*((x1_cf+cx1_cf/2)+D43/2)/1000)/Bm_cf)+PI()*D43^2/2*((wa_cf+wb_cf*((x1_cf+cx1_cf/2)+4*D43/(3*PI()))/1000)/Bm_cf))/1E6)*1000/((cy1_cf+PI()*D43+2*((x1_cf-cx1_cf/2)+cx1_cf))*dp_cf)/(vRdc_p*2*dp_cf/D43),0)</f>
        <v/>
      </c>
      <c r="H43">
        <f>IF(L42&lt;M42,J42,H42)</f>
        <v/>
      </c>
      <c r="I43">
        <f>IF(L42&lt;M42,I42,K42)</f>
        <v/>
      </c>
      <c r="J43">
        <f>I43-((SQRT(5)-1)/2)*(I43-H43)</f>
        <v/>
      </c>
      <c r="K43">
        <f>H43+((SQRT(5)-1)/2)*(I43-H43)</f>
        <v/>
      </c>
      <c r="L43">
        <f>IFERROR(beta_cf*MAX(0,P1_cf-(((cx1_cf+2*J43)*(((B_cf-cy1_cf)/2)+cy1_cf)+cx1_cf*J43+PI()*J43^2/2)*((wa_cf+wb_cf*(x1_cf)/1000)/Bm_cf))/1E6)*1000/((cx1_cf+PI()*J43+2*(((B_cf-cy1_cf)/2)+cy1_cf))*dp_cf)/(vRdc_p*2*dp_cf/J43),0)</f>
        <v/>
      </c>
      <c r="M43">
        <f>IFERROR(beta_cf*MAX(0,P1_cf-(((cx1_cf+2*K43)*(((B_cf-cy1_cf)/2)+cy1_cf)+cx1_cf*K43+PI()*K43^2/2)*((wa_cf+wb_cf*(x1_cf)/1000)/Bm_cf))/1E6)*1000/((cx1_cf+PI()*K43+2*(((B_cf-cy1_cf)/2)+cy1_cf))*dp_cf)/(vRdc_p*2*dp_cf/K43),0)</f>
        <v/>
      </c>
      <c r="O43">
        <f>IF(S42&lt;T42,Q42,O42)</f>
        <v/>
      </c>
      <c r="P43">
        <f>IF(S42&lt;T42,P42,R42)</f>
        <v/>
      </c>
      <c r="Q43">
        <f>P43-((SQRT(5)-1)/2)*(P43-O43)</f>
        <v/>
      </c>
      <c r="R43">
        <f>O43+((SQRT(5)-1)/2)*(P43-O43)</f>
        <v/>
      </c>
      <c r="S43">
        <f>IFERROR(beta_cf*MAX(0,P1_cf-(((x1_cf-cx1_cf/2)+cx1_cf)*(((B_cf-cy1_cf)/2)+cy1_cf+Q43)*((wa_cf+wb_cf*((x1_cf+cx1_cf/2)/2)/1000)/Bm_cf)+(((B_cf-cy1_cf)/2)+cy1_cf)*Q43*((wa_cf+wb_cf*((x1_cf+cx1_cf/2)+Q43/2)/1000)/Bm_cf)+PI()*Q43^2/4*((wa_cf+wb_cf*((x1_cf+cx1_cf/2)+4*Q43/(3*PI()))/1000)/Bm_cf))/1E6)*1000/(((x1_cf-cx1_cf/2)+cx1_cf+((B_cf-cy1_cf)/2)+cy1_cf+PI()*Q43/2)*dp_cf)/(vRdc_p*2*dp_cf/Q43),0)</f>
        <v/>
      </c>
      <c r="T43">
        <f>IFERROR(beta_cf*MAX(0,P1_cf-(((x1_cf-cx1_cf/2)+cx1_cf)*(((B_cf-cy1_cf)/2)+cy1_cf+R43)*((wa_cf+wb_cf*((x1_cf+cx1_cf/2)/2)/1000)/Bm_cf)+(((B_cf-cy1_cf)/2)+cy1_cf)*R43*((wa_cf+wb_cf*((x1_cf+cx1_cf/2)+R43/2)/1000)/Bm_cf)+PI()*R43^2/4*((wa_cf+wb_cf*((x1_cf+cx1_cf/2)+4*R43/(3*PI()))/1000)/Bm_cf))/1E6)*1000/(((x1_cf-cx1_cf/2)+cx1_cf+((B_cf-cy1_cf)/2)+cy1_cf+PI()*R43/2)*dp_cf)/(vRdc_p*2*dp_cf/R43),0)</f>
        <v/>
      </c>
      <c r="V43">
        <f>IF(Z42&lt;AA42,X42,V42)</f>
        <v/>
      </c>
      <c r="W43">
        <f>IF(Z42&lt;AA42,W42,Y42)</f>
        <v/>
      </c>
      <c r="X43">
        <f>W43-((SQRT(5)-1)/2)*(W43-V43)</f>
        <v/>
      </c>
      <c r="Y43">
        <f>V43+((SQRT(5)-1)/2)*(W43-V43)</f>
        <v/>
      </c>
      <c r="Z43">
        <f>IFERROR(beta_cf*MAX(0,P2_cf-(((L_cf-x2_cf-cx2_cf/2)+cx2_cf)*(cy2_cf+2*X43)*((wa_cf+wb_cf*(((x2_cf-cx2_cf/2)+L_cf)/2)/1000)/Bm_cf)+cy2_cf*X43*((wa_cf+wb_cf*((x2_cf-cx2_cf/2)-X43/2)/1000)/Bm_cf)+PI()*X43^2/2*((wa_cf+wb_cf*((x2_cf-cx2_cf/2)-4*X43/(3*PI()))/1000)/Bm_cf))/1E6)*1000/((cy2_cf+PI()*X43+2*((L_cf-x2_cf-cx2_cf/2)+cx2_cf))*dp_cf)/(vRdc_p*2*dp_cf/X43),0)</f>
        <v/>
      </c>
      <c r="AA43">
        <f>IFERROR(beta_cf*MAX(0,P2_cf-(((L_cf-x2_cf-cx2_cf/2)+cx2_cf)*(cy2_cf+2*Y43)*((wa_cf+wb_cf*(((x2_cf-cx2_cf/2)+L_cf)/2)/1000)/Bm_cf)+cy2_cf*Y43*((wa_cf+wb_cf*((x2_cf-cx2_cf/2)-Y43/2)/1000)/Bm_cf)+PI()*Y43^2/2*((wa_cf+wb_cf*((x2_cf-cx2_cf/2)-4*Y43/(3*PI()))/1000)/Bm_cf))/1E6)*1000/((cy2_cf+PI()*Y43+2*((L_cf-x2_cf-cx2_cf/2)+cx2_cf))*dp_cf)/(vRdc_p*2*dp_cf/Y43),0)</f>
        <v/>
      </c>
      <c r="AC43">
        <f>IF(AG42&lt;AH42,AE42,AC42)</f>
        <v/>
      </c>
      <c r="AD43">
        <f>IF(AG42&lt;AH42,AD42,AF42)</f>
        <v/>
      </c>
      <c r="AE43">
        <f>AD43-((SQRT(5)-1)/2)*(AD43-AC43)</f>
        <v/>
      </c>
      <c r="AF43">
        <f>AC43+((SQRT(5)-1)/2)*(AD43-AC43)</f>
        <v/>
      </c>
      <c r="AG43">
        <f>IFERROR(beta_cf*MAX(0,P2_cf-(((cx2_cf+2*AE43)*(((B_cf-cy2_cf)/2)+cy2_cf)+cx2_cf*AE43+PI()*AE43^2/2)*((wa_cf+wb_cf*(x2_cf)/1000)/Bm_cf))/1E6)*1000/((cx2_cf+PI()*AE43+2*(((B_cf-cy2_cf)/2)+cy2_cf))*dp_cf)/(vRdc_p*2*dp_cf/AE43),0)</f>
        <v/>
      </c>
      <c r="AH43">
        <f>IFERROR(beta_cf*MAX(0,P2_cf-(((cx2_cf+2*AF43)*(((B_cf-cy2_cf)/2)+cy2_cf)+cx2_cf*AF43+PI()*AF43^2/2)*((wa_cf+wb_cf*(x2_cf)/1000)/Bm_cf))/1E6)*1000/((cx2_cf+PI()*AF43+2*(((B_cf-cy2_cf)/2)+cy2_cf))*dp_cf)/(vRdc_p*2*dp_cf/AF43),0)</f>
        <v/>
      </c>
      <c r="AJ43">
        <f>IF(AN42&lt;AO42,AL42,AJ42)</f>
        <v/>
      </c>
      <c r="AK43">
        <f>IF(AN42&lt;AO42,AK42,AM42)</f>
        <v/>
      </c>
      <c r="AL43">
        <f>AK43-((SQRT(5)-1)/2)*(AK43-AJ43)</f>
        <v/>
      </c>
      <c r="AM43">
        <f>AJ43+((SQRT(5)-1)/2)*(AK43-AJ43)</f>
        <v/>
      </c>
      <c r="AN43">
        <f>IFERROR(beta_cf*MAX(0,P2_cf-(((L_cf-x2_cf-cx2_cf/2)+cx2_cf)*(((B_cf-cy2_cf)/2)+cy2_cf+AL43)*((wa_cf+wb_cf*(((x2_cf-cx2_cf/2)+L_cf)/2)/1000)/Bm_cf)+(((B_cf-cy2_cf)/2)+cy2_cf)*AL43*((wa_cf+wb_cf*((x2_cf-cx2_cf/2)-AL43/2)/1000)/Bm_cf)+PI()*AL43^2/4*((wa_cf+wb_cf*((x2_cf-cx2_cf/2)-4*AL43/(3*PI()))/1000)/Bm_cf))/1E6)*1000/(((L_cf-x2_cf-cx2_cf/2)+cx2_cf+((B_cf-cy2_cf)/2)+cy2_cf+PI()*AL43/2)*dp_cf)/(vRdc_p*2*dp_cf/AL43),0)</f>
        <v/>
      </c>
      <c r="AO43">
        <f>IFERROR(beta_cf*MAX(0,P2_cf-(((L_cf-x2_cf-cx2_cf/2)+cx2_cf)*(((B_cf-cy2_cf)/2)+cy2_cf+AM43)*((wa_cf+wb_cf*(((x2_cf-cx2_cf/2)+L_cf)/2)/1000)/Bm_cf)+(((B_cf-cy2_cf)/2)+cy2_cf)*AM43*((wa_cf+wb_cf*((x2_cf-cx2_cf/2)-AM43/2)/1000)/Bm_cf)+PI()*AM43^2/4*((wa_cf+wb_cf*((x2_cf-cx2_cf/2)-4*AM43/(3*PI()))/1000)/Bm_cf))/1E6)*1000/(((L_cf-x2_cf-cx2_cf/2)+cx2_cf+((B_cf-cy2_cf)/2)+cy2_cf+PI()*AM43/2)*dp_cf)/(vRdc_p*2*dp_cf/AM43),0)</f>
        <v/>
      </c>
    </row>
    <row r="44">
      <c r="A44">
        <f>IF(E43&lt;F43,C43,A43)</f>
        <v/>
      </c>
      <c r="B44">
        <f>IF(E43&lt;F43,B43,D43)</f>
        <v/>
      </c>
      <c r="C44">
        <f>B44-((SQRT(5)-1)/2)*(B44-A44)</f>
        <v/>
      </c>
      <c r="D44">
        <f>A44+((SQRT(5)-1)/2)*(B44-A44)</f>
        <v/>
      </c>
      <c r="E44">
        <f>IFERROR(beta_cf*MAX(0,P1_cf-(((x1_cf-cx1_cf/2)+cx1_cf)*(cy1_cf+2*C44)*((wa_cf+wb_cf*((x1_cf+cx1_cf/2)/2)/1000)/Bm_cf)+cy1_cf*C44*((wa_cf+wb_cf*((x1_cf+cx1_cf/2)+C44/2)/1000)/Bm_cf)+PI()*C44^2/2*((wa_cf+wb_cf*((x1_cf+cx1_cf/2)+4*C44/(3*PI()))/1000)/Bm_cf))/1E6)*1000/((cy1_cf+PI()*C44+2*((x1_cf-cx1_cf/2)+cx1_cf))*dp_cf)/(vRdc_p*2*dp_cf/C44),0)</f>
        <v/>
      </c>
      <c r="F44">
        <f>IFERROR(beta_cf*MAX(0,P1_cf-(((x1_cf-cx1_cf/2)+cx1_cf)*(cy1_cf+2*D44)*((wa_cf+wb_cf*((x1_cf+cx1_cf/2)/2)/1000)/Bm_cf)+cy1_cf*D44*((wa_cf+wb_cf*((x1_cf+cx1_cf/2)+D44/2)/1000)/Bm_cf)+PI()*D44^2/2*((wa_cf+wb_cf*((x1_cf+cx1_cf/2)+4*D44/(3*PI()))/1000)/Bm_cf))/1E6)*1000/((cy1_cf+PI()*D44+2*((x1_cf-cx1_cf/2)+cx1_cf))*dp_cf)/(vRdc_p*2*dp_cf/D44),0)</f>
        <v/>
      </c>
      <c r="H44">
        <f>IF(L43&lt;M43,J43,H43)</f>
        <v/>
      </c>
      <c r="I44">
        <f>IF(L43&lt;M43,I43,K43)</f>
        <v/>
      </c>
      <c r="J44">
        <f>I44-((SQRT(5)-1)/2)*(I44-H44)</f>
        <v/>
      </c>
      <c r="K44">
        <f>H44+((SQRT(5)-1)/2)*(I44-H44)</f>
        <v/>
      </c>
      <c r="L44">
        <f>IFERROR(beta_cf*MAX(0,P1_cf-(((cx1_cf+2*J44)*(((B_cf-cy1_cf)/2)+cy1_cf)+cx1_cf*J44+PI()*J44^2/2)*((wa_cf+wb_cf*(x1_cf)/1000)/Bm_cf))/1E6)*1000/((cx1_cf+PI()*J44+2*(((B_cf-cy1_cf)/2)+cy1_cf))*dp_cf)/(vRdc_p*2*dp_cf/J44),0)</f>
        <v/>
      </c>
      <c r="M44">
        <f>IFERROR(beta_cf*MAX(0,P1_cf-(((cx1_cf+2*K44)*(((B_cf-cy1_cf)/2)+cy1_cf)+cx1_cf*K44+PI()*K44^2/2)*((wa_cf+wb_cf*(x1_cf)/1000)/Bm_cf))/1E6)*1000/((cx1_cf+PI()*K44+2*(((B_cf-cy1_cf)/2)+cy1_cf))*dp_cf)/(vRdc_p*2*dp_cf/K44),0)</f>
        <v/>
      </c>
      <c r="O44">
        <f>IF(S43&lt;T43,Q43,O43)</f>
        <v/>
      </c>
      <c r="P44">
        <f>IF(S43&lt;T43,P43,R43)</f>
        <v/>
      </c>
      <c r="Q44">
        <f>P44-((SQRT(5)-1)/2)*(P44-O44)</f>
        <v/>
      </c>
      <c r="R44">
        <f>O44+((SQRT(5)-1)/2)*(P44-O44)</f>
        <v/>
      </c>
      <c r="S44">
        <f>IFERROR(beta_cf*MAX(0,P1_cf-(((x1_cf-cx1_cf/2)+cx1_cf)*(((B_cf-cy1_cf)/2)+cy1_cf+Q44)*((wa_cf+wb_cf*((x1_cf+cx1_cf/2)/2)/1000)/Bm_cf)+(((B_cf-cy1_cf)/2)+cy1_cf)*Q44*((wa_cf+wb_cf*((x1_cf+cx1_cf/2)+Q44/2)/1000)/Bm_cf)+PI()*Q44^2/4*((wa_cf+wb_cf*((x1_cf+cx1_cf/2)+4*Q44/(3*PI()))/1000)/Bm_cf))/1E6)*1000/(((x1_cf-cx1_cf/2)+cx1_cf+((B_cf-cy1_cf)/2)+cy1_cf+PI()*Q44/2)*dp_cf)/(vRdc_p*2*dp_cf/Q44),0)</f>
        <v/>
      </c>
      <c r="T44">
        <f>IFERROR(beta_cf*MAX(0,P1_cf-(((x1_cf-cx1_cf/2)+cx1_cf)*(((B_cf-cy1_cf)/2)+cy1_cf+R44)*((wa_cf+wb_cf*((x1_cf+cx1_cf/2)/2)/1000)/Bm_cf)+(((B_cf-cy1_cf)/2)+cy1_cf)*R44*((wa_cf+wb_cf*((x1_cf+cx1_cf/2)+R44/2)/1000)/Bm_cf)+PI()*R44^2/4*((wa_cf+wb_cf*((x1_cf+cx1_cf/2)+4*R44/(3*PI()))/1000)/Bm_cf))/1E6)*1000/(((x1_cf-cx1_cf/2)+cx1_cf+((B_cf-cy1_cf)/2)+cy1_cf+PI()*R44/2)*dp_cf)/(vRdc_p*2*dp_cf/R44),0)</f>
        <v/>
      </c>
      <c r="V44">
        <f>IF(Z43&lt;AA43,X43,V43)</f>
        <v/>
      </c>
      <c r="W44">
        <f>IF(Z43&lt;AA43,W43,Y43)</f>
        <v/>
      </c>
      <c r="X44">
        <f>W44-((SQRT(5)-1)/2)*(W44-V44)</f>
        <v/>
      </c>
      <c r="Y44">
        <f>V44+((SQRT(5)-1)/2)*(W44-V44)</f>
        <v/>
      </c>
      <c r="Z44">
        <f>IFERROR(beta_cf*MAX(0,P2_cf-(((L_cf-x2_cf-cx2_cf/2)+cx2_cf)*(cy2_cf+2*X44)*((wa_cf+wb_cf*(((x2_cf-cx2_cf/2)+L_cf)/2)/1000)/Bm_cf)+cy2_cf*X44*((wa_cf+wb_cf*((x2_cf-cx2_cf/2)-X44/2)/1000)/Bm_cf)+PI()*X44^2/2*((wa_cf+wb_cf*((x2_cf-cx2_cf/2)-4*X44/(3*PI()))/1000)/Bm_cf))/1E6)*1000/((cy2_cf+PI()*X44+2*((L_cf-x2_cf-cx2_cf/2)+cx2_cf))*dp_cf)/(vRdc_p*2*dp_cf/X44),0)</f>
        <v/>
      </c>
      <c r="AA44">
        <f>IFERROR(beta_cf*MAX(0,P2_cf-(((L_cf-x2_cf-cx2_cf/2)+cx2_cf)*(cy2_cf+2*Y44)*((wa_cf+wb_cf*(((x2_cf-cx2_cf/2)+L_cf)/2)/1000)/Bm_cf)+cy2_cf*Y44*((wa_cf+wb_cf*((x2_cf-cx2_cf/2)-Y44/2)/1000)/Bm_cf)+PI()*Y44^2/2*((wa_cf+wb_cf*((x2_cf-cx2_cf/2)-4*Y44/(3*PI()))/1000)/Bm_cf))/1E6)*1000/((cy2_cf+PI()*Y44+2*((L_cf-x2_cf-cx2_cf/2)+cx2_cf))*dp_cf)/(vRdc_p*2*dp_cf/Y44),0)</f>
        <v/>
      </c>
      <c r="AC44">
        <f>IF(AG43&lt;AH43,AE43,AC43)</f>
        <v/>
      </c>
      <c r="AD44">
        <f>IF(AG43&lt;AH43,AD43,AF43)</f>
        <v/>
      </c>
      <c r="AE44">
        <f>AD44-((SQRT(5)-1)/2)*(AD44-AC44)</f>
        <v/>
      </c>
      <c r="AF44">
        <f>AC44+((SQRT(5)-1)/2)*(AD44-AC44)</f>
        <v/>
      </c>
      <c r="AG44">
        <f>IFERROR(beta_cf*MAX(0,P2_cf-(((cx2_cf+2*AE44)*(((B_cf-cy2_cf)/2)+cy2_cf)+cx2_cf*AE44+PI()*AE44^2/2)*((wa_cf+wb_cf*(x2_cf)/1000)/Bm_cf))/1E6)*1000/((cx2_cf+PI()*AE44+2*(((B_cf-cy2_cf)/2)+cy2_cf))*dp_cf)/(vRdc_p*2*dp_cf/AE44),0)</f>
        <v/>
      </c>
      <c r="AH44">
        <f>IFERROR(beta_cf*MAX(0,P2_cf-(((cx2_cf+2*AF44)*(((B_cf-cy2_cf)/2)+cy2_cf)+cx2_cf*AF44+PI()*AF44^2/2)*((wa_cf+wb_cf*(x2_cf)/1000)/Bm_cf))/1E6)*1000/((cx2_cf+PI()*AF44+2*(((B_cf-cy2_cf)/2)+cy2_cf))*dp_cf)/(vRdc_p*2*dp_cf/AF44),0)</f>
        <v/>
      </c>
      <c r="AJ44">
        <f>IF(AN43&lt;AO43,AL43,AJ43)</f>
        <v/>
      </c>
      <c r="AK44">
        <f>IF(AN43&lt;AO43,AK43,AM43)</f>
        <v/>
      </c>
      <c r="AL44">
        <f>AK44-((SQRT(5)-1)/2)*(AK44-AJ44)</f>
        <v/>
      </c>
      <c r="AM44">
        <f>AJ44+((SQRT(5)-1)/2)*(AK44-AJ44)</f>
        <v/>
      </c>
      <c r="AN44">
        <f>IFERROR(beta_cf*MAX(0,P2_cf-(((L_cf-x2_cf-cx2_cf/2)+cx2_cf)*(((B_cf-cy2_cf)/2)+cy2_cf+AL44)*((wa_cf+wb_cf*(((x2_cf-cx2_cf/2)+L_cf)/2)/1000)/Bm_cf)+(((B_cf-cy2_cf)/2)+cy2_cf)*AL44*((wa_cf+wb_cf*((x2_cf-cx2_cf/2)-AL44/2)/1000)/Bm_cf)+PI()*AL44^2/4*((wa_cf+wb_cf*((x2_cf-cx2_cf/2)-4*AL44/(3*PI()))/1000)/Bm_cf))/1E6)*1000/(((L_cf-x2_cf-cx2_cf/2)+cx2_cf+((B_cf-cy2_cf)/2)+cy2_cf+PI()*AL44/2)*dp_cf)/(vRdc_p*2*dp_cf/AL44),0)</f>
        <v/>
      </c>
      <c r="AO44">
        <f>IFERROR(beta_cf*MAX(0,P2_cf-(((L_cf-x2_cf-cx2_cf/2)+cx2_cf)*(((B_cf-cy2_cf)/2)+cy2_cf+AM44)*((wa_cf+wb_cf*(((x2_cf-cx2_cf/2)+L_cf)/2)/1000)/Bm_cf)+(((B_cf-cy2_cf)/2)+cy2_cf)*AM44*((wa_cf+wb_cf*((x2_cf-cx2_cf/2)-AM44/2)/1000)/Bm_cf)+PI()*AM44^2/4*((wa_cf+wb_cf*((x2_cf-cx2_cf/2)-4*AM44/(3*PI()))/1000)/Bm_cf))/1E6)*1000/(((L_cf-x2_cf-cx2_cf/2)+cx2_cf+((B_cf-cy2_cf)/2)+cy2_cf+PI()*AM44/2)*dp_cf)/(vRdc_p*2*dp_cf/AM44),0)</f>
        <v/>
      </c>
    </row>
    <row r="45">
      <c r="A45">
        <f>IF(E44&lt;F44,C44,A44)</f>
        <v/>
      </c>
      <c r="B45">
        <f>IF(E44&lt;F44,B44,D44)</f>
        <v/>
      </c>
      <c r="C45">
        <f>B45-((SQRT(5)-1)/2)*(B45-A45)</f>
        <v/>
      </c>
      <c r="D45">
        <f>A45+((SQRT(5)-1)/2)*(B45-A45)</f>
        <v/>
      </c>
      <c r="E45">
        <f>IFERROR(beta_cf*MAX(0,P1_cf-(((x1_cf-cx1_cf/2)+cx1_cf)*(cy1_cf+2*C45)*((wa_cf+wb_cf*((x1_cf+cx1_cf/2)/2)/1000)/Bm_cf)+cy1_cf*C45*((wa_cf+wb_cf*((x1_cf+cx1_cf/2)+C45/2)/1000)/Bm_cf)+PI()*C45^2/2*((wa_cf+wb_cf*((x1_cf+cx1_cf/2)+4*C45/(3*PI()))/1000)/Bm_cf))/1E6)*1000/((cy1_cf+PI()*C45+2*((x1_cf-cx1_cf/2)+cx1_cf))*dp_cf)/(vRdc_p*2*dp_cf/C45),0)</f>
        <v/>
      </c>
      <c r="F45">
        <f>IFERROR(beta_cf*MAX(0,P1_cf-(((x1_cf-cx1_cf/2)+cx1_cf)*(cy1_cf+2*D45)*((wa_cf+wb_cf*((x1_cf+cx1_cf/2)/2)/1000)/Bm_cf)+cy1_cf*D45*((wa_cf+wb_cf*((x1_cf+cx1_cf/2)+D45/2)/1000)/Bm_cf)+PI()*D45^2/2*((wa_cf+wb_cf*((x1_cf+cx1_cf/2)+4*D45/(3*PI()))/1000)/Bm_cf))/1E6)*1000/((cy1_cf+PI()*D45+2*((x1_cf-cx1_cf/2)+cx1_cf))*dp_cf)/(vRdc_p*2*dp_cf/D45),0)</f>
        <v/>
      </c>
      <c r="H45">
        <f>IF(L44&lt;M44,J44,H44)</f>
        <v/>
      </c>
      <c r="I45">
        <f>IF(L44&lt;M44,I44,K44)</f>
        <v/>
      </c>
      <c r="J45">
        <f>I45-((SQRT(5)-1)/2)*(I45-H45)</f>
        <v/>
      </c>
      <c r="K45">
        <f>H45+((SQRT(5)-1)/2)*(I45-H45)</f>
        <v/>
      </c>
      <c r="L45">
        <f>IFERROR(beta_cf*MAX(0,P1_cf-(((cx1_cf+2*J45)*(((B_cf-cy1_cf)/2)+cy1_cf)+cx1_cf*J45+PI()*J45^2/2)*((wa_cf+wb_cf*(x1_cf)/1000)/Bm_cf))/1E6)*1000/((cx1_cf+PI()*J45+2*(((B_cf-cy1_cf)/2)+cy1_cf))*dp_cf)/(vRdc_p*2*dp_cf/J45),0)</f>
        <v/>
      </c>
      <c r="M45">
        <f>IFERROR(beta_cf*MAX(0,P1_cf-(((cx1_cf+2*K45)*(((B_cf-cy1_cf)/2)+cy1_cf)+cx1_cf*K45+PI()*K45^2/2)*((wa_cf+wb_cf*(x1_cf)/1000)/Bm_cf))/1E6)*1000/((cx1_cf+PI()*K45+2*(((B_cf-cy1_cf)/2)+cy1_cf))*dp_cf)/(vRdc_p*2*dp_cf/K45),0)</f>
        <v/>
      </c>
      <c r="O45">
        <f>IF(S44&lt;T44,Q44,O44)</f>
        <v/>
      </c>
      <c r="P45">
        <f>IF(S44&lt;T44,P44,R44)</f>
        <v/>
      </c>
      <c r="Q45">
        <f>P45-((SQRT(5)-1)/2)*(P45-O45)</f>
        <v/>
      </c>
      <c r="R45">
        <f>O45+((SQRT(5)-1)/2)*(P45-O45)</f>
        <v/>
      </c>
      <c r="S45">
        <f>IFERROR(beta_cf*MAX(0,P1_cf-(((x1_cf-cx1_cf/2)+cx1_cf)*(((B_cf-cy1_cf)/2)+cy1_cf+Q45)*((wa_cf+wb_cf*((x1_cf+cx1_cf/2)/2)/1000)/Bm_cf)+(((B_cf-cy1_cf)/2)+cy1_cf)*Q45*((wa_cf+wb_cf*((x1_cf+cx1_cf/2)+Q45/2)/1000)/Bm_cf)+PI()*Q45^2/4*((wa_cf+wb_cf*((x1_cf+cx1_cf/2)+4*Q45/(3*PI()))/1000)/Bm_cf))/1E6)*1000/(((x1_cf-cx1_cf/2)+cx1_cf+((B_cf-cy1_cf)/2)+cy1_cf+PI()*Q45/2)*dp_cf)/(vRdc_p*2*dp_cf/Q45),0)</f>
        <v/>
      </c>
      <c r="T45">
        <f>IFERROR(beta_cf*MAX(0,P1_cf-(((x1_cf-cx1_cf/2)+cx1_cf)*(((B_cf-cy1_cf)/2)+cy1_cf+R45)*((wa_cf+wb_cf*((x1_cf+cx1_cf/2)/2)/1000)/Bm_cf)+(((B_cf-cy1_cf)/2)+cy1_cf)*R45*((wa_cf+wb_cf*((x1_cf+cx1_cf/2)+R45/2)/1000)/Bm_cf)+PI()*R45^2/4*((wa_cf+wb_cf*((x1_cf+cx1_cf/2)+4*R45/(3*PI()))/1000)/Bm_cf))/1E6)*1000/(((x1_cf-cx1_cf/2)+cx1_cf+((B_cf-cy1_cf)/2)+cy1_cf+PI()*R45/2)*dp_cf)/(vRdc_p*2*dp_cf/R45),0)</f>
        <v/>
      </c>
      <c r="V45">
        <f>IF(Z44&lt;AA44,X44,V44)</f>
        <v/>
      </c>
      <c r="W45">
        <f>IF(Z44&lt;AA44,W44,Y44)</f>
        <v/>
      </c>
      <c r="X45">
        <f>W45-((SQRT(5)-1)/2)*(W45-V45)</f>
        <v/>
      </c>
      <c r="Y45">
        <f>V45+((SQRT(5)-1)/2)*(W45-V45)</f>
        <v/>
      </c>
      <c r="Z45">
        <f>IFERROR(beta_cf*MAX(0,P2_cf-(((L_cf-x2_cf-cx2_cf/2)+cx2_cf)*(cy2_cf+2*X45)*((wa_cf+wb_cf*(((x2_cf-cx2_cf/2)+L_cf)/2)/1000)/Bm_cf)+cy2_cf*X45*((wa_cf+wb_cf*((x2_cf-cx2_cf/2)-X45/2)/1000)/Bm_cf)+PI()*X45^2/2*((wa_cf+wb_cf*((x2_cf-cx2_cf/2)-4*X45/(3*PI()))/1000)/Bm_cf))/1E6)*1000/((cy2_cf+PI()*X45+2*((L_cf-x2_cf-cx2_cf/2)+cx2_cf))*dp_cf)/(vRdc_p*2*dp_cf/X45),0)</f>
        <v/>
      </c>
      <c r="AA45">
        <f>IFERROR(beta_cf*MAX(0,P2_cf-(((L_cf-x2_cf-cx2_cf/2)+cx2_cf)*(cy2_cf+2*Y45)*((wa_cf+wb_cf*(((x2_cf-cx2_cf/2)+L_cf)/2)/1000)/Bm_cf)+cy2_cf*Y45*((wa_cf+wb_cf*((x2_cf-cx2_cf/2)-Y45/2)/1000)/Bm_cf)+PI()*Y45^2/2*((wa_cf+wb_cf*((x2_cf-cx2_cf/2)-4*Y45/(3*PI()))/1000)/Bm_cf))/1E6)*1000/((cy2_cf+PI()*Y45+2*((L_cf-x2_cf-cx2_cf/2)+cx2_cf))*dp_cf)/(vRdc_p*2*dp_cf/Y45),0)</f>
        <v/>
      </c>
      <c r="AC45">
        <f>IF(AG44&lt;AH44,AE44,AC44)</f>
        <v/>
      </c>
      <c r="AD45">
        <f>IF(AG44&lt;AH44,AD44,AF44)</f>
        <v/>
      </c>
      <c r="AE45">
        <f>AD45-((SQRT(5)-1)/2)*(AD45-AC45)</f>
        <v/>
      </c>
      <c r="AF45">
        <f>AC45+((SQRT(5)-1)/2)*(AD45-AC45)</f>
        <v/>
      </c>
      <c r="AG45">
        <f>IFERROR(beta_cf*MAX(0,P2_cf-(((cx2_cf+2*AE45)*(((B_cf-cy2_cf)/2)+cy2_cf)+cx2_cf*AE45+PI()*AE45^2/2)*((wa_cf+wb_cf*(x2_cf)/1000)/Bm_cf))/1E6)*1000/((cx2_cf+PI()*AE45+2*(((B_cf-cy2_cf)/2)+cy2_cf))*dp_cf)/(vRdc_p*2*dp_cf/AE45),0)</f>
        <v/>
      </c>
      <c r="AH45">
        <f>IFERROR(beta_cf*MAX(0,P2_cf-(((cx2_cf+2*AF45)*(((B_cf-cy2_cf)/2)+cy2_cf)+cx2_cf*AF45+PI()*AF45^2/2)*((wa_cf+wb_cf*(x2_cf)/1000)/Bm_cf))/1E6)*1000/((cx2_cf+PI()*AF45+2*(((B_cf-cy2_cf)/2)+cy2_cf))*dp_cf)/(vRdc_p*2*dp_cf/AF45),0)</f>
        <v/>
      </c>
      <c r="AJ45">
        <f>IF(AN44&lt;AO44,AL44,AJ44)</f>
        <v/>
      </c>
      <c r="AK45">
        <f>IF(AN44&lt;AO44,AK44,AM44)</f>
        <v/>
      </c>
      <c r="AL45">
        <f>AK45-((SQRT(5)-1)/2)*(AK45-AJ45)</f>
        <v/>
      </c>
      <c r="AM45">
        <f>AJ45+((SQRT(5)-1)/2)*(AK45-AJ45)</f>
        <v/>
      </c>
      <c r="AN45">
        <f>IFERROR(beta_cf*MAX(0,P2_cf-(((L_cf-x2_cf-cx2_cf/2)+cx2_cf)*(((B_cf-cy2_cf)/2)+cy2_cf+AL45)*((wa_cf+wb_cf*(((x2_cf-cx2_cf/2)+L_cf)/2)/1000)/Bm_cf)+(((B_cf-cy2_cf)/2)+cy2_cf)*AL45*((wa_cf+wb_cf*((x2_cf-cx2_cf/2)-AL45/2)/1000)/Bm_cf)+PI()*AL45^2/4*((wa_cf+wb_cf*((x2_cf-cx2_cf/2)-4*AL45/(3*PI()))/1000)/Bm_cf))/1E6)*1000/(((L_cf-x2_cf-cx2_cf/2)+cx2_cf+((B_cf-cy2_cf)/2)+cy2_cf+PI()*AL45/2)*dp_cf)/(vRdc_p*2*dp_cf/AL45),0)</f>
        <v/>
      </c>
      <c r="AO45">
        <f>IFERROR(beta_cf*MAX(0,P2_cf-(((L_cf-x2_cf-cx2_cf/2)+cx2_cf)*(((B_cf-cy2_cf)/2)+cy2_cf+AM45)*((wa_cf+wb_cf*(((x2_cf-cx2_cf/2)+L_cf)/2)/1000)/Bm_cf)+(((B_cf-cy2_cf)/2)+cy2_cf)*AM45*((wa_cf+wb_cf*((x2_cf-cx2_cf/2)-AM45/2)/1000)/Bm_cf)+PI()*AM45^2/4*((wa_cf+wb_cf*((x2_cf-cx2_cf/2)-4*AM45/(3*PI()))/1000)/Bm_cf))/1E6)*1000/(((L_cf-x2_cf-cx2_cf/2)+cx2_cf+((B_cf-cy2_cf)/2)+cy2_cf+PI()*AM45/2)*dp_cf)/(vRdc_p*2*dp_cf/AM45),0)</f>
        <v/>
      </c>
    </row>
    <row r="46">
      <c r="A46">
        <f>IF(E45&lt;F45,C45,A45)</f>
        <v/>
      </c>
      <c r="B46">
        <f>IF(E45&lt;F45,B45,D45)</f>
        <v/>
      </c>
      <c r="C46">
        <f>B46-((SQRT(5)-1)/2)*(B46-A46)</f>
        <v/>
      </c>
      <c r="D46">
        <f>A46+((SQRT(5)-1)/2)*(B46-A46)</f>
        <v/>
      </c>
      <c r="E46">
        <f>IFERROR(beta_cf*MAX(0,P1_cf-(((x1_cf-cx1_cf/2)+cx1_cf)*(cy1_cf+2*C46)*((wa_cf+wb_cf*((x1_cf+cx1_cf/2)/2)/1000)/Bm_cf)+cy1_cf*C46*((wa_cf+wb_cf*((x1_cf+cx1_cf/2)+C46/2)/1000)/Bm_cf)+PI()*C46^2/2*((wa_cf+wb_cf*((x1_cf+cx1_cf/2)+4*C46/(3*PI()))/1000)/Bm_cf))/1E6)*1000/((cy1_cf+PI()*C46+2*((x1_cf-cx1_cf/2)+cx1_cf))*dp_cf)/(vRdc_p*2*dp_cf/C46),0)</f>
        <v/>
      </c>
      <c r="F46">
        <f>IFERROR(beta_cf*MAX(0,P1_cf-(((x1_cf-cx1_cf/2)+cx1_cf)*(cy1_cf+2*D46)*((wa_cf+wb_cf*((x1_cf+cx1_cf/2)/2)/1000)/Bm_cf)+cy1_cf*D46*((wa_cf+wb_cf*((x1_cf+cx1_cf/2)+D46/2)/1000)/Bm_cf)+PI()*D46^2/2*((wa_cf+wb_cf*((x1_cf+cx1_cf/2)+4*D46/(3*PI()))/1000)/Bm_cf))/1E6)*1000/((cy1_cf+PI()*D46+2*((x1_cf-cx1_cf/2)+cx1_cf))*dp_cf)/(vRdc_p*2*dp_cf/D46),0)</f>
        <v/>
      </c>
      <c r="H46">
        <f>IF(L45&lt;M45,J45,H45)</f>
        <v/>
      </c>
      <c r="I46">
        <f>IF(L45&lt;M45,I45,K45)</f>
        <v/>
      </c>
      <c r="J46">
        <f>I46-((SQRT(5)-1)/2)*(I46-H46)</f>
        <v/>
      </c>
      <c r="K46">
        <f>H46+((SQRT(5)-1)/2)*(I46-H46)</f>
        <v/>
      </c>
      <c r="L46">
        <f>IFERROR(beta_cf*MAX(0,P1_cf-(((cx1_cf+2*J46)*(((B_cf-cy1_cf)/2)+cy1_cf)+cx1_cf*J46+PI()*J46^2/2)*((wa_cf+wb_cf*(x1_cf)/1000)/Bm_cf))/1E6)*1000/((cx1_cf+PI()*J46+2*(((B_cf-cy1_cf)/2)+cy1_cf))*dp_cf)/(vRdc_p*2*dp_cf/J46),0)</f>
        <v/>
      </c>
      <c r="M46">
        <f>IFERROR(beta_cf*MAX(0,P1_cf-(((cx1_cf+2*K46)*(((B_cf-cy1_cf)/2)+cy1_cf)+cx1_cf*K46+PI()*K46^2/2)*((wa_cf+wb_cf*(x1_cf)/1000)/Bm_cf))/1E6)*1000/((cx1_cf+PI()*K46+2*(((B_cf-cy1_cf)/2)+cy1_cf))*dp_cf)/(vRdc_p*2*dp_cf/K46),0)</f>
        <v/>
      </c>
      <c r="O46">
        <f>IF(S45&lt;T45,Q45,O45)</f>
        <v/>
      </c>
      <c r="P46">
        <f>IF(S45&lt;T45,P45,R45)</f>
        <v/>
      </c>
      <c r="Q46">
        <f>P46-((SQRT(5)-1)/2)*(P46-O46)</f>
        <v/>
      </c>
      <c r="R46">
        <f>O46+((SQRT(5)-1)/2)*(P46-O46)</f>
        <v/>
      </c>
      <c r="S46">
        <f>IFERROR(beta_cf*MAX(0,P1_cf-(((x1_cf-cx1_cf/2)+cx1_cf)*(((B_cf-cy1_cf)/2)+cy1_cf+Q46)*((wa_cf+wb_cf*((x1_cf+cx1_cf/2)/2)/1000)/Bm_cf)+(((B_cf-cy1_cf)/2)+cy1_cf)*Q46*((wa_cf+wb_cf*((x1_cf+cx1_cf/2)+Q46/2)/1000)/Bm_cf)+PI()*Q46^2/4*((wa_cf+wb_cf*((x1_cf+cx1_cf/2)+4*Q46/(3*PI()))/1000)/Bm_cf))/1E6)*1000/(((x1_cf-cx1_cf/2)+cx1_cf+((B_cf-cy1_cf)/2)+cy1_cf+PI()*Q46/2)*dp_cf)/(vRdc_p*2*dp_cf/Q46),0)</f>
        <v/>
      </c>
      <c r="T46">
        <f>IFERROR(beta_cf*MAX(0,P1_cf-(((x1_cf-cx1_cf/2)+cx1_cf)*(((B_cf-cy1_cf)/2)+cy1_cf+R46)*((wa_cf+wb_cf*((x1_cf+cx1_cf/2)/2)/1000)/Bm_cf)+(((B_cf-cy1_cf)/2)+cy1_cf)*R46*((wa_cf+wb_cf*((x1_cf+cx1_cf/2)+R46/2)/1000)/Bm_cf)+PI()*R46^2/4*((wa_cf+wb_cf*((x1_cf+cx1_cf/2)+4*R46/(3*PI()))/1000)/Bm_cf))/1E6)*1000/(((x1_cf-cx1_cf/2)+cx1_cf+((B_cf-cy1_cf)/2)+cy1_cf+PI()*R46/2)*dp_cf)/(vRdc_p*2*dp_cf/R46),0)</f>
        <v/>
      </c>
      <c r="V46">
        <f>IF(Z45&lt;AA45,X45,V45)</f>
        <v/>
      </c>
      <c r="W46">
        <f>IF(Z45&lt;AA45,W45,Y45)</f>
        <v/>
      </c>
      <c r="X46">
        <f>W46-((SQRT(5)-1)/2)*(W46-V46)</f>
        <v/>
      </c>
      <c r="Y46">
        <f>V46+((SQRT(5)-1)/2)*(W46-V46)</f>
        <v/>
      </c>
      <c r="Z46">
        <f>IFERROR(beta_cf*MAX(0,P2_cf-(((L_cf-x2_cf-cx2_cf/2)+cx2_cf)*(cy2_cf+2*X46)*((wa_cf+wb_cf*(((x2_cf-cx2_cf/2)+L_cf)/2)/1000)/Bm_cf)+cy2_cf*X46*((wa_cf+wb_cf*((x2_cf-cx2_cf/2)-X46/2)/1000)/Bm_cf)+PI()*X46^2/2*((wa_cf+wb_cf*((x2_cf-cx2_cf/2)-4*X46/(3*PI()))/1000)/Bm_cf))/1E6)*1000/((cy2_cf+PI()*X46+2*((L_cf-x2_cf-cx2_cf/2)+cx2_cf))*dp_cf)/(vRdc_p*2*dp_cf/X46),0)</f>
        <v/>
      </c>
      <c r="AA46">
        <f>IFERROR(beta_cf*MAX(0,P2_cf-(((L_cf-x2_cf-cx2_cf/2)+cx2_cf)*(cy2_cf+2*Y46)*((wa_cf+wb_cf*(((x2_cf-cx2_cf/2)+L_cf)/2)/1000)/Bm_cf)+cy2_cf*Y46*((wa_cf+wb_cf*((x2_cf-cx2_cf/2)-Y46/2)/1000)/Bm_cf)+PI()*Y46^2/2*((wa_cf+wb_cf*((x2_cf-cx2_cf/2)-4*Y46/(3*PI()))/1000)/Bm_cf))/1E6)*1000/((cy2_cf+PI()*Y46+2*((L_cf-x2_cf-cx2_cf/2)+cx2_cf))*dp_cf)/(vRdc_p*2*dp_cf/Y46),0)</f>
        <v/>
      </c>
      <c r="AC46">
        <f>IF(AG45&lt;AH45,AE45,AC45)</f>
        <v/>
      </c>
      <c r="AD46">
        <f>IF(AG45&lt;AH45,AD45,AF45)</f>
        <v/>
      </c>
      <c r="AE46">
        <f>AD46-((SQRT(5)-1)/2)*(AD46-AC46)</f>
        <v/>
      </c>
      <c r="AF46">
        <f>AC46+((SQRT(5)-1)/2)*(AD46-AC46)</f>
        <v/>
      </c>
      <c r="AG46">
        <f>IFERROR(beta_cf*MAX(0,P2_cf-(((cx2_cf+2*AE46)*(((B_cf-cy2_cf)/2)+cy2_cf)+cx2_cf*AE46+PI()*AE46^2/2)*((wa_cf+wb_cf*(x2_cf)/1000)/Bm_cf))/1E6)*1000/((cx2_cf+PI()*AE46+2*(((B_cf-cy2_cf)/2)+cy2_cf))*dp_cf)/(vRdc_p*2*dp_cf/AE46),0)</f>
        <v/>
      </c>
      <c r="AH46">
        <f>IFERROR(beta_cf*MAX(0,P2_cf-(((cx2_cf+2*AF46)*(((B_cf-cy2_cf)/2)+cy2_cf)+cx2_cf*AF46+PI()*AF46^2/2)*((wa_cf+wb_cf*(x2_cf)/1000)/Bm_cf))/1E6)*1000/((cx2_cf+PI()*AF46+2*(((B_cf-cy2_cf)/2)+cy2_cf))*dp_cf)/(vRdc_p*2*dp_cf/AF46),0)</f>
        <v/>
      </c>
      <c r="AJ46">
        <f>IF(AN45&lt;AO45,AL45,AJ45)</f>
        <v/>
      </c>
      <c r="AK46">
        <f>IF(AN45&lt;AO45,AK45,AM45)</f>
        <v/>
      </c>
      <c r="AL46">
        <f>AK46-((SQRT(5)-1)/2)*(AK46-AJ46)</f>
        <v/>
      </c>
      <c r="AM46">
        <f>AJ46+((SQRT(5)-1)/2)*(AK46-AJ46)</f>
        <v/>
      </c>
      <c r="AN46">
        <f>IFERROR(beta_cf*MAX(0,P2_cf-(((L_cf-x2_cf-cx2_cf/2)+cx2_cf)*(((B_cf-cy2_cf)/2)+cy2_cf+AL46)*((wa_cf+wb_cf*(((x2_cf-cx2_cf/2)+L_cf)/2)/1000)/Bm_cf)+(((B_cf-cy2_cf)/2)+cy2_cf)*AL46*((wa_cf+wb_cf*((x2_cf-cx2_cf/2)-AL46/2)/1000)/Bm_cf)+PI()*AL46^2/4*((wa_cf+wb_cf*((x2_cf-cx2_cf/2)-4*AL46/(3*PI()))/1000)/Bm_cf))/1E6)*1000/(((L_cf-x2_cf-cx2_cf/2)+cx2_cf+((B_cf-cy2_cf)/2)+cy2_cf+PI()*AL46/2)*dp_cf)/(vRdc_p*2*dp_cf/AL46),0)</f>
        <v/>
      </c>
      <c r="AO46">
        <f>IFERROR(beta_cf*MAX(0,P2_cf-(((L_cf-x2_cf-cx2_cf/2)+cx2_cf)*(((B_cf-cy2_cf)/2)+cy2_cf+AM46)*((wa_cf+wb_cf*(((x2_cf-cx2_cf/2)+L_cf)/2)/1000)/Bm_cf)+(((B_cf-cy2_cf)/2)+cy2_cf)*AM46*((wa_cf+wb_cf*((x2_cf-cx2_cf/2)-AM46/2)/1000)/Bm_cf)+PI()*AM46^2/4*((wa_cf+wb_cf*((x2_cf-cx2_cf/2)-4*AM46/(3*PI()))/1000)/Bm_cf))/1E6)*1000/(((L_cf-x2_cf-cx2_cf/2)+cx2_cf+((B_cf-cy2_cf)/2)+cy2_cf+PI()*AM46/2)*dp_cf)/(vRdc_p*2*dp_cf/AM46),0)</f>
        <v/>
      </c>
    </row>
    <row r="47">
      <c r="A47">
        <f>IF(E46&lt;F46,C46,A46)</f>
        <v/>
      </c>
      <c r="B47">
        <f>IF(E46&lt;F46,B46,D46)</f>
        <v/>
      </c>
      <c r="C47">
        <f>B47-((SQRT(5)-1)/2)*(B47-A47)</f>
        <v/>
      </c>
      <c r="D47">
        <f>A47+((SQRT(5)-1)/2)*(B47-A47)</f>
        <v/>
      </c>
      <c r="E47">
        <f>IFERROR(beta_cf*MAX(0,P1_cf-(((x1_cf-cx1_cf/2)+cx1_cf)*(cy1_cf+2*C47)*((wa_cf+wb_cf*((x1_cf+cx1_cf/2)/2)/1000)/Bm_cf)+cy1_cf*C47*((wa_cf+wb_cf*((x1_cf+cx1_cf/2)+C47/2)/1000)/Bm_cf)+PI()*C47^2/2*((wa_cf+wb_cf*((x1_cf+cx1_cf/2)+4*C47/(3*PI()))/1000)/Bm_cf))/1E6)*1000/((cy1_cf+PI()*C47+2*((x1_cf-cx1_cf/2)+cx1_cf))*dp_cf)/(vRdc_p*2*dp_cf/C47),0)</f>
        <v/>
      </c>
      <c r="F47">
        <f>IFERROR(beta_cf*MAX(0,P1_cf-(((x1_cf-cx1_cf/2)+cx1_cf)*(cy1_cf+2*D47)*((wa_cf+wb_cf*((x1_cf+cx1_cf/2)/2)/1000)/Bm_cf)+cy1_cf*D47*((wa_cf+wb_cf*((x1_cf+cx1_cf/2)+D47/2)/1000)/Bm_cf)+PI()*D47^2/2*((wa_cf+wb_cf*((x1_cf+cx1_cf/2)+4*D47/(3*PI()))/1000)/Bm_cf))/1E6)*1000/((cy1_cf+PI()*D47+2*((x1_cf-cx1_cf/2)+cx1_cf))*dp_cf)/(vRdc_p*2*dp_cf/D47),0)</f>
        <v/>
      </c>
      <c r="H47">
        <f>IF(L46&lt;M46,J46,H46)</f>
        <v/>
      </c>
      <c r="I47">
        <f>IF(L46&lt;M46,I46,K46)</f>
        <v/>
      </c>
      <c r="J47">
        <f>I47-((SQRT(5)-1)/2)*(I47-H47)</f>
        <v/>
      </c>
      <c r="K47">
        <f>H47+((SQRT(5)-1)/2)*(I47-H47)</f>
        <v/>
      </c>
      <c r="L47">
        <f>IFERROR(beta_cf*MAX(0,P1_cf-(((cx1_cf+2*J47)*(((B_cf-cy1_cf)/2)+cy1_cf)+cx1_cf*J47+PI()*J47^2/2)*((wa_cf+wb_cf*(x1_cf)/1000)/Bm_cf))/1E6)*1000/((cx1_cf+PI()*J47+2*(((B_cf-cy1_cf)/2)+cy1_cf))*dp_cf)/(vRdc_p*2*dp_cf/J47),0)</f>
        <v/>
      </c>
      <c r="M47">
        <f>IFERROR(beta_cf*MAX(0,P1_cf-(((cx1_cf+2*K47)*(((B_cf-cy1_cf)/2)+cy1_cf)+cx1_cf*K47+PI()*K47^2/2)*((wa_cf+wb_cf*(x1_cf)/1000)/Bm_cf))/1E6)*1000/((cx1_cf+PI()*K47+2*(((B_cf-cy1_cf)/2)+cy1_cf))*dp_cf)/(vRdc_p*2*dp_cf/K47),0)</f>
        <v/>
      </c>
      <c r="O47">
        <f>IF(S46&lt;T46,Q46,O46)</f>
        <v/>
      </c>
      <c r="P47">
        <f>IF(S46&lt;T46,P46,R46)</f>
        <v/>
      </c>
      <c r="Q47">
        <f>P47-((SQRT(5)-1)/2)*(P47-O47)</f>
        <v/>
      </c>
      <c r="R47">
        <f>O47+((SQRT(5)-1)/2)*(P47-O47)</f>
        <v/>
      </c>
      <c r="S47">
        <f>IFERROR(beta_cf*MAX(0,P1_cf-(((x1_cf-cx1_cf/2)+cx1_cf)*(((B_cf-cy1_cf)/2)+cy1_cf+Q47)*((wa_cf+wb_cf*((x1_cf+cx1_cf/2)/2)/1000)/Bm_cf)+(((B_cf-cy1_cf)/2)+cy1_cf)*Q47*((wa_cf+wb_cf*((x1_cf+cx1_cf/2)+Q47/2)/1000)/Bm_cf)+PI()*Q47^2/4*((wa_cf+wb_cf*((x1_cf+cx1_cf/2)+4*Q47/(3*PI()))/1000)/Bm_cf))/1E6)*1000/(((x1_cf-cx1_cf/2)+cx1_cf+((B_cf-cy1_cf)/2)+cy1_cf+PI()*Q47/2)*dp_cf)/(vRdc_p*2*dp_cf/Q47),0)</f>
        <v/>
      </c>
      <c r="T47">
        <f>IFERROR(beta_cf*MAX(0,P1_cf-(((x1_cf-cx1_cf/2)+cx1_cf)*(((B_cf-cy1_cf)/2)+cy1_cf+R47)*((wa_cf+wb_cf*((x1_cf+cx1_cf/2)/2)/1000)/Bm_cf)+(((B_cf-cy1_cf)/2)+cy1_cf)*R47*((wa_cf+wb_cf*((x1_cf+cx1_cf/2)+R47/2)/1000)/Bm_cf)+PI()*R47^2/4*((wa_cf+wb_cf*((x1_cf+cx1_cf/2)+4*R47/(3*PI()))/1000)/Bm_cf))/1E6)*1000/(((x1_cf-cx1_cf/2)+cx1_cf+((B_cf-cy1_cf)/2)+cy1_cf+PI()*R47/2)*dp_cf)/(vRdc_p*2*dp_cf/R47),0)</f>
        <v/>
      </c>
      <c r="V47">
        <f>IF(Z46&lt;AA46,X46,V46)</f>
        <v/>
      </c>
      <c r="W47">
        <f>IF(Z46&lt;AA46,W46,Y46)</f>
        <v/>
      </c>
      <c r="X47">
        <f>W47-((SQRT(5)-1)/2)*(W47-V47)</f>
        <v/>
      </c>
      <c r="Y47">
        <f>V47+((SQRT(5)-1)/2)*(W47-V47)</f>
        <v/>
      </c>
      <c r="Z47">
        <f>IFERROR(beta_cf*MAX(0,P2_cf-(((L_cf-x2_cf-cx2_cf/2)+cx2_cf)*(cy2_cf+2*X47)*((wa_cf+wb_cf*(((x2_cf-cx2_cf/2)+L_cf)/2)/1000)/Bm_cf)+cy2_cf*X47*((wa_cf+wb_cf*((x2_cf-cx2_cf/2)-X47/2)/1000)/Bm_cf)+PI()*X47^2/2*((wa_cf+wb_cf*((x2_cf-cx2_cf/2)-4*X47/(3*PI()))/1000)/Bm_cf))/1E6)*1000/((cy2_cf+PI()*X47+2*((L_cf-x2_cf-cx2_cf/2)+cx2_cf))*dp_cf)/(vRdc_p*2*dp_cf/X47),0)</f>
        <v/>
      </c>
      <c r="AA47">
        <f>IFERROR(beta_cf*MAX(0,P2_cf-(((L_cf-x2_cf-cx2_cf/2)+cx2_cf)*(cy2_cf+2*Y47)*((wa_cf+wb_cf*(((x2_cf-cx2_cf/2)+L_cf)/2)/1000)/Bm_cf)+cy2_cf*Y47*((wa_cf+wb_cf*((x2_cf-cx2_cf/2)-Y47/2)/1000)/Bm_cf)+PI()*Y47^2/2*((wa_cf+wb_cf*((x2_cf-cx2_cf/2)-4*Y47/(3*PI()))/1000)/Bm_cf))/1E6)*1000/((cy2_cf+PI()*Y47+2*((L_cf-x2_cf-cx2_cf/2)+cx2_cf))*dp_cf)/(vRdc_p*2*dp_cf/Y47),0)</f>
        <v/>
      </c>
      <c r="AC47">
        <f>IF(AG46&lt;AH46,AE46,AC46)</f>
        <v/>
      </c>
      <c r="AD47">
        <f>IF(AG46&lt;AH46,AD46,AF46)</f>
        <v/>
      </c>
      <c r="AE47">
        <f>AD47-((SQRT(5)-1)/2)*(AD47-AC47)</f>
        <v/>
      </c>
      <c r="AF47">
        <f>AC47+((SQRT(5)-1)/2)*(AD47-AC47)</f>
        <v/>
      </c>
      <c r="AG47">
        <f>IFERROR(beta_cf*MAX(0,P2_cf-(((cx2_cf+2*AE47)*(((B_cf-cy2_cf)/2)+cy2_cf)+cx2_cf*AE47+PI()*AE47^2/2)*((wa_cf+wb_cf*(x2_cf)/1000)/Bm_cf))/1E6)*1000/((cx2_cf+PI()*AE47+2*(((B_cf-cy2_cf)/2)+cy2_cf))*dp_cf)/(vRdc_p*2*dp_cf/AE47),0)</f>
        <v/>
      </c>
      <c r="AH47">
        <f>IFERROR(beta_cf*MAX(0,P2_cf-(((cx2_cf+2*AF47)*(((B_cf-cy2_cf)/2)+cy2_cf)+cx2_cf*AF47+PI()*AF47^2/2)*((wa_cf+wb_cf*(x2_cf)/1000)/Bm_cf))/1E6)*1000/((cx2_cf+PI()*AF47+2*(((B_cf-cy2_cf)/2)+cy2_cf))*dp_cf)/(vRdc_p*2*dp_cf/AF47),0)</f>
        <v/>
      </c>
      <c r="AJ47">
        <f>IF(AN46&lt;AO46,AL46,AJ46)</f>
        <v/>
      </c>
      <c r="AK47">
        <f>IF(AN46&lt;AO46,AK46,AM46)</f>
        <v/>
      </c>
      <c r="AL47">
        <f>AK47-((SQRT(5)-1)/2)*(AK47-AJ47)</f>
        <v/>
      </c>
      <c r="AM47">
        <f>AJ47+((SQRT(5)-1)/2)*(AK47-AJ47)</f>
        <v/>
      </c>
      <c r="AN47">
        <f>IFERROR(beta_cf*MAX(0,P2_cf-(((L_cf-x2_cf-cx2_cf/2)+cx2_cf)*(((B_cf-cy2_cf)/2)+cy2_cf+AL47)*((wa_cf+wb_cf*(((x2_cf-cx2_cf/2)+L_cf)/2)/1000)/Bm_cf)+(((B_cf-cy2_cf)/2)+cy2_cf)*AL47*((wa_cf+wb_cf*((x2_cf-cx2_cf/2)-AL47/2)/1000)/Bm_cf)+PI()*AL47^2/4*((wa_cf+wb_cf*((x2_cf-cx2_cf/2)-4*AL47/(3*PI()))/1000)/Bm_cf))/1E6)*1000/(((L_cf-x2_cf-cx2_cf/2)+cx2_cf+((B_cf-cy2_cf)/2)+cy2_cf+PI()*AL47/2)*dp_cf)/(vRdc_p*2*dp_cf/AL47),0)</f>
        <v/>
      </c>
      <c r="AO47">
        <f>IFERROR(beta_cf*MAX(0,P2_cf-(((L_cf-x2_cf-cx2_cf/2)+cx2_cf)*(((B_cf-cy2_cf)/2)+cy2_cf+AM47)*((wa_cf+wb_cf*(((x2_cf-cx2_cf/2)+L_cf)/2)/1000)/Bm_cf)+(((B_cf-cy2_cf)/2)+cy2_cf)*AM47*((wa_cf+wb_cf*((x2_cf-cx2_cf/2)-AM47/2)/1000)/Bm_cf)+PI()*AM47^2/4*((wa_cf+wb_cf*((x2_cf-cx2_cf/2)-4*AM47/(3*PI()))/1000)/Bm_cf))/1E6)*1000/(((L_cf-x2_cf-cx2_cf/2)+cx2_cf+((B_cf-cy2_cf)/2)+cy2_cf+PI()*AM47/2)*dp_cf)/(vRdc_p*2*dp_cf/AM47),0)</f>
        <v/>
      </c>
    </row>
    <row r="48">
      <c r="A48">
        <f>IF(E47&lt;F47,C47,A47)</f>
        <v/>
      </c>
      <c r="B48">
        <f>IF(E47&lt;F47,B47,D47)</f>
        <v/>
      </c>
      <c r="C48">
        <f>B48-((SQRT(5)-1)/2)*(B48-A48)</f>
        <v/>
      </c>
      <c r="D48">
        <f>A48+((SQRT(5)-1)/2)*(B48-A48)</f>
        <v/>
      </c>
      <c r="E48">
        <f>IFERROR(beta_cf*MAX(0,P1_cf-(((x1_cf-cx1_cf/2)+cx1_cf)*(cy1_cf+2*C48)*((wa_cf+wb_cf*((x1_cf+cx1_cf/2)/2)/1000)/Bm_cf)+cy1_cf*C48*((wa_cf+wb_cf*((x1_cf+cx1_cf/2)+C48/2)/1000)/Bm_cf)+PI()*C48^2/2*((wa_cf+wb_cf*((x1_cf+cx1_cf/2)+4*C48/(3*PI()))/1000)/Bm_cf))/1E6)*1000/((cy1_cf+PI()*C48+2*((x1_cf-cx1_cf/2)+cx1_cf))*dp_cf)/(vRdc_p*2*dp_cf/C48),0)</f>
        <v/>
      </c>
      <c r="F48">
        <f>IFERROR(beta_cf*MAX(0,P1_cf-(((x1_cf-cx1_cf/2)+cx1_cf)*(cy1_cf+2*D48)*((wa_cf+wb_cf*((x1_cf+cx1_cf/2)/2)/1000)/Bm_cf)+cy1_cf*D48*((wa_cf+wb_cf*((x1_cf+cx1_cf/2)+D48/2)/1000)/Bm_cf)+PI()*D48^2/2*((wa_cf+wb_cf*((x1_cf+cx1_cf/2)+4*D48/(3*PI()))/1000)/Bm_cf))/1E6)*1000/((cy1_cf+PI()*D48+2*((x1_cf-cx1_cf/2)+cx1_cf))*dp_cf)/(vRdc_p*2*dp_cf/D48),0)</f>
        <v/>
      </c>
      <c r="H48">
        <f>IF(L47&lt;M47,J47,H47)</f>
        <v/>
      </c>
      <c r="I48">
        <f>IF(L47&lt;M47,I47,K47)</f>
        <v/>
      </c>
      <c r="J48">
        <f>I48-((SQRT(5)-1)/2)*(I48-H48)</f>
        <v/>
      </c>
      <c r="K48">
        <f>H48+((SQRT(5)-1)/2)*(I48-H48)</f>
        <v/>
      </c>
      <c r="L48">
        <f>IFERROR(beta_cf*MAX(0,P1_cf-(((cx1_cf+2*J48)*(((B_cf-cy1_cf)/2)+cy1_cf)+cx1_cf*J48+PI()*J48^2/2)*((wa_cf+wb_cf*(x1_cf)/1000)/Bm_cf))/1E6)*1000/((cx1_cf+PI()*J48+2*(((B_cf-cy1_cf)/2)+cy1_cf))*dp_cf)/(vRdc_p*2*dp_cf/J48),0)</f>
        <v/>
      </c>
      <c r="M48">
        <f>IFERROR(beta_cf*MAX(0,P1_cf-(((cx1_cf+2*K48)*(((B_cf-cy1_cf)/2)+cy1_cf)+cx1_cf*K48+PI()*K48^2/2)*((wa_cf+wb_cf*(x1_cf)/1000)/Bm_cf))/1E6)*1000/((cx1_cf+PI()*K48+2*(((B_cf-cy1_cf)/2)+cy1_cf))*dp_cf)/(vRdc_p*2*dp_cf/K48),0)</f>
        <v/>
      </c>
      <c r="O48">
        <f>IF(S47&lt;T47,Q47,O47)</f>
        <v/>
      </c>
      <c r="P48">
        <f>IF(S47&lt;T47,P47,R47)</f>
        <v/>
      </c>
      <c r="Q48">
        <f>P48-((SQRT(5)-1)/2)*(P48-O48)</f>
        <v/>
      </c>
      <c r="R48">
        <f>O48+((SQRT(5)-1)/2)*(P48-O48)</f>
        <v/>
      </c>
      <c r="S48">
        <f>IFERROR(beta_cf*MAX(0,P1_cf-(((x1_cf-cx1_cf/2)+cx1_cf)*(((B_cf-cy1_cf)/2)+cy1_cf+Q48)*((wa_cf+wb_cf*((x1_cf+cx1_cf/2)/2)/1000)/Bm_cf)+(((B_cf-cy1_cf)/2)+cy1_cf)*Q48*((wa_cf+wb_cf*((x1_cf+cx1_cf/2)+Q48/2)/1000)/Bm_cf)+PI()*Q48^2/4*((wa_cf+wb_cf*((x1_cf+cx1_cf/2)+4*Q48/(3*PI()))/1000)/Bm_cf))/1E6)*1000/(((x1_cf-cx1_cf/2)+cx1_cf+((B_cf-cy1_cf)/2)+cy1_cf+PI()*Q48/2)*dp_cf)/(vRdc_p*2*dp_cf/Q48),0)</f>
        <v/>
      </c>
      <c r="T48">
        <f>IFERROR(beta_cf*MAX(0,P1_cf-(((x1_cf-cx1_cf/2)+cx1_cf)*(((B_cf-cy1_cf)/2)+cy1_cf+R48)*((wa_cf+wb_cf*((x1_cf+cx1_cf/2)/2)/1000)/Bm_cf)+(((B_cf-cy1_cf)/2)+cy1_cf)*R48*((wa_cf+wb_cf*((x1_cf+cx1_cf/2)+R48/2)/1000)/Bm_cf)+PI()*R48^2/4*((wa_cf+wb_cf*((x1_cf+cx1_cf/2)+4*R48/(3*PI()))/1000)/Bm_cf))/1E6)*1000/(((x1_cf-cx1_cf/2)+cx1_cf+((B_cf-cy1_cf)/2)+cy1_cf+PI()*R48/2)*dp_cf)/(vRdc_p*2*dp_cf/R48),0)</f>
        <v/>
      </c>
      <c r="V48">
        <f>IF(Z47&lt;AA47,X47,V47)</f>
        <v/>
      </c>
      <c r="W48">
        <f>IF(Z47&lt;AA47,W47,Y47)</f>
        <v/>
      </c>
      <c r="X48">
        <f>W48-((SQRT(5)-1)/2)*(W48-V48)</f>
        <v/>
      </c>
      <c r="Y48">
        <f>V48+((SQRT(5)-1)/2)*(W48-V48)</f>
        <v/>
      </c>
      <c r="Z48">
        <f>IFERROR(beta_cf*MAX(0,P2_cf-(((L_cf-x2_cf-cx2_cf/2)+cx2_cf)*(cy2_cf+2*X48)*((wa_cf+wb_cf*(((x2_cf-cx2_cf/2)+L_cf)/2)/1000)/Bm_cf)+cy2_cf*X48*((wa_cf+wb_cf*((x2_cf-cx2_cf/2)-X48/2)/1000)/Bm_cf)+PI()*X48^2/2*((wa_cf+wb_cf*((x2_cf-cx2_cf/2)-4*X48/(3*PI()))/1000)/Bm_cf))/1E6)*1000/((cy2_cf+PI()*X48+2*((L_cf-x2_cf-cx2_cf/2)+cx2_cf))*dp_cf)/(vRdc_p*2*dp_cf/X48),0)</f>
        <v/>
      </c>
      <c r="AA48">
        <f>IFERROR(beta_cf*MAX(0,P2_cf-(((L_cf-x2_cf-cx2_cf/2)+cx2_cf)*(cy2_cf+2*Y48)*((wa_cf+wb_cf*(((x2_cf-cx2_cf/2)+L_cf)/2)/1000)/Bm_cf)+cy2_cf*Y48*((wa_cf+wb_cf*((x2_cf-cx2_cf/2)-Y48/2)/1000)/Bm_cf)+PI()*Y48^2/2*((wa_cf+wb_cf*((x2_cf-cx2_cf/2)-4*Y48/(3*PI()))/1000)/Bm_cf))/1E6)*1000/((cy2_cf+PI()*Y48+2*((L_cf-x2_cf-cx2_cf/2)+cx2_cf))*dp_cf)/(vRdc_p*2*dp_cf/Y48),0)</f>
        <v/>
      </c>
      <c r="AC48">
        <f>IF(AG47&lt;AH47,AE47,AC47)</f>
        <v/>
      </c>
      <c r="AD48">
        <f>IF(AG47&lt;AH47,AD47,AF47)</f>
        <v/>
      </c>
      <c r="AE48">
        <f>AD48-((SQRT(5)-1)/2)*(AD48-AC48)</f>
        <v/>
      </c>
      <c r="AF48">
        <f>AC48+((SQRT(5)-1)/2)*(AD48-AC48)</f>
        <v/>
      </c>
      <c r="AG48">
        <f>IFERROR(beta_cf*MAX(0,P2_cf-(((cx2_cf+2*AE48)*(((B_cf-cy2_cf)/2)+cy2_cf)+cx2_cf*AE48+PI()*AE48^2/2)*((wa_cf+wb_cf*(x2_cf)/1000)/Bm_cf))/1E6)*1000/((cx2_cf+PI()*AE48+2*(((B_cf-cy2_cf)/2)+cy2_cf))*dp_cf)/(vRdc_p*2*dp_cf/AE48),0)</f>
        <v/>
      </c>
      <c r="AH48">
        <f>IFERROR(beta_cf*MAX(0,P2_cf-(((cx2_cf+2*AF48)*(((B_cf-cy2_cf)/2)+cy2_cf)+cx2_cf*AF48+PI()*AF48^2/2)*((wa_cf+wb_cf*(x2_cf)/1000)/Bm_cf))/1E6)*1000/((cx2_cf+PI()*AF48+2*(((B_cf-cy2_cf)/2)+cy2_cf))*dp_cf)/(vRdc_p*2*dp_cf/AF48),0)</f>
        <v/>
      </c>
      <c r="AJ48">
        <f>IF(AN47&lt;AO47,AL47,AJ47)</f>
        <v/>
      </c>
      <c r="AK48">
        <f>IF(AN47&lt;AO47,AK47,AM47)</f>
        <v/>
      </c>
      <c r="AL48">
        <f>AK48-((SQRT(5)-1)/2)*(AK48-AJ48)</f>
        <v/>
      </c>
      <c r="AM48">
        <f>AJ48+((SQRT(5)-1)/2)*(AK48-AJ48)</f>
        <v/>
      </c>
      <c r="AN48">
        <f>IFERROR(beta_cf*MAX(0,P2_cf-(((L_cf-x2_cf-cx2_cf/2)+cx2_cf)*(((B_cf-cy2_cf)/2)+cy2_cf+AL48)*((wa_cf+wb_cf*(((x2_cf-cx2_cf/2)+L_cf)/2)/1000)/Bm_cf)+(((B_cf-cy2_cf)/2)+cy2_cf)*AL48*((wa_cf+wb_cf*((x2_cf-cx2_cf/2)-AL48/2)/1000)/Bm_cf)+PI()*AL48^2/4*((wa_cf+wb_cf*((x2_cf-cx2_cf/2)-4*AL48/(3*PI()))/1000)/Bm_cf))/1E6)*1000/(((L_cf-x2_cf-cx2_cf/2)+cx2_cf+((B_cf-cy2_cf)/2)+cy2_cf+PI()*AL48/2)*dp_cf)/(vRdc_p*2*dp_cf/AL48),0)</f>
        <v/>
      </c>
      <c r="AO48">
        <f>IFERROR(beta_cf*MAX(0,P2_cf-(((L_cf-x2_cf-cx2_cf/2)+cx2_cf)*(((B_cf-cy2_cf)/2)+cy2_cf+AM48)*((wa_cf+wb_cf*(((x2_cf-cx2_cf/2)+L_cf)/2)/1000)/Bm_cf)+(((B_cf-cy2_cf)/2)+cy2_cf)*AM48*((wa_cf+wb_cf*((x2_cf-cx2_cf/2)-AM48/2)/1000)/Bm_cf)+PI()*AM48^2/4*((wa_cf+wb_cf*((x2_cf-cx2_cf/2)-4*AM48/(3*PI()))/1000)/Bm_cf))/1E6)*1000/(((L_cf-x2_cf-cx2_cf/2)+cx2_cf+((B_cf-cy2_cf)/2)+cy2_cf+PI()*AM48/2)*dp_cf)/(vRdc_p*2*dp_cf/AM48),0)</f>
        <v/>
      </c>
    </row>
    <row r="49">
      <c r="A49">
        <f>IF(E48&lt;F48,C48,A48)</f>
        <v/>
      </c>
      <c r="B49">
        <f>IF(E48&lt;F48,B48,D48)</f>
        <v/>
      </c>
      <c r="C49">
        <f>B49-((SQRT(5)-1)/2)*(B49-A49)</f>
        <v/>
      </c>
      <c r="D49">
        <f>A49+((SQRT(5)-1)/2)*(B49-A49)</f>
        <v/>
      </c>
      <c r="E49">
        <f>IFERROR(beta_cf*MAX(0,P1_cf-(((x1_cf-cx1_cf/2)+cx1_cf)*(cy1_cf+2*C49)*((wa_cf+wb_cf*((x1_cf+cx1_cf/2)/2)/1000)/Bm_cf)+cy1_cf*C49*((wa_cf+wb_cf*((x1_cf+cx1_cf/2)+C49/2)/1000)/Bm_cf)+PI()*C49^2/2*((wa_cf+wb_cf*((x1_cf+cx1_cf/2)+4*C49/(3*PI()))/1000)/Bm_cf))/1E6)*1000/((cy1_cf+PI()*C49+2*((x1_cf-cx1_cf/2)+cx1_cf))*dp_cf)/(vRdc_p*2*dp_cf/C49),0)</f>
        <v/>
      </c>
      <c r="F49">
        <f>IFERROR(beta_cf*MAX(0,P1_cf-(((x1_cf-cx1_cf/2)+cx1_cf)*(cy1_cf+2*D49)*((wa_cf+wb_cf*((x1_cf+cx1_cf/2)/2)/1000)/Bm_cf)+cy1_cf*D49*((wa_cf+wb_cf*((x1_cf+cx1_cf/2)+D49/2)/1000)/Bm_cf)+PI()*D49^2/2*((wa_cf+wb_cf*((x1_cf+cx1_cf/2)+4*D49/(3*PI()))/1000)/Bm_cf))/1E6)*1000/((cy1_cf+PI()*D49+2*((x1_cf-cx1_cf/2)+cx1_cf))*dp_cf)/(vRdc_p*2*dp_cf/D49),0)</f>
        <v/>
      </c>
      <c r="H49">
        <f>IF(L48&lt;M48,J48,H48)</f>
        <v/>
      </c>
      <c r="I49">
        <f>IF(L48&lt;M48,I48,K48)</f>
        <v/>
      </c>
      <c r="J49">
        <f>I49-((SQRT(5)-1)/2)*(I49-H49)</f>
        <v/>
      </c>
      <c r="K49">
        <f>H49+((SQRT(5)-1)/2)*(I49-H49)</f>
        <v/>
      </c>
      <c r="L49">
        <f>IFERROR(beta_cf*MAX(0,P1_cf-(((cx1_cf+2*J49)*(((B_cf-cy1_cf)/2)+cy1_cf)+cx1_cf*J49+PI()*J49^2/2)*((wa_cf+wb_cf*(x1_cf)/1000)/Bm_cf))/1E6)*1000/((cx1_cf+PI()*J49+2*(((B_cf-cy1_cf)/2)+cy1_cf))*dp_cf)/(vRdc_p*2*dp_cf/J49),0)</f>
        <v/>
      </c>
      <c r="M49">
        <f>IFERROR(beta_cf*MAX(0,P1_cf-(((cx1_cf+2*K49)*(((B_cf-cy1_cf)/2)+cy1_cf)+cx1_cf*K49+PI()*K49^2/2)*((wa_cf+wb_cf*(x1_cf)/1000)/Bm_cf))/1E6)*1000/((cx1_cf+PI()*K49+2*(((B_cf-cy1_cf)/2)+cy1_cf))*dp_cf)/(vRdc_p*2*dp_cf/K49),0)</f>
        <v/>
      </c>
      <c r="O49">
        <f>IF(S48&lt;T48,Q48,O48)</f>
        <v/>
      </c>
      <c r="P49">
        <f>IF(S48&lt;T48,P48,R48)</f>
        <v/>
      </c>
      <c r="Q49">
        <f>P49-((SQRT(5)-1)/2)*(P49-O49)</f>
        <v/>
      </c>
      <c r="R49">
        <f>O49+((SQRT(5)-1)/2)*(P49-O49)</f>
        <v/>
      </c>
      <c r="S49">
        <f>IFERROR(beta_cf*MAX(0,P1_cf-(((x1_cf-cx1_cf/2)+cx1_cf)*(((B_cf-cy1_cf)/2)+cy1_cf+Q49)*((wa_cf+wb_cf*((x1_cf+cx1_cf/2)/2)/1000)/Bm_cf)+(((B_cf-cy1_cf)/2)+cy1_cf)*Q49*((wa_cf+wb_cf*((x1_cf+cx1_cf/2)+Q49/2)/1000)/Bm_cf)+PI()*Q49^2/4*((wa_cf+wb_cf*((x1_cf+cx1_cf/2)+4*Q49/(3*PI()))/1000)/Bm_cf))/1E6)*1000/(((x1_cf-cx1_cf/2)+cx1_cf+((B_cf-cy1_cf)/2)+cy1_cf+PI()*Q49/2)*dp_cf)/(vRdc_p*2*dp_cf/Q49),0)</f>
        <v/>
      </c>
      <c r="T49">
        <f>IFERROR(beta_cf*MAX(0,P1_cf-(((x1_cf-cx1_cf/2)+cx1_cf)*(((B_cf-cy1_cf)/2)+cy1_cf+R49)*((wa_cf+wb_cf*((x1_cf+cx1_cf/2)/2)/1000)/Bm_cf)+(((B_cf-cy1_cf)/2)+cy1_cf)*R49*((wa_cf+wb_cf*((x1_cf+cx1_cf/2)+R49/2)/1000)/Bm_cf)+PI()*R49^2/4*((wa_cf+wb_cf*((x1_cf+cx1_cf/2)+4*R49/(3*PI()))/1000)/Bm_cf))/1E6)*1000/(((x1_cf-cx1_cf/2)+cx1_cf+((B_cf-cy1_cf)/2)+cy1_cf+PI()*R49/2)*dp_cf)/(vRdc_p*2*dp_cf/R49),0)</f>
        <v/>
      </c>
      <c r="V49">
        <f>IF(Z48&lt;AA48,X48,V48)</f>
        <v/>
      </c>
      <c r="W49">
        <f>IF(Z48&lt;AA48,W48,Y48)</f>
        <v/>
      </c>
      <c r="X49">
        <f>W49-((SQRT(5)-1)/2)*(W49-V49)</f>
        <v/>
      </c>
      <c r="Y49">
        <f>V49+((SQRT(5)-1)/2)*(W49-V49)</f>
        <v/>
      </c>
      <c r="Z49">
        <f>IFERROR(beta_cf*MAX(0,P2_cf-(((L_cf-x2_cf-cx2_cf/2)+cx2_cf)*(cy2_cf+2*X49)*((wa_cf+wb_cf*(((x2_cf-cx2_cf/2)+L_cf)/2)/1000)/Bm_cf)+cy2_cf*X49*((wa_cf+wb_cf*((x2_cf-cx2_cf/2)-X49/2)/1000)/Bm_cf)+PI()*X49^2/2*((wa_cf+wb_cf*((x2_cf-cx2_cf/2)-4*X49/(3*PI()))/1000)/Bm_cf))/1E6)*1000/((cy2_cf+PI()*X49+2*((L_cf-x2_cf-cx2_cf/2)+cx2_cf))*dp_cf)/(vRdc_p*2*dp_cf/X49),0)</f>
        <v/>
      </c>
      <c r="AA49">
        <f>IFERROR(beta_cf*MAX(0,P2_cf-(((L_cf-x2_cf-cx2_cf/2)+cx2_cf)*(cy2_cf+2*Y49)*((wa_cf+wb_cf*(((x2_cf-cx2_cf/2)+L_cf)/2)/1000)/Bm_cf)+cy2_cf*Y49*((wa_cf+wb_cf*((x2_cf-cx2_cf/2)-Y49/2)/1000)/Bm_cf)+PI()*Y49^2/2*((wa_cf+wb_cf*((x2_cf-cx2_cf/2)-4*Y49/(3*PI()))/1000)/Bm_cf))/1E6)*1000/((cy2_cf+PI()*Y49+2*((L_cf-x2_cf-cx2_cf/2)+cx2_cf))*dp_cf)/(vRdc_p*2*dp_cf/Y49),0)</f>
        <v/>
      </c>
      <c r="AC49">
        <f>IF(AG48&lt;AH48,AE48,AC48)</f>
        <v/>
      </c>
      <c r="AD49">
        <f>IF(AG48&lt;AH48,AD48,AF48)</f>
        <v/>
      </c>
      <c r="AE49">
        <f>AD49-((SQRT(5)-1)/2)*(AD49-AC49)</f>
        <v/>
      </c>
      <c r="AF49">
        <f>AC49+((SQRT(5)-1)/2)*(AD49-AC49)</f>
        <v/>
      </c>
      <c r="AG49">
        <f>IFERROR(beta_cf*MAX(0,P2_cf-(((cx2_cf+2*AE49)*(((B_cf-cy2_cf)/2)+cy2_cf)+cx2_cf*AE49+PI()*AE49^2/2)*((wa_cf+wb_cf*(x2_cf)/1000)/Bm_cf))/1E6)*1000/((cx2_cf+PI()*AE49+2*(((B_cf-cy2_cf)/2)+cy2_cf))*dp_cf)/(vRdc_p*2*dp_cf/AE49),0)</f>
        <v/>
      </c>
      <c r="AH49">
        <f>IFERROR(beta_cf*MAX(0,P2_cf-(((cx2_cf+2*AF49)*(((B_cf-cy2_cf)/2)+cy2_cf)+cx2_cf*AF49+PI()*AF49^2/2)*((wa_cf+wb_cf*(x2_cf)/1000)/Bm_cf))/1E6)*1000/((cx2_cf+PI()*AF49+2*(((B_cf-cy2_cf)/2)+cy2_cf))*dp_cf)/(vRdc_p*2*dp_cf/AF49),0)</f>
        <v/>
      </c>
      <c r="AJ49">
        <f>IF(AN48&lt;AO48,AL48,AJ48)</f>
        <v/>
      </c>
      <c r="AK49">
        <f>IF(AN48&lt;AO48,AK48,AM48)</f>
        <v/>
      </c>
      <c r="AL49">
        <f>AK49-((SQRT(5)-1)/2)*(AK49-AJ49)</f>
        <v/>
      </c>
      <c r="AM49">
        <f>AJ49+((SQRT(5)-1)/2)*(AK49-AJ49)</f>
        <v/>
      </c>
      <c r="AN49">
        <f>IFERROR(beta_cf*MAX(0,P2_cf-(((L_cf-x2_cf-cx2_cf/2)+cx2_cf)*(((B_cf-cy2_cf)/2)+cy2_cf+AL49)*((wa_cf+wb_cf*(((x2_cf-cx2_cf/2)+L_cf)/2)/1000)/Bm_cf)+(((B_cf-cy2_cf)/2)+cy2_cf)*AL49*((wa_cf+wb_cf*((x2_cf-cx2_cf/2)-AL49/2)/1000)/Bm_cf)+PI()*AL49^2/4*((wa_cf+wb_cf*((x2_cf-cx2_cf/2)-4*AL49/(3*PI()))/1000)/Bm_cf))/1E6)*1000/(((L_cf-x2_cf-cx2_cf/2)+cx2_cf+((B_cf-cy2_cf)/2)+cy2_cf+PI()*AL49/2)*dp_cf)/(vRdc_p*2*dp_cf/AL49),0)</f>
        <v/>
      </c>
      <c r="AO49">
        <f>IFERROR(beta_cf*MAX(0,P2_cf-(((L_cf-x2_cf-cx2_cf/2)+cx2_cf)*(((B_cf-cy2_cf)/2)+cy2_cf+AM49)*((wa_cf+wb_cf*(((x2_cf-cx2_cf/2)+L_cf)/2)/1000)/Bm_cf)+(((B_cf-cy2_cf)/2)+cy2_cf)*AM49*((wa_cf+wb_cf*((x2_cf-cx2_cf/2)-AM49/2)/1000)/Bm_cf)+PI()*AM49^2/4*((wa_cf+wb_cf*((x2_cf-cx2_cf/2)-4*AM49/(3*PI()))/1000)/Bm_cf))/1E6)*1000/(((L_cf-x2_cf-cx2_cf/2)+cx2_cf+((B_cf-cy2_cf)/2)+cy2_cf+PI()*AM49/2)*dp_cf)/(vRdc_p*2*dp_cf/AM49),0)</f>
        <v/>
      </c>
    </row>
    <row r="50">
      <c r="A50">
        <f>IF(E49&lt;F49,C49,A49)</f>
        <v/>
      </c>
      <c r="B50">
        <f>IF(E49&lt;F49,B49,D49)</f>
        <v/>
      </c>
      <c r="C50">
        <f>B50-((SQRT(5)-1)/2)*(B50-A50)</f>
        <v/>
      </c>
      <c r="D50">
        <f>A50+((SQRT(5)-1)/2)*(B50-A50)</f>
        <v/>
      </c>
      <c r="E50">
        <f>IFERROR(beta_cf*MAX(0,P1_cf-(((x1_cf-cx1_cf/2)+cx1_cf)*(cy1_cf+2*C50)*((wa_cf+wb_cf*((x1_cf+cx1_cf/2)/2)/1000)/Bm_cf)+cy1_cf*C50*((wa_cf+wb_cf*((x1_cf+cx1_cf/2)+C50/2)/1000)/Bm_cf)+PI()*C50^2/2*((wa_cf+wb_cf*((x1_cf+cx1_cf/2)+4*C50/(3*PI()))/1000)/Bm_cf))/1E6)*1000/((cy1_cf+PI()*C50+2*((x1_cf-cx1_cf/2)+cx1_cf))*dp_cf)/(vRdc_p*2*dp_cf/C50),0)</f>
        <v/>
      </c>
      <c r="F50">
        <f>IFERROR(beta_cf*MAX(0,P1_cf-(((x1_cf-cx1_cf/2)+cx1_cf)*(cy1_cf+2*D50)*((wa_cf+wb_cf*((x1_cf+cx1_cf/2)/2)/1000)/Bm_cf)+cy1_cf*D50*((wa_cf+wb_cf*((x1_cf+cx1_cf/2)+D50/2)/1000)/Bm_cf)+PI()*D50^2/2*((wa_cf+wb_cf*((x1_cf+cx1_cf/2)+4*D50/(3*PI()))/1000)/Bm_cf))/1E6)*1000/((cy1_cf+PI()*D50+2*((x1_cf-cx1_cf/2)+cx1_cf))*dp_cf)/(vRdc_p*2*dp_cf/D50),0)</f>
        <v/>
      </c>
      <c r="H50">
        <f>IF(L49&lt;M49,J49,H49)</f>
        <v/>
      </c>
      <c r="I50">
        <f>IF(L49&lt;M49,I49,K49)</f>
        <v/>
      </c>
      <c r="J50">
        <f>I50-((SQRT(5)-1)/2)*(I50-H50)</f>
        <v/>
      </c>
      <c r="K50">
        <f>H50+((SQRT(5)-1)/2)*(I50-H50)</f>
        <v/>
      </c>
      <c r="L50">
        <f>IFERROR(beta_cf*MAX(0,P1_cf-(((cx1_cf+2*J50)*(((B_cf-cy1_cf)/2)+cy1_cf)+cx1_cf*J50+PI()*J50^2/2)*((wa_cf+wb_cf*(x1_cf)/1000)/Bm_cf))/1E6)*1000/((cx1_cf+PI()*J50+2*(((B_cf-cy1_cf)/2)+cy1_cf))*dp_cf)/(vRdc_p*2*dp_cf/J50),0)</f>
        <v/>
      </c>
      <c r="M50">
        <f>IFERROR(beta_cf*MAX(0,P1_cf-(((cx1_cf+2*K50)*(((B_cf-cy1_cf)/2)+cy1_cf)+cx1_cf*K50+PI()*K50^2/2)*((wa_cf+wb_cf*(x1_cf)/1000)/Bm_cf))/1E6)*1000/((cx1_cf+PI()*K50+2*(((B_cf-cy1_cf)/2)+cy1_cf))*dp_cf)/(vRdc_p*2*dp_cf/K50),0)</f>
        <v/>
      </c>
      <c r="O50">
        <f>IF(S49&lt;T49,Q49,O49)</f>
        <v/>
      </c>
      <c r="P50">
        <f>IF(S49&lt;T49,P49,R49)</f>
        <v/>
      </c>
      <c r="Q50">
        <f>P50-((SQRT(5)-1)/2)*(P50-O50)</f>
        <v/>
      </c>
      <c r="R50">
        <f>O50+((SQRT(5)-1)/2)*(P50-O50)</f>
        <v/>
      </c>
      <c r="S50">
        <f>IFERROR(beta_cf*MAX(0,P1_cf-(((x1_cf-cx1_cf/2)+cx1_cf)*(((B_cf-cy1_cf)/2)+cy1_cf+Q50)*((wa_cf+wb_cf*((x1_cf+cx1_cf/2)/2)/1000)/Bm_cf)+(((B_cf-cy1_cf)/2)+cy1_cf)*Q50*((wa_cf+wb_cf*((x1_cf+cx1_cf/2)+Q50/2)/1000)/Bm_cf)+PI()*Q50^2/4*((wa_cf+wb_cf*((x1_cf+cx1_cf/2)+4*Q50/(3*PI()))/1000)/Bm_cf))/1E6)*1000/(((x1_cf-cx1_cf/2)+cx1_cf+((B_cf-cy1_cf)/2)+cy1_cf+PI()*Q50/2)*dp_cf)/(vRdc_p*2*dp_cf/Q50),0)</f>
        <v/>
      </c>
      <c r="T50">
        <f>IFERROR(beta_cf*MAX(0,P1_cf-(((x1_cf-cx1_cf/2)+cx1_cf)*(((B_cf-cy1_cf)/2)+cy1_cf+R50)*((wa_cf+wb_cf*((x1_cf+cx1_cf/2)/2)/1000)/Bm_cf)+(((B_cf-cy1_cf)/2)+cy1_cf)*R50*((wa_cf+wb_cf*((x1_cf+cx1_cf/2)+R50/2)/1000)/Bm_cf)+PI()*R50^2/4*((wa_cf+wb_cf*((x1_cf+cx1_cf/2)+4*R50/(3*PI()))/1000)/Bm_cf))/1E6)*1000/(((x1_cf-cx1_cf/2)+cx1_cf+((B_cf-cy1_cf)/2)+cy1_cf+PI()*R50/2)*dp_cf)/(vRdc_p*2*dp_cf/R50),0)</f>
        <v/>
      </c>
      <c r="V50">
        <f>IF(Z49&lt;AA49,X49,V49)</f>
        <v/>
      </c>
      <c r="W50">
        <f>IF(Z49&lt;AA49,W49,Y49)</f>
        <v/>
      </c>
      <c r="X50">
        <f>W50-((SQRT(5)-1)/2)*(W50-V50)</f>
        <v/>
      </c>
      <c r="Y50">
        <f>V50+((SQRT(5)-1)/2)*(W50-V50)</f>
        <v/>
      </c>
      <c r="Z50">
        <f>IFERROR(beta_cf*MAX(0,P2_cf-(((L_cf-x2_cf-cx2_cf/2)+cx2_cf)*(cy2_cf+2*X50)*((wa_cf+wb_cf*(((x2_cf-cx2_cf/2)+L_cf)/2)/1000)/Bm_cf)+cy2_cf*X50*((wa_cf+wb_cf*((x2_cf-cx2_cf/2)-X50/2)/1000)/Bm_cf)+PI()*X50^2/2*((wa_cf+wb_cf*((x2_cf-cx2_cf/2)-4*X50/(3*PI()))/1000)/Bm_cf))/1E6)*1000/((cy2_cf+PI()*X50+2*((L_cf-x2_cf-cx2_cf/2)+cx2_cf))*dp_cf)/(vRdc_p*2*dp_cf/X50),0)</f>
        <v/>
      </c>
      <c r="AA50">
        <f>IFERROR(beta_cf*MAX(0,P2_cf-(((L_cf-x2_cf-cx2_cf/2)+cx2_cf)*(cy2_cf+2*Y50)*((wa_cf+wb_cf*(((x2_cf-cx2_cf/2)+L_cf)/2)/1000)/Bm_cf)+cy2_cf*Y50*((wa_cf+wb_cf*((x2_cf-cx2_cf/2)-Y50/2)/1000)/Bm_cf)+PI()*Y50^2/2*((wa_cf+wb_cf*((x2_cf-cx2_cf/2)-4*Y50/(3*PI()))/1000)/Bm_cf))/1E6)*1000/((cy2_cf+PI()*Y50+2*((L_cf-x2_cf-cx2_cf/2)+cx2_cf))*dp_cf)/(vRdc_p*2*dp_cf/Y50),0)</f>
        <v/>
      </c>
      <c r="AC50">
        <f>IF(AG49&lt;AH49,AE49,AC49)</f>
        <v/>
      </c>
      <c r="AD50">
        <f>IF(AG49&lt;AH49,AD49,AF49)</f>
        <v/>
      </c>
      <c r="AE50">
        <f>AD50-((SQRT(5)-1)/2)*(AD50-AC50)</f>
        <v/>
      </c>
      <c r="AF50">
        <f>AC50+((SQRT(5)-1)/2)*(AD50-AC50)</f>
        <v/>
      </c>
      <c r="AG50">
        <f>IFERROR(beta_cf*MAX(0,P2_cf-(((cx2_cf+2*AE50)*(((B_cf-cy2_cf)/2)+cy2_cf)+cx2_cf*AE50+PI()*AE50^2/2)*((wa_cf+wb_cf*(x2_cf)/1000)/Bm_cf))/1E6)*1000/((cx2_cf+PI()*AE50+2*(((B_cf-cy2_cf)/2)+cy2_cf))*dp_cf)/(vRdc_p*2*dp_cf/AE50),0)</f>
        <v/>
      </c>
      <c r="AH50">
        <f>IFERROR(beta_cf*MAX(0,P2_cf-(((cx2_cf+2*AF50)*(((B_cf-cy2_cf)/2)+cy2_cf)+cx2_cf*AF50+PI()*AF50^2/2)*((wa_cf+wb_cf*(x2_cf)/1000)/Bm_cf))/1E6)*1000/((cx2_cf+PI()*AF50+2*(((B_cf-cy2_cf)/2)+cy2_cf))*dp_cf)/(vRdc_p*2*dp_cf/AF50),0)</f>
        <v/>
      </c>
      <c r="AJ50">
        <f>IF(AN49&lt;AO49,AL49,AJ49)</f>
        <v/>
      </c>
      <c r="AK50">
        <f>IF(AN49&lt;AO49,AK49,AM49)</f>
        <v/>
      </c>
      <c r="AL50">
        <f>AK50-((SQRT(5)-1)/2)*(AK50-AJ50)</f>
        <v/>
      </c>
      <c r="AM50">
        <f>AJ50+((SQRT(5)-1)/2)*(AK50-AJ50)</f>
        <v/>
      </c>
      <c r="AN50">
        <f>IFERROR(beta_cf*MAX(0,P2_cf-(((L_cf-x2_cf-cx2_cf/2)+cx2_cf)*(((B_cf-cy2_cf)/2)+cy2_cf+AL50)*((wa_cf+wb_cf*(((x2_cf-cx2_cf/2)+L_cf)/2)/1000)/Bm_cf)+(((B_cf-cy2_cf)/2)+cy2_cf)*AL50*((wa_cf+wb_cf*((x2_cf-cx2_cf/2)-AL50/2)/1000)/Bm_cf)+PI()*AL50^2/4*((wa_cf+wb_cf*((x2_cf-cx2_cf/2)-4*AL50/(3*PI()))/1000)/Bm_cf))/1E6)*1000/(((L_cf-x2_cf-cx2_cf/2)+cx2_cf+((B_cf-cy2_cf)/2)+cy2_cf+PI()*AL50/2)*dp_cf)/(vRdc_p*2*dp_cf/AL50),0)</f>
        <v/>
      </c>
      <c r="AO50">
        <f>IFERROR(beta_cf*MAX(0,P2_cf-(((L_cf-x2_cf-cx2_cf/2)+cx2_cf)*(((B_cf-cy2_cf)/2)+cy2_cf+AM50)*((wa_cf+wb_cf*(((x2_cf-cx2_cf/2)+L_cf)/2)/1000)/Bm_cf)+(((B_cf-cy2_cf)/2)+cy2_cf)*AM50*((wa_cf+wb_cf*((x2_cf-cx2_cf/2)-AM50/2)/1000)/Bm_cf)+PI()*AM50^2/4*((wa_cf+wb_cf*((x2_cf-cx2_cf/2)-4*AM50/(3*PI()))/1000)/Bm_cf))/1E6)*1000/(((L_cf-x2_cf-cx2_cf/2)+cx2_cf+((B_cf-cy2_cf)/2)+cy2_cf+PI()*AM50/2)*dp_cf)/(vRdc_p*2*dp_cf/AM50),0)</f>
        <v/>
      </c>
    </row>
    <row r="51">
      <c r="A51">
        <f>IF(E50&lt;F50,C50,A50)</f>
        <v/>
      </c>
      <c r="B51">
        <f>IF(E50&lt;F50,B50,D50)</f>
        <v/>
      </c>
      <c r="C51">
        <f>B51-((SQRT(5)-1)/2)*(B51-A51)</f>
        <v/>
      </c>
      <c r="D51">
        <f>A51+((SQRT(5)-1)/2)*(B51-A51)</f>
        <v/>
      </c>
      <c r="E51">
        <f>IFERROR(beta_cf*MAX(0,P1_cf-(((x1_cf-cx1_cf/2)+cx1_cf)*(cy1_cf+2*C51)*((wa_cf+wb_cf*((x1_cf+cx1_cf/2)/2)/1000)/Bm_cf)+cy1_cf*C51*((wa_cf+wb_cf*((x1_cf+cx1_cf/2)+C51/2)/1000)/Bm_cf)+PI()*C51^2/2*((wa_cf+wb_cf*((x1_cf+cx1_cf/2)+4*C51/(3*PI()))/1000)/Bm_cf))/1E6)*1000/((cy1_cf+PI()*C51+2*((x1_cf-cx1_cf/2)+cx1_cf))*dp_cf)/(vRdc_p*2*dp_cf/C51),0)</f>
        <v/>
      </c>
      <c r="F51">
        <f>IFERROR(beta_cf*MAX(0,P1_cf-(((x1_cf-cx1_cf/2)+cx1_cf)*(cy1_cf+2*D51)*((wa_cf+wb_cf*((x1_cf+cx1_cf/2)/2)/1000)/Bm_cf)+cy1_cf*D51*((wa_cf+wb_cf*((x1_cf+cx1_cf/2)+D51/2)/1000)/Bm_cf)+PI()*D51^2/2*((wa_cf+wb_cf*((x1_cf+cx1_cf/2)+4*D51/(3*PI()))/1000)/Bm_cf))/1E6)*1000/((cy1_cf+PI()*D51+2*((x1_cf-cx1_cf/2)+cx1_cf))*dp_cf)/(vRdc_p*2*dp_cf/D51),0)</f>
        <v/>
      </c>
      <c r="H51">
        <f>IF(L50&lt;M50,J50,H50)</f>
        <v/>
      </c>
      <c r="I51">
        <f>IF(L50&lt;M50,I50,K50)</f>
        <v/>
      </c>
      <c r="J51">
        <f>I51-((SQRT(5)-1)/2)*(I51-H51)</f>
        <v/>
      </c>
      <c r="K51">
        <f>H51+((SQRT(5)-1)/2)*(I51-H51)</f>
        <v/>
      </c>
      <c r="L51">
        <f>IFERROR(beta_cf*MAX(0,P1_cf-(((cx1_cf+2*J51)*(((B_cf-cy1_cf)/2)+cy1_cf)+cx1_cf*J51+PI()*J51^2/2)*((wa_cf+wb_cf*(x1_cf)/1000)/Bm_cf))/1E6)*1000/((cx1_cf+PI()*J51+2*(((B_cf-cy1_cf)/2)+cy1_cf))*dp_cf)/(vRdc_p*2*dp_cf/J51),0)</f>
        <v/>
      </c>
      <c r="M51">
        <f>IFERROR(beta_cf*MAX(0,P1_cf-(((cx1_cf+2*K51)*(((B_cf-cy1_cf)/2)+cy1_cf)+cx1_cf*K51+PI()*K51^2/2)*((wa_cf+wb_cf*(x1_cf)/1000)/Bm_cf))/1E6)*1000/((cx1_cf+PI()*K51+2*(((B_cf-cy1_cf)/2)+cy1_cf))*dp_cf)/(vRdc_p*2*dp_cf/K51),0)</f>
        <v/>
      </c>
      <c r="O51">
        <f>IF(S50&lt;T50,Q50,O50)</f>
        <v/>
      </c>
      <c r="P51">
        <f>IF(S50&lt;T50,P50,R50)</f>
        <v/>
      </c>
      <c r="Q51">
        <f>P51-((SQRT(5)-1)/2)*(P51-O51)</f>
        <v/>
      </c>
      <c r="R51">
        <f>O51+((SQRT(5)-1)/2)*(P51-O51)</f>
        <v/>
      </c>
      <c r="S51">
        <f>IFERROR(beta_cf*MAX(0,P1_cf-(((x1_cf-cx1_cf/2)+cx1_cf)*(((B_cf-cy1_cf)/2)+cy1_cf+Q51)*((wa_cf+wb_cf*((x1_cf+cx1_cf/2)/2)/1000)/Bm_cf)+(((B_cf-cy1_cf)/2)+cy1_cf)*Q51*((wa_cf+wb_cf*((x1_cf+cx1_cf/2)+Q51/2)/1000)/Bm_cf)+PI()*Q51^2/4*((wa_cf+wb_cf*((x1_cf+cx1_cf/2)+4*Q51/(3*PI()))/1000)/Bm_cf))/1E6)*1000/(((x1_cf-cx1_cf/2)+cx1_cf+((B_cf-cy1_cf)/2)+cy1_cf+PI()*Q51/2)*dp_cf)/(vRdc_p*2*dp_cf/Q51),0)</f>
        <v/>
      </c>
      <c r="T51">
        <f>IFERROR(beta_cf*MAX(0,P1_cf-(((x1_cf-cx1_cf/2)+cx1_cf)*(((B_cf-cy1_cf)/2)+cy1_cf+R51)*((wa_cf+wb_cf*((x1_cf+cx1_cf/2)/2)/1000)/Bm_cf)+(((B_cf-cy1_cf)/2)+cy1_cf)*R51*((wa_cf+wb_cf*((x1_cf+cx1_cf/2)+R51/2)/1000)/Bm_cf)+PI()*R51^2/4*((wa_cf+wb_cf*((x1_cf+cx1_cf/2)+4*R51/(3*PI()))/1000)/Bm_cf))/1E6)*1000/(((x1_cf-cx1_cf/2)+cx1_cf+((B_cf-cy1_cf)/2)+cy1_cf+PI()*R51/2)*dp_cf)/(vRdc_p*2*dp_cf/R51),0)</f>
        <v/>
      </c>
      <c r="V51">
        <f>IF(Z50&lt;AA50,X50,V50)</f>
        <v/>
      </c>
      <c r="W51">
        <f>IF(Z50&lt;AA50,W50,Y50)</f>
        <v/>
      </c>
      <c r="X51">
        <f>W51-((SQRT(5)-1)/2)*(W51-V51)</f>
        <v/>
      </c>
      <c r="Y51">
        <f>V51+((SQRT(5)-1)/2)*(W51-V51)</f>
        <v/>
      </c>
      <c r="Z51">
        <f>IFERROR(beta_cf*MAX(0,P2_cf-(((L_cf-x2_cf-cx2_cf/2)+cx2_cf)*(cy2_cf+2*X51)*((wa_cf+wb_cf*(((x2_cf-cx2_cf/2)+L_cf)/2)/1000)/Bm_cf)+cy2_cf*X51*((wa_cf+wb_cf*((x2_cf-cx2_cf/2)-X51/2)/1000)/Bm_cf)+PI()*X51^2/2*((wa_cf+wb_cf*((x2_cf-cx2_cf/2)-4*X51/(3*PI()))/1000)/Bm_cf))/1E6)*1000/((cy2_cf+PI()*X51+2*((L_cf-x2_cf-cx2_cf/2)+cx2_cf))*dp_cf)/(vRdc_p*2*dp_cf/X51),0)</f>
        <v/>
      </c>
      <c r="AA51">
        <f>IFERROR(beta_cf*MAX(0,P2_cf-(((L_cf-x2_cf-cx2_cf/2)+cx2_cf)*(cy2_cf+2*Y51)*((wa_cf+wb_cf*(((x2_cf-cx2_cf/2)+L_cf)/2)/1000)/Bm_cf)+cy2_cf*Y51*((wa_cf+wb_cf*((x2_cf-cx2_cf/2)-Y51/2)/1000)/Bm_cf)+PI()*Y51^2/2*((wa_cf+wb_cf*((x2_cf-cx2_cf/2)-4*Y51/(3*PI()))/1000)/Bm_cf))/1E6)*1000/((cy2_cf+PI()*Y51+2*((L_cf-x2_cf-cx2_cf/2)+cx2_cf))*dp_cf)/(vRdc_p*2*dp_cf/Y51),0)</f>
        <v/>
      </c>
      <c r="AC51">
        <f>IF(AG50&lt;AH50,AE50,AC50)</f>
        <v/>
      </c>
      <c r="AD51">
        <f>IF(AG50&lt;AH50,AD50,AF50)</f>
        <v/>
      </c>
      <c r="AE51">
        <f>AD51-((SQRT(5)-1)/2)*(AD51-AC51)</f>
        <v/>
      </c>
      <c r="AF51">
        <f>AC51+((SQRT(5)-1)/2)*(AD51-AC51)</f>
        <v/>
      </c>
      <c r="AG51">
        <f>IFERROR(beta_cf*MAX(0,P2_cf-(((cx2_cf+2*AE51)*(((B_cf-cy2_cf)/2)+cy2_cf)+cx2_cf*AE51+PI()*AE51^2/2)*((wa_cf+wb_cf*(x2_cf)/1000)/Bm_cf))/1E6)*1000/((cx2_cf+PI()*AE51+2*(((B_cf-cy2_cf)/2)+cy2_cf))*dp_cf)/(vRdc_p*2*dp_cf/AE51),0)</f>
        <v/>
      </c>
      <c r="AH51">
        <f>IFERROR(beta_cf*MAX(0,P2_cf-(((cx2_cf+2*AF51)*(((B_cf-cy2_cf)/2)+cy2_cf)+cx2_cf*AF51+PI()*AF51^2/2)*((wa_cf+wb_cf*(x2_cf)/1000)/Bm_cf))/1E6)*1000/((cx2_cf+PI()*AF51+2*(((B_cf-cy2_cf)/2)+cy2_cf))*dp_cf)/(vRdc_p*2*dp_cf/AF51),0)</f>
        <v/>
      </c>
      <c r="AJ51">
        <f>IF(AN50&lt;AO50,AL50,AJ50)</f>
        <v/>
      </c>
      <c r="AK51">
        <f>IF(AN50&lt;AO50,AK50,AM50)</f>
        <v/>
      </c>
      <c r="AL51">
        <f>AK51-((SQRT(5)-1)/2)*(AK51-AJ51)</f>
        <v/>
      </c>
      <c r="AM51">
        <f>AJ51+((SQRT(5)-1)/2)*(AK51-AJ51)</f>
        <v/>
      </c>
      <c r="AN51">
        <f>IFERROR(beta_cf*MAX(0,P2_cf-(((L_cf-x2_cf-cx2_cf/2)+cx2_cf)*(((B_cf-cy2_cf)/2)+cy2_cf+AL51)*((wa_cf+wb_cf*(((x2_cf-cx2_cf/2)+L_cf)/2)/1000)/Bm_cf)+(((B_cf-cy2_cf)/2)+cy2_cf)*AL51*((wa_cf+wb_cf*((x2_cf-cx2_cf/2)-AL51/2)/1000)/Bm_cf)+PI()*AL51^2/4*((wa_cf+wb_cf*((x2_cf-cx2_cf/2)-4*AL51/(3*PI()))/1000)/Bm_cf))/1E6)*1000/(((L_cf-x2_cf-cx2_cf/2)+cx2_cf+((B_cf-cy2_cf)/2)+cy2_cf+PI()*AL51/2)*dp_cf)/(vRdc_p*2*dp_cf/AL51),0)</f>
        <v/>
      </c>
      <c r="AO51">
        <f>IFERROR(beta_cf*MAX(0,P2_cf-(((L_cf-x2_cf-cx2_cf/2)+cx2_cf)*(((B_cf-cy2_cf)/2)+cy2_cf+AM51)*((wa_cf+wb_cf*(((x2_cf-cx2_cf/2)+L_cf)/2)/1000)/Bm_cf)+(((B_cf-cy2_cf)/2)+cy2_cf)*AM51*((wa_cf+wb_cf*((x2_cf-cx2_cf/2)-AM51/2)/1000)/Bm_cf)+PI()*AM51^2/4*((wa_cf+wb_cf*((x2_cf-cx2_cf/2)-4*AM51/(3*PI()))/1000)/Bm_cf))/1E6)*1000/(((L_cf-x2_cf-cx2_cf/2)+cx2_cf+((B_cf-cy2_cf)/2)+cy2_cf+PI()*AM51/2)*dp_cf)/(vRdc_p*2*dp_cf/AM51),0)</f>
        <v/>
      </c>
    </row>
    <row r="52">
      <c r="A52">
        <f>IF(E51&lt;F51,C51,A51)</f>
        <v/>
      </c>
      <c r="B52">
        <f>IF(E51&lt;F51,B51,D51)</f>
        <v/>
      </c>
      <c r="C52">
        <f>B52-((SQRT(5)-1)/2)*(B52-A52)</f>
        <v/>
      </c>
      <c r="D52">
        <f>A52+((SQRT(5)-1)/2)*(B52-A52)</f>
        <v/>
      </c>
      <c r="E52">
        <f>IFERROR(beta_cf*MAX(0,P1_cf-(((x1_cf-cx1_cf/2)+cx1_cf)*(cy1_cf+2*C52)*((wa_cf+wb_cf*((x1_cf+cx1_cf/2)/2)/1000)/Bm_cf)+cy1_cf*C52*((wa_cf+wb_cf*((x1_cf+cx1_cf/2)+C52/2)/1000)/Bm_cf)+PI()*C52^2/2*((wa_cf+wb_cf*((x1_cf+cx1_cf/2)+4*C52/(3*PI()))/1000)/Bm_cf))/1E6)*1000/((cy1_cf+PI()*C52+2*((x1_cf-cx1_cf/2)+cx1_cf))*dp_cf)/(vRdc_p*2*dp_cf/C52),0)</f>
        <v/>
      </c>
      <c r="F52">
        <f>IFERROR(beta_cf*MAX(0,P1_cf-(((x1_cf-cx1_cf/2)+cx1_cf)*(cy1_cf+2*D52)*((wa_cf+wb_cf*((x1_cf+cx1_cf/2)/2)/1000)/Bm_cf)+cy1_cf*D52*((wa_cf+wb_cf*((x1_cf+cx1_cf/2)+D52/2)/1000)/Bm_cf)+PI()*D52^2/2*((wa_cf+wb_cf*((x1_cf+cx1_cf/2)+4*D52/(3*PI()))/1000)/Bm_cf))/1E6)*1000/((cy1_cf+PI()*D52+2*((x1_cf-cx1_cf/2)+cx1_cf))*dp_cf)/(vRdc_p*2*dp_cf/D52),0)</f>
        <v/>
      </c>
      <c r="H52">
        <f>IF(L51&lt;M51,J51,H51)</f>
        <v/>
      </c>
      <c r="I52">
        <f>IF(L51&lt;M51,I51,K51)</f>
        <v/>
      </c>
      <c r="J52">
        <f>I52-((SQRT(5)-1)/2)*(I52-H52)</f>
        <v/>
      </c>
      <c r="K52">
        <f>H52+((SQRT(5)-1)/2)*(I52-H52)</f>
        <v/>
      </c>
      <c r="L52">
        <f>IFERROR(beta_cf*MAX(0,P1_cf-(((cx1_cf+2*J52)*(((B_cf-cy1_cf)/2)+cy1_cf)+cx1_cf*J52+PI()*J52^2/2)*((wa_cf+wb_cf*(x1_cf)/1000)/Bm_cf))/1E6)*1000/((cx1_cf+PI()*J52+2*(((B_cf-cy1_cf)/2)+cy1_cf))*dp_cf)/(vRdc_p*2*dp_cf/J52),0)</f>
        <v/>
      </c>
      <c r="M52">
        <f>IFERROR(beta_cf*MAX(0,P1_cf-(((cx1_cf+2*K52)*(((B_cf-cy1_cf)/2)+cy1_cf)+cx1_cf*K52+PI()*K52^2/2)*((wa_cf+wb_cf*(x1_cf)/1000)/Bm_cf))/1E6)*1000/((cx1_cf+PI()*K52+2*(((B_cf-cy1_cf)/2)+cy1_cf))*dp_cf)/(vRdc_p*2*dp_cf/K52),0)</f>
        <v/>
      </c>
      <c r="O52">
        <f>IF(S51&lt;T51,Q51,O51)</f>
        <v/>
      </c>
      <c r="P52">
        <f>IF(S51&lt;T51,P51,R51)</f>
        <v/>
      </c>
      <c r="Q52">
        <f>P52-((SQRT(5)-1)/2)*(P52-O52)</f>
        <v/>
      </c>
      <c r="R52">
        <f>O52+((SQRT(5)-1)/2)*(P52-O52)</f>
        <v/>
      </c>
      <c r="S52">
        <f>IFERROR(beta_cf*MAX(0,P1_cf-(((x1_cf-cx1_cf/2)+cx1_cf)*(((B_cf-cy1_cf)/2)+cy1_cf+Q52)*((wa_cf+wb_cf*((x1_cf+cx1_cf/2)/2)/1000)/Bm_cf)+(((B_cf-cy1_cf)/2)+cy1_cf)*Q52*((wa_cf+wb_cf*((x1_cf+cx1_cf/2)+Q52/2)/1000)/Bm_cf)+PI()*Q52^2/4*((wa_cf+wb_cf*((x1_cf+cx1_cf/2)+4*Q52/(3*PI()))/1000)/Bm_cf))/1E6)*1000/(((x1_cf-cx1_cf/2)+cx1_cf+((B_cf-cy1_cf)/2)+cy1_cf+PI()*Q52/2)*dp_cf)/(vRdc_p*2*dp_cf/Q52),0)</f>
        <v/>
      </c>
      <c r="T52">
        <f>IFERROR(beta_cf*MAX(0,P1_cf-(((x1_cf-cx1_cf/2)+cx1_cf)*(((B_cf-cy1_cf)/2)+cy1_cf+R52)*((wa_cf+wb_cf*((x1_cf+cx1_cf/2)/2)/1000)/Bm_cf)+(((B_cf-cy1_cf)/2)+cy1_cf)*R52*((wa_cf+wb_cf*((x1_cf+cx1_cf/2)+R52/2)/1000)/Bm_cf)+PI()*R52^2/4*((wa_cf+wb_cf*((x1_cf+cx1_cf/2)+4*R52/(3*PI()))/1000)/Bm_cf))/1E6)*1000/(((x1_cf-cx1_cf/2)+cx1_cf+((B_cf-cy1_cf)/2)+cy1_cf+PI()*R52/2)*dp_cf)/(vRdc_p*2*dp_cf/R52),0)</f>
        <v/>
      </c>
      <c r="V52">
        <f>IF(Z51&lt;AA51,X51,V51)</f>
        <v/>
      </c>
      <c r="W52">
        <f>IF(Z51&lt;AA51,W51,Y51)</f>
        <v/>
      </c>
      <c r="X52">
        <f>W52-((SQRT(5)-1)/2)*(W52-V52)</f>
        <v/>
      </c>
      <c r="Y52">
        <f>V52+((SQRT(5)-1)/2)*(W52-V52)</f>
        <v/>
      </c>
      <c r="Z52">
        <f>IFERROR(beta_cf*MAX(0,P2_cf-(((L_cf-x2_cf-cx2_cf/2)+cx2_cf)*(cy2_cf+2*X52)*((wa_cf+wb_cf*(((x2_cf-cx2_cf/2)+L_cf)/2)/1000)/Bm_cf)+cy2_cf*X52*((wa_cf+wb_cf*((x2_cf-cx2_cf/2)-X52/2)/1000)/Bm_cf)+PI()*X52^2/2*((wa_cf+wb_cf*((x2_cf-cx2_cf/2)-4*X52/(3*PI()))/1000)/Bm_cf))/1E6)*1000/((cy2_cf+PI()*X52+2*((L_cf-x2_cf-cx2_cf/2)+cx2_cf))*dp_cf)/(vRdc_p*2*dp_cf/X52),0)</f>
        <v/>
      </c>
      <c r="AA52">
        <f>IFERROR(beta_cf*MAX(0,P2_cf-(((L_cf-x2_cf-cx2_cf/2)+cx2_cf)*(cy2_cf+2*Y52)*((wa_cf+wb_cf*(((x2_cf-cx2_cf/2)+L_cf)/2)/1000)/Bm_cf)+cy2_cf*Y52*((wa_cf+wb_cf*((x2_cf-cx2_cf/2)-Y52/2)/1000)/Bm_cf)+PI()*Y52^2/2*((wa_cf+wb_cf*((x2_cf-cx2_cf/2)-4*Y52/(3*PI()))/1000)/Bm_cf))/1E6)*1000/((cy2_cf+PI()*Y52+2*((L_cf-x2_cf-cx2_cf/2)+cx2_cf))*dp_cf)/(vRdc_p*2*dp_cf/Y52),0)</f>
        <v/>
      </c>
      <c r="AC52">
        <f>IF(AG51&lt;AH51,AE51,AC51)</f>
        <v/>
      </c>
      <c r="AD52">
        <f>IF(AG51&lt;AH51,AD51,AF51)</f>
        <v/>
      </c>
      <c r="AE52">
        <f>AD52-((SQRT(5)-1)/2)*(AD52-AC52)</f>
        <v/>
      </c>
      <c r="AF52">
        <f>AC52+((SQRT(5)-1)/2)*(AD52-AC52)</f>
        <v/>
      </c>
      <c r="AG52">
        <f>IFERROR(beta_cf*MAX(0,P2_cf-(((cx2_cf+2*AE52)*(((B_cf-cy2_cf)/2)+cy2_cf)+cx2_cf*AE52+PI()*AE52^2/2)*((wa_cf+wb_cf*(x2_cf)/1000)/Bm_cf))/1E6)*1000/((cx2_cf+PI()*AE52+2*(((B_cf-cy2_cf)/2)+cy2_cf))*dp_cf)/(vRdc_p*2*dp_cf/AE52),0)</f>
        <v/>
      </c>
      <c r="AH52">
        <f>IFERROR(beta_cf*MAX(0,P2_cf-(((cx2_cf+2*AF52)*(((B_cf-cy2_cf)/2)+cy2_cf)+cx2_cf*AF52+PI()*AF52^2/2)*((wa_cf+wb_cf*(x2_cf)/1000)/Bm_cf))/1E6)*1000/((cx2_cf+PI()*AF52+2*(((B_cf-cy2_cf)/2)+cy2_cf))*dp_cf)/(vRdc_p*2*dp_cf/AF52),0)</f>
        <v/>
      </c>
      <c r="AJ52">
        <f>IF(AN51&lt;AO51,AL51,AJ51)</f>
        <v/>
      </c>
      <c r="AK52">
        <f>IF(AN51&lt;AO51,AK51,AM51)</f>
        <v/>
      </c>
      <c r="AL52">
        <f>AK52-((SQRT(5)-1)/2)*(AK52-AJ52)</f>
        <v/>
      </c>
      <c r="AM52">
        <f>AJ52+((SQRT(5)-1)/2)*(AK52-AJ52)</f>
        <v/>
      </c>
      <c r="AN52">
        <f>IFERROR(beta_cf*MAX(0,P2_cf-(((L_cf-x2_cf-cx2_cf/2)+cx2_cf)*(((B_cf-cy2_cf)/2)+cy2_cf+AL52)*((wa_cf+wb_cf*(((x2_cf-cx2_cf/2)+L_cf)/2)/1000)/Bm_cf)+(((B_cf-cy2_cf)/2)+cy2_cf)*AL52*((wa_cf+wb_cf*((x2_cf-cx2_cf/2)-AL52/2)/1000)/Bm_cf)+PI()*AL52^2/4*((wa_cf+wb_cf*((x2_cf-cx2_cf/2)-4*AL52/(3*PI()))/1000)/Bm_cf))/1E6)*1000/(((L_cf-x2_cf-cx2_cf/2)+cx2_cf+((B_cf-cy2_cf)/2)+cy2_cf+PI()*AL52/2)*dp_cf)/(vRdc_p*2*dp_cf/AL52),0)</f>
        <v/>
      </c>
      <c r="AO52">
        <f>IFERROR(beta_cf*MAX(0,P2_cf-(((L_cf-x2_cf-cx2_cf/2)+cx2_cf)*(((B_cf-cy2_cf)/2)+cy2_cf+AM52)*((wa_cf+wb_cf*(((x2_cf-cx2_cf/2)+L_cf)/2)/1000)/Bm_cf)+(((B_cf-cy2_cf)/2)+cy2_cf)*AM52*((wa_cf+wb_cf*((x2_cf-cx2_cf/2)-AM52/2)/1000)/Bm_cf)+PI()*AM52^2/4*((wa_cf+wb_cf*((x2_cf-cx2_cf/2)-4*AM52/(3*PI()))/1000)/Bm_cf))/1E6)*1000/(((L_cf-x2_cf-cx2_cf/2)+cx2_cf+((B_cf-cy2_cf)/2)+cy2_cf+PI()*AM52/2)*dp_cf)/(vRdc_p*2*dp_cf/AM52),0)</f>
        <v/>
      </c>
    </row>
    <row r="53">
      <c r="A53">
        <f>IF(E52&lt;F52,C52,A52)</f>
        <v/>
      </c>
      <c r="B53">
        <f>IF(E52&lt;F52,B52,D52)</f>
        <v/>
      </c>
      <c r="C53">
        <f>B53-((SQRT(5)-1)/2)*(B53-A53)</f>
        <v/>
      </c>
      <c r="D53">
        <f>A53+((SQRT(5)-1)/2)*(B53-A53)</f>
        <v/>
      </c>
      <c r="E53">
        <f>IFERROR(beta_cf*MAX(0,P1_cf-(((x1_cf-cx1_cf/2)+cx1_cf)*(cy1_cf+2*C53)*((wa_cf+wb_cf*((x1_cf+cx1_cf/2)/2)/1000)/Bm_cf)+cy1_cf*C53*((wa_cf+wb_cf*((x1_cf+cx1_cf/2)+C53/2)/1000)/Bm_cf)+PI()*C53^2/2*((wa_cf+wb_cf*((x1_cf+cx1_cf/2)+4*C53/(3*PI()))/1000)/Bm_cf))/1E6)*1000/((cy1_cf+PI()*C53+2*((x1_cf-cx1_cf/2)+cx1_cf))*dp_cf)/(vRdc_p*2*dp_cf/C53),0)</f>
        <v/>
      </c>
      <c r="F53">
        <f>IFERROR(beta_cf*MAX(0,P1_cf-(((x1_cf-cx1_cf/2)+cx1_cf)*(cy1_cf+2*D53)*((wa_cf+wb_cf*((x1_cf+cx1_cf/2)/2)/1000)/Bm_cf)+cy1_cf*D53*((wa_cf+wb_cf*((x1_cf+cx1_cf/2)+D53/2)/1000)/Bm_cf)+PI()*D53^2/2*((wa_cf+wb_cf*((x1_cf+cx1_cf/2)+4*D53/(3*PI()))/1000)/Bm_cf))/1E6)*1000/((cy1_cf+PI()*D53+2*((x1_cf-cx1_cf/2)+cx1_cf))*dp_cf)/(vRdc_p*2*dp_cf/D53),0)</f>
        <v/>
      </c>
      <c r="H53">
        <f>IF(L52&lt;M52,J52,H52)</f>
        <v/>
      </c>
      <c r="I53">
        <f>IF(L52&lt;M52,I52,K52)</f>
        <v/>
      </c>
      <c r="J53">
        <f>I53-((SQRT(5)-1)/2)*(I53-H53)</f>
        <v/>
      </c>
      <c r="K53">
        <f>H53+((SQRT(5)-1)/2)*(I53-H53)</f>
        <v/>
      </c>
      <c r="L53">
        <f>IFERROR(beta_cf*MAX(0,P1_cf-(((cx1_cf+2*J53)*(((B_cf-cy1_cf)/2)+cy1_cf)+cx1_cf*J53+PI()*J53^2/2)*((wa_cf+wb_cf*(x1_cf)/1000)/Bm_cf))/1E6)*1000/((cx1_cf+PI()*J53+2*(((B_cf-cy1_cf)/2)+cy1_cf))*dp_cf)/(vRdc_p*2*dp_cf/J53),0)</f>
        <v/>
      </c>
      <c r="M53">
        <f>IFERROR(beta_cf*MAX(0,P1_cf-(((cx1_cf+2*K53)*(((B_cf-cy1_cf)/2)+cy1_cf)+cx1_cf*K53+PI()*K53^2/2)*((wa_cf+wb_cf*(x1_cf)/1000)/Bm_cf))/1E6)*1000/((cx1_cf+PI()*K53+2*(((B_cf-cy1_cf)/2)+cy1_cf))*dp_cf)/(vRdc_p*2*dp_cf/K53),0)</f>
        <v/>
      </c>
      <c r="O53">
        <f>IF(S52&lt;T52,Q52,O52)</f>
        <v/>
      </c>
      <c r="P53">
        <f>IF(S52&lt;T52,P52,R52)</f>
        <v/>
      </c>
      <c r="Q53">
        <f>P53-((SQRT(5)-1)/2)*(P53-O53)</f>
        <v/>
      </c>
      <c r="R53">
        <f>O53+((SQRT(5)-1)/2)*(P53-O53)</f>
        <v/>
      </c>
      <c r="S53">
        <f>IFERROR(beta_cf*MAX(0,P1_cf-(((x1_cf-cx1_cf/2)+cx1_cf)*(((B_cf-cy1_cf)/2)+cy1_cf+Q53)*((wa_cf+wb_cf*((x1_cf+cx1_cf/2)/2)/1000)/Bm_cf)+(((B_cf-cy1_cf)/2)+cy1_cf)*Q53*((wa_cf+wb_cf*((x1_cf+cx1_cf/2)+Q53/2)/1000)/Bm_cf)+PI()*Q53^2/4*((wa_cf+wb_cf*((x1_cf+cx1_cf/2)+4*Q53/(3*PI()))/1000)/Bm_cf))/1E6)*1000/(((x1_cf-cx1_cf/2)+cx1_cf+((B_cf-cy1_cf)/2)+cy1_cf+PI()*Q53/2)*dp_cf)/(vRdc_p*2*dp_cf/Q53),0)</f>
        <v/>
      </c>
      <c r="T53">
        <f>IFERROR(beta_cf*MAX(0,P1_cf-(((x1_cf-cx1_cf/2)+cx1_cf)*(((B_cf-cy1_cf)/2)+cy1_cf+R53)*((wa_cf+wb_cf*((x1_cf+cx1_cf/2)/2)/1000)/Bm_cf)+(((B_cf-cy1_cf)/2)+cy1_cf)*R53*((wa_cf+wb_cf*((x1_cf+cx1_cf/2)+R53/2)/1000)/Bm_cf)+PI()*R53^2/4*((wa_cf+wb_cf*((x1_cf+cx1_cf/2)+4*R53/(3*PI()))/1000)/Bm_cf))/1E6)*1000/(((x1_cf-cx1_cf/2)+cx1_cf+((B_cf-cy1_cf)/2)+cy1_cf+PI()*R53/2)*dp_cf)/(vRdc_p*2*dp_cf/R53),0)</f>
        <v/>
      </c>
      <c r="V53">
        <f>IF(Z52&lt;AA52,X52,V52)</f>
        <v/>
      </c>
      <c r="W53">
        <f>IF(Z52&lt;AA52,W52,Y52)</f>
        <v/>
      </c>
      <c r="X53">
        <f>W53-((SQRT(5)-1)/2)*(W53-V53)</f>
        <v/>
      </c>
      <c r="Y53">
        <f>V53+((SQRT(5)-1)/2)*(W53-V53)</f>
        <v/>
      </c>
      <c r="Z53">
        <f>IFERROR(beta_cf*MAX(0,P2_cf-(((L_cf-x2_cf-cx2_cf/2)+cx2_cf)*(cy2_cf+2*X53)*((wa_cf+wb_cf*(((x2_cf-cx2_cf/2)+L_cf)/2)/1000)/Bm_cf)+cy2_cf*X53*((wa_cf+wb_cf*((x2_cf-cx2_cf/2)-X53/2)/1000)/Bm_cf)+PI()*X53^2/2*((wa_cf+wb_cf*((x2_cf-cx2_cf/2)-4*X53/(3*PI()))/1000)/Bm_cf))/1E6)*1000/((cy2_cf+PI()*X53+2*((L_cf-x2_cf-cx2_cf/2)+cx2_cf))*dp_cf)/(vRdc_p*2*dp_cf/X53),0)</f>
        <v/>
      </c>
      <c r="AA53">
        <f>IFERROR(beta_cf*MAX(0,P2_cf-(((L_cf-x2_cf-cx2_cf/2)+cx2_cf)*(cy2_cf+2*Y53)*((wa_cf+wb_cf*(((x2_cf-cx2_cf/2)+L_cf)/2)/1000)/Bm_cf)+cy2_cf*Y53*((wa_cf+wb_cf*((x2_cf-cx2_cf/2)-Y53/2)/1000)/Bm_cf)+PI()*Y53^2/2*((wa_cf+wb_cf*((x2_cf-cx2_cf/2)-4*Y53/(3*PI()))/1000)/Bm_cf))/1E6)*1000/((cy2_cf+PI()*Y53+2*((L_cf-x2_cf-cx2_cf/2)+cx2_cf))*dp_cf)/(vRdc_p*2*dp_cf/Y53),0)</f>
        <v/>
      </c>
      <c r="AC53">
        <f>IF(AG52&lt;AH52,AE52,AC52)</f>
        <v/>
      </c>
      <c r="AD53">
        <f>IF(AG52&lt;AH52,AD52,AF52)</f>
        <v/>
      </c>
      <c r="AE53">
        <f>AD53-((SQRT(5)-1)/2)*(AD53-AC53)</f>
        <v/>
      </c>
      <c r="AF53">
        <f>AC53+((SQRT(5)-1)/2)*(AD53-AC53)</f>
        <v/>
      </c>
      <c r="AG53">
        <f>IFERROR(beta_cf*MAX(0,P2_cf-(((cx2_cf+2*AE53)*(((B_cf-cy2_cf)/2)+cy2_cf)+cx2_cf*AE53+PI()*AE53^2/2)*((wa_cf+wb_cf*(x2_cf)/1000)/Bm_cf))/1E6)*1000/((cx2_cf+PI()*AE53+2*(((B_cf-cy2_cf)/2)+cy2_cf))*dp_cf)/(vRdc_p*2*dp_cf/AE53),0)</f>
        <v/>
      </c>
      <c r="AH53">
        <f>IFERROR(beta_cf*MAX(0,P2_cf-(((cx2_cf+2*AF53)*(((B_cf-cy2_cf)/2)+cy2_cf)+cx2_cf*AF53+PI()*AF53^2/2)*((wa_cf+wb_cf*(x2_cf)/1000)/Bm_cf))/1E6)*1000/((cx2_cf+PI()*AF53+2*(((B_cf-cy2_cf)/2)+cy2_cf))*dp_cf)/(vRdc_p*2*dp_cf/AF53),0)</f>
        <v/>
      </c>
      <c r="AJ53">
        <f>IF(AN52&lt;AO52,AL52,AJ52)</f>
        <v/>
      </c>
      <c r="AK53">
        <f>IF(AN52&lt;AO52,AK52,AM52)</f>
        <v/>
      </c>
      <c r="AL53">
        <f>AK53-((SQRT(5)-1)/2)*(AK53-AJ53)</f>
        <v/>
      </c>
      <c r="AM53">
        <f>AJ53+((SQRT(5)-1)/2)*(AK53-AJ53)</f>
        <v/>
      </c>
      <c r="AN53">
        <f>IFERROR(beta_cf*MAX(0,P2_cf-(((L_cf-x2_cf-cx2_cf/2)+cx2_cf)*(((B_cf-cy2_cf)/2)+cy2_cf+AL53)*((wa_cf+wb_cf*(((x2_cf-cx2_cf/2)+L_cf)/2)/1000)/Bm_cf)+(((B_cf-cy2_cf)/2)+cy2_cf)*AL53*((wa_cf+wb_cf*((x2_cf-cx2_cf/2)-AL53/2)/1000)/Bm_cf)+PI()*AL53^2/4*((wa_cf+wb_cf*((x2_cf-cx2_cf/2)-4*AL53/(3*PI()))/1000)/Bm_cf))/1E6)*1000/(((L_cf-x2_cf-cx2_cf/2)+cx2_cf+((B_cf-cy2_cf)/2)+cy2_cf+PI()*AL53/2)*dp_cf)/(vRdc_p*2*dp_cf/AL53),0)</f>
        <v/>
      </c>
      <c r="AO53">
        <f>IFERROR(beta_cf*MAX(0,P2_cf-(((L_cf-x2_cf-cx2_cf/2)+cx2_cf)*(((B_cf-cy2_cf)/2)+cy2_cf+AM53)*((wa_cf+wb_cf*(((x2_cf-cx2_cf/2)+L_cf)/2)/1000)/Bm_cf)+(((B_cf-cy2_cf)/2)+cy2_cf)*AM53*((wa_cf+wb_cf*((x2_cf-cx2_cf/2)-AM53/2)/1000)/Bm_cf)+PI()*AM53^2/4*((wa_cf+wb_cf*((x2_cf-cx2_cf/2)-4*AM53/(3*PI()))/1000)/Bm_cf))/1E6)*1000/(((L_cf-x2_cf-cx2_cf/2)+cx2_cf+((B_cf-cy2_cf)/2)+cy2_cf+PI()*AM53/2)*dp_cf)/(vRdc_p*2*dp_cf/AM53),0)</f>
        <v/>
      </c>
    </row>
    <row r="54">
      <c r="A54">
        <f>IF(E53&lt;F53,C53,A53)</f>
        <v/>
      </c>
      <c r="B54">
        <f>IF(E53&lt;F53,B53,D53)</f>
        <v/>
      </c>
      <c r="C54">
        <f>B54-((SQRT(5)-1)/2)*(B54-A54)</f>
        <v/>
      </c>
      <c r="D54">
        <f>A54+((SQRT(5)-1)/2)*(B54-A54)</f>
        <v/>
      </c>
      <c r="E54">
        <f>IFERROR(beta_cf*MAX(0,P1_cf-(((x1_cf-cx1_cf/2)+cx1_cf)*(cy1_cf+2*C54)*((wa_cf+wb_cf*((x1_cf+cx1_cf/2)/2)/1000)/Bm_cf)+cy1_cf*C54*((wa_cf+wb_cf*((x1_cf+cx1_cf/2)+C54/2)/1000)/Bm_cf)+PI()*C54^2/2*((wa_cf+wb_cf*((x1_cf+cx1_cf/2)+4*C54/(3*PI()))/1000)/Bm_cf))/1E6)*1000/((cy1_cf+PI()*C54+2*((x1_cf-cx1_cf/2)+cx1_cf))*dp_cf)/(vRdc_p*2*dp_cf/C54),0)</f>
        <v/>
      </c>
      <c r="F54">
        <f>IFERROR(beta_cf*MAX(0,P1_cf-(((x1_cf-cx1_cf/2)+cx1_cf)*(cy1_cf+2*D54)*((wa_cf+wb_cf*((x1_cf+cx1_cf/2)/2)/1000)/Bm_cf)+cy1_cf*D54*((wa_cf+wb_cf*((x1_cf+cx1_cf/2)+D54/2)/1000)/Bm_cf)+PI()*D54^2/2*((wa_cf+wb_cf*((x1_cf+cx1_cf/2)+4*D54/(3*PI()))/1000)/Bm_cf))/1E6)*1000/((cy1_cf+PI()*D54+2*((x1_cf-cx1_cf/2)+cx1_cf))*dp_cf)/(vRdc_p*2*dp_cf/D54),0)</f>
        <v/>
      </c>
      <c r="H54">
        <f>IF(L53&lt;M53,J53,H53)</f>
        <v/>
      </c>
      <c r="I54">
        <f>IF(L53&lt;M53,I53,K53)</f>
        <v/>
      </c>
      <c r="J54">
        <f>I54-((SQRT(5)-1)/2)*(I54-H54)</f>
        <v/>
      </c>
      <c r="K54">
        <f>H54+((SQRT(5)-1)/2)*(I54-H54)</f>
        <v/>
      </c>
      <c r="L54">
        <f>IFERROR(beta_cf*MAX(0,P1_cf-(((cx1_cf+2*J54)*(((B_cf-cy1_cf)/2)+cy1_cf)+cx1_cf*J54+PI()*J54^2/2)*((wa_cf+wb_cf*(x1_cf)/1000)/Bm_cf))/1E6)*1000/((cx1_cf+PI()*J54+2*(((B_cf-cy1_cf)/2)+cy1_cf))*dp_cf)/(vRdc_p*2*dp_cf/J54),0)</f>
        <v/>
      </c>
      <c r="M54">
        <f>IFERROR(beta_cf*MAX(0,P1_cf-(((cx1_cf+2*K54)*(((B_cf-cy1_cf)/2)+cy1_cf)+cx1_cf*K54+PI()*K54^2/2)*((wa_cf+wb_cf*(x1_cf)/1000)/Bm_cf))/1E6)*1000/((cx1_cf+PI()*K54+2*(((B_cf-cy1_cf)/2)+cy1_cf))*dp_cf)/(vRdc_p*2*dp_cf/K54),0)</f>
        <v/>
      </c>
      <c r="O54">
        <f>IF(S53&lt;T53,Q53,O53)</f>
        <v/>
      </c>
      <c r="P54">
        <f>IF(S53&lt;T53,P53,R53)</f>
        <v/>
      </c>
      <c r="Q54">
        <f>P54-((SQRT(5)-1)/2)*(P54-O54)</f>
        <v/>
      </c>
      <c r="R54">
        <f>O54+((SQRT(5)-1)/2)*(P54-O54)</f>
        <v/>
      </c>
      <c r="S54">
        <f>IFERROR(beta_cf*MAX(0,P1_cf-(((x1_cf-cx1_cf/2)+cx1_cf)*(((B_cf-cy1_cf)/2)+cy1_cf+Q54)*((wa_cf+wb_cf*((x1_cf+cx1_cf/2)/2)/1000)/Bm_cf)+(((B_cf-cy1_cf)/2)+cy1_cf)*Q54*((wa_cf+wb_cf*((x1_cf+cx1_cf/2)+Q54/2)/1000)/Bm_cf)+PI()*Q54^2/4*((wa_cf+wb_cf*((x1_cf+cx1_cf/2)+4*Q54/(3*PI()))/1000)/Bm_cf))/1E6)*1000/(((x1_cf-cx1_cf/2)+cx1_cf+((B_cf-cy1_cf)/2)+cy1_cf+PI()*Q54/2)*dp_cf)/(vRdc_p*2*dp_cf/Q54),0)</f>
        <v/>
      </c>
      <c r="T54">
        <f>IFERROR(beta_cf*MAX(0,P1_cf-(((x1_cf-cx1_cf/2)+cx1_cf)*(((B_cf-cy1_cf)/2)+cy1_cf+R54)*((wa_cf+wb_cf*((x1_cf+cx1_cf/2)/2)/1000)/Bm_cf)+(((B_cf-cy1_cf)/2)+cy1_cf)*R54*((wa_cf+wb_cf*((x1_cf+cx1_cf/2)+R54/2)/1000)/Bm_cf)+PI()*R54^2/4*((wa_cf+wb_cf*((x1_cf+cx1_cf/2)+4*R54/(3*PI()))/1000)/Bm_cf))/1E6)*1000/(((x1_cf-cx1_cf/2)+cx1_cf+((B_cf-cy1_cf)/2)+cy1_cf+PI()*R54/2)*dp_cf)/(vRdc_p*2*dp_cf/R54),0)</f>
        <v/>
      </c>
      <c r="V54">
        <f>IF(Z53&lt;AA53,X53,V53)</f>
        <v/>
      </c>
      <c r="W54">
        <f>IF(Z53&lt;AA53,W53,Y53)</f>
        <v/>
      </c>
      <c r="X54">
        <f>W54-((SQRT(5)-1)/2)*(W54-V54)</f>
        <v/>
      </c>
      <c r="Y54">
        <f>V54+((SQRT(5)-1)/2)*(W54-V54)</f>
        <v/>
      </c>
      <c r="Z54">
        <f>IFERROR(beta_cf*MAX(0,P2_cf-(((L_cf-x2_cf-cx2_cf/2)+cx2_cf)*(cy2_cf+2*X54)*((wa_cf+wb_cf*(((x2_cf-cx2_cf/2)+L_cf)/2)/1000)/Bm_cf)+cy2_cf*X54*((wa_cf+wb_cf*((x2_cf-cx2_cf/2)-X54/2)/1000)/Bm_cf)+PI()*X54^2/2*((wa_cf+wb_cf*((x2_cf-cx2_cf/2)-4*X54/(3*PI()))/1000)/Bm_cf))/1E6)*1000/((cy2_cf+PI()*X54+2*((L_cf-x2_cf-cx2_cf/2)+cx2_cf))*dp_cf)/(vRdc_p*2*dp_cf/X54),0)</f>
        <v/>
      </c>
      <c r="AA54">
        <f>IFERROR(beta_cf*MAX(0,P2_cf-(((L_cf-x2_cf-cx2_cf/2)+cx2_cf)*(cy2_cf+2*Y54)*((wa_cf+wb_cf*(((x2_cf-cx2_cf/2)+L_cf)/2)/1000)/Bm_cf)+cy2_cf*Y54*((wa_cf+wb_cf*((x2_cf-cx2_cf/2)-Y54/2)/1000)/Bm_cf)+PI()*Y54^2/2*((wa_cf+wb_cf*((x2_cf-cx2_cf/2)-4*Y54/(3*PI()))/1000)/Bm_cf))/1E6)*1000/((cy2_cf+PI()*Y54+2*((L_cf-x2_cf-cx2_cf/2)+cx2_cf))*dp_cf)/(vRdc_p*2*dp_cf/Y54),0)</f>
        <v/>
      </c>
      <c r="AC54">
        <f>IF(AG53&lt;AH53,AE53,AC53)</f>
        <v/>
      </c>
      <c r="AD54">
        <f>IF(AG53&lt;AH53,AD53,AF53)</f>
        <v/>
      </c>
      <c r="AE54">
        <f>AD54-((SQRT(5)-1)/2)*(AD54-AC54)</f>
        <v/>
      </c>
      <c r="AF54">
        <f>AC54+((SQRT(5)-1)/2)*(AD54-AC54)</f>
        <v/>
      </c>
      <c r="AG54">
        <f>IFERROR(beta_cf*MAX(0,P2_cf-(((cx2_cf+2*AE54)*(((B_cf-cy2_cf)/2)+cy2_cf)+cx2_cf*AE54+PI()*AE54^2/2)*((wa_cf+wb_cf*(x2_cf)/1000)/Bm_cf))/1E6)*1000/((cx2_cf+PI()*AE54+2*(((B_cf-cy2_cf)/2)+cy2_cf))*dp_cf)/(vRdc_p*2*dp_cf/AE54),0)</f>
        <v/>
      </c>
      <c r="AH54">
        <f>IFERROR(beta_cf*MAX(0,P2_cf-(((cx2_cf+2*AF54)*(((B_cf-cy2_cf)/2)+cy2_cf)+cx2_cf*AF54+PI()*AF54^2/2)*((wa_cf+wb_cf*(x2_cf)/1000)/Bm_cf))/1E6)*1000/((cx2_cf+PI()*AF54+2*(((B_cf-cy2_cf)/2)+cy2_cf))*dp_cf)/(vRdc_p*2*dp_cf/AF54),0)</f>
        <v/>
      </c>
      <c r="AJ54">
        <f>IF(AN53&lt;AO53,AL53,AJ53)</f>
        <v/>
      </c>
      <c r="AK54">
        <f>IF(AN53&lt;AO53,AK53,AM53)</f>
        <v/>
      </c>
      <c r="AL54">
        <f>AK54-((SQRT(5)-1)/2)*(AK54-AJ54)</f>
        <v/>
      </c>
      <c r="AM54">
        <f>AJ54+((SQRT(5)-1)/2)*(AK54-AJ54)</f>
        <v/>
      </c>
      <c r="AN54">
        <f>IFERROR(beta_cf*MAX(0,P2_cf-(((L_cf-x2_cf-cx2_cf/2)+cx2_cf)*(((B_cf-cy2_cf)/2)+cy2_cf+AL54)*((wa_cf+wb_cf*(((x2_cf-cx2_cf/2)+L_cf)/2)/1000)/Bm_cf)+(((B_cf-cy2_cf)/2)+cy2_cf)*AL54*((wa_cf+wb_cf*((x2_cf-cx2_cf/2)-AL54/2)/1000)/Bm_cf)+PI()*AL54^2/4*((wa_cf+wb_cf*((x2_cf-cx2_cf/2)-4*AL54/(3*PI()))/1000)/Bm_cf))/1E6)*1000/(((L_cf-x2_cf-cx2_cf/2)+cx2_cf+((B_cf-cy2_cf)/2)+cy2_cf+PI()*AL54/2)*dp_cf)/(vRdc_p*2*dp_cf/AL54),0)</f>
        <v/>
      </c>
      <c r="AO54">
        <f>IFERROR(beta_cf*MAX(0,P2_cf-(((L_cf-x2_cf-cx2_cf/2)+cx2_cf)*(((B_cf-cy2_cf)/2)+cy2_cf+AM54)*((wa_cf+wb_cf*(((x2_cf-cx2_cf/2)+L_cf)/2)/1000)/Bm_cf)+(((B_cf-cy2_cf)/2)+cy2_cf)*AM54*((wa_cf+wb_cf*((x2_cf-cx2_cf/2)-AM54/2)/1000)/Bm_cf)+PI()*AM54^2/4*((wa_cf+wb_cf*((x2_cf-cx2_cf/2)-4*AM54/(3*PI()))/1000)/Bm_cf))/1E6)*1000/(((L_cf-x2_cf-cx2_cf/2)+cx2_cf+((B_cf-cy2_cf)/2)+cy2_cf+PI()*AM54/2)*dp_cf)/(vRdc_p*2*dp_cf/AM54),0)</f>
        <v/>
      </c>
    </row>
    <row r="55">
      <c r="A55">
        <f>IF(E54&lt;F54,C54,A54)</f>
        <v/>
      </c>
      <c r="B55">
        <f>IF(E54&lt;F54,B54,D54)</f>
        <v/>
      </c>
      <c r="C55">
        <f>B55-((SQRT(5)-1)/2)*(B55-A55)</f>
        <v/>
      </c>
      <c r="D55">
        <f>A55+((SQRT(5)-1)/2)*(B55-A55)</f>
        <v/>
      </c>
      <c r="E55">
        <f>IFERROR(beta_cf*MAX(0,P1_cf-(((x1_cf-cx1_cf/2)+cx1_cf)*(cy1_cf+2*C55)*((wa_cf+wb_cf*((x1_cf+cx1_cf/2)/2)/1000)/Bm_cf)+cy1_cf*C55*((wa_cf+wb_cf*((x1_cf+cx1_cf/2)+C55/2)/1000)/Bm_cf)+PI()*C55^2/2*((wa_cf+wb_cf*((x1_cf+cx1_cf/2)+4*C55/(3*PI()))/1000)/Bm_cf))/1E6)*1000/((cy1_cf+PI()*C55+2*((x1_cf-cx1_cf/2)+cx1_cf))*dp_cf)/(vRdc_p*2*dp_cf/C55),0)</f>
        <v/>
      </c>
      <c r="F55">
        <f>IFERROR(beta_cf*MAX(0,P1_cf-(((x1_cf-cx1_cf/2)+cx1_cf)*(cy1_cf+2*D55)*((wa_cf+wb_cf*((x1_cf+cx1_cf/2)/2)/1000)/Bm_cf)+cy1_cf*D55*((wa_cf+wb_cf*((x1_cf+cx1_cf/2)+D55/2)/1000)/Bm_cf)+PI()*D55^2/2*((wa_cf+wb_cf*((x1_cf+cx1_cf/2)+4*D55/(3*PI()))/1000)/Bm_cf))/1E6)*1000/((cy1_cf+PI()*D55+2*((x1_cf-cx1_cf/2)+cx1_cf))*dp_cf)/(vRdc_p*2*dp_cf/D55),0)</f>
        <v/>
      </c>
      <c r="H55">
        <f>IF(L54&lt;M54,J54,H54)</f>
        <v/>
      </c>
      <c r="I55">
        <f>IF(L54&lt;M54,I54,K54)</f>
        <v/>
      </c>
      <c r="J55">
        <f>I55-((SQRT(5)-1)/2)*(I55-H55)</f>
        <v/>
      </c>
      <c r="K55">
        <f>H55+((SQRT(5)-1)/2)*(I55-H55)</f>
        <v/>
      </c>
      <c r="L55">
        <f>IFERROR(beta_cf*MAX(0,P1_cf-(((cx1_cf+2*J55)*(((B_cf-cy1_cf)/2)+cy1_cf)+cx1_cf*J55+PI()*J55^2/2)*((wa_cf+wb_cf*(x1_cf)/1000)/Bm_cf))/1E6)*1000/((cx1_cf+PI()*J55+2*(((B_cf-cy1_cf)/2)+cy1_cf))*dp_cf)/(vRdc_p*2*dp_cf/J55),0)</f>
        <v/>
      </c>
      <c r="M55">
        <f>IFERROR(beta_cf*MAX(0,P1_cf-(((cx1_cf+2*K55)*(((B_cf-cy1_cf)/2)+cy1_cf)+cx1_cf*K55+PI()*K55^2/2)*((wa_cf+wb_cf*(x1_cf)/1000)/Bm_cf))/1E6)*1000/((cx1_cf+PI()*K55+2*(((B_cf-cy1_cf)/2)+cy1_cf))*dp_cf)/(vRdc_p*2*dp_cf/K55),0)</f>
        <v/>
      </c>
      <c r="O55">
        <f>IF(S54&lt;T54,Q54,O54)</f>
        <v/>
      </c>
      <c r="P55">
        <f>IF(S54&lt;T54,P54,R54)</f>
        <v/>
      </c>
      <c r="Q55">
        <f>P55-((SQRT(5)-1)/2)*(P55-O55)</f>
        <v/>
      </c>
      <c r="R55">
        <f>O55+((SQRT(5)-1)/2)*(P55-O55)</f>
        <v/>
      </c>
      <c r="S55">
        <f>IFERROR(beta_cf*MAX(0,P1_cf-(((x1_cf-cx1_cf/2)+cx1_cf)*(((B_cf-cy1_cf)/2)+cy1_cf+Q55)*((wa_cf+wb_cf*((x1_cf+cx1_cf/2)/2)/1000)/Bm_cf)+(((B_cf-cy1_cf)/2)+cy1_cf)*Q55*((wa_cf+wb_cf*((x1_cf+cx1_cf/2)+Q55/2)/1000)/Bm_cf)+PI()*Q55^2/4*((wa_cf+wb_cf*((x1_cf+cx1_cf/2)+4*Q55/(3*PI()))/1000)/Bm_cf))/1E6)*1000/(((x1_cf-cx1_cf/2)+cx1_cf+((B_cf-cy1_cf)/2)+cy1_cf+PI()*Q55/2)*dp_cf)/(vRdc_p*2*dp_cf/Q55),0)</f>
        <v/>
      </c>
      <c r="T55">
        <f>IFERROR(beta_cf*MAX(0,P1_cf-(((x1_cf-cx1_cf/2)+cx1_cf)*(((B_cf-cy1_cf)/2)+cy1_cf+R55)*((wa_cf+wb_cf*((x1_cf+cx1_cf/2)/2)/1000)/Bm_cf)+(((B_cf-cy1_cf)/2)+cy1_cf)*R55*((wa_cf+wb_cf*((x1_cf+cx1_cf/2)+R55/2)/1000)/Bm_cf)+PI()*R55^2/4*((wa_cf+wb_cf*((x1_cf+cx1_cf/2)+4*R55/(3*PI()))/1000)/Bm_cf))/1E6)*1000/(((x1_cf-cx1_cf/2)+cx1_cf+((B_cf-cy1_cf)/2)+cy1_cf+PI()*R55/2)*dp_cf)/(vRdc_p*2*dp_cf/R55),0)</f>
        <v/>
      </c>
      <c r="V55">
        <f>IF(Z54&lt;AA54,X54,V54)</f>
        <v/>
      </c>
      <c r="W55">
        <f>IF(Z54&lt;AA54,W54,Y54)</f>
        <v/>
      </c>
      <c r="X55">
        <f>W55-((SQRT(5)-1)/2)*(W55-V55)</f>
        <v/>
      </c>
      <c r="Y55">
        <f>V55+((SQRT(5)-1)/2)*(W55-V55)</f>
        <v/>
      </c>
      <c r="Z55">
        <f>IFERROR(beta_cf*MAX(0,P2_cf-(((L_cf-x2_cf-cx2_cf/2)+cx2_cf)*(cy2_cf+2*X55)*((wa_cf+wb_cf*(((x2_cf-cx2_cf/2)+L_cf)/2)/1000)/Bm_cf)+cy2_cf*X55*((wa_cf+wb_cf*((x2_cf-cx2_cf/2)-X55/2)/1000)/Bm_cf)+PI()*X55^2/2*((wa_cf+wb_cf*((x2_cf-cx2_cf/2)-4*X55/(3*PI()))/1000)/Bm_cf))/1E6)*1000/((cy2_cf+PI()*X55+2*((L_cf-x2_cf-cx2_cf/2)+cx2_cf))*dp_cf)/(vRdc_p*2*dp_cf/X55),0)</f>
        <v/>
      </c>
      <c r="AA55">
        <f>IFERROR(beta_cf*MAX(0,P2_cf-(((L_cf-x2_cf-cx2_cf/2)+cx2_cf)*(cy2_cf+2*Y55)*((wa_cf+wb_cf*(((x2_cf-cx2_cf/2)+L_cf)/2)/1000)/Bm_cf)+cy2_cf*Y55*((wa_cf+wb_cf*((x2_cf-cx2_cf/2)-Y55/2)/1000)/Bm_cf)+PI()*Y55^2/2*((wa_cf+wb_cf*((x2_cf-cx2_cf/2)-4*Y55/(3*PI()))/1000)/Bm_cf))/1E6)*1000/((cy2_cf+PI()*Y55+2*((L_cf-x2_cf-cx2_cf/2)+cx2_cf))*dp_cf)/(vRdc_p*2*dp_cf/Y55),0)</f>
        <v/>
      </c>
      <c r="AC55">
        <f>IF(AG54&lt;AH54,AE54,AC54)</f>
        <v/>
      </c>
      <c r="AD55">
        <f>IF(AG54&lt;AH54,AD54,AF54)</f>
        <v/>
      </c>
      <c r="AE55">
        <f>AD55-((SQRT(5)-1)/2)*(AD55-AC55)</f>
        <v/>
      </c>
      <c r="AF55">
        <f>AC55+((SQRT(5)-1)/2)*(AD55-AC55)</f>
        <v/>
      </c>
      <c r="AG55">
        <f>IFERROR(beta_cf*MAX(0,P2_cf-(((cx2_cf+2*AE55)*(((B_cf-cy2_cf)/2)+cy2_cf)+cx2_cf*AE55+PI()*AE55^2/2)*((wa_cf+wb_cf*(x2_cf)/1000)/Bm_cf))/1E6)*1000/((cx2_cf+PI()*AE55+2*(((B_cf-cy2_cf)/2)+cy2_cf))*dp_cf)/(vRdc_p*2*dp_cf/AE55),0)</f>
        <v/>
      </c>
      <c r="AH55">
        <f>IFERROR(beta_cf*MAX(0,P2_cf-(((cx2_cf+2*AF55)*(((B_cf-cy2_cf)/2)+cy2_cf)+cx2_cf*AF55+PI()*AF55^2/2)*((wa_cf+wb_cf*(x2_cf)/1000)/Bm_cf))/1E6)*1000/((cx2_cf+PI()*AF55+2*(((B_cf-cy2_cf)/2)+cy2_cf))*dp_cf)/(vRdc_p*2*dp_cf/AF55),0)</f>
        <v/>
      </c>
      <c r="AJ55">
        <f>IF(AN54&lt;AO54,AL54,AJ54)</f>
        <v/>
      </c>
      <c r="AK55">
        <f>IF(AN54&lt;AO54,AK54,AM54)</f>
        <v/>
      </c>
      <c r="AL55">
        <f>AK55-((SQRT(5)-1)/2)*(AK55-AJ55)</f>
        <v/>
      </c>
      <c r="AM55">
        <f>AJ55+((SQRT(5)-1)/2)*(AK55-AJ55)</f>
        <v/>
      </c>
      <c r="AN55">
        <f>IFERROR(beta_cf*MAX(0,P2_cf-(((L_cf-x2_cf-cx2_cf/2)+cx2_cf)*(((B_cf-cy2_cf)/2)+cy2_cf+AL55)*((wa_cf+wb_cf*(((x2_cf-cx2_cf/2)+L_cf)/2)/1000)/Bm_cf)+(((B_cf-cy2_cf)/2)+cy2_cf)*AL55*((wa_cf+wb_cf*((x2_cf-cx2_cf/2)-AL55/2)/1000)/Bm_cf)+PI()*AL55^2/4*((wa_cf+wb_cf*((x2_cf-cx2_cf/2)-4*AL55/(3*PI()))/1000)/Bm_cf))/1E6)*1000/(((L_cf-x2_cf-cx2_cf/2)+cx2_cf+((B_cf-cy2_cf)/2)+cy2_cf+PI()*AL55/2)*dp_cf)/(vRdc_p*2*dp_cf/AL55),0)</f>
        <v/>
      </c>
      <c r="AO55">
        <f>IFERROR(beta_cf*MAX(0,P2_cf-(((L_cf-x2_cf-cx2_cf/2)+cx2_cf)*(((B_cf-cy2_cf)/2)+cy2_cf+AM55)*((wa_cf+wb_cf*(((x2_cf-cx2_cf/2)+L_cf)/2)/1000)/Bm_cf)+(((B_cf-cy2_cf)/2)+cy2_cf)*AM55*((wa_cf+wb_cf*((x2_cf-cx2_cf/2)-AM55/2)/1000)/Bm_cf)+PI()*AM55^2/4*((wa_cf+wb_cf*((x2_cf-cx2_cf/2)-4*AM55/(3*PI()))/1000)/Bm_cf))/1E6)*1000/(((L_cf-x2_cf-cx2_cf/2)+cx2_cf+((B_cf-cy2_cf)/2)+cy2_cf+PI()*AM55/2)*dp_cf)/(vRdc_p*2*dp_cf/AM55),0)</f>
        <v/>
      </c>
    </row>
    <row r="56">
      <c r="A56">
        <f>IF(E55&lt;F55,C55,A55)</f>
        <v/>
      </c>
      <c r="B56">
        <f>IF(E55&lt;F55,B55,D55)</f>
        <v/>
      </c>
      <c r="C56">
        <f>B56-((SQRT(5)-1)/2)*(B56-A56)</f>
        <v/>
      </c>
      <c r="D56">
        <f>A56+((SQRT(5)-1)/2)*(B56-A56)</f>
        <v/>
      </c>
      <c r="E56">
        <f>IFERROR(beta_cf*MAX(0,P1_cf-(((x1_cf-cx1_cf/2)+cx1_cf)*(cy1_cf+2*C56)*((wa_cf+wb_cf*((x1_cf+cx1_cf/2)/2)/1000)/Bm_cf)+cy1_cf*C56*((wa_cf+wb_cf*((x1_cf+cx1_cf/2)+C56/2)/1000)/Bm_cf)+PI()*C56^2/2*((wa_cf+wb_cf*((x1_cf+cx1_cf/2)+4*C56/(3*PI()))/1000)/Bm_cf))/1E6)*1000/((cy1_cf+PI()*C56+2*((x1_cf-cx1_cf/2)+cx1_cf))*dp_cf)/(vRdc_p*2*dp_cf/C56),0)</f>
        <v/>
      </c>
      <c r="F56">
        <f>IFERROR(beta_cf*MAX(0,P1_cf-(((x1_cf-cx1_cf/2)+cx1_cf)*(cy1_cf+2*D56)*((wa_cf+wb_cf*((x1_cf+cx1_cf/2)/2)/1000)/Bm_cf)+cy1_cf*D56*((wa_cf+wb_cf*((x1_cf+cx1_cf/2)+D56/2)/1000)/Bm_cf)+PI()*D56^2/2*((wa_cf+wb_cf*((x1_cf+cx1_cf/2)+4*D56/(3*PI()))/1000)/Bm_cf))/1E6)*1000/((cy1_cf+PI()*D56+2*((x1_cf-cx1_cf/2)+cx1_cf))*dp_cf)/(vRdc_p*2*dp_cf/D56),0)</f>
        <v/>
      </c>
      <c r="H56">
        <f>IF(L55&lt;M55,J55,H55)</f>
        <v/>
      </c>
      <c r="I56">
        <f>IF(L55&lt;M55,I55,K55)</f>
        <v/>
      </c>
      <c r="J56">
        <f>I56-((SQRT(5)-1)/2)*(I56-H56)</f>
        <v/>
      </c>
      <c r="K56">
        <f>H56+((SQRT(5)-1)/2)*(I56-H56)</f>
        <v/>
      </c>
      <c r="L56">
        <f>IFERROR(beta_cf*MAX(0,P1_cf-(((cx1_cf+2*J56)*(((B_cf-cy1_cf)/2)+cy1_cf)+cx1_cf*J56+PI()*J56^2/2)*((wa_cf+wb_cf*(x1_cf)/1000)/Bm_cf))/1E6)*1000/((cx1_cf+PI()*J56+2*(((B_cf-cy1_cf)/2)+cy1_cf))*dp_cf)/(vRdc_p*2*dp_cf/J56),0)</f>
        <v/>
      </c>
      <c r="M56">
        <f>IFERROR(beta_cf*MAX(0,P1_cf-(((cx1_cf+2*K56)*(((B_cf-cy1_cf)/2)+cy1_cf)+cx1_cf*K56+PI()*K56^2/2)*((wa_cf+wb_cf*(x1_cf)/1000)/Bm_cf))/1E6)*1000/((cx1_cf+PI()*K56+2*(((B_cf-cy1_cf)/2)+cy1_cf))*dp_cf)/(vRdc_p*2*dp_cf/K56),0)</f>
        <v/>
      </c>
      <c r="O56">
        <f>IF(S55&lt;T55,Q55,O55)</f>
        <v/>
      </c>
      <c r="P56">
        <f>IF(S55&lt;T55,P55,R55)</f>
        <v/>
      </c>
      <c r="Q56">
        <f>P56-((SQRT(5)-1)/2)*(P56-O56)</f>
        <v/>
      </c>
      <c r="R56">
        <f>O56+((SQRT(5)-1)/2)*(P56-O56)</f>
        <v/>
      </c>
      <c r="S56">
        <f>IFERROR(beta_cf*MAX(0,P1_cf-(((x1_cf-cx1_cf/2)+cx1_cf)*(((B_cf-cy1_cf)/2)+cy1_cf+Q56)*((wa_cf+wb_cf*((x1_cf+cx1_cf/2)/2)/1000)/Bm_cf)+(((B_cf-cy1_cf)/2)+cy1_cf)*Q56*((wa_cf+wb_cf*((x1_cf+cx1_cf/2)+Q56/2)/1000)/Bm_cf)+PI()*Q56^2/4*((wa_cf+wb_cf*((x1_cf+cx1_cf/2)+4*Q56/(3*PI()))/1000)/Bm_cf))/1E6)*1000/(((x1_cf-cx1_cf/2)+cx1_cf+((B_cf-cy1_cf)/2)+cy1_cf+PI()*Q56/2)*dp_cf)/(vRdc_p*2*dp_cf/Q56),0)</f>
        <v/>
      </c>
      <c r="T56">
        <f>IFERROR(beta_cf*MAX(0,P1_cf-(((x1_cf-cx1_cf/2)+cx1_cf)*(((B_cf-cy1_cf)/2)+cy1_cf+R56)*((wa_cf+wb_cf*((x1_cf+cx1_cf/2)/2)/1000)/Bm_cf)+(((B_cf-cy1_cf)/2)+cy1_cf)*R56*((wa_cf+wb_cf*((x1_cf+cx1_cf/2)+R56/2)/1000)/Bm_cf)+PI()*R56^2/4*((wa_cf+wb_cf*((x1_cf+cx1_cf/2)+4*R56/(3*PI()))/1000)/Bm_cf))/1E6)*1000/(((x1_cf-cx1_cf/2)+cx1_cf+((B_cf-cy1_cf)/2)+cy1_cf+PI()*R56/2)*dp_cf)/(vRdc_p*2*dp_cf/R56),0)</f>
        <v/>
      </c>
      <c r="V56">
        <f>IF(Z55&lt;AA55,X55,V55)</f>
        <v/>
      </c>
      <c r="W56">
        <f>IF(Z55&lt;AA55,W55,Y55)</f>
        <v/>
      </c>
      <c r="X56">
        <f>W56-((SQRT(5)-1)/2)*(W56-V56)</f>
        <v/>
      </c>
      <c r="Y56">
        <f>V56+((SQRT(5)-1)/2)*(W56-V56)</f>
        <v/>
      </c>
      <c r="Z56">
        <f>IFERROR(beta_cf*MAX(0,P2_cf-(((L_cf-x2_cf-cx2_cf/2)+cx2_cf)*(cy2_cf+2*X56)*((wa_cf+wb_cf*(((x2_cf-cx2_cf/2)+L_cf)/2)/1000)/Bm_cf)+cy2_cf*X56*((wa_cf+wb_cf*((x2_cf-cx2_cf/2)-X56/2)/1000)/Bm_cf)+PI()*X56^2/2*((wa_cf+wb_cf*((x2_cf-cx2_cf/2)-4*X56/(3*PI()))/1000)/Bm_cf))/1E6)*1000/((cy2_cf+PI()*X56+2*((L_cf-x2_cf-cx2_cf/2)+cx2_cf))*dp_cf)/(vRdc_p*2*dp_cf/X56),0)</f>
        <v/>
      </c>
      <c r="AA56">
        <f>IFERROR(beta_cf*MAX(0,P2_cf-(((L_cf-x2_cf-cx2_cf/2)+cx2_cf)*(cy2_cf+2*Y56)*((wa_cf+wb_cf*(((x2_cf-cx2_cf/2)+L_cf)/2)/1000)/Bm_cf)+cy2_cf*Y56*((wa_cf+wb_cf*((x2_cf-cx2_cf/2)-Y56/2)/1000)/Bm_cf)+PI()*Y56^2/2*((wa_cf+wb_cf*((x2_cf-cx2_cf/2)-4*Y56/(3*PI()))/1000)/Bm_cf))/1E6)*1000/((cy2_cf+PI()*Y56+2*((L_cf-x2_cf-cx2_cf/2)+cx2_cf))*dp_cf)/(vRdc_p*2*dp_cf/Y56),0)</f>
        <v/>
      </c>
      <c r="AC56">
        <f>IF(AG55&lt;AH55,AE55,AC55)</f>
        <v/>
      </c>
      <c r="AD56">
        <f>IF(AG55&lt;AH55,AD55,AF55)</f>
        <v/>
      </c>
      <c r="AE56">
        <f>AD56-((SQRT(5)-1)/2)*(AD56-AC56)</f>
        <v/>
      </c>
      <c r="AF56">
        <f>AC56+((SQRT(5)-1)/2)*(AD56-AC56)</f>
        <v/>
      </c>
      <c r="AG56">
        <f>IFERROR(beta_cf*MAX(0,P2_cf-(((cx2_cf+2*AE56)*(((B_cf-cy2_cf)/2)+cy2_cf)+cx2_cf*AE56+PI()*AE56^2/2)*((wa_cf+wb_cf*(x2_cf)/1000)/Bm_cf))/1E6)*1000/((cx2_cf+PI()*AE56+2*(((B_cf-cy2_cf)/2)+cy2_cf))*dp_cf)/(vRdc_p*2*dp_cf/AE56),0)</f>
        <v/>
      </c>
      <c r="AH56">
        <f>IFERROR(beta_cf*MAX(0,P2_cf-(((cx2_cf+2*AF56)*(((B_cf-cy2_cf)/2)+cy2_cf)+cx2_cf*AF56+PI()*AF56^2/2)*((wa_cf+wb_cf*(x2_cf)/1000)/Bm_cf))/1E6)*1000/((cx2_cf+PI()*AF56+2*(((B_cf-cy2_cf)/2)+cy2_cf))*dp_cf)/(vRdc_p*2*dp_cf/AF56),0)</f>
        <v/>
      </c>
      <c r="AJ56">
        <f>IF(AN55&lt;AO55,AL55,AJ55)</f>
        <v/>
      </c>
      <c r="AK56">
        <f>IF(AN55&lt;AO55,AK55,AM55)</f>
        <v/>
      </c>
      <c r="AL56">
        <f>AK56-((SQRT(5)-1)/2)*(AK56-AJ56)</f>
        <v/>
      </c>
      <c r="AM56">
        <f>AJ56+((SQRT(5)-1)/2)*(AK56-AJ56)</f>
        <v/>
      </c>
      <c r="AN56">
        <f>IFERROR(beta_cf*MAX(0,P2_cf-(((L_cf-x2_cf-cx2_cf/2)+cx2_cf)*(((B_cf-cy2_cf)/2)+cy2_cf+AL56)*((wa_cf+wb_cf*(((x2_cf-cx2_cf/2)+L_cf)/2)/1000)/Bm_cf)+(((B_cf-cy2_cf)/2)+cy2_cf)*AL56*((wa_cf+wb_cf*((x2_cf-cx2_cf/2)-AL56/2)/1000)/Bm_cf)+PI()*AL56^2/4*((wa_cf+wb_cf*((x2_cf-cx2_cf/2)-4*AL56/(3*PI()))/1000)/Bm_cf))/1E6)*1000/(((L_cf-x2_cf-cx2_cf/2)+cx2_cf+((B_cf-cy2_cf)/2)+cy2_cf+PI()*AL56/2)*dp_cf)/(vRdc_p*2*dp_cf/AL56),0)</f>
        <v/>
      </c>
      <c r="AO56">
        <f>IFERROR(beta_cf*MAX(0,P2_cf-(((L_cf-x2_cf-cx2_cf/2)+cx2_cf)*(((B_cf-cy2_cf)/2)+cy2_cf+AM56)*((wa_cf+wb_cf*(((x2_cf-cx2_cf/2)+L_cf)/2)/1000)/Bm_cf)+(((B_cf-cy2_cf)/2)+cy2_cf)*AM56*((wa_cf+wb_cf*((x2_cf-cx2_cf/2)-AM56/2)/1000)/Bm_cf)+PI()*AM56^2/4*((wa_cf+wb_cf*((x2_cf-cx2_cf/2)-4*AM56/(3*PI()))/1000)/Bm_cf))/1E6)*1000/(((L_cf-x2_cf-cx2_cf/2)+cx2_cf+((B_cf-cy2_cf)/2)+cy2_cf+PI()*AM56/2)*dp_cf)/(vRdc_p*2*dp_cf/AM56),0)</f>
        <v/>
      </c>
    </row>
    <row r="57">
      <c r="A57">
        <f>IF(E56&lt;F56,C56,A56)</f>
        <v/>
      </c>
      <c r="B57">
        <f>IF(E56&lt;F56,B56,D56)</f>
        <v/>
      </c>
      <c r="C57">
        <f>B57-((SQRT(5)-1)/2)*(B57-A57)</f>
        <v/>
      </c>
      <c r="D57">
        <f>A57+((SQRT(5)-1)/2)*(B57-A57)</f>
        <v/>
      </c>
      <c r="E57">
        <f>IFERROR(beta_cf*MAX(0,P1_cf-(((x1_cf-cx1_cf/2)+cx1_cf)*(cy1_cf+2*C57)*((wa_cf+wb_cf*((x1_cf+cx1_cf/2)/2)/1000)/Bm_cf)+cy1_cf*C57*((wa_cf+wb_cf*((x1_cf+cx1_cf/2)+C57/2)/1000)/Bm_cf)+PI()*C57^2/2*((wa_cf+wb_cf*((x1_cf+cx1_cf/2)+4*C57/(3*PI()))/1000)/Bm_cf))/1E6)*1000/((cy1_cf+PI()*C57+2*((x1_cf-cx1_cf/2)+cx1_cf))*dp_cf)/(vRdc_p*2*dp_cf/C57),0)</f>
        <v/>
      </c>
      <c r="F57">
        <f>IFERROR(beta_cf*MAX(0,P1_cf-(((x1_cf-cx1_cf/2)+cx1_cf)*(cy1_cf+2*D57)*((wa_cf+wb_cf*((x1_cf+cx1_cf/2)/2)/1000)/Bm_cf)+cy1_cf*D57*((wa_cf+wb_cf*((x1_cf+cx1_cf/2)+D57/2)/1000)/Bm_cf)+PI()*D57^2/2*((wa_cf+wb_cf*((x1_cf+cx1_cf/2)+4*D57/(3*PI()))/1000)/Bm_cf))/1E6)*1000/((cy1_cf+PI()*D57+2*((x1_cf-cx1_cf/2)+cx1_cf))*dp_cf)/(vRdc_p*2*dp_cf/D57),0)</f>
        <v/>
      </c>
      <c r="H57">
        <f>IF(L56&lt;M56,J56,H56)</f>
        <v/>
      </c>
      <c r="I57">
        <f>IF(L56&lt;M56,I56,K56)</f>
        <v/>
      </c>
      <c r="J57">
        <f>I57-((SQRT(5)-1)/2)*(I57-H57)</f>
        <v/>
      </c>
      <c r="K57">
        <f>H57+((SQRT(5)-1)/2)*(I57-H57)</f>
        <v/>
      </c>
      <c r="L57">
        <f>IFERROR(beta_cf*MAX(0,P1_cf-(((cx1_cf+2*J57)*(((B_cf-cy1_cf)/2)+cy1_cf)+cx1_cf*J57+PI()*J57^2/2)*((wa_cf+wb_cf*(x1_cf)/1000)/Bm_cf))/1E6)*1000/((cx1_cf+PI()*J57+2*(((B_cf-cy1_cf)/2)+cy1_cf))*dp_cf)/(vRdc_p*2*dp_cf/J57),0)</f>
        <v/>
      </c>
      <c r="M57">
        <f>IFERROR(beta_cf*MAX(0,P1_cf-(((cx1_cf+2*K57)*(((B_cf-cy1_cf)/2)+cy1_cf)+cx1_cf*K57+PI()*K57^2/2)*((wa_cf+wb_cf*(x1_cf)/1000)/Bm_cf))/1E6)*1000/((cx1_cf+PI()*K57+2*(((B_cf-cy1_cf)/2)+cy1_cf))*dp_cf)/(vRdc_p*2*dp_cf/K57),0)</f>
        <v/>
      </c>
      <c r="O57">
        <f>IF(S56&lt;T56,Q56,O56)</f>
        <v/>
      </c>
      <c r="P57">
        <f>IF(S56&lt;T56,P56,R56)</f>
        <v/>
      </c>
      <c r="Q57">
        <f>P57-((SQRT(5)-1)/2)*(P57-O57)</f>
        <v/>
      </c>
      <c r="R57">
        <f>O57+((SQRT(5)-1)/2)*(P57-O57)</f>
        <v/>
      </c>
      <c r="S57">
        <f>IFERROR(beta_cf*MAX(0,P1_cf-(((x1_cf-cx1_cf/2)+cx1_cf)*(((B_cf-cy1_cf)/2)+cy1_cf+Q57)*((wa_cf+wb_cf*((x1_cf+cx1_cf/2)/2)/1000)/Bm_cf)+(((B_cf-cy1_cf)/2)+cy1_cf)*Q57*((wa_cf+wb_cf*((x1_cf+cx1_cf/2)+Q57/2)/1000)/Bm_cf)+PI()*Q57^2/4*((wa_cf+wb_cf*((x1_cf+cx1_cf/2)+4*Q57/(3*PI()))/1000)/Bm_cf))/1E6)*1000/(((x1_cf-cx1_cf/2)+cx1_cf+((B_cf-cy1_cf)/2)+cy1_cf+PI()*Q57/2)*dp_cf)/(vRdc_p*2*dp_cf/Q57),0)</f>
        <v/>
      </c>
      <c r="T57">
        <f>IFERROR(beta_cf*MAX(0,P1_cf-(((x1_cf-cx1_cf/2)+cx1_cf)*(((B_cf-cy1_cf)/2)+cy1_cf+R57)*((wa_cf+wb_cf*((x1_cf+cx1_cf/2)/2)/1000)/Bm_cf)+(((B_cf-cy1_cf)/2)+cy1_cf)*R57*((wa_cf+wb_cf*((x1_cf+cx1_cf/2)+R57/2)/1000)/Bm_cf)+PI()*R57^2/4*((wa_cf+wb_cf*((x1_cf+cx1_cf/2)+4*R57/(3*PI()))/1000)/Bm_cf))/1E6)*1000/(((x1_cf-cx1_cf/2)+cx1_cf+((B_cf-cy1_cf)/2)+cy1_cf+PI()*R57/2)*dp_cf)/(vRdc_p*2*dp_cf/R57),0)</f>
        <v/>
      </c>
      <c r="V57">
        <f>IF(Z56&lt;AA56,X56,V56)</f>
        <v/>
      </c>
      <c r="W57">
        <f>IF(Z56&lt;AA56,W56,Y56)</f>
        <v/>
      </c>
      <c r="X57">
        <f>W57-((SQRT(5)-1)/2)*(W57-V57)</f>
        <v/>
      </c>
      <c r="Y57">
        <f>V57+((SQRT(5)-1)/2)*(W57-V57)</f>
        <v/>
      </c>
      <c r="Z57">
        <f>IFERROR(beta_cf*MAX(0,P2_cf-(((L_cf-x2_cf-cx2_cf/2)+cx2_cf)*(cy2_cf+2*X57)*((wa_cf+wb_cf*(((x2_cf-cx2_cf/2)+L_cf)/2)/1000)/Bm_cf)+cy2_cf*X57*((wa_cf+wb_cf*((x2_cf-cx2_cf/2)-X57/2)/1000)/Bm_cf)+PI()*X57^2/2*((wa_cf+wb_cf*((x2_cf-cx2_cf/2)-4*X57/(3*PI()))/1000)/Bm_cf))/1E6)*1000/((cy2_cf+PI()*X57+2*((L_cf-x2_cf-cx2_cf/2)+cx2_cf))*dp_cf)/(vRdc_p*2*dp_cf/X57),0)</f>
        <v/>
      </c>
      <c r="AA57">
        <f>IFERROR(beta_cf*MAX(0,P2_cf-(((L_cf-x2_cf-cx2_cf/2)+cx2_cf)*(cy2_cf+2*Y57)*((wa_cf+wb_cf*(((x2_cf-cx2_cf/2)+L_cf)/2)/1000)/Bm_cf)+cy2_cf*Y57*((wa_cf+wb_cf*((x2_cf-cx2_cf/2)-Y57/2)/1000)/Bm_cf)+PI()*Y57^2/2*((wa_cf+wb_cf*((x2_cf-cx2_cf/2)-4*Y57/(3*PI()))/1000)/Bm_cf))/1E6)*1000/((cy2_cf+PI()*Y57+2*((L_cf-x2_cf-cx2_cf/2)+cx2_cf))*dp_cf)/(vRdc_p*2*dp_cf/Y57),0)</f>
        <v/>
      </c>
      <c r="AC57">
        <f>IF(AG56&lt;AH56,AE56,AC56)</f>
        <v/>
      </c>
      <c r="AD57">
        <f>IF(AG56&lt;AH56,AD56,AF56)</f>
        <v/>
      </c>
      <c r="AE57">
        <f>AD57-((SQRT(5)-1)/2)*(AD57-AC57)</f>
        <v/>
      </c>
      <c r="AF57">
        <f>AC57+((SQRT(5)-1)/2)*(AD57-AC57)</f>
        <v/>
      </c>
      <c r="AG57">
        <f>IFERROR(beta_cf*MAX(0,P2_cf-(((cx2_cf+2*AE57)*(((B_cf-cy2_cf)/2)+cy2_cf)+cx2_cf*AE57+PI()*AE57^2/2)*((wa_cf+wb_cf*(x2_cf)/1000)/Bm_cf))/1E6)*1000/((cx2_cf+PI()*AE57+2*(((B_cf-cy2_cf)/2)+cy2_cf))*dp_cf)/(vRdc_p*2*dp_cf/AE57),0)</f>
        <v/>
      </c>
      <c r="AH57">
        <f>IFERROR(beta_cf*MAX(0,P2_cf-(((cx2_cf+2*AF57)*(((B_cf-cy2_cf)/2)+cy2_cf)+cx2_cf*AF57+PI()*AF57^2/2)*((wa_cf+wb_cf*(x2_cf)/1000)/Bm_cf))/1E6)*1000/((cx2_cf+PI()*AF57+2*(((B_cf-cy2_cf)/2)+cy2_cf))*dp_cf)/(vRdc_p*2*dp_cf/AF57),0)</f>
        <v/>
      </c>
      <c r="AJ57">
        <f>IF(AN56&lt;AO56,AL56,AJ56)</f>
        <v/>
      </c>
      <c r="AK57">
        <f>IF(AN56&lt;AO56,AK56,AM56)</f>
        <v/>
      </c>
      <c r="AL57">
        <f>AK57-((SQRT(5)-1)/2)*(AK57-AJ57)</f>
        <v/>
      </c>
      <c r="AM57">
        <f>AJ57+((SQRT(5)-1)/2)*(AK57-AJ57)</f>
        <v/>
      </c>
      <c r="AN57">
        <f>IFERROR(beta_cf*MAX(0,P2_cf-(((L_cf-x2_cf-cx2_cf/2)+cx2_cf)*(((B_cf-cy2_cf)/2)+cy2_cf+AL57)*((wa_cf+wb_cf*(((x2_cf-cx2_cf/2)+L_cf)/2)/1000)/Bm_cf)+(((B_cf-cy2_cf)/2)+cy2_cf)*AL57*((wa_cf+wb_cf*((x2_cf-cx2_cf/2)-AL57/2)/1000)/Bm_cf)+PI()*AL57^2/4*((wa_cf+wb_cf*((x2_cf-cx2_cf/2)-4*AL57/(3*PI()))/1000)/Bm_cf))/1E6)*1000/(((L_cf-x2_cf-cx2_cf/2)+cx2_cf+((B_cf-cy2_cf)/2)+cy2_cf+PI()*AL57/2)*dp_cf)/(vRdc_p*2*dp_cf/AL57),0)</f>
        <v/>
      </c>
      <c r="AO57">
        <f>IFERROR(beta_cf*MAX(0,P2_cf-(((L_cf-x2_cf-cx2_cf/2)+cx2_cf)*(((B_cf-cy2_cf)/2)+cy2_cf+AM57)*((wa_cf+wb_cf*(((x2_cf-cx2_cf/2)+L_cf)/2)/1000)/Bm_cf)+(((B_cf-cy2_cf)/2)+cy2_cf)*AM57*((wa_cf+wb_cf*((x2_cf-cx2_cf/2)-AM57/2)/1000)/Bm_cf)+PI()*AM57^2/4*((wa_cf+wb_cf*((x2_cf-cx2_cf/2)-4*AM57/(3*PI()))/1000)/Bm_cf))/1E6)*1000/(((L_cf-x2_cf-cx2_cf/2)+cx2_cf+((B_cf-cy2_cf)/2)+cy2_cf+PI()*AM57/2)*dp_cf)/(vRdc_p*2*dp_cf/AM57),0)</f>
        <v/>
      </c>
    </row>
    <row r="58">
      <c r="A58">
        <f>IF(E57&lt;F57,C57,A57)</f>
        <v/>
      </c>
      <c r="B58">
        <f>IF(E57&lt;F57,B57,D57)</f>
        <v/>
      </c>
      <c r="C58">
        <f>B58-((SQRT(5)-1)/2)*(B58-A58)</f>
        <v/>
      </c>
      <c r="D58">
        <f>A58+((SQRT(5)-1)/2)*(B58-A58)</f>
        <v/>
      </c>
      <c r="E58">
        <f>IFERROR(beta_cf*MAX(0,P1_cf-(((x1_cf-cx1_cf/2)+cx1_cf)*(cy1_cf+2*C58)*((wa_cf+wb_cf*((x1_cf+cx1_cf/2)/2)/1000)/Bm_cf)+cy1_cf*C58*((wa_cf+wb_cf*((x1_cf+cx1_cf/2)+C58/2)/1000)/Bm_cf)+PI()*C58^2/2*((wa_cf+wb_cf*((x1_cf+cx1_cf/2)+4*C58/(3*PI()))/1000)/Bm_cf))/1E6)*1000/((cy1_cf+PI()*C58+2*((x1_cf-cx1_cf/2)+cx1_cf))*dp_cf)/(vRdc_p*2*dp_cf/C58),0)</f>
        <v/>
      </c>
      <c r="F58">
        <f>IFERROR(beta_cf*MAX(0,P1_cf-(((x1_cf-cx1_cf/2)+cx1_cf)*(cy1_cf+2*D58)*((wa_cf+wb_cf*((x1_cf+cx1_cf/2)/2)/1000)/Bm_cf)+cy1_cf*D58*((wa_cf+wb_cf*((x1_cf+cx1_cf/2)+D58/2)/1000)/Bm_cf)+PI()*D58^2/2*((wa_cf+wb_cf*((x1_cf+cx1_cf/2)+4*D58/(3*PI()))/1000)/Bm_cf))/1E6)*1000/((cy1_cf+PI()*D58+2*((x1_cf-cx1_cf/2)+cx1_cf))*dp_cf)/(vRdc_p*2*dp_cf/D58),0)</f>
        <v/>
      </c>
      <c r="H58">
        <f>IF(L57&lt;M57,J57,H57)</f>
        <v/>
      </c>
      <c r="I58">
        <f>IF(L57&lt;M57,I57,K57)</f>
        <v/>
      </c>
      <c r="J58">
        <f>I58-((SQRT(5)-1)/2)*(I58-H58)</f>
        <v/>
      </c>
      <c r="K58">
        <f>H58+((SQRT(5)-1)/2)*(I58-H58)</f>
        <v/>
      </c>
      <c r="L58">
        <f>IFERROR(beta_cf*MAX(0,P1_cf-(((cx1_cf+2*J58)*(((B_cf-cy1_cf)/2)+cy1_cf)+cx1_cf*J58+PI()*J58^2/2)*((wa_cf+wb_cf*(x1_cf)/1000)/Bm_cf))/1E6)*1000/((cx1_cf+PI()*J58+2*(((B_cf-cy1_cf)/2)+cy1_cf))*dp_cf)/(vRdc_p*2*dp_cf/J58),0)</f>
        <v/>
      </c>
      <c r="M58">
        <f>IFERROR(beta_cf*MAX(0,P1_cf-(((cx1_cf+2*K58)*(((B_cf-cy1_cf)/2)+cy1_cf)+cx1_cf*K58+PI()*K58^2/2)*((wa_cf+wb_cf*(x1_cf)/1000)/Bm_cf))/1E6)*1000/((cx1_cf+PI()*K58+2*(((B_cf-cy1_cf)/2)+cy1_cf))*dp_cf)/(vRdc_p*2*dp_cf/K58),0)</f>
        <v/>
      </c>
      <c r="O58">
        <f>IF(S57&lt;T57,Q57,O57)</f>
        <v/>
      </c>
      <c r="P58">
        <f>IF(S57&lt;T57,P57,R57)</f>
        <v/>
      </c>
      <c r="Q58">
        <f>P58-((SQRT(5)-1)/2)*(P58-O58)</f>
        <v/>
      </c>
      <c r="R58">
        <f>O58+((SQRT(5)-1)/2)*(P58-O58)</f>
        <v/>
      </c>
      <c r="S58">
        <f>IFERROR(beta_cf*MAX(0,P1_cf-(((x1_cf-cx1_cf/2)+cx1_cf)*(((B_cf-cy1_cf)/2)+cy1_cf+Q58)*((wa_cf+wb_cf*((x1_cf+cx1_cf/2)/2)/1000)/Bm_cf)+(((B_cf-cy1_cf)/2)+cy1_cf)*Q58*((wa_cf+wb_cf*((x1_cf+cx1_cf/2)+Q58/2)/1000)/Bm_cf)+PI()*Q58^2/4*((wa_cf+wb_cf*((x1_cf+cx1_cf/2)+4*Q58/(3*PI()))/1000)/Bm_cf))/1E6)*1000/(((x1_cf-cx1_cf/2)+cx1_cf+((B_cf-cy1_cf)/2)+cy1_cf+PI()*Q58/2)*dp_cf)/(vRdc_p*2*dp_cf/Q58),0)</f>
        <v/>
      </c>
      <c r="T58">
        <f>IFERROR(beta_cf*MAX(0,P1_cf-(((x1_cf-cx1_cf/2)+cx1_cf)*(((B_cf-cy1_cf)/2)+cy1_cf+R58)*((wa_cf+wb_cf*((x1_cf+cx1_cf/2)/2)/1000)/Bm_cf)+(((B_cf-cy1_cf)/2)+cy1_cf)*R58*((wa_cf+wb_cf*((x1_cf+cx1_cf/2)+R58/2)/1000)/Bm_cf)+PI()*R58^2/4*((wa_cf+wb_cf*((x1_cf+cx1_cf/2)+4*R58/(3*PI()))/1000)/Bm_cf))/1E6)*1000/(((x1_cf-cx1_cf/2)+cx1_cf+((B_cf-cy1_cf)/2)+cy1_cf+PI()*R58/2)*dp_cf)/(vRdc_p*2*dp_cf/R58),0)</f>
        <v/>
      </c>
      <c r="V58">
        <f>IF(Z57&lt;AA57,X57,V57)</f>
        <v/>
      </c>
      <c r="W58">
        <f>IF(Z57&lt;AA57,W57,Y57)</f>
        <v/>
      </c>
      <c r="X58">
        <f>W58-((SQRT(5)-1)/2)*(W58-V58)</f>
        <v/>
      </c>
      <c r="Y58">
        <f>V58+((SQRT(5)-1)/2)*(W58-V58)</f>
        <v/>
      </c>
      <c r="Z58">
        <f>IFERROR(beta_cf*MAX(0,P2_cf-(((L_cf-x2_cf-cx2_cf/2)+cx2_cf)*(cy2_cf+2*X58)*((wa_cf+wb_cf*(((x2_cf-cx2_cf/2)+L_cf)/2)/1000)/Bm_cf)+cy2_cf*X58*((wa_cf+wb_cf*((x2_cf-cx2_cf/2)-X58/2)/1000)/Bm_cf)+PI()*X58^2/2*((wa_cf+wb_cf*((x2_cf-cx2_cf/2)-4*X58/(3*PI()))/1000)/Bm_cf))/1E6)*1000/((cy2_cf+PI()*X58+2*((L_cf-x2_cf-cx2_cf/2)+cx2_cf))*dp_cf)/(vRdc_p*2*dp_cf/X58),0)</f>
        <v/>
      </c>
      <c r="AA58">
        <f>IFERROR(beta_cf*MAX(0,P2_cf-(((L_cf-x2_cf-cx2_cf/2)+cx2_cf)*(cy2_cf+2*Y58)*((wa_cf+wb_cf*(((x2_cf-cx2_cf/2)+L_cf)/2)/1000)/Bm_cf)+cy2_cf*Y58*((wa_cf+wb_cf*((x2_cf-cx2_cf/2)-Y58/2)/1000)/Bm_cf)+PI()*Y58^2/2*((wa_cf+wb_cf*((x2_cf-cx2_cf/2)-4*Y58/(3*PI()))/1000)/Bm_cf))/1E6)*1000/((cy2_cf+PI()*Y58+2*((L_cf-x2_cf-cx2_cf/2)+cx2_cf))*dp_cf)/(vRdc_p*2*dp_cf/Y58),0)</f>
        <v/>
      </c>
      <c r="AC58">
        <f>IF(AG57&lt;AH57,AE57,AC57)</f>
        <v/>
      </c>
      <c r="AD58">
        <f>IF(AG57&lt;AH57,AD57,AF57)</f>
        <v/>
      </c>
      <c r="AE58">
        <f>AD58-((SQRT(5)-1)/2)*(AD58-AC58)</f>
        <v/>
      </c>
      <c r="AF58">
        <f>AC58+((SQRT(5)-1)/2)*(AD58-AC58)</f>
        <v/>
      </c>
      <c r="AG58">
        <f>IFERROR(beta_cf*MAX(0,P2_cf-(((cx2_cf+2*AE58)*(((B_cf-cy2_cf)/2)+cy2_cf)+cx2_cf*AE58+PI()*AE58^2/2)*((wa_cf+wb_cf*(x2_cf)/1000)/Bm_cf))/1E6)*1000/((cx2_cf+PI()*AE58+2*(((B_cf-cy2_cf)/2)+cy2_cf))*dp_cf)/(vRdc_p*2*dp_cf/AE58),0)</f>
        <v/>
      </c>
      <c r="AH58">
        <f>IFERROR(beta_cf*MAX(0,P2_cf-(((cx2_cf+2*AF58)*(((B_cf-cy2_cf)/2)+cy2_cf)+cx2_cf*AF58+PI()*AF58^2/2)*((wa_cf+wb_cf*(x2_cf)/1000)/Bm_cf))/1E6)*1000/((cx2_cf+PI()*AF58+2*(((B_cf-cy2_cf)/2)+cy2_cf))*dp_cf)/(vRdc_p*2*dp_cf/AF58),0)</f>
        <v/>
      </c>
      <c r="AJ58">
        <f>IF(AN57&lt;AO57,AL57,AJ57)</f>
        <v/>
      </c>
      <c r="AK58">
        <f>IF(AN57&lt;AO57,AK57,AM57)</f>
        <v/>
      </c>
      <c r="AL58">
        <f>AK58-((SQRT(5)-1)/2)*(AK58-AJ58)</f>
        <v/>
      </c>
      <c r="AM58">
        <f>AJ58+((SQRT(5)-1)/2)*(AK58-AJ58)</f>
        <v/>
      </c>
      <c r="AN58">
        <f>IFERROR(beta_cf*MAX(0,P2_cf-(((L_cf-x2_cf-cx2_cf/2)+cx2_cf)*(((B_cf-cy2_cf)/2)+cy2_cf+AL58)*((wa_cf+wb_cf*(((x2_cf-cx2_cf/2)+L_cf)/2)/1000)/Bm_cf)+(((B_cf-cy2_cf)/2)+cy2_cf)*AL58*((wa_cf+wb_cf*((x2_cf-cx2_cf/2)-AL58/2)/1000)/Bm_cf)+PI()*AL58^2/4*((wa_cf+wb_cf*((x2_cf-cx2_cf/2)-4*AL58/(3*PI()))/1000)/Bm_cf))/1E6)*1000/(((L_cf-x2_cf-cx2_cf/2)+cx2_cf+((B_cf-cy2_cf)/2)+cy2_cf+PI()*AL58/2)*dp_cf)/(vRdc_p*2*dp_cf/AL58),0)</f>
        <v/>
      </c>
      <c r="AO58">
        <f>IFERROR(beta_cf*MAX(0,P2_cf-(((L_cf-x2_cf-cx2_cf/2)+cx2_cf)*(((B_cf-cy2_cf)/2)+cy2_cf+AM58)*((wa_cf+wb_cf*(((x2_cf-cx2_cf/2)+L_cf)/2)/1000)/Bm_cf)+(((B_cf-cy2_cf)/2)+cy2_cf)*AM58*((wa_cf+wb_cf*((x2_cf-cx2_cf/2)-AM58/2)/1000)/Bm_cf)+PI()*AM58^2/4*((wa_cf+wb_cf*((x2_cf-cx2_cf/2)-4*AM58/(3*PI()))/1000)/Bm_cf))/1E6)*1000/(((L_cf-x2_cf-cx2_cf/2)+cx2_cf+((B_cf-cy2_cf)/2)+cy2_cf+PI()*AM58/2)*dp_cf)/(vRdc_p*2*dp_cf/AM58),0)</f>
        <v/>
      </c>
    </row>
    <row r="59">
      <c r="A59">
        <f>IF(E58&lt;F58,C58,A58)</f>
        <v/>
      </c>
      <c r="B59">
        <f>IF(E58&lt;F58,B58,D58)</f>
        <v/>
      </c>
      <c r="C59">
        <f>B59-((SQRT(5)-1)/2)*(B59-A59)</f>
        <v/>
      </c>
      <c r="D59">
        <f>A59+((SQRT(5)-1)/2)*(B59-A59)</f>
        <v/>
      </c>
      <c r="E59">
        <f>IFERROR(beta_cf*MAX(0,P1_cf-(((x1_cf-cx1_cf/2)+cx1_cf)*(cy1_cf+2*C59)*((wa_cf+wb_cf*((x1_cf+cx1_cf/2)/2)/1000)/Bm_cf)+cy1_cf*C59*((wa_cf+wb_cf*((x1_cf+cx1_cf/2)+C59/2)/1000)/Bm_cf)+PI()*C59^2/2*((wa_cf+wb_cf*((x1_cf+cx1_cf/2)+4*C59/(3*PI()))/1000)/Bm_cf))/1E6)*1000/((cy1_cf+PI()*C59+2*((x1_cf-cx1_cf/2)+cx1_cf))*dp_cf)/(vRdc_p*2*dp_cf/C59),0)</f>
        <v/>
      </c>
      <c r="F59">
        <f>IFERROR(beta_cf*MAX(0,P1_cf-(((x1_cf-cx1_cf/2)+cx1_cf)*(cy1_cf+2*D59)*((wa_cf+wb_cf*((x1_cf+cx1_cf/2)/2)/1000)/Bm_cf)+cy1_cf*D59*((wa_cf+wb_cf*((x1_cf+cx1_cf/2)+D59/2)/1000)/Bm_cf)+PI()*D59^2/2*((wa_cf+wb_cf*((x1_cf+cx1_cf/2)+4*D59/(3*PI()))/1000)/Bm_cf))/1E6)*1000/((cy1_cf+PI()*D59+2*((x1_cf-cx1_cf/2)+cx1_cf))*dp_cf)/(vRdc_p*2*dp_cf/D59),0)</f>
        <v/>
      </c>
      <c r="H59">
        <f>IF(L58&lt;M58,J58,H58)</f>
        <v/>
      </c>
      <c r="I59">
        <f>IF(L58&lt;M58,I58,K58)</f>
        <v/>
      </c>
      <c r="J59">
        <f>I59-((SQRT(5)-1)/2)*(I59-H59)</f>
        <v/>
      </c>
      <c r="K59">
        <f>H59+((SQRT(5)-1)/2)*(I59-H59)</f>
        <v/>
      </c>
      <c r="L59">
        <f>IFERROR(beta_cf*MAX(0,P1_cf-(((cx1_cf+2*J59)*(((B_cf-cy1_cf)/2)+cy1_cf)+cx1_cf*J59+PI()*J59^2/2)*((wa_cf+wb_cf*(x1_cf)/1000)/Bm_cf))/1E6)*1000/((cx1_cf+PI()*J59+2*(((B_cf-cy1_cf)/2)+cy1_cf))*dp_cf)/(vRdc_p*2*dp_cf/J59),0)</f>
        <v/>
      </c>
      <c r="M59">
        <f>IFERROR(beta_cf*MAX(0,P1_cf-(((cx1_cf+2*K59)*(((B_cf-cy1_cf)/2)+cy1_cf)+cx1_cf*K59+PI()*K59^2/2)*((wa_cf+wb_cf*(x1_cf)/1000)/Bm_cf))/1E6)*1000/((cx1_cf+PI()*K59+2*(((B_cf-cy1_cf)/2)+cy1_cf))*dp_cf)/(vRdc_p*2*dp_cf/K59),0)</f>
        <v/>
      </c>
      <c r="O59">
        <f>IF(S58&lt;T58,Q58,O58)</f>
        <v/>
      </c>
      <c r="P59">
        <f>IF(S58&lt;T58,P58,R58)</f>
        <v/>
      </c>
      <c r="Q59">
        <f>P59-((SQRT(5)-1)/2)*(P59-O59)</f>
        <v/>
      </c>
      <c r="R59">
        <f>O59+((SQRT(5)-1)/2)*(P59-O59)</f>
        <v/>
      </c>
      <c r="S59">
        <f>IFERROR(beta_cf*MAX(0,P1_cf-(((x1_cf-cx1_cf/2)+cx1_cf)*(((B_cf-cy1_cf)/2)+cy1_cf+Q59)*((wa_cf+wb_cf*((x1_cf+cx1_cf/2)/2)/1000)/Bm_cf)+(((B_cf-cy1_cf)/2)+cy1_cf)*Q59*((wa_cf+wb_cf*((x1_cf+cx1_cf/2)+Q59/2)/1000)/Bm_cf)+PI()*Q59^2/4*((wa_cf+wb_cf*((x1_cf+cx1_cf/2)+4*Q59/(3*PI()))/1000)/Bm_cf))/1E6)*1000/(((x1_cf-cx1_cf/2)+cx1_cf+((B_cf-cy1_cf)/2)+cy1_cf+PI()*Q59/2)*dp_cf)/(vRdc_p*2*dp_cf/Q59),0)</f>
        <v/>
      </c>
      <c r="T59">
        <f>IFERROR(beta_cf*MAX(0,P1_cf-(((x1_cf-cx1_cf/2)+cx1_cf)*(((B_cf-cy1_cf)/2)+cy1_cf+R59)*((wa_cf+wb_cf*((x1_cf+cx1_cf/2)/2)/1000)/Bm_cf)+(((B_cf-cy1_cf)/2)+cy1_cf)*R59*((wa_cf+wb_cf*((x1_cf+cx1_cf/2)+R59/2)/1000)/Bm_cf)+PI()*R59^2/4*((wa_cf+wb_cf*((x1_cf+cx1_cf/2)+4*R59/(3*PI()))/1000)/Bm_cf))/1E6)*1000/(((x1_cf-cx1_cf/2)+cx1_cf+((B_cf-cy1_cf)/2)+cy1_cf+PI()*R59/2)*dp_cf)/(vRdc_p*2*dp_cf/R59),0)</f>
        <v/>
      </c>
      <c r="V59">
        <f>IF(Z58&lt;AA58,X58,V58)</f>
        <v/>
      </c>
      <c r="W59">
        <f>IF(Z58&lt;AA58,W58,Y58)</f>
        <v/>
      </c>
      <c r="X59">
        <f>W59-((SQRT(5)-1)/2)*(W59-V59)</f>
        <v/>
      </c>
      <c r="Y59">
        <f>V59+((SQRT(5)-1)/2)*(W59-V59)</f>
        <v/>
      </c>
      <c r="Z59">
        <f>IFERROR(beta_cf*MAX(0,P2_cf-(((L_cf-x2_cf-cx2_cf/2)+cx2_cf)*(cy2_cf+2*X59)*((wa_cf+wb_cf*(((x2_cf-cx2_cf/2)+L_cf)/2)/1000)/Bm_cf)+cy2_cf*X59*((wa_cf+wb_cf*((x2_cf-cx2_cf/2)-X59/2)/1000)/Bm_cf)+PI()*X59^2/2*((wa_cf+wb_cf*((x2_cf-cx2_cf/2)-4*X59/(3*PI()))/1000)/Bm_cf))/1E6)*1000/((cy2_cf+PI()*X59+2*((L_cf-x2_cf-cx2_cf/2)+cx2_cf))*dp_cf)/(vRdc_p*2*dp_cf/X59),0)</f>
        <v/>
      </c>
      <c r="AA59">
        <f>IFERROR(beta_cf*MAX(0,P2_cf-(((L_cf-x2_cf-cx2_cf/2)+cx2_cf)*(cy2_cf+2*Y59)*((wa_cf+wb_cf*(((x2_cf-cx2_cf/2)+L_cf)/2)/1000)/Bm_cf)+cy2_cf*Y59*((wa_cf+wb_cf*((x2_cf-cx2_cf/2)-Y59/2)/1000)/Bm_cf)+PI()*Y59^2/2*((wa_cf+wb_cf*((x2_cf-cx2_cf/2)-4*Y59/(3*PI()))/1000)/Bm_cf))/1E6)*1000/((cy2_cf+PI()*Y59+2*((L_cf-x2_cf-cx2_cf/2)+cx2_cf))*dp_cf)/(vRdc_p*2*dp_cf/Y59),0)</f>
        <v/>
      </c>
      <c r="AC59">
        <f>IF(AG58&lt;AH58,AE58,AC58)</f>
        <v/>
      </c>
      <c r="AD59">
        <f>IF(AG58&lt;AH58,AD58,AF58)</f>
        <v/>
      </c>
      <c r="AE59">
        <f>AD59-((SQRT(5)-1)/2)*(AD59-AC59)</f>
        <v/>
      </c>
      <c r="AF59">
        <f>AC59+((SQRT(5)-1)/2)*(AD59-AC59)</f>
        <v/>
      </c>
      <c r="AG59">
        <f>IFERROR(beta_cf*MAX(0,P2_cf-(((cx2_cf+2*AE59)*(((B_cf-cy2_cf)/2)+cy2_cf)+cx2_cf*AE59+PI()*AE59^2/2)*((wa_cf+wb_cf*(x2_cf)/1000)/Bm_cf))/1E6)*1000/((cx2_cf+PI()*AE59+2*(((B_cf-cy2_cf)/2)+cy2_cf))*dp_cf)/(vRdc_p*2*dp_cf/AE59),0)</f>
        <v/>
      </c>
      <c r="AH59">
        <f>IFERROR(beta_cf*MAX(0,P2_cf-(((cx2_cf+2*AF59)*(((B_cf-cy2_cf)/2)+cy2_cf)+cx2_cf*AF59+PI()*AF59^2/2)*((wa_cf+wb_cf*(x2_cf)/1000)/Bm_cf))/1E6)*1000/((cx2_cf+PI()*AF59+2*(((B_cf-cy2_cf)/2)+cy2_cf))*dp_cf)/(vRdc_p*2*dp_cf/AF59),0)</f>
        <v/>
      </c>
      <c r="AJ59">
        <f>IF(AN58&lt;AO58,AL58,AJ58)</f>
        <v/>
      </c>
      <c r="AK59">
        <f>IF(AN58&lt;AO58,AK58,AM58)</f>
        <v/>
      </c>
      <c r="AL59">
        <f>AK59-((SQRT(5)-1)/2)*(AK59-AJ59)</f>
        <v/>
      </c>
      <c r="AM59">
        <f>AJ59+((SQRT(5)-1)/2)*(AK59-AJ59)</f>
        <v/>
      </c>
      <c r="AN59">
        <f>IFERROR(beta_cf*MAX(0,P2_cf-(((L_cf-x2_cf-cx2_cf/2)+cx2_cf)*(((B_cf-cy2_cf)/2)+cy2_cf+AL59)*((wa_cf+wb_cf*(((x2_cf-cx2_cf/2)+L_cf)/2)/1000)/Bm_cf)+(((B_cf-cy2_cf)/2)+cy2_cf)*AL59*((wa_cf+wb_cf*((x2_cf-cx2_cf/2)-AL59/2)/1000)/Bm_cf)+PI()*AL59^2/4*((wa_cf+wb_cf*((x2_cf-cx2_cf/2)-4*AL59/(3*PI()))/1000)/Bm_cf))/1E6)*1000/(((L_cf-x2_cf-cx2_cf/2)+cx2_cf+((B_cf-cy2_cf)/2)+cy2_cf+PI()*AL59/2)*dp_cf)/(vRdc_p*2*dp_cf/AL59),0)</f>
        <v/>
      </c>
      <c r="AO59">
        <f>IFERROR(beta_cf*MAX(0,P2_cf-(((L_cf-x2_cf-cx2_cf/2)+cx2_cf)*(((B_cf-cy2_cf)/2)+cy2_cf+AM59)*((wa_cf+wb_cf*(((x2_cf-cx2_cf/2)+L_cf)/2)/1000)/Bm_cf)+(((B_cf-cy2_cf)/2)+cy2_cf)*AM59*((wa_cf+wb_cf*((x2_cf-cx2_cf/2)-AM59/2)/1000)/Bm_cf)+PI()*AM59^2/4*((wa_cf+wb_cf*((x2_cf-cx2_cf/2)-4*AM59/(3*PI()))/1000)/Bm_cf))/1E6)*1000/(((L_cf-x2_cf-cx2_cf/2)+cx2_cf+((B_cf-cy2_cf)/2)+cy2_cf+PI()*AM59/2)*dp_cf)/(vRdc_p*2*dp_cf/AM59),0)</f>
        <v/>
      </c>
    </row>
    <row r="60">
      <c r="A60">
        <f>IF(E59&lt;F59,C59,A59)</f>
        <v/>
      </c>
      <c r="B60">
        <f>IF(E59&lt;F59,B59,D59)</f>
        <v/>
      </c>
      <c r="C60">
        <f>B60-((SQRT(5)-1)/2)*(B60-A60)</f>
        <v/>
      </c>
      <c r="D60">
        <f>A60+((SQRT(5)-1)/2)*(B60-A60)</f>
        <v/>
      </c>
      <c r="E60">
        <f>IFERROR(beta_cf*MAX(0,P1_cf-(((x1_cf-cx1_cf/2)+cx1_cf)*(cy1_cf+2*C60)*((wa_cf+wb_cf*((x1_cf+cx1_cf/2)/2)/1000)/Bm_cf)+cy1_cf*C60*((wa_cf+wb_cf*((x1_cf+cx1_cf/2)+C60/2)/1000)/Bm_cf)+PI()*C60^2/2*((wa_cf+wb_cf*((x1_cf+cx1_cf/2)+4*C60/(3*PI()))/1000)/Bm_cf))/1E6)*1000/((cy1_cf+PI()*C60+2*((x1_cf-cx1_cf/2)+cx1_cf))*dp_cf)/(vRdc_p*2*dp_cf/C60),0)</f>
        <v/>
      </c>
      <c r="F60">
        <f>IFERROR(beta_cf*MAX(0,P1_cf-(((x1_cf-cx1_cf/2)+cx1_cf)*(cy1_cf+2*D60)*((wa_cf+wb_cf*((x1_cf+cx1_cf/2)/2)/1000)/Bm_cf)+cy1_cf*D60*((wa_cf+wb_cf*((x1_cf+cx1_cf/2)+D60/2)/1000)/Bm_cf)+PI()*D60^2/2*((wa_cf+wb_cf*((x1_cf+cx1_cf/2)+4*D60/(3*PI()))/1000)/Bm_cf))/1E6)*1000/((cy1_cf+PI()*D60+2*((x1_cf-cx1_cf/2)+cx1_cf))*dp_cf)/(vRdc_p*2*dp_cf/D60),0)</f>
        <v/>
      </c>
      <c r="H60">
        <f>IF(L59&lt;M59,J59,H59)</f>
        <v/>
      </c>
      <c r="I60">
        <f>IF(L59&lt;M59,I59,K59)</f>
        <v/>
      </c>
      <c r="J60">
        <f>I60-((SQRT(5)-1)/2)*(I60-H60)</f>
        <v/>
      </c>
      <c r="K60">
        <f>H60+((SQRT(5)-1)/2)*(I60-H60)</f>
        <v/>
      </c>
      <c r="L60">
        <f>IFERROR(beta_cf*MAX(0,P1_cf-(((cx1_cf+2*J60)*(((B_cf-cy1_cf)/2)+cy1_cf)+cx1_cf*J60+PI()*J60^2/2)*((wa_cf+wb_cf*(x1_cf)/1000)/Bm_cf))/1E6)*1000/((cx1_cf+PI()*J60+2*(((B_cf-cy1_cf)/2)+cy1_cf))*dp_cf)/(vRdc_p*2*dp_cf/J60),0)</f>
        <v/>
      </c>
      <c r="M60">
        <f>IFERROR(beta_cf*MAX(0,P1_cf-(((cx1_cf+2*K60)*(((B_cf-cy1_cf)/2)+cy1_cf)+cx1_cf*K60+PI()*K60^2/2)*((wa_cf+wb_cf*(x1_cf)/1000)/Bm_cf))/1E6)*1000/((cx1_cf+PI()*K60+2*(((B_cf-cy1_cf)/2)+cy1_cf))*dp_cf)/(vRdc_p*2*dp_cf/K60),0)</f>
        <v/>
      </c>
      <c r="O60">
        <f>IF(S59&lt;T59,Q59,O59)</f>
        <v/>
      </c>
      <c r="P60">
        <f>IF(S59&lt;T59,P59,R59)</f>
        <v/>
      </c>
      <c r="Q60">
        <f>P60-((SQRT(5)-1)/2)*(P60-O60)</f>
        <v/>
      </c>
      <c r="R60">
        <f>O60+((SQRT(5)-1)/2)*(P60-O60)</f>
        <v/>
      </c>
      <c r="S60">
        <f>IFERROR(beta_cf*MAX(0,P1_cf-(((x1_cf-cx1_cf/2)+cx1_cf)*(((B_cf-cy1_cf)/2)+cy1_cf+Q60)*((wa_cf+wb_cf*((x1_cf+cx1_cf/2)/2)/1000)/Bm_cf)+(((B_cf-cy1_cf)/2)+cy1_cf)*Q60*((wa_cf+wb_cf*((x1_cf+cx1_cf/2)+Q60/2)/1000)/Bm_cf)+PI()*Q60^2/4*((wa_cf+wb_cf*((x1_cf+cx1_cf/2)+4*Q60/(3*PI()))/1000)/Bm_cf))/1E6)*1000/(((x1_cf-cx1_cf/2)+cx1_cf+((B_cf-cy1_cf)/2)+cy1_cf+PI()*Q60/2)*dp_cf)/(vRdc_p*2*dp_cf/Q60),0)</f>
        <v/>
      </c>
      <c r="T60">
        <f>IFERROR(beta_cf*MAX(0,P1_cf-(((x1_cf-cx1_cf/2)+cx1_cf)*(((B_cf-cy1_cf)/2)+cy1_cf+R60)*((wa_cf+wb_cf*((x1_cf+cx1_cf/2)/2)/1000)/Bm_cf)+(((B_cf-cy1_cf)/2)+cy1_cf)*R60*((wa_cf+wb_cf*((x1_cf+cx1_cf/2)+R60/2)/1000)/Bm_cf)+PI()*R60^2/4*((wa_cf+wb_cf*((x1_cf+cx1_cf/2)+4*R60/(3*PI()))/1000)/Bm_cf))/1E6)*1000/(((x1_cf-cx1_cf/2)+cx1_cf+((B_cf-cy1_cf)/2)+cy1_cf+PI()*R60/2)*dp_cf)/(vRdc_p*2*dp_cf/R60),0)</f>
        <v/>
      </c>
      <c r="V60">
        <f>IF(Z59&lt;AA59,X59,V59)</f>
        <v/>
      </c>
      <c r="W60">
        <f>IF(Z59&lt;AA59,W59,Y59)</f>
        <v/>
      </c>
      <c r="X60">
        <f>W60-((SQRT(5)-1)/2)*(W60-V60)</f>
        <v/>
      </c>
      <c r="Y60">
        <f>V60+((SQRT(5)-1)/2)*(W60-V60)</f>
        <v/>
      </c>
      <c r="Z60">
        <f>IFERROR(beta_cf*MAX(0,P2_cf-(((L_cf-x2_cf-cx2_cf/2)+cx2_cf)*(cy2_cf+2*X60)*((wa_cf+wb_cf*(((x2_cf-cx2_cf/2)+L_cf)/2)/1000)/Bm_cf)+cy2_cf*X60*((wa_cf+wb_cf*((x2_cf-cx2_cf/2)-X60/2)/1000)/Bm_cf)+PI()*X60^2/2*((wa_cf+wb_cf*((x2_cf-cx2_cf/2)-4*X60/(3*PI()))/1000)/Bm_cf))/1E6)*1000/((cy2_cf+PI()*X60+2*((L_cf-x2_cf-cx2_cf/2)+cx2_cf))*dp_cf)/(vRdc_p*2*dp_cf/X60),0)</f>
        <v/>
      </c>
      <c r="AA60">
        <f>IFERROR(beta_cf*MAX(0,P2_cf-(((L_cf-x2_cf-cx2_cf/2)+cx2_cf)*(cy2_cf+2*Y60)*((wa_cf+wb_cf*(((x2_cf-cx2_cf/2)+L_cf)/2)/1000)/Bm_cf)+cy2_cf*Y60*((wa_cf+wb_cf*((x2_cf-cx2_cf/2)-Y60/2)/1000)/Bm_cf)+PI()*Y60^2/2*((wa_cf+wb_cf*((x2_cf-cx2_cf/2)-4*Y60/(3*PI()))/1000)/Bm_cf))/1E6)*1000/((cy2_cf+PI()*Y60+2*((L_cf-x2_cf-cx2_cf/2)+cx2_cf))*dp_cf)/(vRdc_p*2*dp_cf/Y60),0)</f>
        <v/>
      </c>
      <c r="AC60">
        <f>IF(AG59&lt;AH59,AE59,AC59)</f>
        <v/>
      </c>
      <c r="AD60">
        <f>IF(AG59&lt;AH59,AD59,AF59)</f>
        <v/>
      </c>
      <c r="AE60">
        <f>AD60-((SQRT(5)-1)/2)*(AD60-AC60)</f>
        <v/>
      </c>
      <c r="AF60">
        <f>AC60+((SQRT(5)-1)/2)*(AD60-AC60)</f>
        <v/>
      </c>
      <c r="AG60">
        <f>IFERROR(beta_cf*MAX(0,P2_cf-(((cx2_cf+2*AE60)*(((B_cf-cy2_cf)/2)+cy2_cf)+cx2_cf*AE60+PI()*AE60^2/2)*((wa_cf+wb_cf*(x2_cf)/1000)/Bm_cf))/1E6)*1000/((cx2_cf+PI()*AE60+2*(((B_cf-cy2_cf)/2)+cy2_cf))*dp_cf)/(vRdc_p*2*dp_cf/AE60),0)</f>
        <v/>
      </c>
      <c r="AH60">
        <f>IFERROR(beta_cf*MAX(0,P2_cf-(((cx2_cf+2*AF60)*(((B_cf-cy2_cf)/2)+cy2_cf)+cx2_cf*AF60+PI()*AF60^2/2)*((wa_cf+wb_cf*(x2_cf)/1000)/Bm_cf))/1E6)*1000/((cx2_cf+PI()*AF60+2*(((B_cf-cy2_cf)/2)+cy2_cf))*dp_cf)/(vRdc_p*2*dp_cf/AF60),0)</f>
        <v/>
      </c>
      <c r="AJ60">
        <f>IF(AN59&lt;AO59,AL59,AJ59)</f>
        <v/>
      </c>
      <c r="AK60">
        <f>IF(AN59&lt;AO59,AK59,AM59)</f>
        <v/>
      </c>
      <c r="AL60">
        <f>AK60-((SQRT(5)-1)/2)*(AK60-AJ60)</f>
        <v/>
      </c>
      <c r="AM60">
        <f>AJ60+((SQRT(5)-1)/2)*(AK60-AJ60)</f>
        <v/>
      </c>
      <c r="AN60">
        <f>IFERROR(beta_cf*MAX(0,P2_cf-(((L_cf-x2_cf-cx2_cf/2)+cx2_cf)*(((B_cf-cy2_cf)/2)+cy2_cf+AL60)*((wa_cf+wb_cf*(((x2_cf-cx2_cf/2)+L_cf)/2)/1000)/Bm_cf)+(((B_cf-cy2_cf)/2)+cy2_cf)*AL60*((wa_cf+wb_cf*((x2_cf-cx2_cf/2)-AL60/2)/1000)/Bm_cf)+PI()*AL60^2/4*((wa_cf+wb_cf*((x2_cf-cx2_cf/2)-4*AL60/(3*PI()))/1000)/Bm_cf))/1E6)*1000/(((L_cf-x2_cf-cx2_cf/2)+cx2_cf+((B_cf-cy2_cf)/2)+cy2_cf+PI()*AL60/2)*dp_cf)/(vRdc_p*2*dp_cf/AL60),0)</f>
        <v/>
      </c>
      <c r="AO60">
        <f>IFERROR(beta_cf*MAX(0,P2_cf-(((L_cf-x2_cf-cx2_cf/2)+cx2_cf)*(((B_cf-cy2_cf)/2)+cy2_cf+AM60)*((wa_cf+wb_cf*(((x2_cf-cx2_cf/2)+L_cf)/2)/1000)/Bm_cf)+(((B_cf-cy2_cf)/2)+cy2_cf)*AM60*((wa_cf+wb_cf*((x2_cf-cx2_cf/2)-AM60/2)/1000)/Bm_cf)+PI()*AM60^2/4*((wa_cf+wb_cf*((x2_cf-cx2_cf/2)-4*AM60/(3*PI()))/1000)/Bm_cf))/1E6)*1000/(((L_cf-x2_cf-cx2_cf/2)+cx2_cf+((B_cf-cy2_cf)/2)+cy2_cf+PI()*AM60/2)*dp_cf)/(vRdc_p*2*dp_cf/AM60),0)</f>
        <v/>
      </c>
    </row>
    <row r="61">
      <c r="A61">
        <f>IF(E60&lt;F60,C60,A60)</f>
        <v/>
      </c>
      <c r="B61">
        <f>IF(E60&lt;F60,B60,D60)</f>
        <v/>
      </c>
      <c r="C61">
        <f>B61-((SQRT(5)-1)/2)*(B61-A61)</f>
        <v/>
      </c>
      <c r="D61">
        <f>A61+((SQRT(5)-1)/2)*(B61-A61)</f>
        <v/>
      </c>
      <c r="E61">
        <f>IFERROR(beta_cf*MAX(0,P1_cf-(((x1_cf-cx1_cf/2)+cx1_cf)*(cy1_cf+2*C61)*((wa_cf+wb_cf*((x1_cf+cx1_cf/2)/2)/1000)/Bm_cf)+cy1_cf*C61*((wa_cf+wb_cf*((x1_cf+cx1_cf/2)+C61/2)/1000)/Bm_cf)+PI()*C61^2/2*((wa_cf+wb_cf*((x1_cf+cx1_cf/2)+4*C61/(3*PI()))/1000)/Bm_cf))/1E6)*1000/((cy1_cf+PI()*C61+2*((x1_cf-cx1_cf/2)+cx1_cf))*dp_cf)/(vRdc_p*2*dp_cf/C61),0)</f>
        <v/>
      </c>
      <c r="F61">
        <f>IFERROR(beta_cf*MAX(0,P1_cf-(((x1_cf-cx1_cf/2)+cx1_cf)*(cy1_cf+2*D61)*((wa_cf+wb_cf*((x1_cf+cx1_cf/2)/2)/1000)/Bm_cf)+cy1_cf*D61*((wa_cf+wb_cf*((x1_cf+cx1_cf/2)+D61/2)/1000)/Bm_cf)+PI()*D61^2/2*((wa_cf+wb_cf*((x1_cf+cx1_cf/2)+4*D61/(3*PI()))/1000)/Bm_cf))/1E6)*1000/((cy1_cf+PI()*D61+2*((x1_cf-cx1_cf/2)+cx1_cf))*dp_cf)/(vRdc_p*2*dp_cf/D61),0)</f>
        <v/>
      </c>
      <c r="H61">
        <f>IF(L60&lt;M60,J60,H60)</f>
        <v/>
      </c>
      <c r="I61">
        <f>IF(L60&lt;M60,I60,K60)</f>
        <v/>
      </c>
      <c r="J61">
        <f>I61-((SQRT(5)-1)/2)*(I61-H61)</f>
        <v/>
      </c>
      <c r="K61">
        <f>H61+((SQRT(5)-1)/2)*(I61-H61)</f>
        <v/>
      </c>
      <c r="L61">
        <f>IFERROR(beta_cf*MAX(0,P1_cf-(((cx1_cf+2*J61)*(((B_cf-cy1_cf)/2)+cy1_cf)+cx1_cf*J61+PI()*J61^2/2)*((wa_cf+wb_cf*(x1_cf)/1000)/Bm_cf))/1E6)*1000/((cx1_cf+PI()*J61+2*(((B_cf-cy1_cf)/2)+cy1_cf))*dp_cf)/(vRdc_p*2*dp_cf/J61),0)</f>
        <v/>
      </c>
      <c r="M61">
        <f>IFERROR(beta_cf*MAX(0,P1_cf-(((cx1_cf+2*K61)*(((B_cf-cy1_cf)/2)+cy1_cf)+cx1_cf*K61+PI()*K61^2/2)*((wa_cf+wb_cf*(x1_cf)/1000)/Bm_cf))/1E6)*1000/((cx1_cf+PI()*K61+2*(((B_cf-cy1_cf)/2)+cy1_cf))*dp_cf)/(vRdc_p*2*dp_cf/K61),0)</f>
        <v/>
      </c>
      <c r="O61">
        <f>IF(S60&lt;T60,Q60,O60)</f>
        <v/>
      </c>
      <c r="P61">
        <f>IF(S60&lt;T60,P60,R60)</f>
        <v/>
      </c>
      <c r="Q61">
        <f>P61-((SQRT(5)-1)/2)*(P61-O61)</f>
        <v/>
      </c>
      <c r="R61">
        <f>O61+((SQRT(5)-1)/2)*(P61-O61)</f>
        <v/>
      </c>
      <c r="S61">
        <f>IFERROR(beta_cf*MAX(0,P1_cf-(((x1_cf-cx1_cf/2)+cx1_cf)*(((B_cf-cy1_cf)/2)+cy1_cf+Q61)*((wa_cf+wb_cf*((x1_cf+cx1_cf/2)/2)/1000)/Bm_cf)+(((B_cf-cy1_cf)/2)+cy1_cf)*Q61*((wa_cf+wb_cf*((x1_cf+cx1_cf/2)+Q61/2)/1000)/Bm_cf)+PI()*Q61^2/4*((wa_cf+wb_cf*((x1_cf+cx1_cf/2)+4*Q61/(3*PI()))/1000)/Bm_cf))/1E6)*1000/(((x1_cf-cx1_cf/2)+cx1_cf+((B_cf-cy1_cf)/2)+cy1_cf+PI()*Q61/2)*dp_cf)/(vRdc_p*2*dp_cf/Q61),0)</f>
        <v/>
      </c>
      <c r="T61">
        <f>IFERROR(beta_cf*MAX(0,P1_cf-(((x1_cf-cx1_cf/2)+cx1_cf)*(((B_cf-cy1_cf)/2)+cy1_cf+R61)*((wa_cf+wb_cf*((x1_cf+cx1_cf/2)/2)/1000)/Bm_cf)+(((B_cf-cy1_cf)/2)+cy1_cf)*R61*((wa_cf+wb_cf*((x1_cf+cx1_cf/2)+R61/2)/1000)/Bm_cf)+PI()*R61^2/4*((wa_cf+wb_cf*((x1_cf+cx1_cf/2)+4*R61/(3*PI()))/1000)/Bm_cf))/1E6)*1000/(((x1_cf-cx1_cf/2)+cx1_cf+((B_cf-cy1_cf)/2)+cy1_cf+PI()*R61/2)*dp_cf)/(vRdc_p*2*dp_cf/R61),0)</f>
        <v/>
      </c>
      <c r="V61">
        <f>IF(Z60&lt;AA60,X60,V60)</f>
        <v/>
      </c>
      <c r="W61">
        <f>IF(Z60&lt;AA60,W60,Y60)</f>
        <v/>
      </c>
      <c r="X61">
        <f>W61-((SQRT(5)-1)/2)*(W61-V61)</f>
        <v/>
      </c>
      <c r="Y61">
        <f>V61+((SQRT(5)-1)/2)*(W61-V61)</f>
        <v/>
      </c>
      <c r="Z61">
        <f>IFERROR(beta_cf*MAX(0,P2_cf-(((L_cf-x2_cf-cx2_cf/2)+cx2_cf)*(cy2_cf+2*X61)*((wa_cf+wb_cf*(((x2_cf-cx2_cf/2)+L_cf)/2)/1000)/Bm_cf)+cy2_cf*X61*((wa_cf+wb_cf*((x2_cf-cx2_cf/2)-X61/2)/1000)/Bm_cf)+PI()*X61^2/2*((wa_cf+wb_cf*((x2_cf-cx2_cf/2)-4*X61/(3*PI()))/1000)/Bm_cf))/1E6)*1000/((cy2_cf+PI()*X61+2*((L_cf-x2_cf-cx2_cf/2)+cx2_cf))*dp_cf)/(vRdc_p*2*dp_cf/X61),0)</f>
        <v/>
      </c>
      <c r="AA61">
        <f>IFERROR(beta_cf*MAX(0,P2_cf-(((L_cf-x2_cf-cx2_cf/2)+cx2_cf)*(cy2_cf+2*Y61)*((wa_cf+wb_cf*(((x2_cf-cx2_cf/2)+L_cf)/2)/1000)/Bm_cf)+cy2_cf*Y61*((wa_cf+wb_cf*((x2_cf-cx2_cf/2)-Y61/2)/1000)/Bm_cf)+PI()*Y61^2/2*((wa_cf+wb_cf*((x2_cf-cx2_cf/2)-4*Y61/(3*PI()))/1000)/Bm_cf))/1E6)*1000/((cy2_cf+PI()*Y61+2*((L_cf-x2_cf-cx2_cf/2)+cx2_cf))*dp_cf)/(vRdc_p*2*dp_cf/Y61),0)</f>
        <v/>
      </c>
      <c r="AC61">
        <f>IF(AG60&lt;AH60,AE60,AC60)</f>
        <v/>
      </c>
      <c r="AD61">
        <f>IF(AG60&lt;AH60,AD60,AF60)</f>
        <v/>
      </c>
      <c r="AE61">
        <f>AD61-((SQRT(5)-1)/2)*(AD61-AC61)</f>
        <v/>
      </c>
      <c r="AF61">
        <f>AC61+((SQRT(5)-1)/2)*(AD61-AC61)</f>
        <v/>
      </c>
      <c r="AG61">
        <f>IFERROR(beta_cf*MAX(0,P2_cf-(((cx2_cf+2*AE61)*(((B_cf-cy2_cf)/2)+cy2_cf)+cx2_cf*AE61+PI()*AE61^2/2)*((wa_cf+wb_cf*(x2_cf)/1000)/Bm_cf))/1E6)*1000/((cx2_cf+PI()*AE61+2*(((B_cf-cy2_cf)/2)+cy2_cf))*dp_cf)/(vRdc_p*2*dp_cf/AE61),0)</f>
        <v/>
      </c>
      <c r="AH61">
        <f>IFERROR(beta_cf*MAX(0,P2_cf-(((cx2_cf+2*AF61)*(((B_cf-cy2_cf)/2)+cy2_cf)+cx2_cf*AF61+PI()*AF61^2/2)*((wa_cf+wb_cf*(x2_cf)/1000)/Bm_cf))/1E6)*1000/((cx2_cf+PI()*AF61+2*(((B_cf-cy2_cf)/2)+cy2_cf))*dp_cf)/(vRdc_p*2*dp_cf/AF61),0)</f>
        <v/>
      </c>
      <c r="AJ61">
        <f>IF(AN60&lt;AO60,AL60,AJ60)</f>
        <v/>
      </c>
      <c r="AK61">
        <f>IF(AN60&lt;AO60,AK60,AM60)</f>
        <v/>
      </c>
      <c r="AL61">
        <f>AK61-((SQRT(5)-1)/2)*(AK61-AJ61)</f>
        <v/>
      </c>
      <c r="AM61">
        <f>AJ61+((SQRT(5)-1)/2)*(AK61-AJ61)</f>
        <v/>
      </c>
      <c r="AN61">
        <f>IFERROR(beta_cf*MAX(0,P2_cf-(((L_cf-x2_cf-cx2_cf/2)+cx2_cf)*(((B_cf-cy2_cf)/2)+cy2_cf+AL61)*((wa_cf+wb_cf*(((x2_cf-cx2_cf/2)+L_cf)/2)/1000)/Bm_cf)+(((B_cf-cy2_cf)/2)+cy2_cf)*AL61*((wa_cf+wb_cf*((x2_cf-cx2_cf/2)-AL61/2)/1000)/Bm_cf)+PI()*AL61^2/4*((wa_cf+wb_cf*((x2_cf-cx2_cf/2)-4*AL61/(3*PI()))/1000)/Bm_cf))/1E6)*1000/(((L_cf-x2_cf-cx2_cf/2)+cx2_cf+((B_cf-cy2_cf)/2)+cy2_cf+PI()*AL61/2)*dp_cf)/(vRdc_p*2*dp_cf/AL61),0)</f>
        <v/>
      </c>
      <c r="AO61">
        <f>IFERROR(beta_cf*MAX(0,P2_cf-(((L_cf-x2_cf-cx2_cf/2)+cx2_cf)*(((B_cf-cy2_cf)/2)+cy2_cf+AM61)*((wa_cf+wb_cf*(((x2_cf-cx2_cf/2)+L_cf)/2)/1000)/Bm_cf)+(((B_cf-cy2_cf)/2)+cy2_cf)*AM61*((wa_cf+wb_cf*((x2_cf-cx2_cf/2)-AM61/2)/1000)/Bm_cf)+PI()*AM61^2/4*((wa_cf+wb_cf*((x2_cf-cx2_cf/2)-4*AM61/(3*PI()))/1000)/Bm_cf))/1E6)*1000/(((L_cf-x2_cf-cx2_cf/2)+cx2_cf+((B_cf-cy2_cf)/2)+cy2_cf+PI()*AM61/2)*dp_cf)/(vRdc_p*2*dp_cf/AM61),0)</f>
        <v/>
      </c>
    </row>
    <row r="62">
      <c r="A62">
        <f>IF(E61&lt;F61,C61,A61)</f>
        <v/>
      </c>
      <c r="B62">
        <f>IF(E61&lt;F61,B61,D61)</f>
        <v/>
      </c>
      <c r="C62">
        <f>B62-((SQRT(5)-1)/2)*(B62-A62)</f>
        <v/>
      </c>
      <c r="D62">
        <f>A62+((SQRT(5)-1)/2)*(B62-A62)</f>
        <v/>
      </c>
      <c r="E62">
        <f>IFERROR(beta_cf*MAX(0,P1_cf-(((x1_cf-cx1_cf/2)+cx1_cf)*(cy1_cf+2*C62)*((wa_cf+wb_cf*((x1_cf+cx1_cf/2)/2)/1000)/Bm_cf)+cy1_cf*C62*((wa_cf+wb_cf*((x1_cf+cx1_cf/2)+C62/2)/1000)/Bm_cf)+PI()*C62^2/2*((wa_cf+wb_cf*((x1_cf+cx1_cf/2)+4*C62/(3*PI()))/1000)/Bm_cf))/1E6)*1000/((cy1_cf+PI()*C62+2*((x1_cf-cx1_cf/2)+cx1_cf))*dp_cf)/(vRdc_p*2*dp_cf/C62),0)</f>
        <v/>
      </c>
      <c r="F62">
        <f>IFERROR(beta_cf*MAX(0,P1_cf-(((x1_cf-cx1_cf/2)+cx1_cf)*(cy1_cf+2*D62)*((wa_cf+wb_cf*((x1_cf+cx1_cf/2)/2)/1000)/Bm_cf)+cy1_cf*D62*((wa_cf+wb_cf*((x1_cf+cx1_cf/2)+D62/2)/1000)/Bm_cf)+PI()*D62^2/2*((wa_cf+wb_cf*((x1_cf+cx1_cf/2)+4*D62/(3*PI()))/1000)/Bm_cf))/1E6)*1000/((cy1_cf+PI()*D62+2*((x1_cf-cx1_cf/2)+cx1_cf))*dp_cf)/(vRdc_p*2*dp_cf/D62),0)</f>
        <v/>
      </c>
      <c r="H62">
        <f>IF(L61&lt;M61,J61,H61)</f>
        <v/>
      </c>
      <c r="I62">
        <f>IF(L61&lt;M61,I61,K61)</f>
        <v/>
      </c>
      <c r="J62">
        <f>I62-((SQRT(5)-1)/2)*(I62-H62)</f>
        <v/>
      </c>
      <c r="K62">
        <f>H62+((SQRT(5)-1)/2)*(I62-H62)</f>
        <v/>
      </c>
      <c r="L62">
        <f>IFERROR(beta_cf*MAX(0,P1_cf-(((cx1_cf+2*J62)*(((B_cf-cy1_cf)/2)+cy1_cf)+cx1_cf*J62+PI()*J62^2/2)*((wa_cf+wb_cf*(x1_cf)/1000)/Bm_cf))/1E6)*1000/((cx1_cf+PI()*J62+2*(((B_cf-cy1_cf)/2)+cy1_cf))*dp_cf)/(vRdc_p*2*dp_cf/J62),0)</f>
        <v/>
      </c>
      <c r="M62">
        <f>IFERROR(beta_cf*MAX(0,P1_cf-(((cx1_cf+2*K62)*(((B_cf-cy1_cf)/2)+cy1_cf)+cx1_cf*K62+PI()*K62^2/2)*((wa_cf+wb_cf*(x1_cf)/1000)/Bm_cf))/1E6)*1000/((cx1_cf+PI()*K62+2*(((B_cf-cy1_cf)/2)+cy1_cf))*dp_cf)/(vRdc_p*2*dp_cf/K62),0)</f>
        <v/>
      </c>
      <c r="O62">
        <f>IF(S61&lt;T61,Q61,O61)</f>
        <v/>
      </c>
      <c r="P62">
        <f>IF(S61&lt;T61,P61,R61)</f>
        <v/>
      </c>
      <c r="Q62">
        <f>P62-((SQRT(5)-1)/2)*(P62-O62)</f>
        <v/>
      </c>
      <c r="R62">
        <f>O62+((SQRT(5)-1)/2)*(P62-O62)</f>
        <v/>
      </c>
      <c r="S62">
        <f>IFERROR(beta_cf*MAX(0,P1_cf-(((x1_cf-cx1_cf/2)+cx1_cf)*(((B_cf-cy1_cf)/2)+cy1_cf+Q62)*((wa_cf+wb_cf*((x1_cf+cx1_cf/2)/2)/1000)/Bm_cf)+(((B_cf-cy1_cf)/2)+cy1_cf)*Q62*((wa_cf+wb_cf*((x1_cf+cx1_cf/2)+Q62/2)/1000)/Bm_cf)+PI()*Q62^2/4*((wa_cf+wb_cf*((x1_cf+cx1_cf/2)+4*Q62/(3*PI()))/1000)/Bm_cf))/1E6)*1000/(((x1_cf-cx1_cf/2)+cx1_cf+((B_cf-cy1_cf)/2)+cy1_cf+PI()*Q62/2)*dp_cf)/(vRdc_p*2*dp_cf/Q62),0)</f>
        <v/>
      </c>
      <c r="T62">
        <f>IFERROR(beta_cf*MAX(0,P1_cf-(((x1_cf-cx1_cf/2)+cx1_cf)*(((B_cf-cy1_cf)/2)+cy1_cf+R62)*((wa_cf+wb_cf*((x1_cf+cx1_cf/2)/2)/1000)/Bm_cf)+(((B_cf-cy1_cf)/2)+cy1_cf)*R62*((wa_cf+wb_cf*((x1_cf+cx1_cf/2)+R62/2)/1000)/Bm_cf)+PI()*R62^2/4*((wa_cf+wb_cf*((x1_cf+cx1_cf/2)+4*R62/(3*PI()))/1000)/Bm_cf))/1E6)*1000/(((x1_cf-cx1_cf/2)+cx1_cf+((B_cf-cy1_cf)/2)+cy1_cf+PI()*R62/2)*dp_cf)/(vRdc_p*2*dp_cf/R62),0)</f>
        <v/>
      </c>
      <c r="V62">
        <f>IF(Z61&lt;AA61,X61,V61)</f>
        <v/>
      </c>
      <c r="W62">
        <f>IF(Z61&lt;AA61,W61,Y61)</f>
        <v/>
      </c>
      <c r="X62">
        <f>W62-((SQRT(5)-1)/2)*(W62-V62)</f>
        <v/>
      </c>
      <c r="Y62">
        <f>V62+((SQRT(5)-1)/2)*(W62-V62)</f>
        <v/>
      </c>
      <c r="Z62">
        <f>IFERROR(beta_cf*MAX(0,P2_cf-(((L_cf-x2_cf-cx2_cf/2)+cx2_cf)*(cy2_cf+2*X62)*((wa_cf+wb_cf*(((x2_cf-cx2_cf/2)+L_cf)/2)/1000)/Bm_cf)+cy2_cf*X62*((wa_cf+wb_cf*((x2_cf-cx2_cf/2)-X62/2)/1000)/Bm_cf)+PI()*X62^2/2*((wa_cf+wb_cf*((x2_cf-cx2_cf/2)-4*X62/(3*PI()))/1000)/Bm_cf))/1E6)*1000/((cy2_cf+PI()*X62+2*((L_cf-x2_cf-cx2_cf/2)+cx2_cf))*dp_cf)/(vRdc_p*2*dp_cf/X62),0)</f>
        <v/>
      </c>
      <c r="AA62">
        <f>IFERROR(beta_cf*MAX(0,P2_cf-(((L_cf-x2_cf-cx2_cf/2)+cx2_cf)*(cy2_cf+2*Y62)*((wa_cf+wb_cf*(((x2_cf-cx2_cf/2)+L_cf)/2)/1000)/Bm_cf)+cy2_cf*Y62*((wa_cf+wb_cf*((x2_cf-cx2_cf/2)-Y62/2)/1000)/Bm_cf)+PI()*Y62^2/2*((wa_cf+wb_cf*((x2_cf-cx2_cf/2)-4*Y62/(3*PI()))/1000)/Bm_cf))/1E6)*1000/((cy2_cf+PI()*Y62+2*((L_cf-x2_cf-cx2_cf/2)+cx2_cf))*dp_cf)/(vRdc_p*2*dp_cf/Y62),0)</f>
        <v/>
      </c>
      <c r="AC62">
        <f>IF(AG61&lt;AH61,AE61,AC61)</f>
        <v/>
      </c>
      <c r="AD62">
        <f>IF(AG61&lt;AH61,AD61,AF61)</f>
        <v/>
      </c>
      <c r="AE62">
        <f>AD62-((SQRT(5)-1)/2)*(AD62-AC62)</f>
        <v/>
      </c>
      <c r="AF62">
        <f>AC62+((SQRT(5)-1)/2)*(AD62-AC62)</f>
        <v/>
      </c>
      <c r="AG62">
        <f>IFERROR(beta_cf*MAX(0,P2_cf-(((cx2_cf+2*AE62)*(((B_cf-cy2_cf)/2)+cy2_cf)+cx2_cf*AE62+PI()*AE62^2/2)*((wa_cf+wb_cf*(x2_cf)/1000)/Bm_cf))/1E6)*1000/((cx2_cf+PI()*AE62+2*(((B_cf-cy2_cf)/2)+cy2_cf))*dp_cf)/(vRdc_p*2*dp_cf/AE62),0)</f>
        <v/>
      </c>
      <c r="AH62">
        <f>IFERROR(beta_cf*MAX(0,P2_cf-(((cx2_cf+2*AF62)*(((B_cf-cy2_cf)/2)+cy2_cf)+cx2_cf*AF62+PI()*AF62^2/2)*((wa_cf+wb_cf*(x2_cf)/1000)/Bm_cf))/1E6)*1000/((cx2_cf+PI()*AF62+2*(((B_cf-cy2_cf)/2)+cy2_cf))*dp_cf)/(vRdc_p*2*dp_cf/AF62),0)</f>
        <v/>
      </c>
      <c r="AJ62">
        <f>IF(AN61&lt;AO61,AL61,AJ61)</f>
        <v/>
      </c>
      <c r="AK62">
        <f>IF(AN61&lt;AO61,AK61,AM61)</f>
        <v/>
      </c>
      <c r="AL62">
        <f>AK62-((SQRT(5)-1)/2)*(AK62-AJ62)</f>
        <v/>
      </c>
      <c r="AM62">
        <f>AJ62+((SQRT(5)-1)/2)*(AK62-AJ62)</f>
        <v/>
      </c>
      <c r="AN62">
        <f>IFERROR(beta_cf*MAX(0,P2_cf-(((L_cf-x2_cf-cx2_cf/2)+cx2_cf)*(((B_cf-cy2_cf)/2)+cy2_cf+AL62)*((wa_cf+wb_cf*(((x2_cf-cx2_cf/2)+L_cf)/2)/1000)/Bm_cf)+(((B_cf-cy2_cf)/2)+cy2_cf)*AL62*((wa_cf+wb_cf*((x2_cf-cx2_cf/2)-AL62/2)/1000)/Bm_cf)+PI()*AL62^2/4*((wa_cf+wb_cf*((x2_cf-cx2_cf/2)-4*AL62/(3*PI()))/1000)/Bm_cf))/1E6)*1000/(((L_cf-x2_cf-cx2_cf/2)+cx2_cf+((B_cf-cy2_cf)/2)+cy2_cf+PI()*AL62/2)*dp_cf)/(vRdc_p*2*dp_cf/AL62),0)</f>
        <v/>
      </c>
      <c r="AO62">
        <f>IFERROR(beta_cf*MAX(0,P2_cf-(((L_cf-x2_cf-cx2_cf/2)+cx2_cf)*(((B_cf-cy2_cf)/2)+cy2_cf+AM62)*((wa_cf+wb_cf*(((x2_cf-cx2_cf/2)+L_cf)/2)/1000)/Bm_cf)+(((B_cf-cy2_cf)/2)+cy2_cf)*AM62*((wa_cf+wb_cf*((x2_cf-cx2_cf/2)-AM62/2)/1000)/Bm_cf)+PI()*AM62^2/4*((wa_cf+wb_cf*((x2_cf-cx2_cf/2)-4*AM62/(3*PI()))/1000)/Bm_cf))/1E6)*1000/(((L_cf-x2_cf-cx2_cf/2)+cx2_cf+((B_cf-cy2_cf)/2)+cy2_cf+PI()*AM62/2)*dp_cf)/(vRdc_p*2*dp_cf/AM62),0)</f>
        <v/>
      </c>
    </row>
    <row r="63">
      <c r="A63">
        <f>IF(E62&lt;F62,C62,A62)</f>
        <v/>
      </c>
      <c r="B63">
        <f>IF(E62&lt;F62,B62,D62)</f>
        <v/>
      </c>
      <c r="C63">
        <f>B63-((SQRT(5)-1)/2)*(B63-A63)</f>
        <v/>
      </c>
      <c r="D63">
        <f>A63+((SQRT(5)-1)/2)*(B63-A63)</f>
        <v/>
      </c>
      <c r="E63">
        <f>IFERROR(beta_cf*MAX(0,P1_cf-(((x1_cf-cx1_cf/2)+cx1_cf)*(cy1_cf+2*C63)*((wa_cf+wb_cf*((x1_cf+cx1_cf/2)/2)/1000)/Bm_cf)+cy1_cf*C63*((wa_cf+wb_cf*((x1_cf+cx1_cf/2)+C63/2)/1000)/Bm_cf)+PI()*C63^2/2*((wa_cf+wb_cf*((x1_cf+cx1_cf/2)+4*C63/(3*PI()))/1000)/Bm_cf))/1E6)*1000/((cy1_cf+PI()*C63+2*((x1_cf-cx1_cf/2)+cx1_cf))*dp_cf)/(vRdc_p*2*dp_cf/C63),0)</f>
        <v/>
      </c>
      <c r="F63">
        <f>IFERROR(beta_cf*MAX(0,P1_cf-(((x1_cf-cx1_cf/2)+cx1_cf)*(cy1_cf+2*D63)*((wa_cf+wb_cf*((x1_cf+cx1_cf/2)/2)/1000)/Bm_cf)+cy1_cf*D63*((wa_cf+wb_cf*((x1_cf+cx1_cf/2)+D63/2)/1000)/Bm_cf)+PI()*D63^2/2*((wa_cf+wb_cf*((x1_cf+cx1_cf/2)+4*D63/(3*PI()))/1000)/Bm_cf))/1E6)*1000/((cy1_cf+PI()*D63+2*((x1_cf-cx1_cf/2)+cx1_cf))*dp_cf)/(vRdc_p*2*dp_cf/D63),0)</f>
        <v/>
      </c>
      <c r="H63">
        <f>IF(L62&lt;M62,J62,H62)</f>
        <v/>
      </c>
      <c r="I63">
        <f>IF(L62&lt;M62,I62,K62)</f>
        <v/>
      </c>
      <c r="J63">
        <f>I63-((SQRT(5)-1)/2)*(I63-H63)</f>
        <v/>
      </c>
      <c r="K63">
        <f>H63+((SQRT(5)-1)/2)*(I63-H63)</f>
        <v/>
      </c>
      <c r="L63">
        <f>IFERROR(beta_cf*MAX(0,P1_cf-(((cx1_cf+2*J63)*(((B_cf-cy1_cf)/2)+cy1_cf)+cx1_cf*J63+PI()*J63^2/2)*((wa_cf+wb_cf*(x1_cf)/1000)/Bm_cf))/1E6)*1000/((cx1_cf+PI()*J63+2*(((B_cf-cy1_cf)/2)+cy1_cf))*dp_cf)/(vRdc_p*2*dp_cf/J63),0)</f>
        <v/>
      </c>
      <c r="M63">
        <f>IFERROR(beta_cf*MAX(0,P1_cf-(((cx1_cf+2*K63)*(((B_cf-cy1_cf)/2)+cy1_cf)+cx1_cf*K63+PI()*K63^2/2)*((wa_cf+wb_cf*(x1_cf)/1000)/Bm_cf))/1E6)*1000/((cx1_cf+PI()*K63+2*(((B_cf-cy1_cf)/2)+cy1_cf))*dp_cf)/(vRdc_p*2*dp_cf/K63),0)</f>
        <v/>
      </c>
      <c r="O63">
        <f>IF(S62&lt;T62,Q62,O62)</f>
        <v/>
      </c>
      <c r="P63">
        <f>IF(S62&lt;T62,P62,R62)</f>
        <v/>
      </c>
      <c r="Q63">
        <f>P63-((SQRT(5)-1)/2)*(P63-O63)</f>
        <v/>
      </c>
      <c r="R63">
        <f>O63+((SQRT(5)-1)/2)*(P63-O63)</f>
        <v/>
      </c>
      <c r="S63">
        <f>IFERROR(beta_cf*MAX(0,P1_cf-(((x1_cf-cx1_cf/2)+cx1_cf)*(((B_cf-cy1_cf)/2)+cy1_cf+Q63)*((wa_cf+wb_cf*((x1_cf+cx1_cf/2)/2)/1000)/Bm_cf)+(((B_cf-cy1_cf)/2)+cy1_cf)*Q63*((wa_cf+wb_cf*((x1_cf+cx1_cf/2)+Q63/2)/1000)/Bm_cf)+PI()*Q63^2/4*((wa_cf+wb_cf*((x1_cf+cx1_cf/2)+4*Q63/(3*PI()))/1000)/Bm_cf))/1E6)*1000/(((x1_cf-cx1_cf/2)+cx1_cf+((B_cf-cy1_cf)/2)+cy1_cf+PI()*Q63/2)*dp_cf)/(vRdc_p*2*dp_cf/Q63),0)</f>
        <v/>
      </c>
      <c r="T63">
        <f>IFERROR(beta_cf*MAX(0,P1_cf-(((x1_cf-cx1_cf/2)+cx1_cf)*(((B_cf-cy1_cf)/2)+cy1_cf+R63)*((wa_cf+wb_cf*((x1_cf+cx1_cf/2)/2)/1000)/Bm_cf)+(((B_cf-cy1_cf)/2)+cy1_cf)*R63*((wa_cf+wb_cf*((x1_cf+cx1_cf/2)+R63/2)/1000)/Bm_cf)+PI()*R63^2/4*((wa_cf+wb_cf*((x1_cf+cx1_cf/2)+4*R63/(3*PI()))/1000)/Bm_cf))/1E6)*1000/(((x1_cf-cx1_cf/2)+cx1_cf+((B_cf-cy1_cf)/2)+cy1_cf+PI()*R63/2)*dp_cf)/(vRdc_p*2*dp_cf/R63),0)</f>
        <v/>
      </c>
      <c r="V63">
        <f>IF(Z62&lt;AA62,X62,V62)</f>
        <v/>
      </c>
      <c r="W63">
        <f>IF(Z62&lt;AA62,W62,Y62)</f>
        <v/>
      </c>
      <c r="X63">
        <f>W63-((SQRT(5)-1)/2)*(W63-V63)</f>
        <v/>
      </c>
      <c r="Y63">
        <f>V63+((SQRT(5)-1)/2)*(W63-V63)</f>
        <v/>
      </c>
      <c r="Z63">
        <f>IFERROR(beta_cf*MAX(0,P2_cf-(((L_cf-x2_cf-cx2_cf/2)+cx2_cf)*(cy2_cf+2*X63)*((wa_cf+wb_cf*(((x2_cf-cx2_cf/2)+L_cf)/2)/1000)/Bm_cf)+cy2_cf*X63*((wa_cf+wb_cf*((x2_cf-cx2_cf/2)-X63/2)/1000)/Bm_cf)+PI()*X63^2/2*((wa_cf+wb_cf*((x2_cf-cx2_cf/2)-4*X63/(3*PI()))/1000)/Bm_cf))/1E6)*1000/((cy2_cf+PI()*X63+2*((L_cf-x2_cf-cx2_cf/2)+cx2_cf))*dp_cf)/(vRdc_p*2*dp_cf/X63),0)</f>
        <v/>
      </c>
      <c r="AA63">
        <f>IFERROR(beta_cf*MAX(0,P2_cf-(((L_cf-x2_cf-cx2_cf/2)+cx2_cf)*(cy2_cf+2*Y63)*((wa_cf+wb_cf*(((x2_cf-cx2_cf/2)+L_cf)/2)/1000)/Bm_cf)+cy2_cf*Y63*((wa_cf+wb_cf*((x2_cf-cx2_cf/2)-Y63/2)/1000)/Bm_cf)+PI()*Y63^2/2*((wa_cf+wb_cf*((x2_cf-cx2_cf/2)-4*Y63/(3*PI()))/1000)/Bm_cf))/1E6)*1000/((cy2_cf+PI()*Y63+2*((L_cf-x2_cf-cx2_cf/2)+cx2_cf))*dp_cf)/(vRdc_p*2*dp_cf/Y63),0)</f>
        <v/>
      </c>
      <c r="AC63">
        <f>IF(AG62&lt;AH62,AE62,AC62)</f>
        <v/>
      </c>
      <c r="AD63">
        <f>IF(AG62&lt;AH62,AD62,AF62)</f>
        <v/>
      </c>
      <c r="AE63">
        <f>AD63-((SQRT(5)-1)/2)*(AD63-AC63)</f>
        <v/>
      </c>
      <c r="AF63">
        <f>AC63+((SQRT(5)-1)/2)*(AD63-AC63)</f>
        <v/>
      </c>
      <c r="AG63">
        <f>IFERROR(beta_cf*MAX(0,P2_cf-(((cx2_cf+2*AE63)*(((B_cf-cy2_cf)/2)+cy2_cf)+cx2_cf*AE63+PI()*AE63^2/2)*((wa_cf+wb_cf*(x2_cf)/1000)/Bm_cf))/1E6)*1000/((cx2_cf+PI()*AE63+2*(((B_cf-cy2_cf)/2)+cy2_cf))*dp_cf)/(vRdc_p*2*dp_cf/AE63),0)</f>
        <v/>
      </c>
      <c r="AH63">
        <f>IFERROR(beta_cf*MAX(0,P2_cf-(((cx2_cf+2*AF63)*(((B_cf-cy2_cf)/2)+cy2_cf)+cx2_cf*AF63+PI()*AF63^2/2)*((wa_cf+wb_cf*(x2_cf)/1000)/Bm_cf))/1E6)*1000/((cx2_cf+PI()*AF63+2*(((B_cf-cy2_cf)/2)+cy2_cf))*dp_cf)/(vRdc_p*2*dp_cf/AF63),0)</f>
        <v/>
      </c>
      <c r="AJ63">
        <f>IF(AN62&lt;AO62,AL62,AJ62)</f>
        <v/>
      </c>
      <c r="AK63">
        <f>IF(AN62&lt;AO62,AK62,AM62)</f>
        <v/>
      </c>
      <c r="AL63">
        <f>AK63-((SQRT(5)-1)/2)*(AK63-AJ63)</f>
        <v/>
      </c>
      <c r="AM63">
        <f>AJ63+((SQRT(5)-1)/2)*(AK63-AJ63)</f>
        <v/>
      </c>
      <c r="AN63">
        <f>IFERROR(beta_cf*MAX(0,P2_cf-(((L_cf-x2_cf-cx2_cf/2)+cx2_cf)*(((B_cf-cy2_cf)/2)+cy2_cf+AL63)*((wa_cf+wb_cf*(((x2_cf-cx2_cf/2)+L_cf)/2)/1000)/Bm_cf)+(((B_cf-cy2_cf)/2)+cy2_cf)*AL63*((wa_cf+wb_cf*((x2_cf-cx2_cf/2)-AL63/2)/1000)/Bm_cf)+PI()*AL63^2/4*((wa_cf+wb_cf*((x2_cf-cx2_cf/2)-4*AL63/(3*PI()))/1000)/Bm_cf))/1E6)*1000/(((L_cf-x2_cf-cx2_cf/2)+cx2_cf+((B_cf-cy2_cf)/2)+cy2_cf+PI()*AL63/2)*dp_cf)/(vRdc_p*2*dp_cf/AL63),0)</f>
        <v/>
      </c>
      <c r="AO63">
        <f>IFERROR(beta_cf*MAX(0,P2_cf-(((L_cf-x2_cf-cx2_cf/2)+cx2_cf)*(((B_cf-cy2_cf)/2)+cy2_cf+AM63)*((wa_cf+wb_cf*(((x2_cf-cx2_cf/2)+L_cf)/2)/1000)/Bm_cf)+(((B_cf-cy2_cf)/2)+cy2_cf)*AM63*((wa_cf+wb_cf*((x2_cf-cx2_cf/2)-AM63/2)/1000)/Bm_cf)+PI()*AM63^2/4*((wa_cf+wb_cf*((x2_cf-cx2_cf/2)-4*AM63/(3*PI()))/1000)/Bm_cf))/1E6)*1000/(((L_cf-x2_cf-cx2_cf/2)+cx2_cf+((B_cf-cy2_cf)/2)+cy2_cf+PI()*AM63/2)*dp_cf)/(vRdc_p*2*dp_cf/AM63),0)</f>
        <v/>
      </c>
    </row>
    <row r="64">
      <c r="A64">
        <f>IF(E63&lt;F63,C63,A63)</f>
        <v/>
      </c>
      <c r="B64">
        <f>IF(E63&lt;F63,B63,D63)</f>
        <v/>
      </c>
      <c r="C64">
        <f>B64-((SQRT(5)-1)/2)*(B64-A64)</f>
        <v/>
      </c>
      <c r="D64">
        <f>A64+((SQRT(5)-1)/2)*(B64-A64)</f>
        <v/>
      </c>
      <c r="E64">
        <f>IFERROR(beta_cf*MAX(0,P1_cf-(((x1_cf-cx1_cf/2)+cx1_cf)*(cy1_cf+2*C64)*((wa_cf+wb_cf*((x1_cf+cx1_cf/2)/2)/1000)/Bm_cf)+cy1_cf*C64*((wa_cf+wb_cf*((x1_cf+cx1_cf/2)+C64/2)/1000)/Bm_cf)+PI()*C64^2/2*((wa_cf+wb_cf*((x1_cf+cx1_cf/2)+4*C64/(3*PI()))/1000)/Bm_cf))/1E6)*1000/((cy1_cf+PI()*C64+2*((x1_cf-cx1_cf/2)+cx1_cf))*dp_cf)/(vRdc_p*2*dp_cf/C64),0)</f>
        <v/>
      </c>
      <c r="F64">
        <f>IFERROR(beta_cf*MAX(0,P1_cf-(((x1_cf-cx1_cf/2)+cx1_cf)*(cy1_cf+2*D64)*((wa_cf+wb_cf*((x1_cf+cx1_cf/2)/2)/1000)/Bm_cf)+cy1_cf*D64*((wa_cf+wb_cf*((x1_cf+cx1_cf/2)+D64/2)/1000)/Bm_cf)+PI()*D64^2/2*((wa_cf+wb_cf*((x1_cf+cx1_cf/2)+4*D64/(3*PI()))/1000)/Bm_cf))/1E6)*1000/((cy1_cf+PI()*D64+2*((x1_cf-cx1_cf/2)+cx1_cf))*dp_cf)/(vRdc_p*2*dp_cf/D64),0)</f>
        <v/>
      </c>
      <c r="H64">
        <f>IF(L63&lt;M63,J63,H63)</f>
        <v/>
      </c>
      <c r="I64">
        <f>IF(L63&lt;M63,I63,K63)</f>
        <v/>
      </c>
      <c r="J64">
        <f>I64-((SQRT(5)-1)/2)*(I64-H64)</f>
        <v/>
      </c>
      <c r="K64">
        <f>H64+((SQRT(5)-1)/2)*(I64-H64)</f>
        <v/>
      </c>
      <c r="L64">
        <f>IFERROR(beta_cf*MAX(0,P1_cf-(((cx1_cf+2*J64)*(((B_cf-cy1_cf)/2)+cy1_cf)+cx1_cf*J64+PI()*J64^2/2)*((wa_cf+wb_cf*(x1_cf)/1000)/Bm_cf))/1E6)*1000/((cx1_cf+PI()*J64+2*(((B_cf-cy1_cf)/2)+cy1_cf))*dp_cf)/(vRdc_p*2*dp_cf/J64),0)</f>
        <v/>
      </c>
      <c r="M64">
        <f>IFERROR(beta_cf*MAX(0,P1_cf-(((cx1_cf+2*K64)*(((B_cf-cy1_cf)/2)+cy1_cf)+cx1_cf*K64+PI()*K64^2/2)*((wa_cf+wb_cf*(x1_cf)/1000)/Bm_cf))/1E6)*1000/((cx1_cf+PI()*K64+2*(((B_cf-cy1_cf)/2)+cy1_cf))*dp_cf)/(vRdc_p*2*dp_cf/K64),0)</f>
        <v/>
      </c>
      <c r="O64">
        <f>IF(S63&lt;T63,Q63,O63)</f>
        <v/>
      </c>
      <c r="P64">
        <f>IF(S63&lt;T63,P63,R63)</f>
        <v/>
      </c>
      <c r="Q64">
        <f>P64-((SQRT(5)-1)/2)*(P64-O64)</f>
        <v/>
      </c>
      <c r="R64">
        <f>O64+((SQRT(5)-1)/2)*(P64-O64)</f>
        <v/>
      </c>
      <c r="S64">
        <f>IFERROR(beta_cf*MAX(0,P1_cf-(((x1_cf-cx1_cf/2)+cx1_cf)*(((B_cf-cy1_cf)/2)+cy1_cf+Q64)*((wa_cf+wb_cf*((x1_cf+cx1_cf/2)/2)/1000)/Bm_cf)+(((B_cf-cy1_cf)/2)+cy1_cf)*Q64*((wa_cf+wb_cf*((x1_cf+cx1_cf/2)+Q64/2)/1000)/Bm_cf)+PI()*Q64^2/4*((wa_cf+wb_cf*((x1_cf+cx1_cf/2)+4*Q64/(3*PI()))/1000)/Bm_cf))/1E6)*1000/(((x1_cf-cx1_cf/2)+cx1_cf+((B_cf-cy1_cf)/2)+cy1_cf+PI()*Q64/2)*dp_cf)/(vRdc_p*2*dp_cf/Q64),0)</f>
        <v/>
      </c>
      <c r="T64">
        <f>IFERROR(beta_cf*MAX(0,P1_cf-(((x1_cf-cx1_cf/2)+cx1_cf)*(((B_cf-cy1_cf)/2)+cy1_cf+R64)*((wa_cf+wb_cf*((x1_cf+cx1_cf/2)/2)/1000)/Bm_cf)+(((B_cf-cy1_cf)/2)+cy1_cf)*R64*((wa_cf+wb_cf*((x1_cf+cx1_cf/2)+R64/2)/1000)/Bm_cf)+PI()*R64^2/4*((wa_cf+wb_cf*((x1_cf+cx1_cf/2)+4*R64/(3*PI()))/1000)/Bm_cf))/1E6)*1000/(((x1_cf-cx1_cf/2)+cx1_cf+((B_cf-cy1_cf)/2)+cy1_cf+PI()*R64/2)*dp_cf)/(vRdc_p*2*dp_cf/R64),0)</f>
        <v/>
      </c>
      <c r="V64">
        <f>IF(Z63&lt;AA63,X63,V63)</f>
        <v/>
      </c>
      <c r="W64">
        <f>IF(Z63&lt;AA63,W63,Y63)</f>
        <v/>
      </c>
      <c r="X64">
        <f>W64-((SQRT(5)-1)/2)*(W64-V64)</f>
        <v/>
      </c>
      <c r="Y64">
        <f>V64+((SQRT(5)-1)/2)*(W64-V64)</f>
        <v/>
      </c>
      <c r="Z64">
        <f>IFERROR(beta_cf*MAX(0,P2_cf-(((L_cf-x2_cf-cx2_cf/2)+cx2_cf)*(cy2_cf+2*X64)*((wa_cf+wb_cf*(((x2_cf-cx2_cf/2)+L_cf)/2)/1000)/Bm_cf)+cy2_cf*X64*((wa_cf+wb_cf*((x2_cf-cx2_cf/2)-X64/2)/1000)/Bm_cf)+PI()*X64^2/2*((wa_cf+wb_cf*((x2_cf-cx2_cf/2)-4*X64/(3*PI()))/1000)/Bm_cf))/1E6)*1000/((cy2_cf+PI()*X64+2*((L_cf-x2_cf-cx2_cf/2)+cx2_cf))*dp_cf)/(vRdc_p*2*dp_cf/X64),0)</f>
        <v/>
      </c>
      <c r="AA64">
        <f>IFERROR(beta_cf*MAX(0,P2_cf-(((L_cf-x2_cf-cx2_cf/2)+cx2_cf)*(cy2_cf+2*Y64)*((wa_cf+wb_cf*(((x2_cf-cx2_cf/2)+L_cf)/2)/1000)/Bm_cf)+cy2_cf*Y64*((wa_cf+wb_cf*((x2_cf-cx2_cf/2)-Y64/2)/1000)/Bm_cf)+PI()*Y64^2/2*((wa_cf+wb_cf*((x2_cf-cx2_cf/2)-4*Y64/(3*PI()))/1000)/Bm_cf))/1E6)*1000/((cy2_cf+PI()*Y64+2*((L_cf-x2_cf-cx2_cf/2)+cx2_cf))*dp_cf)/(vRdc_p*2*dp_cf/Y64),0)</f>
        <v/>
      </c>
      <c r="AC64">
        <f>IF(AG63&lt;AH63,AE63,AC63)</f>
        <v/>
      </c>
      <c r="AD64">
        <f>IF(AG63&lt;AH63,AD63,AF63)</f>
        <v/>
      </c>
      <c r="AE64">
        <f>AD64-((SQRT(5)-1)/2)*(AD64-AC64)</f>
        <v/>
      </c>
      <c r="AF64">
        <f>AC64+((SQRT(5)-1)/2)*(AD64-AC64)</f>
        <v/>
      </c>
      <c r="AG64">
        <f>IFERROR(beta_cf*MAX(0,P2_cf-(((cx2_cf+2*AE64)*(((B_cf-cy2_cf)/2)+cy2_cf)+cx2_cf*AE64+PI()*AE64^2/2)*((wa_cf+wb_cf*(x2_cf)/1000)/Bm_cf))/1E6)*1000/((cx2_cf+PI()*AE64+2*(((B_cf-cy2_cf)/2)+cy2_cf))*dp_cf)/(vRdc_p*2*dp_cf/AE64),0)</f>
        <v/>
      </c>
      <c r="AH64">
        <f>IFERROR(beta_cf*MAX(0,P2_cf-(((cx2_cf+2*AF64)*(((B_cf-cy2_cf)/2)+cy2_cf)+cx2_cf*AF64+PI()*AF64^2/2)*((wa_cf+wb_cf*(x2_cf)/1000)/Bm_cf))/1E6)*1000/((cx2_cf+PI()*AF64+2*(((B_cf-cy2_cf)/2)+cy2_cf))*dp_cf)/(vRdc_p*2*dp_cf/AF64),0)</f>
        <v/>
      </c>
      <c r="AJ64">
        <f>IF(AN63&lt;AO63,AL63,AJ63)</f>
        <v/>
      </c>
      <c r="AK64">
        <f>IF(AN63&lt;AO63,AK63,AM63)</f>
        <v/>
      </c>
      <c r="AL64">
        <f>AK64-((SQRT(5)-1)/2)*(AK64-AJ64)</f>
        <v/>
      </c>
      <c r="AM64">
        <f>AJ64+((SQRT(5)-1)/2)*(AK64-AJ64)</f>
        <v/>
      </c>
      <c r="AN64">
        <f>IFERROR(beta_cf*MAX(0,P2_cf-(((L_cf-x2_cf-cx2_cf/2)+cx2_cf)*(((B_cf-cy2_cf)/2)+cy2_cf+AL64)*((wa_cf+wb_cf*(((x2_cf-cx2_cf/2)+L_cf)/2)/1000)/Bm_cf)+(((B_cf-cy2_cf)/2)+cy2_cf)*AL64*((wa_cf+wb_cf*((x2_cf-cx2_cf/2)-AL64/2)/1000)/Bm_cf)+PI()*AL64^2/4*((wa_cf+wb_cf*((x2_cf-cx2_cf/2)-4*AL64/(3*PI()))/1000)/Bm_cf))/1E6)*1000/(((L_cf-x2_cf-cx2_cf/2)+cx2_cf+((B_cf-cy2_cf)/2)+cy2_cf+PI()*AL64/2)*dp_cf)/(vRdc_p*2*dp_cf/AL64),0)</f>
        <v/>
      </c>
      <c r="AO64">
        <f>IFERROR(beta_cf*MAX(0,P2_cf-(((L_cf-x2_cf-cx2_cf/2)+cx2_cf)*(((B_cf-cy2_cf)/2)+cy2_cf+AM64)*((wa_cf+wb_cf*(((x2_cf-cx2_cf/2)+L_cf)/2)/1000)/Bm_cf)+(((B_cf-cy2_cf)/2)+cy2_cf)*AM64*((wa_cf+wb_cf*((x2_cf-cx2_cf/2)-AM64/2)/1000)/Bm_cf)+PI()*AM64^2/4*((wa_cf+wb_cf*((x2_cf-cx2_cf/2)-4*AM64/(3*PI()))/1000)/Bm_cf))/1E6)*1000/(((L_cf-x2_cf-cx2_cf/2)+cx2_cf+((B_cf-cy2_cf)/2)+cy2_cf+PI()*AM64/2)*dp_cf)/(vRdc_p*2*dp_cf/AM64),0)</f>
        <v/>
      </c>
    </row>
    <row r="65">
      <c r="A65">
        <f>IF(E64&lt;F64,C64,A64)</f>
        <v/>
      </c>
      <c r="B65">
        <f>IF(E64&lt;F64,B64,D64)</f>
        <v/>
      </c>
      <c r="C65">
        <f>B65-((SQRT(5)-1)/2)*(B65-A65)</f>
        <v/>
      </c>
      <c r="D65">
        <f>A65+((SQRT(5)-1)/2)*(B65-A65)</f>
        <v/>
      </c>
      <c r="E65">
        <f>IFERROR(beta_cf*MAX(0,P1_cf-(((x1_cf-cx1_cf/2)+cx1_cf)*(cy1_cf+2*C65)*((wa_cf+wb_cf*((x1_cf+cx1_cf/2)/2)/1000)/Bm_cf)+cy1_cf*C65*((wa_cf+wb_cf*((x1_cf+cx1_cf/2)+C65/2)/1000)/Bm_cf)+PI()*C65^2/2*((wa_cf+wb_cf*((x1_cf+cx1_cf/2)+4*C65/(3*PI()))/1000)/Bm_cf))/1E6)*1000/((cy1_cf+PI()*C65+2*((x1_cf-cx1_cf/2)+cx1_cf))*dp_cf)/(vRdc_p*2*dp_cf/C65),0)</f>
        <v/>
      </c>
      <c r="F65">
        <f>IFERROR(beta_cf*MAX(0,P1_cf-(((x1_cf-cx1_cf/2)+cx1_cf)*(cy1_cf+2*D65)*((wa_cf+wb_cf*((x1_cf+cx1_cf/2)/2)/1000)/Bm_cf)+cy1_cf*D65*((wa_cf+wb_cf*((x1_cf+cx1_cf/2)+D65/2)/1000)/Bm_cf)+PI()*D65^2/2*((wa_cf+wb_cf*((x1_cf+cx1_cf/2)+4*D65/(3*PI()))/1000)/Bm_cf))/1E6)*1000/((cy1_cf+PI()*D65+2*((x1_cf-cx1_cf/2)+cx1_cf))*dp_cf)/(vRdc_p*2*dp_cf/D65),0)</f>
        <v/>
      </c>
      <c r="H65">
        <f>IF(L64&lt;M64,J64,H64)</f>
        <v/>
      </c>
      <c r="I65">
        <f>IF(L64&lt;M64,I64,K64)</f>
        <v/>
      </c>
      <c r="J65">
        <f>I65-((SQRT(5)-1)/2)*(I65-H65)</f>
        <v/>
      </c>
      <c r="K65">
        <f>H65+((SQRT(5)-1)/2)*(I65-H65)</f>
        <v/>
      </c>
      <c r="L65">
        <f>IFERROR(beta_cf*MAX(0,P1_cf-(((cx1_cf+2*J65)*(((B_cf-cy1_cf)/2)+cy1_cf)+cx1_cf*J65+PI()*J65^2/2)*((wa_cf+wb_cf*(x1_cf)/1000)/Bm_cf))/1E6)*1000/((cx1_cf+PI()*J65+2*(((B_cf-cy1_cf)/2)+cy1_cf))*dp_cf)/(vRdc_p*2*dp_cf/J65),0)</f>
        <v/>
      </c>
      <c r="M65">
        <f>IFERROR(beta_cf*MAX(0,P1_cf-(((cx1_cf+2*K65)*(((B_cf-cy1_cf)/2)+cy1_cf)+cx1_cf*K65+PI()*K65^2/2)*((wa_cf+wb_cf*(x1_cf)/1000)/Bm_cf))/1E6)*1000/((cx1_cf+PI()*K65+2*(((B_cf-cy1_cf)/2)+cy1_cf))*dp_cf)/(vRdc_p*2*dp_cf/K65),0)</f>
        <v/>
      </c>
      <c r="O65">
        <f>IF(S64&lt;T64,Q64,O64)</f>
        <v/>
      </c>
      <c r="P65">
        <f>IF(S64&lt;T64,P64,R64)</f>
        <v/>
      </c>
      <c r="Q65">
        <f>P65-((SQRT(5)-1)/2)*(P65-O65)</f>
        <v/>
      </c>
      <c r="R65">
        <f>O65+((SQRT(5)-1)/2)*(P65-O65)</f>
        <v/>
      </c>
      <c r="S65">
        <f>IFERROR(beta_cf*MAX(0,P1_cf-(((x1_cf-cx1_cf/2)+cx1_cf)*(((B_cf-cy1_cf)/2)+cy1_cf+Q65)*((wa_cf+wb_cf*((x1_cf+cx1_cf/2)/2)/1000)/Bm_cf)+(((B_cf-cy1_cf)/2)+cy1_cf)*Q65*((wa_cf+wb_cf*((x1_cf+cx1_cf/2)+Q65/2)/1000)/Bm_cf)+PI()*Q65^2/4*((wa_cf+wb_cf*((x1_cf+cx1_cf/2)+4*Q65/(3*PI()))/1000)/Bm_cf))/1E6)*1000/(((x1_cf-cx1_cf/2)+cx1_cf+((B_cf-cy1_cf)/2)+cy1_cf+PI()*Q65/2)*dp_cf)/(vRdc_p*2*dp_cf/Q65),0)</f>
        <v/>
      </c>
      <c r="T65">
        <f>IFERROR(beta_cf*MAX(0,P1_cf-(((x1_cf-cx1_cf/2)+cx1_cf)*(((B_cf-cy1_cf)/2)+cy1_cf+R65)*((wa_cf+wb_cf*((x1_cf+cx1_cf/2)/2)/1000)/Bm_cf)+(((B_cf-cy1_cf)/2)+cy1_cf)*R65*((wa_cf+wb_cf*((x1_cf+cx1_cf/2)+R65/2)/1000)/Bm_cf)+PI()*R65^2/4*((wa_cf+wb_cf*((x1_cf+cx1_cf/2)+4*R65/(3*PI()))/1000)/Bm_cf))/1E6)*1000/(((x1_cf-cx1_cf/2)+cx1_cf+((B_cf-cy1_cf)/2)+cy1_cf+PI()*R65/2)*dp_cf)/(vRdc_p*2*dp_cf/R65),0)</f>
        <v/>
      </c>
      <c r="V65">
        <f>IF(Z64&lt;AA64,X64,V64)</f>
        <v/>
      </c>
      <c r="W65">
        <f>IF(Z64&lt;AA64,W64,Y64)</f>
        <v/>
      </c>
      <c r="X65">
        <f>W65-((SQRT(5)-1)/2)*(W65-V65)</f>
        <v/>
      </c>
      <c r="Y65">
        <f>V65+((SQRT(5)-1)/2)*(W65-V65)</f>
        <v/>
      </c>
      <c r="Z65">
        <f>IFERROR(beta_cf*MAX(0,P2_cf-(((L_cf-x2_cf-cx2_cf/2)+cx2_cf)*(cy2_cf+2*X65)*((wa_cf+wb_cf*(((x2_cf-cx2_cf/2)+L_cf)/2)/1000)/Bm_cf)+cy2_cf*X65*((wa_cf+wb_cf*((x2_cf-cx2_cf/2)-X65/2)/1000)/Bm_cf)+PI()*X65^2/2*((wa_cf+wb_cf*((x2_cf-cx2_cf/2)-4*X65/(3*PI()))/1000)/Bm_cf))/1E6)*1000/((cy2_cf+PI()*X65+2*((L_cf-x2_cf-cx2_cf/2)+cx2_cf))*dp_cf)/(vRdc_p*2*dp_cf/X65),0)</f>
        <v/>
      </c>
      <c r="AA65">
        <f>IFERROR(beta_cf*MAX(0,P2_cf-(((L_cf-x2_cf-cx2_cf/2)+cx2_cf)*(cy2_cf+2*Y65)*((wa_cf+wb_cf*(((x2_cf-cx2_cf/2)+L_cf)/2)/1000)/Bm_cf)+cy2_cf*Y65*((wa_cf+wb_cf*((x2_cf-cx2_cf/2)-Y65/2)/1000)/Bm_cf)+PI()*Y65^2/2*((wa_cf+wb_cf*((x2_cf-cx2_cf/2)-4*Y65/(3*PI()))/1000)/Bm_cf))/1E6)*1000/((cy2_cf+PI()*Y65+2*((L_cf-x2_cf-cx2_cf/2)+cx2_cf))*dp_cf)/(vRdc_p*2*dp_cf/Y65),0)</f>
        <v/>
      </c>
      <c r="AC65">
        <f>IF(AG64&lt;AH64,AE64,AC64)</f>
        <v/>
      </c>
      <c r="AD65">
        <f>IF(AG64&lt;AH64,AD64,AF64)</f>
        <v/>
      </c>
      <c r="AE65">
        <f>AD65-((SQRT(5)-1)/2)*(AD65-AC65)</f>
        <v/>
      </c>
      <c r="AF65">
        <f>AC65+((SQRT(5)-1)/2)*(AD65-AC65)</f>
        <v/>
      </c>
      <c r="AG65">
        <f>IFERROR(beta_cf*MAX(0,P2_cf-(((cx2_cf+2*AE65)*(((B_cf-cy2_cf)/2)+cy2_cf)+cx2_cf*AE65+PI()*AE65^2/2)*((wa_cf+wb_cf*(x2_cf)/1000)/Bm_cf))/1E6)*1000/((cx2_cf+PI()*AE65+2*(((B_cf-cy2_cf)/2)+cy2_cf))*dp_cf)/(vRdc_p*2*dp_cf/AE65),0)</f>
        <v/>
      </c>
      <c r="AH65">
        <f>IFERROR(beta_cf*MAX(0,P2_cf-(((cx2_cf+2*AF65)*(((B_cf-cy2_cf)/2)+cy2_cf)+cx2_cf*AF65+PI()*AF65^2/2)*((wa_cf+wb_cf*(x2_cf)/1000)/Bm_cf))/1E6)*1000/((cx2_cf+PI()*AF65+2*(((B_cf-cy2_cf)/2)+cy2_cf))*dp_cf)/(vRdc_p*2*dp_cf/AF65),0)</f>
        <v/>
      </c>
      <c r="AJ65">
        <f>IF(AN64&lt;AO64,AL64,AJ64)</f>
        <v/>
      </c>
      <c r="AK65">
        <f>IF(AN64&lt;AO64,AK64,AM64)</f>
        <v/>
      </c>
      <c r="AL65">
        <f>AK65-((SQRT(5)-1)/2)*(AK65-AJ65)</f>
        <v/>
      </c>
      <c r="AM65">
        <f>AJ65+((SQRT(5)-1)/2)*(AK65-AJ65)</f>
        <v/>
      </c>
      <c r="AN65">
        <f>IFERROR(beta_cf*MAX(0,P2_cf-(((L_cf-x2_cf-cx2_cf/2)+cx2_cf)*(((B_cf-cy2_cf)/2)+cy2_cf+AL65)*((wa_cf+wb_cf*(((x2_cf-cx2_cf/2)+L_cf)/2)/1000)/Bm_cf)+(((B_cf-cy2_cf)/2)+cy2_cf)*AL65*((wa_cf+wb_cf*((x2_cf-cx2_cf/2)-AL65/2)/1000)/Bm_cf)+PI()*AL65^2/4*((wa_cf+wb_cf*((x2_cf-cx2_cf/2)-4*AL65/(3*PI()))/1000)/Bm_cf))/1E6)*1000/(((L_cf-x2_cf-cx2_cf/2)+cx2_cf+((B_cf-cy2_cf)/2)+cy2_cf+PI()*AL65/2)*dp_cf)/(vRdc_p*2*dp_cf/AL65),0)</f>
        <v/>
      </c>
      <c r="AO65">
        <f>IFERROR(beta_cf*MAX(0,P2_cf-(((L_cf-x2_cf-cx2_cf/2)+cx2_cf)*(((B_cf-cy2_cf)/2)+cy2_cf+AM65)*((wa_cf+wb_cf*(((x2_cf-cx2_cf/2)+L_cf)/2)/1000)/Bm_cf)+(((B_cf-cy2_cf)/2)+cy2_cf)*AM65*((wa_cf+wb_cf*((x2_cf-cx2_cf/2)-AM65/2)/1000)/Bm_cf)+PI()*AM65^2/4*((wa_cf+wb_cf*((x2_cf-cx2_cf/2)-4*AM65/(3*PI()))/1000)/Bm_cf))/1E6)*1000/(((L_cf-x2_cf-cx2_cf/2)+cx2_cf+((B_cf-cy2_cf)/2)+cy2_cf+PI()*AM65/2)*dp_cf)/(vRdc_p*2*dp_cf/AM65),0)</f>
        <v/>
      </c>
    </row>
    <row r="66">
      <c r="A66">
        <f>IF(E65&lt;F65,C65,A65)</f>
        <v/>
      </c>
      <c r="B66">
        <f>IF(E65&lt;F65,B65,D65)</f>
        <v/>
      </c>
      <c r="C66">
        <f>B66-((SQRT(5)-1)/2)*(B66-A66)</f>
        <v/>
      </c>
      <c r="D66">
        <f>A66+((SQRT(5)-1)/2)*(B66-A66)</f>
        <v/>
      </c>
      <c r="E66">
        <f>IFERROR(beta_cf*MAX(0,P1_cf-(((x1_cf-cx1_cf/2)+cx1_cf)*(cy1_cf+2*C66)*((wa_cf+wb_cf*((x1_cf+cx1_cf/2)/2)/1000)/Bm_cf)+cy1_cf*C66*((wa_cf+wb_cf*((x1_cf+cx1_cf/2)+C66/2)/1000)/Bm_cf)+PI()*C66^2/2*((wa_cf+wb_cf*((x1_cf+cx1_cf/2)+4*C66/(3*PI()))/1000)/Bm_cf))/1E6)*1000/((cy1_cf+PI()*C66+2*((x1_cf-cx1_cf/2)+cx1_cf))*dp_cf)/(vRdc_p*2*dp_cf/C66),0)</f>
        <v/>
      </c>
      <c r="F66">
        <f>IFERROR(beta_cf*MAX(0,P1_cf-(((x1_cf-cx1_cf/2)+cx1_cf)*(cy1_cf+2*D66)*((wa_cf+wb_cf*((x1_cf+cx1_cf/2)/2)/1000)/Bm_cf)+cy1_cf*D66*((wa_cf+wb_cf*((x1_cf+cx1_cf/2)+D66/2)/1000)/Bm_cf)+PI()*D66^2/2*((wa_cf+wb_cf*((x1_cf+cx1_cf/2)+4*D66/(3*PI()))/1000)/Bm_cf))/1E6)*1000/((cy1_cf+PI()*D66+2*((x1_cf-cx1_cf/2)+cx1_cf))*dp_cf)/(vRdc_p*2*dp_cf/D66),0)</f>
        <v/>
      </c>
      <c r="H66">
        <f>IF(L65&lt;M65,J65,H65)</f>
        <v/>
      </c>
      <c r="I66">
        <f>IF(L65&lt;M65,I65,K65)</f>
        <v/>
      </c>
      <c r="J66">
        <f>I66-((SQRT(5)-1)/2)*(I66-H66)</f>
        <v/>
      </c>
      <c r="K66">
        <f>H66+((SQRT(5)-1)/2)*(I66-H66)</f>
        <v/>
      </c>
      <c r="L66">
        <f>IFERROR(beta_cf*MAX(0,P1_cf-(((cx1_cf+2*J66)*(((B_cf-cy1_cf)/2)+cy1_cf)+cx1_cf*J66+PI()*J66^2/2)*((wa_cf+wb_cf*(x1_cf)/1000)/Bm_cf))/1E6)*1000/((cx1_cf+PI()*J66+2*(((B_cf-cy1_cf)/2)+cy1_cf))*dp_cf)/(vRdc_p*2*dp_cf/J66),0)</f>
        <v/>
      </c>
      <c r="M66">
        <f>IFERROR(beta_cf*MAX(0,P1_cf-(((cx1_cf+2*K66)*(((B_cf-cy1_cf)/2)+cy1_cf)+cx1_cf*K66+PI()*K66^2/2)*((wa_cf+wb_cf*(x1_cf)/1000)/Bm_cf))/1E6)*1000/((cx1_cf+PI()*K66+2*(((B_cf-cy1_cf)/2)+cy1_cf))*dp_cf)/(vRdc_p*2*dp_cf/K66),0)</f>
        <v/>
      </c>
      <c r="O66">
        <f>IF(S65&lt;T65,Q65,O65)</f>
        <v/>
      </c>
      <c r="P66">
        <f>IF(S65&lt;T65,P65,R65)</f>
        <v/>
      </c>
      <c r="Q66">
        <f>P66-((SQRT(5)-1)/2)*(P66-O66)</f>
        <v/>
      </c>
      <c r="R66">
        <f>O66+((SQRT(5)-1)/2)*(P66-O66)</f>
        <v/>
      </c>
      <c r="S66">
        <f>IFERROR(beta_cf*MAX(0,P1_cf-(((x1_cf-cx1_cf/2)+cx1_cf)*(((B_cf-cy1_cf)/2)+cy1_cf+Q66)*((wa_cf+wb_cf*((x1_cf+cx1_cf/2)/2)/1000)/Bm_cf)+(((B_cf-cy1_cf)/2)+cy1_cf)*Q66*((wa_cf+wb_cf*((x1_cf+cx1_cf/2)+Q66/2)/1000)/Bm_cf)+PI()*Q66^2/4*((wa_cf+wb_cf*((x1_cf+cx1_cf/2)+4*Q66/(3*PI()))/1000)/Bm_cf))/1E6)*1000/(((x1_cf-cx1_cf/2)+cx1_cf+((B_cf-cy1_cf)/2)+cy1_cf+PI()*Q66/2)*dp_cf)/(vRdc_p*2*dp_cf/Q66),0)</f>
        <v/>
      </c>
      <c r="T66">
        <f>IFERROR(beta_cf*MAX(0,P1_cf-(((x1_cf-cx1_cf/2)+cx1_cf)*(((B_cf-cy1_cf)/2)+cy1_cf+R66)*((wa_cf+wb_cf*((x1_cf+cx1_cf/2)/2)/1000)/Bm_cf)+(((B_cf-cy1_cf)/2)+cy1_cf)*R66*((wa_cf+wb_cf*((x1_cf+cx1_cf/2)+R66/2)/1000)/Bm_cf)+PI()*R66^2/4*((wa_cf+wb_cf*((x1_cf+cx1_cf/2)+4*R66/(3*PI()))/1000)/Bm_cf))/1E6)*1000/(((x1_cf-cx1_cf/2)+cx1_cf+((B_cf-cy1_cf)/2)+cy1_cf+PI()*R66/2)*dp_cf)/(vRdc_p*2*dp_cf/R66),0)</f>
        <v/>
      </c>
      <c r="V66">
        <f>IF(Z65&lt;AA65,X65,V65)</f>
        <v/>
      </c>
      <c r="W66">
        <f>IF(Z65&lt;AA65,W65,Y65)</f>
        <v/>
      </c>
      <c r="X66">
        <f>W66-((SQRT(5)-1)/2)*(W66-V66)</f>
        <v/>
      </c>
      <c r="Y66">
        <f>V66+((SQRT(5)-1)/2)*(W66-V66)</f>
        <v/>
      </c>
      <c r="Z66">
        <f>IFERROR(beta_cf*MAX(0,P2_cf-(((L_cf-x2_cf-cx2_cf/2)+cx2_cf)*(cy2_cf+2*X66)*((wa_cf+wb_cf*(((x2_cf-cx2_cf/2)+L_cf)/2)/1000)/Bm_cf)+cy2_cf*X66*((wa_cf+wb_cf*((x2_cf-cx2_cf/2)-X66/2)/1000)/Bm_cf)+PI()*X66^2/2*((wa_cf+wb_cf*((x2_cf-cx2_cf/2)-4*X66/(3*PI()))/1000)/Bm_cf))/1E6)*1000/((cy2_cf+PI()*X66+2*((L_cf-x2_cf-cx2_cf/2)+cx2_cf))*dp_cf)/(vRdc_p*2*dp_cf/X66),0)</f>
        <v/>
      </c>
      <c r="AA66">
        <f>IFERROR(beta_cf*MAX(0,P2_cf-(((L_cf-x2_cf-cx2_cf/2)+cx2_cf)*(cy2_cf+2*Y66)*((wa_cf+wb_cf*(((x2_cf-cx2_cf/2)+L_cf)/2)/1000)/Bm_cf)+cy2_cf*Y66*((wa_cf+wb_cf*((x2_cf-cx2_cf/2)-Y66/2)/1000)/Bm_cf)+PI()*Y66^2/2*((wa_cf+wb_cf*((x2_cf-cx2_cf/2)-4*Y66/(3*PI()))/1000)/Bm_cf))/1E6)*1000/((cy2_cf+PI()*Y66+2*((L_cf-x2_cf-cx2_cf/2)+cx2_cf))*dp_cf)/(vRdc_p*2*dp_cf/Y66),0)</f>
        <v/>
      </c>
      <c r="AC66">
        <f>IF(AG65&lt;AH65,AE65,AC65)</f>
        <v/>
      </c>
      <c r="AD66">
        <f>IF(AG65&lt;AH65,AD65,AF65)</f>
        <v/>
      </c>
      <c r="AE66">
        <f>AD66-((SQRT(5)-1)/2)*(AD66-AC66)</f>
        <v/>
      </c>
      <c r="AF66">
        <f>AC66+((SQRT(5)-1)/2)*(AD66-AC66)</f>
        <v/>
      </c>
      <c r="AG66">
        <f>IFERROR(beta_cf*MAX(0,P2_cf-(((cx2_cf+2*AE66)*(((B_cf-cy2_cf)/2)+cy2_cf)+cx2_cf*AE66+PI()*AE66^2/2)*((wa_cf+wb_cf*(x2_cf)/1000)/Bm_cf))/1E6)*1000/((cx2_cf+PI()*AE66+2*(((B_cf-cy2_cf)/2)+cy2_cf))*dp_cf)/(vRdc_p*2*dp_cf/AE66),0)</f>
        <v/>
      </c>
      <c r="AH66">
        <f>IFERROR(beta_cf*MAX(0,P2_cf-(((cx2_cf+2*AF66)*(((B_cf-cy2_cf)/2)+cy2_cf)+cx2_cf*AF66+PI()*AF66^2/2)*((wa_cf+wb_cf*(x2_cf)/1000)/Bm_cf))/1E6)*1000/((cx2_cf+PI()*AF66+2*(((B_cf-cy2_cf)/2)+cy2_cf))*dp_cf)/(vRdc_p*2*dp_cf/AF66),0)</f>
        <v/>
      </c>
      <c r="AJ66">
        <f>IF(AN65&lt;AO65,AL65,AJ65)</f>
        <v/>
      </c>
      <c r="AK66">
        <f>IF(AN65&lt;AO65,AK65,AM65)</f>
        <v/>
      </c>
      <c r="AL66">
        <f>AK66-((SQRT(5)-1)/2)*(AK66-AJ66)</f>
        <v/>
      </c>
      <c r="AM66">
        <f>AJ66+((SQRT(5)-1)/2)*(AK66-AJ66)</f>
        <v/>
      </c>
      <c r="AN66">
        <f>IFERROR(beta_cf*MAX(0,P2_cf-(((L_cf-x2_cf-cx2_cf/2)+cx2_cf)*(((B_cf-cy2_cf)/2)+cy2_cf+AL66)*((wa_cf+wb_cf*(((x2_cf-cx2_cf/2)+L_cf)/2)/1000)/Bm_cf)+(((B_cf-cy2_cf)/2)+cy2_cf)*AL66*((wa_cf+wb_cf*((x2_cf-cx2_cf/2)-AL66/2)/1000)/Bm_cf)+PI()*AL66^2/4*((wa_cf+wb_cf*((x2_cf-cx2_cf/2)-4*AL66/(3*PI()))/1000)/Bm_cf))/1E6)*1000/(((L_cf-x2_cf-cx2_cf/2)+cx2_cf+((B_cf-cy2_cf)/2)+cy2_cf+PI()*AL66/2)*dp_cf)/(vRdc_p*2*dp_cf/AL66),0)</f>
        <v/>
      </c>
      <c r="AO66">
        <f>IFERROR(beta_cf*MAX(0,P2_cf-(((L_cf-x2_cf-cx2_cf/2)+cx2_cf)*(((B_cf-cy2_cf)/2)+cy2_cf+AM66)*((wa_cf+wb_cf*(((x2_cf-cx2_cf/2)+L_cf)/2)/1000)/Bm_cf)+(((B_cf-cy2_cf)/2)+cy2_cf)*AM66*((wa_cf+wb_cf*((x2_cf-cx2_cf/2)-AM66/2)/1000)/Bm_cf)+PI()*AM66^2/4*((wa_cf+wb_cf*((x2_cf-cx2_cf/2)-4*AM66/(3*PI()))/1000)/Bm_cf))/1E6)*1000/(((L_cf-x2_cf-cx2_cf/2)+cx2_cf+((B_cf-cy2_cf)/2)+cy2_cf+PI()*AM66/2)*dp_cf)/(vRdc_p*2*dp_cf/AM66),0)</f>
        <v/>
      </c>
    </row>
    <row r="67">
      <c r="A67">
        <f>IF(E66&lt;F66,C66,A66)</f>
        <v/>
      </c>
      <c r="B67">
        <f>IF(E66&lt;F66,B66,D66)</f>
        <v/>
      </c>
      <c r="C67">
        <f>B67-((SQRT(5)-1)/2)*(B67-A67)</f>
        <v/>
      </c>
      <c r="D67">
        <f>A67+((SQRT(5)-1)/2)*(B67-A67)</f>
        <v/>
      </c>
      <c r="E67">
        <f>IFERROR(beta_cf*MAX(0,P1_cf-(((x1_cf-cx1_cf/2)+cx1_cf)*(cy1_cf+2*C67)*((wa_cf+wb_cf*((x1_cf+cx1_cf/2)/2)/1000)/Bm_cf)+cy1_cf*C67*((wa_cf+wb_cf*((x1_cf+cx1_cf/2)+C67/2)/1000)/Bm_cf)+PI()*C67^2/2*((wa_cf+wb_cf*((x1_cf+cx1_cf/2)+4*C67/(3*PI()))/1000)/Bm_cf))/1E6)*1000/((cy1_cf+PI()*C67+2*((x1_cf-cx1_cf/2)+cx1_cf))*dp_cf)/(vRdc_p*2*dp_cf/C67),0)</f>
        <v/>
      </c>
      <c r="F67">
        <f>IFERROR(beta_cf*MAX(0,P1_cf-(((x1_cf-cx1_cf/2)+cx1_cf)*(cy1_cf+2*D67)*((wa_cf+wb_cf*((x1_cf+cx1_cf/2)/2)/1000)/Bm_cf)+cy1_cf*D67*((wa_cf+wb_cf*((x1_cf+cx1_cf/2)+D67/2)/1000)/Bm_cf)+PI()*D67^2/2*((wa_cf+wb_cf*((x1_cf+cx1_cf/2)+4*D67/(3*PI()))/1000)/Bm_cf))/1E6)*1000/((cy1_cf+PI()*D67+2*((x1_cf-cx1_cf/2)+cx1_cf))*dp_cf)/(vRdc_p*2*dp_cf/D67),0)</f>
        <v/>
      </c>
      <c r="H67">
        <f>IF(L66&lt;M66,J66,H66)</f>
        <v/>
      </c>
      <c r="I67">
        <f>IF(L66&lt;M66,I66,K66)</f>
        <v/>
      </c>
      <c r="J67">
        <f>I67-((SQRT(5)-1)/2)*(I67-H67)</f>
        <v/>
      </c>
      <c r="K67">
        <f>H67+((SQRT(5)-1)/2)*(I67-H67)</f>
        <v/>
      </c>
      <c r="L67">
        <f>IFERROR(beta_cf*MAX(0,P1_cf-(((cx1_cf+2*J67)*(((B_cf-cy1_cf)/2)+cy1_cf)+cx1_cf*J67+PI()*J67^2/2)*((wa_cf+wb_cf*(x1_cf)/1000)/Bm_cf))/1E6)*1000/((cx1_cf+PI()*J67+2*(((B_cf-cy1_cf)/2)+cy1_cf))*dp_cf)/(vRdc_p*2*dp_cf/J67),0)</f>
        <v/>
      </c>
      <c r="M67">
        <f>IFERROR(beta_cf*MAX(0,P1_cf-(((cx1_cf+2*K67)*(((B_cf-cy1_cf)/2)+cy1_cf)+cx1_cf*K67+PI()*K67^2/2)*((wa_cf+wb_cf*(x1_cf)/1000)/Bm_cf))/1E6)*1000/((cx1_cf+PI()*K67+2*(((B_cf-cy1_cf)/2)+cy1_cf))*dp_cf)/(vRdc_p*2*dp_cf/K67),0)</f>
        <v/>
      </c>
      <c r="O67">
        <f>IF(S66&lt;T66,Q66,O66)</f>
        <v/>
      </c>
      <c r="P67">
        <f>IF(S66&lt;T66,P66,R66)</f>
        <v/>
      </c>
      <c r="Q67">
        <f>P67-((SQRT(5)-1)/2)*(P67-O67)</f>
        <v/>
      </c>
      <c r="R67">
        <f>O67+((SQRT(5)-1)/2)*(P67-O67)</f>
        <v/>
      </c>
      <c r="S67">
        <f>IFERROR(beta_cf*MAX(0,P1_cf-(((x1_cf-cx1_cf/2)+cx1_cf)*(((B_cf-cy1_cf)/2)+cy1_cf+Q67)*((wa_cf+wb_cf*((x1_cf+cx1_cf/2)/2)/1000)/Bm_cf)+(((B_cf-cy1_cf)/2)+cy1_cf)*Q67*((wa_cf+wb_cf*((x1_cf+cx1_cf/2)+Q67/2)/1000)/Bm_cf)+PI()*Q67^2/4*((wa_cf+wb_cf*((x1_cf+cx1_cf/2)+4*Q67/(3*PI()))/1000)/Bm_cf))/1E6)*1000/(((x1_cf-cx1_cf/2)+cx1_cf+((B_cf-cy1_cf)/2)+cy1_cf+PI()*Q67/2)*dp_cf)/(vRdc_p*2*dp_cf/Q67),0)</f>
        <v/>
      </c>
      <c r="T67">
        <f>IFERROR(beta_cf*MAX(0,P1_cf-(((x1_cf-cx1_cf/2)+cx1_cf)*(((B_cf-cy1_cf)/2)+cy1_cf+R67)*((wa_cf+wb_cf*((x1_cf+cx1_cf/2)/2)/1000)/Bm_cf)+(((B_cf-cy1_cf)/2)+cy1_cf)*R67*((wa_cf+wb_cf*((x1_cf+cx1_cf/2)+R67/2)/1000)/Bm_cf)+PI()*R67^2/4*((wa_cf+wb_cf*((x1_cf+cx1_cf/2)+4*R67/(3*PI()))/1000)/Bm_cf))/1E6)*1000/(((x1_cf-cx1_cf/2)+cx1_cf+((B_cf-cy1_cf)/2)+cy1_cf+PI()*R67/2)*dp_cf)/(vRdc_p*2*dp_cf/R67),0)</f>
        <v/>
      </c>
      <c r="V67">
        <f>IF(Z66&lt;AA66,X66,V66)</f>
        <v/>
      </c>
      <c r="W67">
        <f>IF(Z66&lt;AA66,W66,Y66)</f>
        <v/>
      </c>
      <c r="X67">
        <f>W67-((SQRT(5)-1)/2)*(W67-V67)</f>
        <v/>
      </c>
      <c r="Y67">
        <f>V67+((SQRT(5)-1)/2)*(W67-V67)</f>
        <v/>
      </c>
      <c r="Z67">
        <f>IFERROR(beta_cf*MAX(0,P2_cf-(((L_cf-x2_cf-cx2_cf/2)+cx2_cf)*(cy2_cf+2*X67)*((wa_cf+wb_cf*(((x2_cf-cx2_cf/2)+L_cf)/2)/1000)/Bm_cf)+cy2_cf*X67*((wa_cf+wb_cf*((x2_cf-cx2_cf/2)-X67/2)/1000)/Bm_cf)+PI()*X67^2/2*((wa_cf+wb_cf*((x2_cf-cx2_cf/2)-4*X67/(3*PI()))/1000)/Bm_cf))/1E6)*1000/((cy2_cf+PI()*X67+2*((L_cf-x2_cf-cx2_cf/2)+cx2_cf))*dp_cf)/(vRdc_p*2*dp_cf/X67),0)</f>
        <v/>
      </c>
      <c r="AA67">
        <f>IFERROR(beta_cf*MAX(0,P2_cf-(((L_cf-x2_cf-cx2_cf/2)+cx2_cf)*(cy2_cf+2*Y67)*((wa_cf+wb_cf*(((x2_cf-cx2_cf/2)+L_cf)/2)/1000)/Bm_cf)+cy2_cf*Y67*((wa_cf+wb_cf*((x2_cf-cx2_cf/2)-Y67/2)/1000)/Bm_cf)+PI()*Y67^2/2*((wa_cf+wb_cf*((x2_cf-cx2_cf/2)-4*Y67/(3*PI()))/1000)/Bm_cf))/1E6)*1000/((cy2_cf+PI()*Y67+2*((L_cf-x2_cf-cx2_cf/2)+cx2_cf))*dp_cf)/(vRdc_p*2*dp_cf/Y67),0)</f>
        <v/>
      </c>
      <c r="AC67">
        <f>IF(AG66&lt;AH66,AE66,AC66)</f>
        <v/>
      </c>
      <c r="AD67">
        <f>IF(AG66&lt;AH66,AD66,AF66)</f>
        <v/>
      </c>
      <c r="AE67">
        <f>AD67-((SQRT(5)-1)/2)*(AD67-AC67)</f>
        <v/>
      </c>
      <c r="AF67">
        <f>AC67+((SQRT(5)-1)/2)*(AD67-AC67)</f>
        <v/>
      </c>
      <c r="AG67">
        <f>IFERROR(beta_cf*MAX(0,P2_cf-(((cx2_cf+2*AE67)*(((B_cf-cy2_cf)/2)+cy2_cf)+cx2_cf*AE67+PI()*AE67^2/2)*((wa_cf+wb_cf*(x2_cf)/1000)/Bm_cf))/1E6)*1000/((cx2_cf+PI()*AE67+2*(((B_cf-cy2_cf)/2)+cy2_cf))*dp_cf)/(vRdc_p*2*dp_cf/AE67),0)</f>
        <v/>
      </c>
      <c r="AH67">
        <f>IFERROR(beta_cf*MAX(0,P2_cf-(((cx2_cf+2*AF67)*(((B_cf-cy2_cf)/2)+cy2_cf)+cx2_cf*AF67+PI()*AF67^2/2)*((wa_cf+wb_cf*(x2_cf)/1000)/Bm_cf))/1E6)*1000/((cx2_cf+PI()*AF67+2*(((B_cf-cy2_cf)/2)+cy2_cf))*dp_cf)/(vRdc_p*2*dp_cf/AF67),0)</f>
        <v/>
      </c>
      <c r="AJ67">
        <f>IF(AN66&lt;AO66,AL66,AJ66)</f>
        <v/>
      </c>
      <c r="AK67">
        <f>IF(AN66&lt;AO66,AK66,AM66)</f>
        <v/>
      </c>
      <c r="AL67">
        <f>AK67-((SQRT(5)-1)/2)*(AK67-AJ67)</f>
        <v/>
      </c>
      <c r="AM67">
        <f>AJ67+((SQRT(5)-1)/2)*(AK67-AJ67)</f>
        <v/>
      </c>
      <c r="AN67">
        <f>IFERROR(beta_cf*MAX(0,P2_cf-(((L_cf-x2_cf-cx2_cf/2)+cx2_cf)*(((B_cf-cy2_cf)/2)+cy2_cf+AL67)*((wa_cf+wb_cf*(((x2_cf-cx2_cf/2)+L_cf)/2)/1000)/Bm_cf)+(((B_cf-cy2_cf)/2)+cy2_cf)*AL67*((wa_cf+wb_cf*((x2_cf-cx2_cf/2)-AL67/2)/1000)/Bm_cf)+PI()*AL67^2/4*((wa_cf+wb_cf*((x2_cf-cx2_cf/2)-4*AL67/(3*PI()))/1000)/Bm_cf))/1E6)*1000/(((L_cf-x2_cf-cx2_cf/2)+cx2_cf+((B_cf-cy2_cf)/2)+cy2_cf+PI()*AL67/2)*dp_cf)/(vRdc_p*2*dp_cf/AL67),0)</f>
        <v/>
      </c>
      <c r="AO67">
        <f>IFERROR(beta_cf*MAX(0,P2_cf-(((L_cf-x2_cf-cx2_cf/2)+cx2_cf)*(((B_cf-cy2_cf)/2)+cy2_cf+AM67)*((wa_cf+wb_cf*(((x2_cf-cx2_cf/2)+L_cf)/2)/1000)/Bm_cf)+(((B_cf-cy2_cf)/2)+cy2_cf)*AM67*((wa_cf+wb_cf*((x2_cf-cx2_cf/2)-AM67/2)/1000)/Bm_cf)+PI()*AM67^2/4*((wa_cf+wb_cf*((x2_cf-cx2_cf/2)-4*AM67/(3*PI()))/1000)/Bm_cf))/1E6)*1000/(((L_cf-x2_cf-cx2_cf/2)+cx2_cf+((B_cf-cy2_cf)/2)+cy2_cf+PI()*AM67/2)*dp_cf)/(vRdc_p*2*dp_cf/AM67),0)</f>
        <v/>
      </c>
    </row>
    <row r="68">
      <c r="A68">
        <f>IF(E67&lt;F67,C67,A67)</f>
        <v/>
      </c>
      <c r="B68">
        <f>IF(E67&lt;F67,B67,D67)</f>
        <v/>
      </c>
      <c r="C68">
        <f>B68-((SQRT(5)-1)/2)*(B68-A68)</f>
        <v/>
      </c>
      <c r="D68">
        <f>A68+((SQRT(5)-1)/2)*(B68-A68)</f>
        <v/>
      </c>
      <c r="E68">
        <f>IFERROR(beta_cf*MAX(0,P1_cf-(((x1_cf-cx1_cf/2)+cx1_cf)*(cy1_cf+2*C68)*((wa_cf+wb_cf*((x1_cf+cx1_cf/2)/2)/1000)/Bm_cf)+cy1_cf*C68*((wa_cf+wb_cf*((x1_cf+cx1_cf/2)+C68/2)/1000)/Bm_cf)+PI()*C68^2/2*((wa_cf+wb_cf*((x1_cf+cx1_cf/2)+4*C68/(3*PI()))/1000)/Bm_cf))/1E6)*1000/((cy1_cf+PI()*C68+2*((x1_cf-cx1_cf/2)+cx1_cf))*dp_cf)/(vRdc_p*2*dp_cf/C68),0)</f>
        <v/>
      </c>
      <c r="F68">
        <f>IFERROR(beta_cf*MAX(0,P1_cf-(((x1_cf-cx1_cf/2)+cx1_cf)*(cy1_cf+2*D68)*((wa_cf+wb_cf*((x1_cf+cx1_cf/2)/2)/1000)/Bm_cf)+cy1_cf*D68*((wa_cf+wb_cf*((x1_cf+cx1_cf/2)+D68/2)/1000)/Bm_cf)+PI()*D68^2/2*((wa_cf+wb_cf*((x1_cf+cx1_cf/2)+4*D68/(3*PI()))/1000)/Bm_cf))/1E6)*1000/((cy1_cf+PI()*D68+2*((x1_cf-cx1_cf/2)+cx1_cf))*dp_cf)/(vRdc_p*2*dp_cf/D68),0)</f>
        <v/>
      </c>
      <c r="H68">
        <f>IF(L67&lt;M67,J67,H67)</f>
        <v/>
      </c>
      <c r="I68">
        <f>IF(L67&lt;M67,I67,K67)</f>
        <v/>
      </c>
      <c r="J68">
        <f>I68-((SQRT(5)-1)/2)*(I68-H68)</f>
        <v/>
      </c>
      <c r="K68">
        <f>H68+((SQRT(5)-1)/2)*(I68-H68)</f>
        <v/>
      </c>
      <c r="L68">
        <f>IFERROR(beta_cf*MAX(0,P1_cf-(((cx1_cf+2*J68)*(((B_cf-cy1_cf)/2)+cy1_cf)+cx1_cf*J68+PI()*J68^2/2)*((wa_cf+wb_cf*(x1_cf)/1000)/Bm_cf))/1E6)*1000/((cx1_cf+PI()*J68+2*(((B_cf-cy1_cf)/2)+cy1_cf))*dp_cf)/(vRdc_p*2*dp_cf/J68),0)</f>
        <v/>
      </c>
      <c r="M68">
        <f>IFERROR(beta_cf*MAX(0,P1_cf-(((cx1_cf+2*K68)*(((B_cf-cy1_cf)/2)+cy1_cf)+cx1_cf*K68+PI()*K68^2/2)*((wa_cf+wb_cf*(x1_cf)/1000)/Bm_cf))/1E6)*1000/((cx1_cf+PI()*K68+2*(((B_cf-cy1_cf)/2)+cy1_cf))*dp_cf)/(vRdc_p*2*dp_cf/K68),0)</f>
        <v/>
      </c>
      <c r="O68">
        <f>IF(S67&lt;T67,Q67,O67)</f>
        <v/>
      </c>
      <c r="P68">
        <f>IF(S67&lt;T67,P67,R67)</f>
        <v/>
      </c>
      <c r="Q68">
        <f>P68-((SQRT(5)-1)/2)*(P68-O68)</f>
        <v/>
      </c>
      <c r="R68">
        <f>O68+((SQRT(5)-1)/2)*(P68-O68)</f>
        <v/>
      </c>
      <c r="S68">
        <f>IFERROR(beta_cf*MAX(0,P1_cf-(((x1_cf-cx1_cf/2)+cx1_cf)*(((B_cf-cy1_cf)/2)+cy1_cf+Q68)*((wa_cf+wb_cf*((x1_cf+cx1_cf/2)/2)/1000)/Bm_cf)+(((B_cf-cy1_cf)/2)+cy1_cf)*Q68*((wa_cf+wb_cf*((x1_cf+cx1_cf/2)+Q68/2)/1000)/Bm_cf)+PI()*Q68^2/4*((wa_cf+wb_cf*((x1_cf+cx1_cf/2)+4*Q68/(3*PI()))/1000)/Bm_cf))/1E6)*1000/(((x1_cf-cx1_cf/2)+cx1_cf+((B_cf-cy1_cf)/2)+cy1_cf+PI()*Q68/2)*dp_cf)/(vRdc_p*2*dp_cf/Q68),0)</f>
        <v/>
      </c>
      <c r="T68">
        <f>IFERROR(beta_cf*MAX(0,P1_cf-(((x1_cf-cx1_cf/2)+cx1_cf)*(((B_cf-cy1_cf)/2)+cy1_cf+R68)*((wa_cf+wb_cf*((x1_cf+cx1_cf/2)/2)/1000)/Bm_cf)+(((B_cf-cy1_cf)/2)+cy1_cf)*R68*((wa_cf+wb_cf*((x1_cf+cx1_cf/2)+R68/2)/1000)/Bm_cf)+PI()*R68^2/4*((wa_cf+wb_cf*((x1_cf+cx1_cf/2)+4*R68/(3*PI()))/1000)/Bm_cf))/1E6)*1000/(((x1_cf-cx1_cf/2)+cx1_cf+((B_cf-cy1_cf)/2)+cy1_cf+PI()*R68/2)*dp_cf)/(vRdc_p*2*dp_cf/R68),0)</f>
        <v/>
      </c>
      <c r="V68">
        <f>IF(Z67&lt;AA67,X67,V67)</f>
        <v/>
      </c>
      <c r="W68">
        <f>IF(Z67&lt;AA67,W67,Y67)</f>
        <v/>
      </c>
      <c r="X68">
        <f>W68-((SQRT(5)-1)/2)*(W68-V68)</f>
        <v/>
      </c>
      <c r="Y68">
        <f>V68+((SQRT(5)-1)/2)*(W68-V68)</f>
        <v/>
      </c>
      <c r="Z68">
        <f>IFERROR(beta_cf*MAX(0,P2_cf-(((L_cf-x2_cf-cx2_cf/2)+cx2_cf)*(cy2_cf+2*X68)*((wa_cf+wb_cf*(((x2_cf-cx2_cf/2)+L_cf)/2)/1000)/Bm_cf)+cy2_cf*X68*((wa_cf+wb_cf*((x2_cf-cx2_cf/2)-X68/2)/1000)/Bm_cf)+PI()*X68^2/2*((wa_cf+wb_cf*((x2_cf-cx2_cf/2)-4*X68/(3*PI()))/1000)/Bm_cf))/1E6)*1000/((cy2_cf+PI()*X68+2*((L_cf-x2_cf-cx2_cf/2)+cx2_cf))*dp_cf)/(vRdc_p*2*dp_cf/X68),0)</f>
        <v/>
      </c>
      <c r="AA68">
        <f>IFERROR(beta_cf*MAX(0,P2_cf-(((L_cf-x2_cf-cx2_cf/2)+cx2_cf)*(cy2_cf+2*Y68)*((wa_cf+wb_cf*(((x2_cf-cx2_cf/2)+L_cf)/2)/1000)/Bm_cf)+cy2_cf*Y68*((wa_cf+wb_cf*((x2_cf-cx2_cf/2)-Y68/2)/1000)/Bm_cf)+PI()*Y68^2/2*((wa_cf+wb_cf*((x2_cf-cx2_cf/2)-4*Y68/(3*PI()))/1000)/Bm_cf))/1E6)*1000/((cy2_cf+PI()*Y68+2*((L_cf-x2_cf-cx2_cf/2)+cx2_cf))*dp_cf)/(vRdc_p*2*dp_cf/Y68),0)</f>
        <v/>
      </c>
      <c r="AC68">
        <f>IF(AG67&lt;AH67,AE67,AC67)</f>
        <v/>
      </c>
      <c r="AD68">
        <f>IF(AG67&lt;AH67,AD67,AF67)</f>
        <v/>
      </c>
      <c r="AE68">
        <f>AD68-((SQRT(5)-1)/2)*(AD68-AC68)</f>
        <v/>
      </c>
      <c r="AF68">
        <f>AC68+((SQRT(5)-1)/2)*(AD68-AC68)</f>
        <v/>
      </c>
      <c r="AG68">
        <f>IFERROR(beta_cf*MAX(0,P2_cf-(((cx2_cf+2*AE68)*(((B_cf-cy2_cf)/2)+cy2_cf)+cx2_cf*AE68+PI()*AE68^2/2)*((wa_cf+wb_cf*(x2_cf)/1000)/Bm_cf))/1E6)*1000/((cx2_cf+PI()*AE68+2*(((B_cf-cy2_cf)/2)+cy2_cf))*dp_cf)/(vRdc_p*2*dp_cf/AE68),0)</f>
        <v/>
      </c>
      <c r="AH68">
        <f>IFERROR(beta_cf*MAX(0,P2_cf-(((cx2_cf+2*AF68)*(((B_cf-cy2_cf)/2)+cy2_cf)+cx2_cf*AF68+PI()*AF68^2/2)*((wa_cf+wb_cf*(x2_cf)/1000)/Bm_cf))/1E6)*1000/((cx2_cf+PI()*AF68+2*(((B_cf-cy2_cf)/2)+cy2_cf))*dp_cf)/(vRdc_p*2*dp_cf/AF68),0)</f>
        <v/>
      </c>
      <c r="AJ68">
        <f>IF(AN67&lt;AO67,AL67,AJ67)</f>
        <v/>
      </c>
      <c r="AK68">
        <f>IF(AN67&lt;AO67,AK67,AM67)</f>
        <v/>
      </c>
      <c r="AL68">
        <f>AK68-((SQRT(5)-1)/2)*(AK68-AJ68)</f>
        <v/>
      </c>
      <c r="AM68">
        <f>AJ68+((SQRT(5)-1)/2)*(AK68-AJ68)</f>
        <v/>
      </c>
      <c r="AN68">
        <f>IFERROR(beta_cf*MAX(0,P2_cf-(((L_cf-x2_cf-cx2_cf/2)+cx2_cf)*(((B_cf-cy2_cf)/2)+cy2_cf+AL68)*((wa_cf+wb_cf*(((x2_cf-cx2_cf/2)+L_cf)/2)/1000)/Bm_cf)+(((B_cf-cy2_cf)/2)+cy2_cf)*AL68*((wa_cf+wb_cf*((x2_cf-cx2_cf/2)-AL68/2)/1000)/Bm_cf)+PI()*AL68^2/4*((wa_cf+wb_cf*((x2_cf-cx2_cf/2)-4*AL68/(3*PI()))/1000)/Bm_cf))/1E6)*1000/(((L_cf-x2_cf-cx2_cf/2)+cx2_cf+((B_cf-cy2_cf)/2)+cy2_cf+PI()*AL68/2)*dp_cf)/(vRdc_p*2*dp_cf/AL68),0)</f>
        <v/>
      </c>
      <c r="AO68">
        <f>IFERROR(beta_cf*MAX(0,P2_cf-(((L_cf-x2_cf-cx2_cf/2)+cx2_cf)*(((B_cf-cy2_cf)/2)+cy2_cf+AM68)*((wa_cf+wb_cf*(((x2_cf-cx2_cf/2)+L_cf)/2)/1000)/Bm_cf)+(((B_cf-cy2_cf)/2)+cy2_cf)*AM68*((wa_cf+wb_cf*((x2_cf-cx2_cf/2)-AM68/2)/1000)/Bm_cf)+PI()*AM68^2/4*((wa_cf+wb_cf*((x2_cf-cx2_cf/2)-4*AM68/(3*PI()))/1000)/Bm_cf))/1E6)*1000/(((L_cf-x2_cf-cx2_cf/2)+cx2_cf+((B_cf-cy2_cf)/2)+cy2_cf+PI()*AM68/2)*dp_cf)/(vRdc_p*2*dp_cf/AM68),0)</f>
        <v/>
      </c>
    </row>
    <row r="69">
      <c r="A69">
        <f>IF(E68&lt;F68,C68,A68)</f>
        <v/>
      </c>
      <c r="B69">
        <f>IF(E68&lt;F68,B68,D68)</f>
        <v/>
      </c>
      <c r="C69">
        <f>B69-((SQRT(5)-1)/2)*(B69-A69)</f>
        <v/>
      </c>
      <c r="D69">
        <f>A69+((SQRT(5)-1)/2)*(B69-A69)</f>
        <v/>
      </c>
      <c r="E69">
        <f>IFERROR(beta_cf*MAX(0,P1_cf-(((x1_cf-cx1_cf/2)+cx1_cf)*(cy1_cf+2*C69)*((wa_cf+wb_cf*((x1_cf+cx1_cf/2)/2)/1000)/Bm_cf)+cy1_cf*C69*((wa_cf+wb_cf*((x1_cf+cx1_cf/2)+C69/2)/1000)/Bm_cf)+PI()*C69^2/2*((wa_cf+wb_cf*((x1_cf+cx1_cf/2)+4*C69/(3*PI()))/1000)/Bm_cf))/1E6)*1000/((cy1_cf+PI()*C69+2*((x1_cf-cx1_cf/2)+cx1_cf))*dp_cf)/(vRdc_p*2*dp_cf/C69),0)</f>
        <v/>
      </c>
      <c r="F69">
        <f>IFERROR(beta_cf*MAX(0,P1_cf-(((x1_cf-cx1_cf/2)+cx1_cf)*(cy1_cf+2*D69)*((wa_cf+wb_cf*((x1_cf+cx1_cf/2)/2)/1000)/Bm_cf)+cy1_cf*D69*((wa_cf+wb_cf*((x1_cf+cx1_cf/2)+D69/2)/1000)/Bm_cf)+PI()*D69^2/2*((wa_cf+wb_cf*((x1_cf+cx1_cf/2)+4*D69/(3*PI()))/1000)/Bm_cf))/1E6)*1000/((cy1_cf+PI()*D69+2*((x1_cf-cx1_cf/2)+cx1_cf))*dp_cf)/(vRdc_p*2*dp_cf/D69),0)</f>
        <v/>
      </c>
      <c r="H69">
        <f>IF(L68&lt;M68,J68,H68)</f>
        <v/>
      </c>
      <c r="I69">
        <f>IF(L68&lt;M68,I68,K68)</f>
        <v/>
      </c>
      <c r="J69">
        <f>I69-((SQRT(5)-1)/2)*(I69-H69)</f>
        <v/>
      </c>
      <c r="K69">
        <f>H69+((SQRT(5)-1)/2)*(I69-H69)</f>
        <v/>
      </c>
      <c r="L69">
        <f>IFERROR(beta_cf*MAX(0,P1_cf-(((cx1_cf+2*J69)*(((B_cf-cy1_cf)/2)+cy1_cf)+cx1_cf*J69+PI()*J69^2/2)*((wa_cf+wb_cf*(x1_cf)/1000)/Bm_cf))/1E6)*1000/((cx1_cf+PI()*J69+2*(((B_cf-cy1_cf)/2)+cy1_cf))*dp_cf)/(vRdc_p*2*dp_cf/J69),0)</f>
        <v/>
      </c>
      <c r="M69">
        <f>IFERROR(beta_cf*MAX(0,P1_cf-(((cx1_cf+2*K69)*(((B_cf-cy1_cf)/2)+cy1_cf)+cx1_cf*K69+PI()*K69^2/2)*((wa_cf+wb_cf*(x1_cf)/1000)/Bm_cf))/1E6)*1000/((cx1_cf+PI()*K69+2*(((B_cf-cy1_cf)/2)+cy1_cf))*dp_cf)/(vRdc_p*2*dp_cf/K69),0)</f>
        <v/>
      </c>
      <c r="O69">
        <f>IF(S68&lt;T68,Q68,O68)</f>
        <v/>
      </c>
      <c r="P69">
        <f>IF(S68&lt;T68,P68,R68)</f>
        <v/>
      </c>
      <c r="Q69">
        <f>P69-((SQRT(5)-1)/2)*(P69-O69)</f>
        <v/>
      </c>
      <c r="R69">
        <f>O69+((SQRT(5)-1)/2)*(P69-O69)</f>
        <v/>
      </c>
      <c r="S69">
        <f>IFERROR(beta_cf*MAX(0,P1_cf-(((x1_cf-cx1_cf/2)+cx1_cf)*(((B_cf-cy1_cf)/2)+cy1_cf+Q69)*((wa_cf+wb_cf*((x1_cf+cx1_cf/2)/2)/1000)/Bm_cf)+(((B_cf-cy1_cf)/2)+cy1_cf)*Q69*((wa_cf+wb_cf*((x1_cf+cx1_cf/2)+Q69/2)/1000)/Bm_cf)+PI()*Q69^2/4*((wa_cf+wb_cf*((x1_cf+cx1_cf/2)+4*Q69/(3*PI()))/1000)/Bm_cf))/1E6)*1000/(((x1_cf-cx1_cf/2)+cx1_cf+((B_cf-cy1_cf)/2)+cy1_cf+PI()*Q69/2)*dp_cf)/(vRdc_p*2*dp_cf/Q69),0)</f>
        <v/>
      </c>
      <c r="T69">
        <f>IFERROR(beta_cf*MAX(0,P1_cf-(((x1_cf-cx1_cf/2)+cx1_cf)*(((B_cf-cy1_cf)/2)+cy1_cf+R69)*((wa_cf+wb_cf*((x1_cf+cx1_cf/2)/2)/1000)/Bm_cf)+(((B_cf-cy1_cf)/2)+cy1_cf)*R69*((wa_cf+wb_cf*((x1_cf+cx1_cf/2)+R69/2)/1000)/Bm_cf)+PI()*R69^2/4*((wa_cf+wb_cf*((x1_cf+cx1_cf/2)+4*R69/(3*PI()))/1000)/Bm_cf))/1E6)*1000/(((x1_cf-cx1_cf/2)+cx1_cf+((B_cf-cy1_cf)/2)+cy1_cf+PI()*R69/2)*dp_cf)/(vRdc_p*2*dp_cf/R69),0)</f>
        <v/>
      </c>
      <c r="V69">
        <f>IF(Z68&lt;AA68,X68,V68)</f>
        <v/>
      </c>
      <c r="W69">
        <f>IF(Z68&lt;AA68,W68,Y68)</f>
        <v/>
      </c>
      <c r="X69">
        <f>W69-((SQRT(5)-1)/2)*(W69-V69)</f>
        <v/>
      </c>
      <c r="Y69">
        <f>V69+((SQRT(5)-1)/2)*(W69-V69)</f>
        <v/>
      </c>
      <c r="Z69">
        <f>IFERROR(beta_cf*MAX(0,P2_cf-(((L_cf-x2_cf-cx2_cf/2)+cx2_cf)*(cy2_cf+2*X69)*((wa_cf+wb_cf*(((x2_cf-cx2_cf/2)+L_cf)/2)/1000)/Bm_cf)+cy2_cf*X69*((wa_cf+wb_cf*((x2_cf-cx2_cf/2)-X69/2)/1000)/Bm_cf)+PI()*X69^2/2*((wa_cf+wb_cf*((x2_cf-cx2_cf/2)-4*X69/(3*PI()))/1000)/Bm_cf))/1E6)*1000/((cy2_cf+PI()*X69+2*((L_cf-x2_cf-cx2_cf/2)+cx2_cf))*dp_cf)/(vRdc_p*2*dp_cf/X69),0)</f>
        <v/>
      </c>
      <c r="AA69">
        <f>IFERROR(beta_cf*MAX(0,P2_cf-(((L_cf-x2_cf-cx2_cf/2)+cx2_cf)*(cy2_cf+2*Y69)*((wa_cf+wb_cf*(((x2_cf-cx2_cf/2)+L_cf)/2)/1000)/Bm_cf)+cy2_cf*Y69*((wa_cf+wb_cf*((x2_cf-cx2_cf/2)-Y69/2)/1000)/Bm_cf)+PI()*Y69^2/2*((wa_cf+wb_cf*((x2_cf-cx2_cf/2)-4*Y69/(3*PI()))/1000)/Bm_cf))/1E6)*1000/((cy2_cf+PI()*Y69+2*((L_cf-x2_cf-cx2_cf/2)+cx2_cf))*dp_cf)/(vRdc_p*2*dp_cf/Y69),0)</f>
        <v/>
      </c>
      <c r="AC69">
        <f>IF(AG68&lt;AH68,AE68,AC68)</f>
        <v/>
      </c>
      <c r="AD69">
        <f>IF(AG68&lt;AH68,AD68,AF68)</f>
        <v/>
      </c>
      <c r="AE69">
        <f>AD69-((SQRT(5)-1)/2)*(AD69-AC69)</f>
        <v/>
      </c>
      <c r="AF69">
        <f>AC69+((SQRT(5)-1)/2)*(AD69-AC69)</f>
        <v/>
      </c>
      <c r="AG69">
        <f>IFERROR(beta_cf*MAX(0,P2_cf-(((cx2_cf+2*AE69)*(((B_cf-cy2_cf)/2)+cy2_cf)+cx2_cf*AE69+PI()*AE69^2/2)*((wa_cf+wb_cf*(x2_cf)/1000)/Bm_cf))/1E6)*1000/((cx2_cf+PI()*AE69+2*(((B_cf-cy2_cf)/2)+cy2_cf))*dp_cf)/(vRdc_p*2*dp_cf/AE69),0)</f>
        <v/>
      </c>
      <c r="AH69">
        <f>IFERROR(beta_cf*MAX(0,P2_cf-(((cx2_cf+2*AF69)*(((B_cf-cy2_cf)/2)+cy2_cf)+cx2_cf*AF69+PI()*AF69^2/2)*((wa_cf+wb_cf*(x2_cf)/1000)/Bm_cf))/1E6)*1000/((cx2_cf+PI()*AF69+2*(((B_cf-cy2_cf)/2)+cy2_cf))*dp_cf)/(vRdc_p*2*dp_cf/AF69),0)</f>
        <v/>
      </c>
      <c r="AJ69">
        <f>IF(AN68&lt;AO68,AL68,AJ68)</f>
        <v/>
      </c>
      <c r="AK69">
        <f>IF(AN68&lt;AO68,AK68,AM68)</f>
        <v/>
      </c>
      <c r="AL69">
        <f>AK69-((SQRT(5)-1)/2)*(AK69-AJ69)</f>
        <v/>
      </c>
      <c r="AM69">
        <f>AJ69+((SQRT(5)-1)/2)*(AK69-AJ69)</f>
        <v/>
      </c>
      <c r="AN69">
        <f>IFERROR(beta_cf*MAX(0,P2_cf-(((L_cf-x2_cf-cx2_cf/2)+cx2_cf)*(((B_cf-cy2_cf)/2)+cy2_cf+AL69)*((wa_cf+wb_cf*(((x2_cf-cx2_cf/2)+L_cf)/2)/1000)/Bm_cf)+(((B_cf-cy2_cf)/2)+cy2_cf)*AL69*((wa_cf+wb_cf*((x2_cf-cx2_cf/2)-AL69/2)/1000)/Bm_cf)+PI()*AL69^2/4*((wa_cf+wb_cf*((x2_cf-cx2_cf/2)-4*AL69/(3*PI()))/1000)/Bm_cf))/1E6)*1000/(((L_cf-x2_cf-cx2_cf/2)+cx2_cf+((B_cf-cy2_cf)/2)+cy2_cf+PI()*AL69/2)*dp_cf)/(vRdc_p*2*dp_cf/AL69),0)</f>
        <v/>
      </c>
      <c r="AO69">
        <f>IFERROR(beta_cf*MAX(0,P2_cf-(((L_cf-x2_cf-cx2_cf/2)+cx2_cf)*(((B_cf-cy2_cf)/2)+cy2_cf+AM69)*((wa_cf+wb_cf*(((x2_cf-cx2_cf/2)+L_cf)/2)/1000)/Bm_cf)+(((B_cf-cy2_cf)/2)+cy2_cf)*AM69*((wa_cf+wb_cf*((x2_cf-cx2_cf/2)-AM69/2)/1000)/Bm_cf)+PI()*AM69^2/4*((wa_cf+wb_cf*((x2_cf-cx2_cf/2)-4*AM69/(3*PI()))/1000)/Bm_cf))/1E6)*1000/(((L_cf-x2_cf-cx2_cf/2)+cx2_cf+((B_cf-cy2_cf)/2)+cy2_cf+PI()*AM69/2)*dp_cf)/(vRdc_p*2*dp_cf/AM69),0)</f>
        <v/>
      </c>
    </row>
    <row r="70">
      <c r="A70">
        <f>IF(E69&lt;F69,C69,A69)</f>
        <v/>
      </c>
      <c r="B70">
        <f>IF(E69&lt;F69,B69,D69)</f>
        <v/>
      </c>
      <c r="C70">
        <f>B70-((SQRT(5)-1)/2)*(B70-A70)</f>
        <v/>
      </c>
      <c r="D70">
        <f>A70+((SQRT(5)-1)/2)*(B70-A70)</f>
        <v/>
      </c>
      <c r="E70">
        <f>IFERROR(beta_cf*MAX(0,P1_cf-(((x1_cf-cx1_cf/2)+cx1_cf)*(cy1_cf+2*C70)*((wa_cf+wb_cf*((x1_cf+cx1_cf/2)/2)/1000)/Bm_cf)+cy1_cf*C70*((wa_cf+wb_cf*((x1_cf+cx1_cf/2)+C70/2)/1000)/Bm_cf)+PI()*C70^2/2*((wa_cf+wb_cf*((x1_cf+cx1_cf/2)+4*C70/(3*PI()))/1000)/Bm_cf))/1E6)*1000/((cy1_cf+PI()*C70+2*((x1_cf-cx1_cf/2)+cx1_cf))*dp_cf)/(vRdc_p*2*dp_cf/C70),0)</f>
        <v/>
      </c>
      <c r="F70">
        <f>IFERROR(beta_cf*MAX(0,P1_cf-(((x1_cf-cx1_cf/2)+cx1_cf)*(cy1_cf+2*D70)*((wa_cf+wb_cf*((x1_cf+cx1_cf/2)/2)/1000)/Bm_cf)+cy1_cf*D70*((wa_cf+wb_cf*((x1_cf+cx1_cf/2)+D70/2)/1000)/Bm_cf)+PI()*D70^2/2*((wa_cf+wb_cf*((x1_cf+cx1_cf/2)+4*D70/(3*PI()))/1000)/Bm_cf))/1E6)*1000/((cy1_cf+PI()*D70+2*((x1_cf-cx1_cf/2)+cx1_cf))*dp_cf)/(vRdc_p*2*dp_cf/D70),0)</f>
        <v/>
      </c>
      <c r="H70">
        <f>IF(L69&lt;M69,J69,H69)</f>
        <v/>
      </c>
      <c r="I70">
        <f>IF(L69&lt;M69,I69,K69)</f>
        <v/>
      </c>
      <c r="J70">
        <f>I70-((SQRT(5)-1)/2)*(I70-H70)</f>
        <v/>
      </c>
      <c r="K70">
        <f>H70+((SQRT(5)-1)/2)*(I70-H70)</f>
        <v/>
      </c>
      <c r="L70">
        <f>IFERROR(beta_cf*MAX(0,P1_cf-(((cx1_cf+2*J70)*(((B_cf-cy1_cf)/2)+cy1_cf)+cx1_cf*J70+PI()*J70^2/2)*((wa_cf+wb_cf*(x1_cf)/1000)/Bm_cf))/1E6)*1000/((cx1_cf+PI()*J70+2*(((B_cf-cy1_cf)/2)+cy1_cf))*dp_cf)/(vRdc_p*2*dp_cf/J70),0)</f>
        <v/>
      </c>
      <c r="M70">
        <f>IFERROR(beta_cf*MAX(0,P1_cf-(((cx1_cf+2*K70)*(((B_cf-cy1_cf)/2)+cy1_cf)+cx1_cf*K70+PI()*K70^2/2)*((wa_cf+wb_cf*(x1_cf)/1000)/Bm_cf))/1E6)*1000/((cx1_cf+PI()*K70+2*(((B_cf-cy1_cf)/2)+cy1_cf))*dp_cf)/(vRdc_p*2*dp_cf/K70),0)</f>
        <v/>
      </c>
      <c r="O70">
        <f>IF(S69&lt;T69,Q69,O69)</f>
        <v/>
      </c>
      <c r="P70">
        <f>IF(S69&lt;T69,P69,R69)</f>
        <v/>
      </c>
      <c r="Q70">
        <f>P70-((SQRT(5)-1)/2)*(P70-O70)</f>
        <v/>
      </c>
      <c r="R70">
        <f>O70+((SQRT(5)-1)/2)*(P70-O70)</f>
        <v/>
      </c>
      <c r="S70">
        <f>IFERROR(beta_cf*MAX(0,P1_cf-(((x1_cf-cx1_cf/2)+cx1_cf)*(((B_cf-cy1_cf)/2)+cy1_cf+Q70)*((wa_cf+wb_cf*((x1_cf+cx1_cf/2)/2)/1000)/Bm_cf)+(((B_cf-cy1_cf)/2)+cy1_cf)*Q70*((wa_cf+wb_cf*((x1_cf+cx1_cf/2)+Q70/2)/1000)/Bm_cf)+PI()*Q70^2/4*((wa_cf+wb_cf*((x1_cf+cx1_cf/2)+4*Q70/(3*PI()))/1000)/Bm_cf))/1E6)*1000/(((x1_cf-cx1_cf/2)+cx1_cf+((B_cf-cy1_cf)/2)+cy1_cf+PI()*Q70/2)*dp_cf)/(vRdc_p*2*dp_cf/Q70),0)</f>
        <v/>
      </c>
      <c r="T70">
        <f>IFERROR(beta_cf*MAX(0,P1_cf-(((x1_cf-cx1_cf/2)+cx1_cf)*(((B_cf-cy1_cf)/2)+cy1_cf+R70)*((wa_cf+wb_cf*((x1_cf+cx1_cf/2)/2)/1000)/Bm_cf)+(((B_cf-cy1_cf)/2)+cy1_cf)*R70*((wa_cf+wb_cf*((x1_cf+cx1_cf/2)+R70/2)/1000)/Bm_cf)+PI()*R70^2/4*((wa_cf+wb_cf*((x1_cf+cx1_cf/2)+4*R70/(3*PI()))/1000)/Bm_cf))/1E6)*1000/(((x1_cf-cx1_cf/2)+cx1_cf+((B_cf-cy1_cf)/2)+cy1_cf+PI()*R70/2)*dp_cf)/(vRdc_p*2*dp_cf/R70),0)</f>
        <v/>
      </c>
      <c r="V70">
        <f>IF(Z69&lt;AA69,X69,V69)</f>
        <v/>
      </c>
      <c r="W70">
        <f>IF(Z69&lt;AA69,W69,Y69)</f>
        <v/>
      </c>
      <c r="X70">
        <f>W70-((SQRT(5)-1)/2)*(W70-V70)</f>
        <v/>
      </c>
      <c r="Y70">
        <f>V70+((SQRT(5)-1)/2)*(W70-V70)</f>
        <v/>
      </c>
      <c r="Z70">
        <f>IFERROR(beta_cf*MAX(0,P2_cf-(((L_cf-x2_cf-cx2_cf/2)+cx2_cf)*(cy2_cf+2*X70)*((wa_cf+wb_cf*(((x2_cf-cx2_cf/2)+L_cf)/2)/1000)/Bm_cf)+cy2_cf*X70*((wa_cf+wb_cf*((x2_cf-cx2_cf/2)-X70/2)/1000)/Bm_cf)+PI()*X70^2/2*((wa_cf+wb_cf*((x2_cf-cx2_cf/2)-4*X70/(3*PI()))/1000)/Bm_cf))/1E6)*1000/((cy2_cf+PI()*X70+2*((L_cf-x2_cf-cx2_cf/2)+cx2_cf))*dp_cf)/(vRdc_p*2*dp_cf/X70),0)</f>
        <v/>
      </c>
      <c r="AA70">
        <f>IFERROR(beta_cf*MAX(0,P2_cf-(((L_cf-x2_cf-cx2_cf/2)+cx2_cf)*(cy2_cf+2*Y70)*((wa_cf+wb_cf*(((x2_cf-cx2_cf/2)+L_cf)/2)/1000)/Bm_cf)+cy2_cf*Y70*((wa_cf+wb_cf*((x2_cf-cx2_cf/2)-Y70/2)/1000)/Bm_cf)+PI()*Y70^2/2*((wa_cf+wb_cf*((x2_cf-cx2_cf/2)-4*Y70/(3*PI()))/1000)/Bm_cf))/1E6)*1000/((cy2_cf+PI()*Y70+2*((L_cf-x2_cf-cx2_cf/2)+cx2_cf))*dp_cf)/(vRdc_p*2*dp_cf/Y70),0)</f>
        <v/>
      </c>
      <c r="AC70">
        <f>IF(AG69&lt;AH69,AE69,AC69)</f>
        <v/>
      </c>
      <c r="AD70">
        <f>IF(AG69&lt;AH69,AD69,AF69)</f>
        <v/>
      </c>
      <c r="AE70">
        <f>AD70-((SQRT(5)-1)/2)*(AD70-AC70)</f>
        <v/>
      </c>
      <c r="AF70">
        <f>AC70+((SQRT(5)-1)/2)*(AD70-AC70)</f>
        <v/>
      </c>
      <c r="AG70">
        <f>IFERROR(beta_cf*MAX(0,P2_cf-(((cx2_cf+2*AE70)*(((B_cf-cy2_cf)/2)+cy2_cf)+cx2_cf*AE70+PI()*AE70^2/2)*((wa_cf+wb_cf*(x2_cf)/1000)/Bm_cf))/1E6)*1000/((cx2_cf+PI()*AE70+2*(((B_cf-cy2_cf)/2)+cy2_cf))*dp_cf)/(vRdc_p*2*dp_cf/AE70),0)</f>
        <v/>
      </c>
      <c r="AH70">
        <f>IFERROR(beta_cf*MAX(0,P2_cf-(((cx2_cf+2*AF70)*(((B_cf-cy2_cf)/2)+cy2_cf)+cx2_cf*AF70+PI()*AF70^2/2)*((wa_cf+wb_cf*(x2_cf)/1000)/Bm_cf))/1E6)*1000/((cx2_cf+PI()*AF70+2*(((B_cf-cy2_cf)/2)+cy2_cf))*dp_cf)/(vRdc_p*2*dp_cf/AF70),0)</f>
        <v/>
      </c>
      <c r="AJ70">
        <f>IF(AN69&lt;AO69,AL69,AJ69)</f>
        <v/>
      </c>
      <c r="AK70">
        <f>IF(AN69&lt;AO69,AK69,AM69)</f>
        <v/>
      </c>
      <c r="AL70">
        <f>AK70-((SQRT(5)-1)/2)*(AK70-AJ70)</f>
        <v/>
      </c>
      <c r="AM70">
        <f>AJ70+((SQRT(5)-1)/2)*(AK70-AJ70)</f>
        <v/>
      </c>
      <c r="AN70">
        <f>IFERROR(beta_cf*MAX(0,P2_cf-(((L_cf-x2_cf-cx2_cf/2)+cx2_cf)*(((B_cf-cy2_cf)/2)+cy2_cf+AL70)*((wa_cf+wb_cf*(((x2_cf-cx2_cf/2)+L_cf)/2)/1000)/Bm_cf)+(((B_cf-cy2_cf)/2)+cy2_cf)*AL70*((wa_cf+wb_cf*((x2_cf-cx2_cf/2)-AL70/2)/1000)/Bm_cf)+PI()*AL70^2/4*((wa_cf+wb_cf*((x2_cf-cx2_cf/2)-4*AL70/(3*PI()))/1000)/Bm_cf))/1E6)*1000/(((L_cf-x2_cf-cx2_cf/2)+cx2_cf+((B_cf-cy2_cf)/2)+cy2_cf+PI()*AL70/2)*dp_cf)/(vRdc_p*2*dp_cf/AL70),0)</f>
        <v/>
      </c>
      <c r="AO70">
        <f>IFERROR(beta_cf*MAX(0,P2_cf-(((L_cf-x2_cf-cx2_cf/2)+cx2_cf)*(((B_cf-cy2_cf)/2)+cy2_cf+AM70)*((wa_cf+wb_cf*(((x2_cf-cx2_cf/2)+L_cf)/2)/1000)/Bm_cf)+(((B_cf-cy2_cf)/2)+cy2_cf)*AM70*((wa_cf+wb_cf*((x2_cf-cx2_cf/2)-AM70/2)/1000)/Bm_cf)+PI()*AM70^2/4*((wa_cf+wb_cf*((x2_cf-cx2_cf/2)-4*AM70/(3*PI()))/1000)/Bm_cf))/1E6)*1000/(((L_cf-x2_cf-cx2_cf/2)+cx2_cf+((B_cf-cy2_cf)/2)+cy2_cf+PI()*AM70/2)*dp_cf)/(vRdc_p*2*dp_cf/AM70),0)</f>
        <v/>
      </c>
    </row>
    <row r="71">
      <c r="A71">
        <f>IF(E70&lt;F70,C70,A70)</f>
        <v/>
      </c>
      <c r="B71">
        <f>IF(E70&lt;F70,B70,D70)</f>
        <v/>
      </c>
      <c r="C71">
        <f>B71-((SQRT(5)-1)/2)*(B71-A71)</f>
        <v/>
      </c>
      <c r="D71">
        <f>A71+((SQRT(5)-1)/2)*(B71-A71)</f>
        <v/>
      </c>
      <c r="E71">
        <f>IFERROR(beta_cf*MAX(0,P1_cf-(((x1_cf-cx1_cf/2)+cx1_cf)*(cy1_cf+2*C71)*((wa_cf+wb_cf*((x1_cf+cx1_cf/2)/2)/1000)/Bm_cf)+cy1_cf*C71*((wa_cf+wb_cf*((x1_cf+cx1_cf/2)+C71/2)/1000)/Bm_cf)+PI()*C71^2/2*((wa_cf+wb_cf*((x1_cf+cx1_cf/2)+4*C71/(3*PI()))/1000)/Bm_cf))/1E6)*1000/((cy1_cf+PI()*C71+2*((x1_cf-cx1_cf/2)+cx1_cf))*dp_cf)/(vRdc_p*2*dp_cf/C71),0)</f>
        <v/>
      </c>
      <c r="F71">
        <f>IFERROR(beta_cf*MAX(0,P1_cf-(((x1_cf-cx1_cf/2)+cx1_cf)*(cy1_cf+2*D71)*((wa_cf+wb_cf*((x1_cf+cx1_cf/2)/2)/1000)/Bm_cf)+cy1_cf*D71*((wa_cf+wb_cf*((x1_cf+cx1_cf/2)+D71/2)/1000)/Bm_cf)+PI()*D71^2/2*((wa_cf+wb_cf*((x1_cf+cx1_cf/2)+4*D71/(3*PI()))/1000)/Bm_cf))/1E6)*1000/((cy1_cf+PI()*D71+2*((x1_cf-cx1_cf/2)+cx1_cf))*dp_cf)/(vRdc_p*2*dp_cf/D71),0)</f>
        <v/>
      </c>
      <c r="H71">
        <f>IF(L70&lt;M70,J70,H70)</f>
        <v/>
      </c>
      <c r="I71">
        <f>IF(L70&lt;M70,I70,K70)</f>
        <v/>
      </c>
      <c r="J71">
        <f>I71-((SQRT(5)-1)/2)*(I71-H71)</f>
        <v/>
      </c>
      <c r="K71">
        <f>H71+((SQRT(5)-1)/2)*(I71-H71)</f>
        <v/>
      </c>
      <c r="L71">
        <f>IFERROR(beta_cf*MAX(0,P1_cf-(((cx1_cf+2*J71)*(((B_cf-cy1_cf)/2)+cy1_cf)+cx1_cf*J71+PI()*J71^2/2)*((wa_cf+wb_cf*(x1_cf)/1000)/Bm_cf))/1E6)*1000/((cx1_cf+PI()*J71+2*(((B_cf-cy1_cf)/2)+cy1_cf))*dp_cf)/(vRdc_p*2*dp_cf/J71),0)</f>
        <v/>
      </c>
      <c r="M71">
        <f>IFERROR(beta_cf*MAX(0,P1_cf-(((cx1_cf+2*K71)*(((B_cf-cy1_cf)/2)+cy1_cf)+cx1_cf*K71+PI()*K71^2/2)*((wa_cf+wb_cf*(x1_cf)/1000)/Bm_cf))/1E6)*1000/((cx1_cf+PI()*K71+2*(((B_cf-cy1_cf)/2)+cy1_cf))*dp_cf)/(vRdc_p*2*dp_cf/K71),0)</f>
        <v/>
      </c>
      <c r="O71">
        <f>IF(S70&lt;T70,Q70,O70)</f>
        <v/>
      </c>
      <c r="P71">
        <f>IF(S70&lt;T70,P70,R70)</f>
        <v/>
      </c>
      <c r="Q71">
        <f>P71-((SQRT(5)-1)/2)*(P71-O71)</f>
        <v/>
      </c>
      <c r="R71">
        <f>O71+((SQRT(5)-1)/2)*(P71-O71)</f>
        <v/>
      </c>
      <c r="S71">
        <f>IFERROR(beta_cf*MAX(0,P1_cf-(((x1_cf-cx1_cf/2)+cx1_cf)*(((B_cf-cy1_cf)/2)+cy1_cf+Q71)*((wa_cf+wb_cf*((x1_cf+cx1_cf/2)/2)/1000)/Bm_cf)+(((B_cf-cy1_cf)/2)+cy1_cf)*Q71*((wa_cf+wb_cf*((x1_cf+cx1_cf/2)+Q71/2)/1000)/Bm_cf)+PI()*Q71^2/4*((wa_cf+wb_cf*((x1_cf+cx1_cf/2)+4*Q71/(3*PI()))/1000)/Bm_cf))/1E6)*1000/(((x1_cf-cx1_cf/2)+cx1_cf+((B_cf-cy1_cf)/2)+cy1_cf+PI()*Q71/2)*dp_cf)/(vRdc_p*2*dp_cf/Q71),0)</f>
        <v/>
      </c>
      <c r="T71">
        <f>IFERROR(beta_cf*MAX(0,P1_cf-(((x1_cf-cx1_cf/2)+cx1_cf)*(((B_cf-cy1_cf)/2)+cy1_cf+R71)*((wa_cf+wb_cf*((x1_cf+cx1_cf/2)/2)/1000)/Bm_cf)+(((B_cf-cy1_cf)/2)+cy1_cf)*R71*((wa_cf+wb_cf*((x1_cf+cx1_cf/2)+R71/2)/1000)/Bm_cf)+PI()*R71^2/4*((wa_cf+wb_cf*((x1_cf+cx1_cf/2)+4*R71/(3*PI()))/1000)/Bm_cf))/1E6)*1000/(((x1_cf-cx1_cf/2)+cx1_cf+((B_cf-cy1_cf)/2)+cy1_cf+PI()*R71/2)*dp_cf)/(vRdc_p*2*dp_cf/R71),0)</f>
        <v/>
      </c>
      <c r="V71">
        <f>IF(Z70&lt;AA70,X70,V70)</f>
        <v/>
      </c>
      <c r="W71">
        <f>IF(Z70&lt;AA70,W70,Y70)</f>
        <v/>
      </c>
      <c r="X71">
        <f>W71-((SQRT(5)-1)/2)*(W71-V71)</f>
        <v/>
      </c>
      <c r="Y71">
        <f>V71+((SQRT(5)-1)/2)*(W71-V71)</f>
        <v/>
      </c>
      <c r="Z71">
        <f>IFERROR(beta_cf*MAX(0,P2_cf-(((L_cf-x2_cf-cx2_cf/2)+cx2_cf)*(cy2_cf+2*X71)*((wa_cf+wb_cf*(((x2_cf-cx2_cf/2)+L_cf)/2)/1000)/Bm_cf)+cy2_cf*X71*((wa_cf+wb_cf*((x2_cf-cx2_cf/2)-X71/2)/1000)/Bm_cf)+PI()*X71^2/2*((wa_cf+wb_cf*((x2_cf-cx2_cf/2)-4*X71/(3*PI()))/1000)/Bm_cf))/1E6)*1000/((cy2_cf+PI()*X71+2*((L_cf-x2_cf-cx2_cf/2)+cx2_cf))*dp_cf)/(vRdc_p*2*dp_cf/X71),0)</f>
        <v/>
      </c>
      <c r="AA71">
        <f>IFERROR(beta_cf*MAX(0,P2_cf-(((L_cf-x2_cf-cx2_cf/2)+cx2_cf)*(cy2_cf+2*Y71)*((wa_cf+wb_cf*(((x2_cf-cx2_cf/2)+L_cf)/2)/1000)/Bm_cf)+cy2_cf*Y71*((wa_cf+wb_cf*((x2_cf-cx2_cf/2)-Y71/2)/1000)/Bm_cf)+PI()*Y71^2/2*((wa_cf+wb_cf*((x2_cf-cx2_cf/2)-4*Y71/(3*PI()))/1000)/Bm_cf))/1E6)*1000/((cy2_cf+PI()*Y71+2*((L_cf-x2_cf-cx2_cf/2)+cx2_cf))*dp_cf)/(vRdc_p*2*dp_cf/Y71),0)</f>
        <v/>
      </c>
      <c r="AC71">
        <f>IF(AG70&lt;AH70,AE70,AC70)</f>
        <v/>
      </c>
      <c r="AD71">
        <f>IF(AG70&lt;AH70,AD70,AF70)</f>
        <v/>
      </c>
      <c r="AE71">
        <f>AD71-((SQRT(5)-1)/2)*(AD71-AC71)</f>
        <v/>
      </c>
      <c r="AF71">
        <f>AC71+((SQRT(5)-1)/2)*(AD71-AC71)</f>
        <v/>
      </c>
      <c r="AG71">
        <f>IFERROR(beta_cf*MAX(0,P2_cf-(((cx2_cf+2*AE71)*(((B_cf-cy2_cf)/2)+cy2_cf)+cx2_cf*AE71+PI()*AE71^2/2)*((wa_cf+wb_cf*(x2_cf)/1000)/Bm_cf))/1E6)*1000/((cx2_cf+PI()*AE71+2*(((B_cf-cy2_cf)/2)+cy2_cf))*dp_cf)/(vRdc_p*2*dp_cf/AE71),0)</f>
        <v/>
      </c>
      <c r="AH71">
        <f>IFERROR(beta_cf*MAX(0,P2_cf-(((cx2_cf+2*AF71)*(((B_cf-cy2_cf)/2)+cy2_cf)+cx2_cf*AF71+PI()*AF71^2/2)*((wa_cf+wb_cf*(x2_cf)/1000)/Bm_cf))/1E6)*1000/((cx2_cf+PI()*AF71+2*(((B_cf-cy2_cf)/2)+cy2_cf))*dp_cf)/(vRdc_p*2*dp_cf/AF71),0)</f>
        <v/>
      </c>
      <c r="AJ71">
        <f>IF(AN70&lt;AO70,AL70,AJ70)</f>
        <v/>
      </c>
      <c r="AK71">
        <f>IF(AN70&lt;AO70,AK70,AM70)</f>
        <v/>
      </c>
      <c r="AL71">
        <f>AK71-((SQRT(5)-1)/2)*(AK71-AJ71)</f>
        <v/>
      </c>
      <c r="AM71">
        <f>AJ71+((SQRT(5)-1)/2)*(AK71-AJ71)</f>
        <v/>
      </c>
      <c r="AN71">
        <f>IFERROR(beta_cf*MAX(0,P2_cf-(((L_cf-x2_cf-cx2_cf/2)+cx2_cf)*(((B_cf-cy2_cf)/2)+cy2_cf+AL71)*((wa_cf+wb_cf*(((x2_cf-cx2_cf/2)+L_cf)/2)/1000)/Bm_cf)+(((B_cf-cy2_cf)/2)+cy2_cf)*AL71*((wa_cf+wb_cf*((x2_cf-cx2_cf/2)-AL71/2)/1000)/Bm_cf)+PI()*AL71^2/4*((wa_cf+wb_cf*((x2_cf-cx2_cf/2)-4*AL71/(3*PI()))/1000)/Bm_cf))/1E6)*1000/(((L_cf-x2_cf-cx2_cf/2)+cx2_cf+((B_cf-cy2_cf)/2)+cy2_cf+PI()*AL71/2)*dp_cf)/(vRdc_p*2*dp_cf/AL71),0)</f>
        <v/>
      </c>
      <c r="AO71">
        <f>IFERROR(beta_cf*MAX(0,P2_cf-(((L_cf-x2_cf-cx2_cf/2)+cx2_cf)*(((B_cf-cy2_cf)/2)+cy2_cf+AM71)*((wa_cf+wb_cf*(((x2_cf-cx2_cf/2)+L_cf)/2)/1000)/Bm_cf)+(((B_cf-cy2_cf)/2)+cy2_cf)*AM71*((wa_cf+wb_cf*((x2_cf-cx2_cf/2)-AM71/2)/1000)/Bm_cf)+PI()*AM71^2/4*((wa_cf+wb_cf*((x2_cf-cx2_cf/2)-4*AM71/(3*PI()))/1000)/Bm_cf))/1E6)*1000/(((L_cf-x2_cf-cx2_cf/2)+cx2_cf+((B_cf-cy2_cf)/2)+cy2_cf+PI()*AM71/2)*dp_cf)/(vRdc_p*2*dp_cf/AM71),0)</f>
        <v/>
      </c>
    </row>
    <row r="72">
      <c r="A72">
        <f>IF(E71&lt;F71,C71,A71)</f>
        <v/>
      </c>
      <c r="B72">
        <f>IF(E71&lt;F71,B71,D71)</f>
        <v/>
      </c>
      <c r="C72">
        <f>B72-((SQRT(5)-1)/2)*(B72-A72)</f>
        <v/>
      </c>
      <c r="D72">
        <f>A72+((SQRT(5)-1)/2)*(B72-A72)</f>
        <v/>
      </c>
      <c r="E72">
        <f>IFERROR(beta_cf*MAX(0,P1_cf-(((x1_cf-cx1_cf/2)+cx1_cf)*(cy1_cf+2*C72)*((wa_cf+wb_cf*((x1_cf+cx1_cf/2)/2)/1000)/Bm_cf)+cy1_cf*C72*((wa_cf+wb_cf*((x1_cf+cx1_cf/2)+C72/2)/1000)/Bm_cf)+PI()*C72^2/2*((wa_cf+wb_cf*((x1_cf+cx1_cf/2)+4*C72/(3*PI()))/1000)/Bm_cf))/1E6)*1000/((cy1_cf+PI()*C72+2*((x1_cf-cx1_cf/2)+cx1_cf))*dp_cf)/(vRdc_p*2*dp_cf/C72),0)</f>
        <v/>
      </c>
      <c r="F72">
        <f>IFERROR(beta_cf*MAX(0,P1_cf-(((x1_cf-cx1_cf/2)+cx1_cf)*(cy1_cf+2*D72)*((wa_cf+wb_cf*((x1_cf+cx1_cf/2)/2)/1000)/Bm_cf)+cy1_cf*D72*((wa_cf+wb_cf*((x1_cf+cx1_cf/2)+D72/2)/1000)/Bm_cf)+PI()*D72^2/2*((wa_cf+wb_cf*((x1_cf+cx1_cf/2)+4*D72/(3*PI()))/1000)/Bm_cf))/1E6)*1000/((cy1_cf+PI()*D72+2*((x1_cf-cx1_cf/2)+cx1_cf))*dp_cf)/(vRdc_p*2*dp_cf/D72),0)</f>
        <v/>
      </c>
      <c r="H72">
        <f>IF(L71&lt;M71,J71,H71)</f>
        <v/>
      </c>
      <c r="I72">
        <f>IF(L71&lt;M71,I71,K71)</f>
        <v/>
      </c>
      <c r="J72">
        <f>I72-((SQRT(5)-1)/2)*(I72-H72)</f>
        <v/>
      </c>
      <c r="K72">
        <f>H72+((SQRT(5)-1)/2)*(I72-H72)</f>
        <v/>
      </c>
      <c r="L72">
        <f>IFERROR(beta_cf*MAX(0,P1_cf-(((cx1_cf+2*J72)*(((B_cf-cy1_cf)/2)+cy1_cf)+cx1_cf*J72+PI()*J72^2/2)*((wa_cf+wb_cf*(x1_cf)/1000)/Bm_cf))/1E6)*1000/((cx1_cf+PI()*J72+2*(((B_cf-cy1_cf)/2)+cy1_cf))*dp_cf)/(vRdc_p*2*dp_cf/J72),0)</f>
        <v/>
      </c>
      <c r="M72">
        <f>IFERROR(beta_cf*MAX(0,P1_cf-(((cx1_cf+2*K72)*(((B_cf-cy1_cf)/2)+cy1_cf)+cx1_cf*K72+PI()*K72^2/2)*((wa_cf+wb_cf*(x1_cf)/1000)/Bm_cf))/1E6)*1000/((cx1_cf+PI()*K72+2*(((B_cf-cy1_cf)/2)+cy1_cf))*dp_cf)/(vRdc_p*2*dp_cf/K72),0)</f>
        <v/>
      </c>
      <c r="O72">
        <f>IF(S71&lt;T71,Q71,O71)</f>
        <v/>
      </c>
      <c r="P72">
        <f>IF(S71&lt;T71,P71,R71)</f>
        <v/>
      </c>
      <c r="Q72">
        <f>P72-((SQRT(5)-1)/2)*(P72-O72)</f>
        <v/>
      </c>
      <c r="R72">
        <f>O72+((SQRT(5)-1)/2)*(P72-O72)</f>
        <v/>
      </c>
      <c r="S72">
        <f>IFERROR(beta_cf*MAX(0,P1_cf-(((x1_cf-cx1_cf/2)+cx1_cf)*(((B_cf-cy1_cf)/2)+cy1_cf+Q72)*((wa_cf+wb_cf*((x1_cf+cx1_cf/2)/2)/1000)/Bm_cf)+(((B_cf-cy1_cf)/2)+cy1_cf)*Q72*((wa_cf+wb_cf*((x1_cf+cx1_cf/2)+Q72/2)/1000)/Bm_cf)+PI()*Q72^2/4*((wa_cf+wb_cf*((x1_cf+cx1_cf/2)+4*Q72/(3*PI()))/1000)/Bm_cf))/1E6)*1000/(((x1_cf-cx1_cf/2)+cx1_cf+((B_cf-cy1_cf)/2)+cy1_cf+PI()*Q72/2)*dp_cf)/(vRdc_p*2*dp_cf/Q72),0)</f>
        <v/>
      </c>
      <c r="T72">
        <f>IFERROR(beta_cf*MAX(0,P1_cf-(((x1_cf-cx1_cf/2)+cx1_cf)*(((B_cf-cy1_cf)/2)+cy1_cf+R72)*((wa_cf+wb_cf*((x1_cf+cx1_cf/2)/2)/1000)/Bm_cf)+(((B_cf-cy1_cf)/2)+cy1_cf)*R72*((wa_cf+wb_cf*((x1_cf+cx1_cf/2)+R72/2)/1000)/Bm_cf)+PI()*R72^2/4*((wa_cf+wb_cf*((x1_cf+cx1_cf/2)+4*R72/(3*PI()))/1000)/Bm_cf))/1E6)*1000/(((x1_cf-cx1_cf/2)+cx1_cf+((B_cf-cy1_cf)/2)+cy1_cf+PI()*R72/2)*dp_cf)/(vRdc_p*2*dp_cf/R72),0)</f>
        <v/>
      </c>
      <c r="V72">
        <f>IF(Z71&lt;AA71,X71,V71)</f>
        <v/>
      </c>
      <c r="W72">
        <f>IF(Z71&lt;AA71,W71,Y71)</f>
        <v/>
      </c>
      <c r="X72">
        <f>W72-((SQRT(5)-1)/2)*(W72-V72)</f>
        <v/>
      </c>
      <c r="Y72">
        <f>V72+((SQRT(5)-1)/2)*(W72-V72)</f>
        <v/>
      </c>
      <c r="Z72">
        <f>IFERROR(beta_cf*MAX(0,P2_cf-(((L_cf-x2_cf-cx2_cf/2)+cx2_cf)*(cy2_cf+2*X72)*((wa_cf+wb_cf*(((x2_cf-cx2_cf/2)+L_cf)/2)/1000)/Bm_cf)+cy2_cf*X72*((wa_cf+wb_cf*((x2_cf-cx2_cf/2)-X72/2)/1000)/Bm_cf)+PI()*X72^2/2*((wa_cf+wb_cf*((x2_cf-cx2_cf/2)-4*X72/(3*PI()))/1000)/Bm_cf))/1E6)*1000/((cy2_cf+PI()*X72+2*((L_cf-x2_cf-cx2_cf/2)+cx2_cf))*dp_cf)/(vRdc_p*2*dp_cf/X72),0)</f>
        <v/>
      </c>
      <c r="AA72">
        <f>IFERROR(beta_cf*MAX(0,P2_cf-(((L_cf-x2_cf-cx2_cf/2)+cx2_cf)*(cy2_cf+2*Y72)*((wa_cf+wb_cf*(((x2_cf-cx2_cf/2)+L_cf)/2)/1000)/Bm_cf)+cy2_cf*Y72*((wa_cf+wb_cf*((x2_cf-cx2_cf/2)-Y72/2)/1000)/Bm_cf)+PI()*Y72^2/2*((wa_cf+wb_cf*((x2_cf-cx2_cf/2)-4*Y72/(3*PI()))/1000)/Bm_cf))/1E6)*1000/((cy2_cf+PI()*Y72+2*((L_cf-x2_cf-cx2_cf/2)+cx2_cf))*dp_cf)/(vRdc_p*2*dp_cf/Y72),0)</f>
        <v/>
      </c>
      <c r="AC72">
        <f>IF(AG71&lt;AH71,AE71,AC71)</f>
        <v/>
      </c>
      <c r="AD72">
        <f>IF(AG71&lt;AH71,AD71,AF71)</f>
        <v/>
      </c>
      <c r="AE72">
        <f>AD72-((SQRT(5)-1)/2)*(AD72-AC72)</f>
        <v/>
      </c>
      <c r="AF72">
        <f>AC72+((SQRT(5)-1)/2)*(AD72-AC72)</f>
        <v/>
      </c>
      <c r="AG72">
        <f>IFERROR(beta_cf*MAX(0,P2_cf-(((cx2_cf+2*AE72)*(((B_cf-cy2_cf)/2)+cy2_cf)+cx2_cf*AE72+PI()*AE72^2/2)*((wa_cf+wb_cf*(x2_cf)/1000)/Bm_cf))/1E6)*1000/((cx2_cf+PI()*AE72+2*(((B_cf-cy2_cf)/2)+cy2_cf))*dp_cf)/(vRdc_p*2*dp_cf/AE72),0)</f>
        <v/>
      </c>
      <c r="AH72">
        <f>IFERROR(beta_cf*MAX(0,P2_cf-(((cx2_cf+2*AF72)*(((B_cf-cy2_cf)/2)+cy2_cf)+cx2_cf*AF72+PI()*AF72^2/2)*((wa_cf+wb_cf*(x2_cf)/1000)/Bm_cf))/1E6)*1000/((cx2_cf+PI()*AF72+2*(((B_cf-cy2_cf)/2)+cy2_cf))*dp_cf)/(vRdc_p*2*dp_cf/AF72),0)</f>
        <v/>
      </c>
      <c r="AJ72">
        <f>IF(AN71&lt;AO71,AL71,AJ71)</f>
        <v/>
      </c>
      <c r="AK72">
        <f>IF(AN71&lt;AO71,AK71,AM71)</f>
        <v/>
      </c>
      <c r="AL72">
        <f>AK72-((SQRT(5)-1)/2)*(AK72-AJ72)</f>
        <v/>
      </c>
      <c r="AM72">
        <f>AJ72+((SQRT(5)-1)/2)*(AK72-AJ72)</f>
        <v/>
      </c>
      <c r="AN72">
        <f>IFERROR(beta_cf*MAX(0,P2_cf-(((L_cf-x2_cf-cx2_cf/2)+cx2_cf)*(((B_cf-cy2_cf)/2)+cy2_cf+AL72)*((wa_cf+wb_cf*(((x2_cf-cx2_cf/2)+L_cf)/2)/1000)/Bm_cf)+(((B_cf-cy2_cf)/2)+cy2_cf)*AL72*((wa_cf+wb_cf*((x2_cf-cx2_cf/2)-AL72/2)/1000)/Bm_cf)+PI()*AL72^2/4*((wa_cf+wb_cf*((x2_cf-cx2_cf/2)-4*AL72/(3*PI()))/1000)/Bm_cf))/1E6)*1000/(((L_cf-x2_cf-cx2_cf/2)+cx2_cf+((B_cf-cy2_cf)/2)+cy2_cf+PI()*AL72/2)*dp_cf)/(vRdc_p*2*dp_cf/AL72),0)</f>
        <v/>
      </c>
      <c r="AO72">
        <f>IFERROR(beta_cf*MAX(0,P2_cf-(((L_cf-x2_cf-cx2_cf/2)+cx2_cf)*(((B_cf-cy2_cf)/2)+cy2_cf+AM72)*((wa_cf+wb_cf*(((x2_cf-cx2_cf/2)+L_cf)/2)/1000)/Bm_cf)+(((B_cf-cy2_cf)/2)+cy2_cf)*AM72*((wa_cf+wb_cf*((x2_cf-cx2_cf/2)-AM72/2)/1000)/Bm_cf)+PI()*AM72^2/4*((wa_cf+wb_cf*((x2_cf-cx2_cf/2)-4*AM72/(3*PI()))/1000)/Bm_cf))/1E6)*1000/(((L_cf-x2_cf-cx2_cf/2)+cx2_cf+((B_cf-cy2_cf)/2)+cy2_cf+PI()*AM72/2)*dp_cf)/(vRdc_p*2*dp_cf/AM72),0)</f>
        <v/>
      </c>
    </row>
    <row r="73">
      <c r="A73">
        <f>IF(E72&lt;F72,C72,A72)</f>
        <v/>
      </c>
      <c r="B73">
        <f>IF(E72&lt;F72,B72,D72)</f>
        <v/>
      </c>
      <c r="C73">
        <f>B73-((SQRT(5)-1)/2)*(B73-A73)</f>
        <v/>
      </c>
      <c r="D73">
        <f>A73+((SQRT(5)-1)/2)*(B73-A73)</f>
        <v/>
      </c>
      <c r="E73">
        <f>IFERROR(beta_cf*MAX(0,P1_cf-(((x1_cf-cx1_cf/2)+cx1_cf)*(cy1_cf+2*C73)*((wa_cf+wb_cf*((x1_cf+cx1_cf/2)/2)/1000)/Bm_cf)+cy1_cf*C73*((wa_cf+wb_cf*((x1_cf+cx1_cf/2)+C73/2)/1000)/Bm_cf)+PI()*C73^2/2*((wa_cf+wb_cf*((x1_cf+cx1_cf/2)+4*C73/(3*PI()))/1000)/Bm_cf))/1E6)*1000/((cy1_cf+PI()*C73+2*((x1_cf-cx1_cf/2)+cx1_cf))*dp_cf)/(vRdc_p*2*dp_cf/C73),0)</f>
        <v/>
      </c>
      <c r="F73">
        <f>IFERROR(beta_cf*MAX(0,P1_cf-(((x1_cf-cx1_cf/2)+cx1_cf)*(cy1_cf+2*D73)*((wa_cf+wb_cf*((x1_cf+cx1_cf/2)/2)/1000)/Bm_cf)+cy1_cf*D73*((wa_cf+wb_cf*((x1_cf+cx1_cf/2)+D73/2)/1000)/Bm_cf)+PI()*D73^2/2*((wa_cf+wb_cf*((x1_cf+cx1_cf/2)+4*D73/(3*PI()))/1000)/Bm_cf))/1E6)*1000/((cy1_cf+PI()*D73+2*((x1_cf-cx1_cf/2)+cx1_cf))*dp_cf)/(vRdc_p*2*dp_cf/D73),0)</f>
        <v/>
      </c>
      <c r="H73">
        <f>IF(L72&lt;M72,J72,H72)</f>
        <v/>
      </c>
      <c r="I73">
        <f>IF(L72&lt;M72,I72,K72)</f>
        <v/>
      </c>
      <c r="J73">
        <f>I73-((SQRT(5)-1)/2)*(I73-H73)</f>
        <v/>
      </c>
      <c r="K73">
        <f>H73+((SQRT(5)-1)/2)*(I73-H73)</f>
        <v/>
      </c>
      <c r="L73">
        <f>IFERROR(beta_cf*MAX(0,P1_cf-(((cx1_cf+2*J73)*(((B_cf-cy1_cf)/2)+cy1_cf)+cx1_cf*J73+PI()*J73^2/2)*((wa_cf+wb_cf*(x1_cf)/1000)/Bm_cf))/1E6)*1000/((cx1_cf+PI()*J73+2*(((B_cf-cy1_cf)/2)+cy1_cf))*dp_cf)/(vRdc_p*2*dp_cf/J73),0)</f>
        <v/>
      </c>
      <c r="M73">
        <f>IFERROR(beta_cf*MAX(0,P1_cf-(((cx1_cf+2*K73)*(((B_cf-cy1_cf)/2)+cy1_cf)+cx1_cf*K73+PI()*K73^2/2)*((wa_cf+wb_cf*(x1_cf)/1000)/Bm_cf))/1E6)*1000/((cx1_cf+PI()*K73+2*(((B_cf-cy1_cf)/2)+cy1_cf))*dp_cf)/(vRdc_p*2*dp_cf/K73),0)</f>
        <v/>
      </c>
      <c r="O73">
        <f>IF(S72&lt;T72,Q72,O72)</f>
        <v/>
      </c>
      <c r="P73">
        <f>IF(S72&lt;T72,P72,R72)</f>
        <v/>
      </c>
      <c r="Q73">
        <f>P73-((SQRT(5)-1)/2)*(P73-O73)</f>
        <v/>
      </c>
      <c r="R73">
        <f>O73+((SQRT(5)-1)/2)*(P73-O73)</f>
        <v/>
      </c>
      <c r="S73">
        <f>IFERROR(beta_cf*MAX(0,P1_cf-(((x1_cf-cx1_cf/2)+cx1_cf)*(((B_cf-cy1_cf)/2)+cy1_cf+Q73)*((wa_cf+wb_cf*((x1_cf+cx1_cf/2)/2)/1000)/Bm_cf)+(((B_cf-cy1_cf)/2)+cy1_cf)*Q73*((wa_cf+wb_cf*((x1_cf+cx1_cf/2)+Q73/2)/1000)/Bm_cf)+PI()*Q73^2/4*((wa_cf+wb_cf*((x1_cf+cx1_cf/2)+4*Q73/(3*PI()))/1000)/Bm_cf))/1E6)*1000/(((x1_cf-cx1_cf/2)+cx1_cf+((B_cf-cy1_cf)/2)+cy1_cf+PI()*Q73/2)*dp_cf)/(vRdc_p*2*dp_cf/Q73),0)</f>
        <v/>
      </c>
      <c r="T73">
        <f>IFERROR(beta_cf*MAX(0,P1_cf-(((x1_cf-cx1_cf/2)+cx1_cf)*(((B_cf-cy1_cf)/2)+cy1_cf+R73)*((wa_cf+wb_cf*((x1_cf+cx1_cf/2)/2)/1000)/Bm_cf)+(((B_cf-cy1_cf)/2)+cy1_cf)*R73*((wa_cf+wb_cf*((x1_cf+cx1_cf/2)+R73/2)/1000)/Bm_cf)+PI()*R73^2/4*((wa_cf+wb_cf*((x1_cf+cx1_cf/2)+4*R73/(3*PI()))/1000)/Bm_cf))/1E6)*1000/(((x1_cf-cx1_cf/2)+cx1_cf+((B_cf-cy1_cf)/2)+cy1_cf+PI()*R73/2)*dp_cf)/(vRdc_p*2*dp_cf/R73),0)</f>
        <v/>
      </c>
      <c r="V73">
        <f>IF(Z72&lt;AA72,X72,V72)</f>
        <v/>
      </c>
      <c r="W73">
        <f>IF(Z72&lt;AA72,W72,Y72)</f>
        <v/>
      </c>
      <c r="X73">
        <f>W73-((SQRT(5)-1)/2)*(W73-V73)</f>
        <v/>
      </c>
      <c r="Y73">
        <f>V73+((SQRT(5)-1)/2)*(W73-V73)</f>
        <v/>
      </c>
      <c r="Z73">
        <f>IFERROR(beta_cf*MAX(0,P2_cf-(((L_cf-x2_cf-cx2_cf/2)+cx2_cf)*(cy2_cf+2*X73)*((wa_cf+wb_cf*(((x2_cf-cx2_cf/2)+L_cf)/2)/1000)/Bm_cf)+cy2_cf*X73*((wa_cf+wb_cf*((x2_cf-cx2_cf/2)-X73/2)/1000)/Bm_cf)+PI()*X73^2/2*((wa_cf+wb_cf*((x2_cf-cx2_cf/2)-4*X73/(3*PI()))/1000)/Bm_cf))/1E6)*1000/((cy2_cf+PI()*X73+2*((L_cf-x2_cf-cx2_cf/2)+cx2_cf))*dp_cf)/(vRdc_p*2*dp_cf/X73),0)</f>
        <v/>
      </c>
      <c r="AA73">
        <f>IFERROR(beta_cf*MAX(0,P2_cf-(((L_cf-x2_cf-cx2_cf/2)+cx2_cf)*(cy2_cf+2*Y73)*((wa_cf+wb_cf*(((x2_cf-cx2_cf/2)+L_cf)/2)/1000)/Bm_cf)+cy2_cf*Y73*((wa_cf+wb_cf*((x2_cf-cx2_cf/2)-Y73/2)/1000)/Bm_cf)+PI()*Y73^2/2*((wa_cf+wb_cf*((x2_cf-cx2_cf/2)-4*Y73/(3*PI()))/1000)/Bm_cf))/1E6)*1000/((cy2_cf+PI()*Y73+2*((L_cf-x2_cf-cx2_cf/2)+cx2_cf))*dp_cf)/(vRdc_p*2*dp_cf/Y73),0)</f>
        <v/>
      </c>
      <c r="AC73">
        <f>IF(AG72&lt;AH72,AE72,AC72)</f>
        <v/>
      </c>
      <c r="AD73">
        <f>IF(AG72&lt;AH72,AD72,AF72)</f>
        <v/>
      </c>
      <c r="AE73">
        <f>AD73-((SQRT(5)-1)/2)*(AD73-AC73)</f>
        <v/>
      </c>
      <c r="AF73">
        <f>AC73+((SQRT(5)-1)/2)*(AD73-AC73)</f>
        <v/>
      </c>
      <c r="AG73">
        <f>IFERROR(beta_cf*MAX(0,P2_cf-(((cx2_cf+2*AE73)*(((B_cf-cy2_cf)/2)+cy2_cf)+cx2_cf*AE73+PI()*AE73^2/2)*((wa_cf+wb_cf*(x2_cf)/1000)/Bm_cf))/1E6)*1000/((cx2_cf+PI()*AE73+2*(((B_cf-cy2_cf)/2)+cy2_cf))*dp_cf)/(vRdc_p*2*dp_cf/AE73),0)</f>
        <v/>
      </c>
      <c r="AH73">
        <f>IFERROR(beta_cf*MAX(0,P2_cf-(((cx2_cf+2*AF73)*(((B_cf-cy2_cf)/2)+cy2_cf)+cx2_cf*AF73+PI()*AF73^2/2)*((wa_cf+wb_cf*(x2_cf)/1000)/Bm_cf))/1E6)*1000/((cx2_cf+PI()*AF73+2*(((B_cf-cy2_cf)/2)+cy2_cf))*dp_cf)/(vRdc_p*2*dp_cf/AF73),0)</f>
        <v/>
      </c>
      <c r="AJ73">
        <f>IF(AN72&lt;AO72,AL72,AJ72)</f>
        <v/>
      </c>
      <c r="AK73">
        <f>IF(AN72&lt;AO72,AK72,AM72)</f>
        <v/>
      </c>
      <c r="AL73">
        <f>AK73-((SQRT(5)-1)/2)*(AK73-AJ73)</f>
        <v/>
      </c>
      <c r="AM73">
        <f>AJ73+((SQRT(5)-1)/2)*(AK73-AJ73)</f>
        <v/>
      </c>
      <c r="AN73">
        <f>IFERROR(beta_cf*MAX(0,P2_cf-(((L_cf-x2_cf-cx2_cf/2)+cx2_cf)*(((B_cf-cy2_cf)/2)+cy2_cf+AL73)*((wa_cf+wb_cf*(((x2_cf-cx2_cf/2)+L_cf)/2)/1000)/Bm_cf)+(((B_cf-cy2_cf)/2)+cy2_cf)*AL73*((wa_cf+wb_cf*((x2_cf-cx2_cf/2)-AL73/2)/1000)/Bm_cf)+PI()*AL73^2/4*((wa_cf+wb_cf*((x2_cf-cx2_cf/2)-4*AL73/(3*PI()))/1000)/Bm_cf))/1E6)*1000/(((L_cf-x2_cf-cx2_cf/2)+cx2_cf+((B_cf-cy2_cf)/2)+cy2_cf+PI()*AL73/2)*dp_cf)/(vRdc_p*2*dp_cf/AL73),0)</f>
        <v/>
      </c>
      <c r="AO73">
        <f>IFERROR(beta_cf*MAX(0,P2_cf-(((L_cf-x2_cf-cx2_cf/2)+cx2_cf)*(((B_cf-cy2_cf)/2)+cy2_cf+AM73)*((wa_cf+wb_cf*(((x2_cf-cx2_cf/2)+L_cf)/2)/1000)/Bm_cf)+(((B_cf-cy2_cf)/2)+cy2_cf)*AM73*((wa_cf+wb_cf*((x2_cf-cx2_cf/2)-AM73/2)/1000)/Bm_cf)+PI()*AM73^2/4*((wa_cf+wb_cf*((x2_cf-cx2_cf/2)-4*AM73/(3*PI()))/1000)/Bm_cf))/1E6)*1000/(((L_cf-x2_cf-cx2_cf/2)+cx2_cf+((B_cf-cy2_cf)/2)+cy2_cf+PI()*AM73/2)*dp_cf)/(vRdc_p*2*dp_cf/AM73),0)</f>
        <v/>
      </c>
    </row>
    <row r="74">
      <c r="A74">
        <f>IF(E73&lt;F73,C73,A73)</f>
        <v/>
      </c>
      <c r="B74">
        <f>IF(E73&lt;F73,B73,D73)</f>
        <v/>
      </c>
      <c r="C74">
        <f>B74-((SQRT(5)-1)/2)*(B74-A74)</f>
        <v/>
      </c>
      <c r="D74">
        <f>A74+((SQRT(5)-1)/2)*(B74-A74)</f>
        <v/>
      </c>
      <c r="E74">
        <f>IFERROR(beta_cf*MAX(0,P1_cf-(((x1_cf-cx1_cf/2)+cx1_cf)*(cy1_cf+2*C74)*((wa_cf+wb_cf*((x1_cf+cx1_cf/2)/2)/1000)/Bm_cf)+cy1_cf*C74*((wa_cf+wb_cf*((x1_cf+cx1_cf/2)+C74/2)/1000)/Bm_cf)+PI()*C74^2/2*((wa_cf+wb_cf*((x1_cf+cx1_cf/2)+4*C74/(3*PI()))/1000)/Bm_cf))/1E6)*1000/((cy1_cf+PI()*C74+2*((x1_cf-cx1_cf/2)+cx1_cf))*dp_cf)/(vRdc_p*2*dp_cf/C74),0)</f>
        <v/>
      </c>
      <c r="F74">
        <f>IFERROR(beta_cf*MAX(0,P1_cf-(((x1_cf-cx1_cf/2)+cx1_cf)*(cy1_cf+2*D74)*((wa_cf+wb_cf*((x1_cf+cx1_cf/2)/2)/1000)/Bm_cf)+cy1_cf*D74*((wa_cf+wb_cf*((x1_cf+cx1_cf/2)+D74/2)/1000)/Bm_cf)+PI()*D74^2/2*((wa_cf+wb_cf*((x1_cf+cx1_cf/2)+4*D74/(3*PI()))/1000)/Bm_cf))/1E6)*1000/((cy1_cf+PI()*D74+2*((x1_cf-cx1_cf/2)+cx1_cf))*dp_cf)/(vRdc_p*2*dp_cf/D74),0)</f>
        <v/>
      </c>
      <c r="H74">
        <f>IF(L73&lt;M73,J73,H73)</f>
        <v/>
      </c>
      <c r="I74">
        <f>IF(L73&lt;M73,I73,K73)</f>
        <v/>
      </c>
      <c r="J74">
        <f>I74-((SQRT(5)-1)/2)*(I74-H74)</f>
        <v/>
      </c>
      <c r="K74">
        <f>H74+((SQRT(5)-1)/2)*(I74-H74)</f>
        <v/>
      </c>
      <c r="L74">
        <f>IFERROR(beta_cf*MAX(0,P1_cf-(((cx1_cf+2*J74)*(((B_cf-cy1_cf)/2)+cy1_cf)+cx1_cf*J74+PI()*J74^2/2)*((wa_cf+wb_cf*(x1_cf)/1000)/Bm_cf))/1E6)*1000/((cx1_cf+PI()*J74+2*(((B_cf-cy1_cf)/2)+cy1_cf))*dp_cf)/(vRdc_p*2*dp_cf/J74),0)</f>
        <v/>
      </c>
      <c r="M74">
        <f>IFERROR(beta_cf*MAX(0,P1_cf-(((cx1_cf+2*K74)*(((B_cf-cy1_cf)/2)+cy1_cf)+cx1_cf*K74+PI()*K74^2/2)*((wa_cf+wb_cf*(x1_cf)/1000)/Bm_cf))/1E6)*1000/((cx1_cf+PI()*K74+2*(((B_cf-cy1_cf)/2)+cy1_cf))*dp_cf)/(vRdc_p*2*dp_cf/K74),0)</f>
        <v/>
      </c>
      <c r="O74">
        <f>IF(S73&lt;T73,Q73,O73)</f>
        <v/>
      </c>
      <c r="P74">
        <f>IF(S73&lt;T73,P73,R73)</f>
        <v/>
      </c>
      <c r="Q74">
        <f>P74-((SQRT(5)-1)/2)*(P74-O74)</f>
        <v/>
      </c>
      <c r="R74">
        <f>O74+((SQRT(5)-1)/2)*(P74-O74)</f>
        <v/>
      </c>
      <c r="S74">
        <f>IFERROR(beta_cf*MAX(0,P1_cf-(((x1_cf-cx1_cf/2)+cx1_cf)*(((B_cf-cy1_cf)/2)+cy1_cf+Q74)*((wa_cf+wb_cf*((x1_cf+cx1_cf/2)/2)/1000)/Bm_cf)+(((B_cf-cy1_cf)/2)+cy1_cf)*Q74*((wa_cf+wb_cf*((x1_cf+cx1_cf/2)+Q74/2)/1000)/Bm_cf)+PI()*Q74^2/4*((wa_cf+wb_cf*((x1_cf+cx1_cf/2)+4*Q74/(3*PI()))/1000)/Bm_cf))/1E6)*1000/(((x1_cf-cx1_cf/2)+cx1_cf+((B_cf-cy1_cf)/2)+cy1_cf+PI()*Q74/2)*dp_cf)/(vRdc_p*2*dp_cf/Q74),0)</f>
        <v/>
      </c>
      <c r="T74">
        <f>IFERROR(beta_cf*MAX(0,P1_cf-(((x1_cf-cx1_cf/2)+cx1_cf)*(((B_cf-cy1_cf)/2)+cy1_cf+R74)*((wa_cf+wb_cf*((x1_cf+cx1_cf/2)/2)/1000)/Bm_cf)+(((B_cf-cy1_cf)/2)+cy1_cf)*R74*((wa_cf+wb_cf*((x1_cf+cx1_cf/2)+R74/2)/1000)/Bm_cf)+PI()*R74^2/4*((wa_cf+wb_cf*((x1_cf+cx1_cf/2)+4*R74/(3*PI()))/1000)/Bm_cf))/1E6)*1000/(((x1_cf-cx1_cf/2)+cx1_cf+((B_cf-cy1_cf)/2)+cy1_cf+PI()*R74/2)*dp_cf)/(vRdc_p*2*dp_cf/R74),0)</f>
        <v/>
      </c>
      <c r="V74">
        <f>IF(Z73&lt;AA73,X73,V73)</f>
        <v/>
      </c>
      <c r="W74">
        <f>IF(Z73&lt;AA73,W73,Y73)</f>
        <v/>
      </c>
      <c r="X74">
        <f>W74-((SQRT(5)-1)/2)*(W74-V74)</f>
        <v/>
      </c>
      <c r="Y74">
        <f>V74+((SQRT(5)-1)/2)*(W74-V74)</f>
        <v/>
      </c>
      <c r="Z74">
        <f>IFERROR(beta_cf*MAX(0,P2_cf-(((L_cf-x2_cf-cx2_cf/2)+cx2_cf)*(cy2_cf+2*X74)*((wa_cf+wb_cf*(((x2_cf-cx2_cf/2)+L_cf)/2)/1000)/Bm_cf)+cy2_cf*X74*((wa_cf+wb_cf*((x2_cf-cx2_cf/2)-X74/2)/1000)/Bm_cf)+PI()*X74^2/2*((wa_cf+wb_cf*((x2_cf-cx2_cf/2)-4*X74/(3*PI()))/1000)/Bm_cf))/1E6)*1000/((cy2_cf+PI()*X74+2*((L_cf-x2_cf-cx2_cf/2)+cx2_cf))*dp_cf)/(vRdc_p*2*dp_cf/X74),0)</f>
        <v/>
      </c>
      <c r="AA74">
        <f>IFERROR(beta_cf*MAX(0,P2_cf-(((L_cf-x2_cf-cx2_cf/2)+cx2_cf)*(cy2_cf+2*Y74)*((wa_cf+wb_cf*(((x2_cf-cx2_cf/2)+L_cf)/2)/1000)/Bm_cf)+cy2_cf*Y74*((wa_cf+wb_cf*((x2_cf-cx2_cf/2)-Y74/2)/1000)/Bm_cf)+PI()*Y74^2/2*((wa_cf+wb_cf*((x2_cf-cx2_cf/2)-4*Y74/(3*PI()))/1000)/Bm_cf))/1E6)*1000/((cy2_cf+PI()*Y74+2*((L_cf-x2_cf-cx2_cf/2)+cx2_cf))*dp_cf)/(vRdc_p*2*dp_cf/Y74),0)</f>
        <v/>
      </c>
      <c r="AC74">
        <f>IF(AG73&lt;AH73,AE73,AC73)</f>
        <v/>
      </c>
      <c r="AD74">
        <f>IF(AG73&lt;AH73,AD73,AF73)</f>
        <v/>
      </c>
      <c r="AE74">
        <f>AD74-((SQRT(5)-1)/2)*(AD74-AC74)</f>
        <v/>
      </c>
      <c r="AF74">
        <f>AC74+((SQRT(5)-1)/2)*(AD74-AC74)</f>
        <v/>
      </c>
      <c r="AG74">
        <f>IFERROR(beta_cf*MAX(0,P2_cf-(((cx2_cf+2*AE74)*(((B_cf-cy2_cf)/2)+cy2_cf)+cx2_cf*AE74+PI()*AE74^2/2)*((wa_cf+wb_cf*(x2_cf)/1000)/Bm_cf))/1E6)*1000/((cx2_cf+PI()*AE74+2*(((B_cf-cy2_cf)/2)+cy2_cf))*dp_cf)/(vRdc_p*2*dp_cf/AE74),0)</f>
        <v/>
      </c>
      <c r="AH74">
        <f>IFERROR(beta_cf*MAX(0,P2_cf-(((cx2_cf+2*AF74)*(((B_cf-cy2_cf)/2)+cy2_cf)+cx2_cf*AF74+PI()*AF74^2/2)*((wa_cf+wb_cf*(x2_cf)/1000)/Bm_cf))/1E6)*1000/((cx2_cf+PI()*AF74+2*(((B_cf-cy2_cf)/2)+cy2_cf))*dp_cf)/(vRdc_p*2*dp_cf/AF74),0)</f>
        <v/>
      </c>
      <c r="AJ74">
        <f>IF(AN73&lt;AO73,AL73,AJ73)</f>
        <v/>
      </c>
      <c r="AK74">
        <f>IF(AN73&lt;AO73,AK73,AM73)</f>
        <v/>
      </c>
      <c r="AL74">
        <f>AK74-((SQRT(5)-1)/2)*(AK74-AJ74)</f>
        <v/>
      </c>
      <c r="AM74">
        <f>AJ74+((SQRT(5)-1)/2)*(AK74-AJ74)</f>
        <v/>
      </c>
      <c r="AN74">
        <f>IFERROR(beta_cf*MAX(0,P2_cf-(((L_cf-x2_cf-cx2_cf/2)+cx2_cf)*(((B_cf-cy2_cf)/2)+cy2_cf+AL74)*((wa_cf+wb_cf*(((x2_cf-cx2_cf/2)+L_cf)/2)/1000)/Bm_cf)+(((B_cf-cy2_cf)/2)+cy2_cf)*AL74*((wa_cf+wb_cf*((x2_cf-cx2_cf/2)-AL74/2)/1000)/Bm_cf)+PI()*AL74^2/4*((wa_cf+wb_cf*((x2_cf-cx2_cf/2)-4*AL74/(3*PI()))/1000)/Bm_cf))/1E6)*1000/(((L_cf-x2_cf-cx2_cf/2)+cx2_cf+((B_cf-cy2_cf)/2)+cy2_cf+PI()*AL74/2)*dp_cf)/(vRdc_p*2*dp_cf/AL74),0)</f>
        <v/>
      </c>
      <c r="AO74">
        <f>IFERROR(beta_cf*MAX(0,P2_cf-(((L_cf-x2_cf-cx2_cf/2)+cx2_cf)*(((B_cf-cy2_cf)/2)+cy2_cf+AM74)*((wa_cf+wb_cf*(((x2_cf-cx2_cf/2)+L_cf)/2)/1000)/Bm_cf)+(((B_cf-cy2_cf)/2)+cy2_cf)*AM74*((wa_cf+wb_cf*((x2_cf-cx2_cf/2)-AM74/2)/1000)/Bm_cf)+PI()*AM74^2/4*((wa_cf+wb_cf*((x2_cf-cx2_cf/2)-4*AM74/(3*PI()))/1000)/Bm_cf))/1E6)*1000/(((L_cf-x2_cf-cx2_cf/2)+cx2_cf+((B_cf-cy2_cf)/2)+cy2_cf+PI()*AM74/2)*dp_cf)/(vRdc_p*2*dp_cf/AM74),0)</f>
        <v/>
      </c>
    </row>
    <row r="75">
      <c r="A75">
        <f>IF(E74&lt;F74,C74,A74)</f>
        <v/>
      </c>
      <c r="B75">
        <f>IF(E74&lt;F74,B74,D74)</f>
        <v/>
      </c>
      <c r="C75">
        <f>B75-((SQRT(5)-1)/2)*(B75-A75)</f>
        <v/>
      </c>
      <c r="D75">
        <f>A75+((SQRT(5)-1)/2)*(B75-A75)</f>
        <v/>
      </c>
      <c r="E75">
        <f>IFERROR(beta_cf*MAX(0,P1_cf-(((x1_cf-cx1_cf/2)+cx1_cf)*(cy1_cf+2*C75)*((wa_cf+wb_cf*((x1_cf+cx1_cf/2)/2)/1000)/Bm_cf)+cy1_cf*C75*((wa_cf+wb_cf*((x1_cf+cx1_cf/2)+C75/2)/1000)/Bm_cf)+PI()*C75^2/2*((wa_cf+wb_cf*((x1_cf+cx1_cf/2)+4*C75/(3*PI()))/1000)/Bm_cf))/1E6)*1000/((cy1_cf+PI()*C75+2*((x1_cf-cx1_cf/2)+cx1_cf))*dp_cf)/(vRdc_p*2*dp_cf/C75),0)</f>
        <v/>
      </c>
      <c r="F75">
        <f>IFERROR(beta_cf*MAX(0,P1_cf-(((x1_cf-cx1_cf/2)+cx1_cf)*(cy1_cf+2*D75)*((wa_cf+wb_cf*((x1_cf+cx1_cf/2)/2)/1000)/Bm_cf)+cy1_cf*D75*((wa_cf+wb_cf*((x1_cf+cx1_cf/2)+D75/2)/1000)/Bm_cf)+PI()*D75^2/2*((wa_cf+wb_cf*((x1_cf+cx1_cf/2)+4*D75/(3*PI()))/1000)/Bm_cf))/1E6)*1000/((cy1_cf+PI()*D75+2*((x1_cf-cx1_cf/2)+cx1_cf))*dp_cf)/(vRdc_p*2*dp_cf/D75),0)</f>
        <v/>
      </c>
      <c r="H75">
        <f>IF(L74&lt;M74,J74,H74)</f>
        <v/>
      </c>
      <c r="I75">
        <f>IF(L74&lt;M74,I74,K74)</f>
        <v/>
      </c>
      <c r="J75">
        <f>I75-((SQRT(5)-1)/2)*(I75-H75)</f>
        <v/>
      </c>
      <c r="K75">
        <f>H75+((SQRT(5)-1)/2)*(I75-H75)</f>
        <v/>
      </c>
      <c r="L75">
        <f>IFERROR(beta_cf*MAX(0,P1_cf-(((cx1_cf+2*J75)*(((B_cf-cy1_cf)/2)+cy1_cf)+cx1_cf*J75+PI()*J75^2/2)*((wa_cf+wb_cf*(x1_cf)/1000)/Bm_cf))/1E6)*1000/((cx1_cf+PI()*J75+2*(((B_cf-cy1_cf)/2)+cy1_cf))*dp_cf)/(vRdc_p*2*dp_cf/J75),0)</f>
        <v/>
      </c>
      <c r="M75">
        <f>IFERROR(beta_cf*MAX(0,P1_cf-(((cx1_cf+2*K75)*(((B_cf-cy1_cf)/2)+cy1_cf)+cx1_cf*K75+PI()*K75^2/2)*((wa_cf+wb_cf*(x1_cf)/1000)/Bm_cf))/1E6)*1000/((cx1_cf+PI()*K75+2*(((B_cf-cy1_cf)/2)+cy1_cf))*dp_cf)/(vRdc_p*2*dp_cf/K75),0)</f>
        <v/>
      </c>
      <c r="O75">
        <f>IF(S74&lt;T74,Q74,O74)</f>
        <v/>
      </c>
      <c r="P75">
        <f>IF(S74&lt;T74,P74,R74)</f>
        <v/>
      </c>
      <c r="Q75">
        <f>P75-((SQRT(5)-1)/2)*(P75-O75)</f>
        <v/>
      </c>
      <c r="R75">
        <f>O75+((SQRT(5)-1)/2)*(P75-O75)</f>
        <v/>
      </c>
      <c r="S75">
        <f>IFERROR(beta_cf*MAX(0,P1_cf-(((x1_cf-cx1_cf/2)+cx1_cf)*(((B_cf-cy1_cf)/2)+cy1_cf+Q75)*((wa_cf+wb_cf*((x1_cf+cx1_cf/2)/2)/1000)/Bm_cf)+(((B_cf-cy1_cf)/2)+cy1_cf)*Q75*((wa_cf+wb_cf*((x1_cf+cx1_cf/2)+Q75/2)/1000)/Bm_cf)+PI()*Q75^2/4*((wa_cf+wb_cf*((x1_cf+cx1_cf/2)+4*Q75/(3*PI()))/1000)/Bm_cf))/1E6)*1000/(((x1_cf-cx1_cf/2)+cx1_cf+((B_cf-cy1_cf)/2)+cy1_cf+PI()*Q75/2)*dp_cf)/(vRdc_p*2*dp_cf/Q75),0)</f>
        <v/>
      </c>
      <c r="T75">
        <f>IFERROR(beta_cf*MAX(0,P1_cf-(((x1_cf-cx1_cf/2)+cx1_cf)*(((B_cf-cy1_cf)/2)+cy1_cf+R75)*((wa_cf+wb_cf*((x1_cf+cx1_cf/2)/2)/1000)/Bm_cf)+(((B_cf-cy1_cf)/2)+cy1_cf)*R75*((wa_cf+wb_cf*((x1_cf+cx1_cf/2)+R75/2)/1000)/Bm_cf)+PI()*R75^2/4*((wa_cf+wb_cf*((x1_cf+cx1_cf/2)+4*R75/(3*PI()))/1000)/Bm_cf))/1E6)*1000/(((x1_cf-cx1_cf/2)+cx1_cf+((B_cf-cy1_cf)/2)+cy1_cf+PI()*R75/2)*dp_cf)/(vRdc_p*2*dp_cf/R75),0)</f>
        <v/>
      </c>
      <c r="V75">
        <f>IF(Z74&lt;AA74,X74,V74)</f>
        <v/>
      </c>
      <c r="W75">
        <f>IF(Z74&lt;AA74,W74,Y74)</f>
        <v/>
      </c>
      <c r="X75">
        <f>W75-((SQRT(5)-1)/2)*(W75-V75)</f>
        <v/>
      </c>
      <c r="Y75">
        <f>V75+((SQRT(5)-1)/2)*(W75-V75)</f>
        <v/>
      </c>
      <c r="Z75">
        <f>IFERROR(beta_cf*MAX(0,P2_cf-(((L_cf-x2_cf-cx2_cf/2)+cx2_cf)*(cy2_cf+2*X75)*((wa_cf+wb_cf*(((x2_cf-cx2_cf/2)+L_cf)/2)/1000)/Bm_cf)+cy2_cf*X75*((wa_cf+wb_cf*((x2_cf-cx2_cf/2)-X75/2)/1000)/Bm_cf)+PI()*X75^2/2*((wa_cf+wb_cf*((x2_cf-cx2_cf/2)-4*X75/(3*PI()))/1000)/Bm_cf))/1E6)*1000/((cy2_cf+PI()*X75+2*((L_cf-x2_cf-cx2_cf/2)+cx2_cf))*dp_cf)/(vRdc_p*2*dp_cf/X75),0)</f>
        <v/>
      </c>
      <c r="AA75">
        <f>IFERROR(beta_cf*MAX(0,P2_cf-(((L_cf-x2_cf-cx2_cf/2)+cx2_cf)*(cy2_cf+2*Y75)*((wa_cf+wb_cf*(((x2_cf-cx2_cf/2)+L_cf)/2)/1000)/Bm_cf)+cy2_cf*Y75*((wa_cf+wb_cf*((x2_cf-cx2_cf/2)-Y75/2)/1000)/Bm_cf)+PI()*Y75^2/2*((wa_cf+wb_cf*((x2_cf-cx2_cf/2)-4*Y75/(3*PI()))/1000)/Bm_cf))/1E6)*1000/((cy2_cf+PI()*Y75+2*((L_cf-x2_cf-cx2_cf/2)+cx2_cf))*dp_cf)/(vRdc_p*2*dp_cf/Y75),0)</f>
        <v/>
      </c>
      <c r="AC75">
        <f>IF(AG74&lt;AH74,AE74,AC74)</f>
        <v/>
      </c>
      <c r="AD75">
        <f>IF(AG74&lt;AH74,AD74,AF74)</f>
        <v/>
      </c>
      <c r="AE75">
        <f>AD75-((SQRT(5)-1)/2)*(AD75-AC75)</f>
        <v/>
      </c>
      <c r="AF75">
        <f>AC75+((SQRT(5)-1)/2)*(AD75-AC75)</f>
        <v/>
      </c>
      <c r="AG75">
        <f>IFERROR(beta_cf*MAX(0,P2_cf-(((cx2_cf+2*AE75)*(((B_cf-cy2_cf)/2)+cy2_cf)+cx2_cf*AE75+PI()*AE75^2/2)*((wa_cf+wb_cf*(x2_cf)/1000)/Bm_cf))/1E6)*1000/((cx2_cf+PI()*AE75+2*(((B_cf-cy2_cf)/2)+cy2_cf))*dp_cf)/(vRdc_p*2*dp_cf/AE75),0)</f>
        <v/>
      </c>
      <c r="AH75">
        <f>IFERROR(beta_cf*MAX(0,P2_cf-(((cx2_cf+2*AF75)*(((B_cf-cy2_cf)/2)+cy2_cf)+cx2_cf*AF75+PI()*AF75^2/2)*((wa_cf+wb_cf*(x2_cf)/1000)/Bm_cf))/1E6)*1000/((cx2_cf+PI()*AF75+2*(((B_cf-cy2_cf)/2)+cy2_cf))*dp_cf)/(vRdc_p*2*dp_cf/AF75),0)</f>
        <v/>
      </c>
      <c r="AJ75">
        <f>IF(AN74&lt;AO74,AL74,AJ74)</f>
        <v/>
      </c>
      <c r="AK75">
        <f>IF(AN74&lt;AO74,AK74,AM74)</f>
        <v/>
      </c>
      <c r="AL75">
        <f>AK75-((SQRT(5)-1)/2)*(AK75-AJ75)</f>
        <v/>
      </c>
      <c r="AM75">
        <f>AJ75+((SQRT(5)-1)/2)*(AK75-AJ75)</f>
        <v/>
      </c>
      <c r="AN75">
        <f>IFERROR(beta_cf*MAX(0,P2_cf-(((L_cf-x2_cf-cx2_cf/2)+cx2_cf)*(((B_cf-cy2_cf)/2)+cy2_cf+AL75)*((wa_cf+wb_cf*(((x2_cf-cx2_cf/2)+L_cf)/2)/1000)/Bm_cf)+(((B_cf-cy2_cf)/2)+cy2_cf)*AL75*((wa_cf+wb_cf*((x2_cf-cx2_cf/2)-AL75/2)/1000)/Bm_cf)+PI()*AL75^2/4*((wa_cf+wb_cf*((x2_cf-cx2_cf/2)-4*AL75/(3*PI()))/1000)/Bm_cf))/1E6)*1000/(((L_cf-x2_cf-cx2_cf/2)+cx2_cf+((B_cf-cy2_cf)/2)+cy2_cf+PI()*AL75/2)*dp_cf)/(vRdc_p*2*dp_cf/AL75),0)</f>
        <v/>
      </c>
      <c r="AO75">
        <f>IFERROR(beta_cf*MAX(0,P2_cf-(((L_cf-x2_cf-cx2_cf/2)+cx2_cf)*(((B_cf-cy2_cf)/2)+cy2_cf+AM75)*((wa_cf+wb_cf*(((x2_cf-cx2_cf/2)+L_cf)/2)/1000)/Bm_cf)+(((B_cf-cy2_cf)/2)+cy2_cf)*AM75*((wa_cf+wb_cf*((x2_cf-cx2_cf/2)-AM75/2)/1000)/Bm_cf)+PI()*AM75^2/4*((wa_cf+wb_cf*((x2_cf-cx2_cf/2)-4*AM75/(3*PI()))/1000)/Bm_cf))/1E6)*1000/(((L_cf-x2_cf-cx2_cf/2)+cx2_cf+((B_cf-cy2_cf)/2)+cy2_cf+PI()*AM75/2)*dp_cf)/(vRdc_p*2*dp_cf/AM75),0)</f>
        <v/>
      </c>
    </row>
    <row r="76">
      <c r="A76">
        <f>IF(E75&lt;F75,C75,A75)</f>
        <v/>
      </c>
      <c r="B76">
        <f>IF(E75&lt;F75,B75,D75)</f>
        <v/>
      </c>
      <c r="C76">
        <f>B76-((SQRT(5)-1)/2)*(B76-A76)</f>
        <v/>
      </c>
      <c r="D76">
        <f>A76+((SQRT(5)-1)/2)*(B76-A76)</f>
        <v/>
      </c>
      <c r="E76">
        <f>IFERROR(beta_cf*MAX(0,P1_cf-(((x1_cf-cx1_cf/2)+cx1_cf)*(cy1_cf+2*C76)*((wa_cf+wb_cf*((x1_cf+cx1_cf/2)/2)/1000)/Bm_cf)+cy1_cf*C76*((wa_cf+wb_cf*((x1_cf+cx1_cf/2)+C76/2)/1000)/Bm_cf)+PI()*C76^2/2*((wa_cf+wb_cf*((x1_cf+cx1_cf/2)+4*C76/(3*PI()))/1000)/Bm_cf))/1E6)*1000/((cy1_cf+PI()*C76+2*((x1_cf-cx1_cf/2)+cx1_cf))*dp_cf)/(vRdc_p*2*dp_cf/C76),0)</f>
        <v/>
      </c>
      <c r="F76">
        <f>IFERROR(beta_cf*MAX(0,P1_cf-(((x1_cf-cx1_cf/2)+cx1_cf)*(cy1_cf+2*D76)*((wa_cf+wb_cf*((x1_cf+cx1_cf/2)/2)/1000)/Bm_cf)+cy1_cf*D76*((wa_cf+wb_cf*((x1_cf+cx1_cf/2)+D76/2)/1000)/Bm_cf)+PI()*D76^2/2*((wa_cf+wb_cf*((x1_cf+cx1_cf/2)+4*D76/(3*PI()))/1000)/Bm_cf))/1E6)*1000/((cy1_cf+PI()*D76+2*((x1_cf-cx1_cf/2)+cx1_cf))*dp_cf)/(vRdc_p*2*dp_cf/D76),0)</f>
        <v/>
      </c>
      <c r="H76">
        <f>IF(L75&lt;M75,J75,H75)</f>
        <v/>
      </c>
      <c r="I76">
        <f>IF(L75&lt;M75,I75,K75)</f>
        <v/>
      </c>
      <c r="J76">
        <f>I76-((SQRT(5)-1)/2)*(I76-H76)</f>
        <v/>
      </c>
      <c r="K76">
        <f>H76+((SQRT(5)-1)/2)*(I76-H76)</f>
        <v/>
      </c>
      <c r="L76">
        <f>IFERROR(beta_cf*MAX(0,P1_cf-(((cx1_cf+2*J76)*(((B_cf-cy1_cf)/2)+cy1_cf)+cx1_cf*J76+PI()*J76^2/2)*((wa_cf+wb_cf*(x1_cf)/1000)/Bm_cf))/1E6)*1000/((cx1_cf+PI()*J76+2*(((B_cf-cy1_cf)/2)+cy1_cf))*dp_cf)/(vRdc_p*2*dp_cf/J76),0)</f>
        <v/>
      </c>
      <c r="M76">
        <f>IFERROR(beta_cf*MAX(0,P1_cf-(((cx1_cf+2*K76)*(((B_cf-cy1_cf)/2)+cy1_cf)+cx1_cf*K76+PI()*K76^2/2)*((wa_cf+wb_cf*(x1_cf)/1000)/Bm_cf))/1E6)*1000/((cx1_cf+PI()*K76+2*(((B_cf-cy1_cf)/2)+cy1_cf))*dp_cf)/(vRdc_p*2*dp_cf/K76),0)</f>
        <v/>
      </c>
      <c r="O76">
        <f>IF(S75&lt;T75,Q75,O75)</f>
        <v/>
      </c>
      <c r="P76">
        <f>IF(S75&lt;T75,P75,R75)</f>
        <v/>
      </c>
      <c r="Q76">
        <f>P76-((SQRT(5)-1)/2)*(P76-O76)</f>
        <v/>
      </c>
      <c r="R76">
        <f>O76+((SQRT(5)-1)/2)*(P76-O76)</f>
        <v/>
      </c>
      <c r="S76">
        <f>IFERROR(beta_cf*MAX(0,P1_cf-(((x1_cf-cx1_cf/2)+cx1_cf)*(((B_cf-cy1_cf)/2)+cy1_cf+Q76)*((wa_cf+wb_cf*((x1_cf+cx1_cf/2)/2)/1000)/Bm_cf)+(((B_cf-cy1_cf)/2)+cy1_cf)*Q76*((wa_cf+wb_cf*((x1_cf+cx1_cf/2)+Q76/2)/1000)/Bm_cf)+PI()*Q76^2/4*((wa_cf+wb_cf*((x1_cf+cx1_cf/2)+4*Q76/(3*PI()))/1000)/Bm_cf))/1E6)*1000/(((x1_cf-cx1_cf/2)+cx1_cf+((B_cf-cy1_cf)/2)+cy1_cf+PI()*Q76/2)*dp_cf)/(vRdc_p*2*dp_cf/Q76),0)</f>
        <v/>
      </c>
      <c r="T76">
        <f>IFERROR(beta_cf*MAX(0,P1_cf-(((x1_cf-cx1_cf/2)+cx1_cf)*(((B_cf-cy1_cf)/2)+cy1_cf+R76)*((wa_cf+wb_cf*((x1_cf+cx1_cf/2)/2)/1000)/Bm_cf)+(((B_cf-cy1_cf)/2)+cy1_cf)*R76*((wa_cf+wb_cf*((x1_cf+cx1_cf/2)+R76/2)/1000)/Bm_cf)+PI()*R76^2/4*((wa_cf+wb_cf*((x1_cf+cx1_cf/2)+4*R76/(3*PI()))/1000)/Bm_cf))/1E6)*1000/(((x1_cf-cx1_cf/2)+cx1_cf+((B_cf-cy1_cf)/2)+cy1_cf+PI()*R76/2)*dp_cf)/(vRdc_p*2*dp_cf/R76),0)</f>
        <v/>
      </c>
      <c r="V76">
        <f>IF(Z75&lt;AA75,X75,V75)</f>
        <v/>
      </c>
      <c r="W76">
        <f>IF(Z75&lt;AA75,W75,Y75)</f>
        <v/>
      </c>
      <c r="X76">
        <f>W76-((SQRT(5)-1)/2)*(W76-V76)</f>
        <v/>
      </c>
      <c r="Y76">
        <f>V76+((SQRT(5)-1)/2)*(W76-V76)</f>
        <v/>
      </c>
      <c r="Z76">
        <f>IFERROR(beta_cf*MAX(0,P2_cf-(((L_cf-x2_cf-cx2_cf/2)+cx2_cf)*(cy2_cf+2*X76)*((wa_cf+wb_cf*(((x2_cf-cx2_cf/2)+L_cf)/2)/1000)/Bm_cf)+cy2_cf*X76*((wa_cf+wb_cf*((x2_cf-cx2_cf/2)-X76/2)/1000)/Bm_cf)+PI()*X76^2/2*((wa_cf+wb_cf*((x2_cf-cx2_cf/2)-4*X76/(3*PI()))/1000)/Bm_cf))/1E6)*1000/((cy2_cf+PI()*X76+2*((L_cf-x2_cf-cx2_cf/2)+cx2_cf))*dp_cf)/(vRdc_p*2*dp_cf/X76),0)</f>
        <v/>
      </c>
      <c r="AA76">
        <f>IFERROR(beta_cf*MAX(0,P2_cf-(((L_cf-x2_cf-cx2_cf/2)+cx2_cf)*(cy2_cf+2*Y76)*((wa_cf+wb_cf*(((x2_cf-cx2_cf/2)+L_cf)/2)/1000)/Bm_cf)+cy2_cf*Y76*((wa_cf+wb_cf*((x2_cf-cx2_cf/2)-Y76/2)/1000)/Bm_cf)+PI()*Y76^2/2*((wa_cf+wb_cf*((x2_cf-cx2_cf/2)-4*Y76/(3*PI()))/1000)/Bm_cf))/1E6)*1000/((cy2_cf+PI()*Y76+2*((L_cf-x2_cf-cx2_cf/2)+cx2_cf))*dp_cf)/(vRdc_p*2*dp_cf/Y76),0)</f>
        <v/>
      </c>
      <c r="AC76">
        <f>IF(AG75&lt;AH75,AE75,AC75)</f>
        <v/>
      </c>
      <c r="AD76">
        <f>IF(AG75&lt;AH75,AD75,AF75)</f>
        <v/>
      </c>
      <c r="AE76">
        <f>AD76-((SQRT(5)-1)/2)*(AD76-AC76)</f>
        <v/>
      </c>
      <c r="AF76">
        <f>AC76+((SQRT(5)-1)/2)*(AD76-AC76)</f>
        <v/>
      </c>
      <c r="AG76">
        <f>IFERROR(beta_cf*MAX(0,P2_cf-(((cx2_cf+2*AE76)*(((B_cf-cy2_cf)/2)+cy2_cf)+cx2_cf*AE76+PI()*AE76^2/2)*((wa_cf+wb_cf*(x2_cf)/1000)/Bm_cf))/1E6)*1000/((cx2_cf+PI()*AE76+2*(((B_cf-cy2_cf)/2)+cy2_cf))*dp_cf)/(vRdc_p*2*dp_cf/AE76),0)</f>
        <v/>
      </c>
      <c r="AH76">
        <f>IFERROR(beta_cf*MAX(0,P2_cf-(((cx2_cf+2*AF76)*(((B_cf-cy2_cf)/2)+cy2_cf)+cx2_cf*AF76+PI()*AF76^2/2)*((wa_cf+wb_cf*(x2_cf)/1000)/Bm_cf))/1E6)*1000/((cx2_cf+PI()*AF76+2*(((B_cf-cy2_cf)/2)+cy2_cf))*dp_cf)/(vRdc_p*2*dp_cf/AF76),0)</f>
        <v/>
      </c>
      <c r="AJ76">
        <f>IF(AN75&lt;AO75,AL75,AJ75)</f>
        <v/>
      </c>
      <c r="AK76">
        <f>IF(AN75&lt;AO75,AK75,AM75)</f>
        <v/>
      </c>
      <c r="AL76">
        <f>AK76-((SQRT(5)-1)/2)*(AK76-AJ76)</f>
        <v/>
      </c>
      <c r="AM76">
        <f>AJ76+((SQRT(5)-1)/2)*(AK76-AJ76)</f>
        <v/>
      </c>
      <c r="AN76">
        <f>IFERROR(beta_cf*MAX(0,P2_cf-(((L_cf-x2_cf-cx2_cf/2)+cx2_cf)*(((B_cf-cy2_cf)/2)+cy2_cf+AL76)*((wa_cf+wb_cf*(((x2_cf-cx2_cf/2)+L_cf)/2)/1000)/Bm_cf)+(((B_cf-cy2_cf)/2)+cy2_cf)*AL76*((wa_cf+wb_cf*((x2_cf-cx2_cf/2)-AL76/2)/1000)/Bm_cf)+PI()*AL76^2/4*((wa_cf+wb_cf*((x2_cf-cx2_cf/2)-4*AL76/(3*PI()))/1000)/Bm_cf))/1E6)*1000/(((L_cf-x2_cf-cx2_cf/2)+cx2_cf+((B_cf-cy2_cf)/2)+cy2_cf+PI()*AL76/2)*dp_cf)/(vRdc_p*2*dp_cf/AL76),0)</f>
        <v/>
      </c>
      <c r="AO76">
        <f>IFERROR(beta_cf*MAX(0,P2_cf-(((L_cf-x2_cf-cx2_cf/2)+cx2_cf)*(((B_cf-cy2_cf)/2)+cy2_cf+AM76)*((wa_cf+wb_cf*(((x2_cf-cx2_cf/2)+L_cf)/2)/1000)/Bm_cf)+(((B_cf-cy2_cf)/2)+cy2_cf)*AM76*((wa_cf+wb_cf*((x2_cf-cx2_cf/2)-AM76/2)/1000)/Bm_cf)+PI()*AM76^2/4*((wa_cf+wb_cf*((x2_cf-cx2_cf/2)-4*AM76/(3*PI()))/1000)/Bm_cf))/1E6)*1000/(((L_cf-x2_cf-cx2_cf/2)+cx2_cf+((B_cf-cy2_cf)/2)+cy2_cf+PI()*AM76/2)*dp_cf)/(vRdc_p*2*dp_cf/AM76),0)</f>
        <v/>
      </c>
    </row>
    <row r="77">
      <c r="A77">
        <f>IF(E76&lt;F76,C76,A76)</f>
        <v/>
      </c>
      <c r="B77">
        <f>IF(E76&lt;F76,B76,D76)</f>
        <v/>
      </c>
      <c r="C77">
        <f>B77-((SQRT(5)-1)/2)*(B77-A77)</f>
        <v/>
      </c>
      <c r="D77">
        <f>A77+((SQRT(5)-1)/2)*(B77-A77)</f>
        <v/>
      </c>
      <c r="E77">
        <f>IFERROR(beta_cf*MAX(0,P1_cf-(((x1_cf-cx1_cf/2)+cx1_cf)*(cy1_cf+2*C77)*((wa_cf+wb_cf*((x1_cf+cx1_cf/2)/2)/1000)/Bm_cf)+cy1_cf*C77*((wa_cf+wb_cf*((x1_cf+cx1_cf/2)+C77/2)/1000)/Bm_cf)+PI()*C77^2/2*((wa_cf+wb_cf*((x1_cf+cx1_cf/2)+4*C77/(3*PI()))/1000)/Bm_cf))/1E6)*1000/((cy1_cf+PI()*C77+2*((x1_cf-cx1_cf/2)+cx1_cf))*dp_cf)/(vRdc_p*2*dp_cf/C77),0)</f>
        <v/>
      </c>
      <c r="F77">
        <f>IFERROR(beta_cf*MAX(0,P1_cf-(((x1_cf-cx1_cf/2)+cx1_cf)*(cy1_cf+2*D77)*((wa_cf+wb_cf*((x1_cf+cx1_cf/2)/2)/1000)/Bm_cf)+cy1_cf*D77*((wa_cf+wb_cf*((x1_cf+cx1_cf/2)+D77/2)/1000)/Bm_cf)+PI()*D77^2/2*((wa_cf+wb_cf*((x1_cf+cx1_cf/2)+4*D77/(3*PI()))/1000)/Bm_cf))/1E6)*1000/((cy1_cf+PI()*D77+2*((x1_cf-cx1_cf/2)+cx1_cf))*dp_cf)/(vRdc_p*2*dp_cf/D77),0)</f>
        <v/>
      </c>
      <c r="H77">
        <f>IF(L76&lt;M76,J76,H76)</f>
        <v/>
      </c>
      <c r="I77">
        <f>IF(L76&lt;M76,I76,K76)</f>
        <v/>
      </c>
      <c r="J77">
        <f>I77-((SQRT(5)-1)/2)*(I77-H77)</f>
        <v/>
      </c>
      <c r="K77">
        <f>H77+((SQRT(5)-1)/2)*(I77-H77)</f>
        <v/>
      </c>
      <c r="L77">
        <f>IFERROR(beta_cf*MAX(0,P1_cf-(((cx1_cf+2*J77)*(((B_cf-cy1_cf)/2)+cy1_cf)+cx1_cf*J77+PI()*J77^2/2)*((wa_cf+wb_cf*(x1_cf)/1000)/Bm_cf))/1E6)*1000/((cx1_cf+PI()*J77+2*(((B_cf-cy1_cf)/2)+cy1_cf))*dp_cf)/(vRdc_p*2*dp_cf/J77),0)</f>
        <v/>
      </c>
      <c r="M77">
        <f>IFERROR(beta_cf*MAX(0,P1_cf-(((cx1_cf+2*K77)*(((B_cf-cy1_cf)/2)+cy1_cf)+cx1_cf*K77+PI()*K77^2/2)*((wa_cf+wb_cf*(x1_cf)/1000)/Bm_cf))/1E6)*1000/((cx1_cf+PI()*K77+2*(((B_cf-cy1_cf)/2)+cy1_cf))*dp_cf)/(vRdc_p*2*dp_cf/K77),0)</f>
        <v/>
      </c>
      <c r="O77">
        <f>IF(S76&lt;T76,Q76,O76)</f>
        <v/>
      </c>
      <c r="P77">
        <f>IF(S76&lt;T76,P76,R76)</f>
        <v/>
      </c>
      <c r="Q77">
        <f>P77-((SQRT(5)-1)/2)*(P77-O77)</f>
        <v/>
      </c>
      <c r="R77">
        <f>O77+((SQRT(5)-1)/2)*(P77-O77)</f>
        <v/>
      </c>
      <c r="S77">
        <f>IFERROR(beta_cf*MAX(0,P1_cf-(((x1_cf-cx1_cf/2)+cx1_cf)*(((B_cf-cy1_cf)/2)+cy1_cf+Q77)*((wa_cf+wb_cf*((x1_cf+cx1_cf/2)/2)/1000)/Bm_cf)+(((B_cf-cy1_cf)/2)+cy1_cf)*Q77*((wa_cf+wb_cf*((x1_cf+cx1_cf/2)+Q77/2)/1000)/Bm_cf)+PI()*Q77^2/4*((wa_cf+wb_cf*((x1_cf+cx1_cf/2)+4*Q77/(3*PI()))/1000)/Bm_cf))/1E6)*1000/(((x1_cf-cx1_cf/2)+cx1_cf+((B_cf-cy1_cf)/2)+cy1_cf+PI()*Q77/2)*dp_cf)/(vRdc_p*2*dp_cf/Q77),0)</f>
        <v/>
      </c>
      <c r="T77">
        <f>IFERROR(beta_cf*MAX(0,P1_cf-(((x1_cf-cx1_cf/2)+cx1_cf)*(((B_cf-cy1_cf)/2)+cy1_cf+R77)*((wa_cf+wb_cf*((x1_cf+cx1_cf/2)/2)/1000)/Bm_cf)+(((B_cf-cy1_cf)/2)+cy1_cf)*R77*((wa_cf+wb_cf*((x1_cf+cx1_cf/2)+R77/2)/1000)/Bm_cf)+PI()*R77^2/4*((wa_cf+wb_cf*((x1_cf+cx1_cf/2)+4*R77/(3*PI()))/1000)/Bm_cf))/1E6)*1000/(((x1_cf-cx1_cf/2)+cx1_cf+((B_cf-cy1_cf)/2)+cy1_cf+PI()*R77/2)*dp_cf)/(vRdc_p*2*dp_cf/R77),0)</f>
        <v/>
      </c>
      <c r="V77">
        <f>IF(Z76&lt;AA76,X76,V76)</f>
        <v/>
      </c>
      <c r="W77">
        <f>IF(Z76&lt;AA76,W76,Y76)</f>
        <v/>
      </c>
      <c r="X77">
        <f>W77-((SQRT(5)-1)/2)*(W77-V77)</f>
        <v/>
      </c>
      <c r="Y77">
        <f>V77+((SQRT(5)-1)/2)*(W77-V77)</f>
        <v/>
      </c>
      <c r="Z77">
        <f>IFERROR(beta_cf*MAX(0,P2_cf-(((L_cf-x2_cf-cx2_cf/2)+cx2_cf)*(cy2_cf+2*X77)*((wa_cf+wb_cf*(((x2_cf-cx2_cf/2)+L_cf)/2)/1000)/Bm_cf)+cy2_cf*X77*((wa_cf+wb_cf*((x2_cf-cx2_cf/2)-X77/2)/1000)/Bm_cf)+PI()*X77^2/2*((wa_cf+wb_cf*((x2_cf-cx2_cf/2)-4*X77/(3*PI()))/1000)/Bm_cf))/1E6)*1000/((cy2_cf+PI()*X77+2*((L_cf-x2_cf-cx2_cf/2)+cx2_cf))*dp_cf)/(vRdc_p*2*dp_cf/X77),0)</f>
        <v/>
      </c>
      <c r="AA77">
        <f>IFERROR(beta_cf*MAX(0,P2_cf-(((L_cf-x2_cf-cx2_cf/2)+cx2_cf)*(cy2_cf+2*Y77)*((wa_cf+wb_cf*(((x2_cf-cx2_cf/2)+L_cf)/2)/1000)/Bm_cf)+cy2_cf*Y77*((wa_cf+wb_cf*((x2_cf-cx2_cf/2)-Y77/2)/1000)/Bm_cf)+PI()*Y77^2/2*((wa_cf+wb_cf*((x2_cf-cx2_cf/2)-4*Y77/(3*PI()))/1000)/Bm_cf))/1E6)*1000/((cy2_cf+PI()*Y77+2*((L_cf-x2_cf-cx2_cf/2)+cx2_cf))*dp_cf)/(vRdc_p*2*dp_cf/Y77),0)</f>
        <v/>
      </c>
      <c r="AC77">
        <f>IF(AG76&lt;AH76,AE76,AC76)</f>
        <v/>
      </c>
      <c r="AD77">
        <f>IF(AG76&lt;AH76,AD76,AF76)</f>
        <v/>
      </c>
      <c r="AE77">
        <f>AD77-((SQRT(5)-1)/2)*(AD77-AC77)</f>
        <v/>
      </c>
      <c r="AF77">
        <f>AC77+((SQRT(5)-1)/2)*(AD77-AC77)</f>
        <v/>
      </c>
      <c r="AG77">
        <f>IFERROR(beta_cf*MAX(0,P2_cf-(((cx2_cf+2*AE77)*(((B_cf-cy2_cf)/2)+cy2_cf)+cx2_cf*AE77+PI()*AE77^2/2)*((wa_cf+wb_cf*(x2_cf)/1000)/Bm_cf))/1E6)*1000/((cx2_cf+PI()*AE77+2*(((B_cf-cy2_cf)/2)+cy2_cf))*dp_cf)/(vRdc_p*2*dp_cf/AE77),0)</f>
        <v/>
      </c>
      <c r="AH77">
        <f>IFERROR(beta_cf*MAX(0,P2_cf-(((cx2_cf+2*AF77)*(((B_cf-cy2_cf)/2)+cy2_cf)+cx2_cf*AF77+PI()*AF77^2/2)*((wa_cf+wb_cf*(x2_cf)/1000)/Bm_cf))/1E6)*1000/((cx2_cf+PI()*AF77+2*(((B_cf-cy2_cf)/2)+cy2_cf))*dp_cf)/(vRdc_p*2*dp_cf/AF77),0)</f>
        <v/>
      </c>
      <c r="AJ77">
        <f>IF(AN76&lt;AO76,AL76,AJ76)</f>
        <v/>
      </c>
      <c r="AK77">
        <f>IF(AN76&lt;AO76,AK76,AM76)</f>
        <v/>
      </c>
      <c r="AL77">
        <f>AK77-((SQRT(5)-1)/2)*(AK77-AJ77)</f>
        <v/>
      </c>
      <c r="AM77">
        <f>AJ77+((SQRT(5)-1)/2)*(AK77-AJ77)</f>
        <v/>
      </c>
      <c r="AN77">
        <f>IFERROR(beta_cf*MAX(0,P2_cf-(((L_cf-x2_cf-cx2_cf/2)+cx2_cf)*(((B_cf-cy2_cf)/2)+cy2_cf+AL77)*((wa_cf+wb_cf*(((x2_cf-cx2_cf/2)+L_cf)/2)/1000)/Bm_cf)+(((B_cf-cy2_cf)/2)+cy2_cf)*AL77*((wa_cf+wb_cf*((x2_cf-cx2_cf/2)-AL77/2)/1000)/Bm_cf)+PI()*AL77^2/4*((wa_cf+wb_cf*((x2_cf-cx2_cf/2)-4*AL77/(3*PI()))/1000)/Bm_cf))/1E6)*1000/(((L_cf-x2_cf-cx2_cf/2)+cx2_cf+((B_cf-cy2_cf)/2)+cy2_cf+PI()*AL77/2)*dp_cf)/(vRdc_p*2*dp_cf/AL77),0)</f>
        <v/>
      </c>
      <c r="AO77">
        <f>IFERROR(beta_cf*MAX(0,P2_cf-(((L_cf-x2_cf-cx2_cf/2)+cx2_cf)*(((B_cf-cy2_cf)/2)+cy2_cf+AM77)*((wa_cf+wb_cf*(((x2_cf-cx2_cf/2)+L_cf)/2)/1000)/Bm_cf)+(((B_cf-cy2_cf)/2)+cy2_cf)*AM77*((wa_cf+wb_cf*((x2_cf-cx2_cf/2)-AM77/2)/1000)/Bm_cf)+PI()*AM77^2/4*((wa_cf+wb_cf*((x2_cf-cx2_cf/2)-4*AM77/(3*PI()))/1000)/Bm_cf))/1E6)*1000/(((L_cf-x2_cf-cx2_cf/2)+cx2_cf+((B_cf-cy2_cf)/2)+cy2_cf+PI()*AM77/2)*dp_cf)/(vRdc_p*2*dp_cf/AM77),0)</f>
        <v/>
      </c>
    </row>
    <row r="78">
      <c r="A78">
        <f>IF(E77&lt;F77,C77,A77)</f>
        <v/>
      </c>
      <c r="B78">
        <f>IF(E77&lt;F77,B77,D77)</f>
        <v/>
      </c>
      <c r="C78">
        <f>B78-((SQRT(5)-1)/2)*(B78-A78)</f>
        <v/>
      </c>
      <c r="D78">
        <f>A78+((SQRT(5)-1)/2)*(B78-A78)</f>
        <v/>
      </c>
      <c r="E78">
        <f>IFERROR(beta_cf*MAX(0,P1_cf-(((x1_cf-cx1_cf/2)+cx1_cf)*(cy1_cf+2*C78)*((wa_cf+wb_cf*((x1_cf+cx1_cf/2)/2)/1000)/Bm_cf)+cy1_cf*C78*((wa_cf+wb_cf*((x1_cf+cx1_cf/2)+C78/2)/1000)/Bm_cf)+PI()*C78^2/2*((wa_cf+wb_cf*((x1_cf+cx1_cf/2)+4*C78/(3*PI()))/1000)/Bm_cf))/1E6)*1000/((cy1_cf+PI()*C78+2*((x1_cf-cx1_cf/2)+cx1_cf))*dp_cf)/(vRdc_p*2*dp_cf/C78),0)</f>
        <v/>
      </c>
      <c r="F78">
        <f>IFERROR(beta_cf*MAX(0,P1_cf-(((x1_cf-cx1_cf/2)+cx1_cf)*(cy1_cf+2*D78)*((wa_cf+wb_cf*((x1_cf+cx1_cf/2)/2)/1000)/Bm_cf)+cy1_cf*D78*((wa_cf+wb_cf*((x1_cf+cx1_cf/2)+D78/2)/1000)/Bm_cf)+PI()*D78^2/2*((wa_cf+wb_cf*((x1_cf+cx1_cf/2)+4*D78/(3*PI()))/1000)/Bm_cf))/1E6)*1000/((cy1_cf+PI()*D78+2*((x1_cf-cx1_cf/2)+cx1_cf))*dp_cf)/(vRdc_p*2*dp_cf/D78),0)</f>
        <v/>
      </c>
      <c r="H78">
        <f>IF(L77&lt;M77,J77,H77)</f>
        <v/>
      </c>
      <c r="I78">
        <f>IF(L77&lt;M77,I77,K77)</f>
        <v/>
      </c>
      <c r="J78">
        <f>I78-((SQRT(5)-1)/2)*(I78-H78)</f>
        <v/>
      </c>
      <c r="K78">
        <f>H78+((SQRT(5)-1)/2)*(I78-H78)</f>
        <v/>
      </c>
      <c r="L78">
        <f>IFERROR(beta_cf*MAX(0,P1_cf-(((cx1_cf+2*J78)*(((B_cf-cy1_cf)/2)+cy1_cf)+cx1_cf*J78+PI()*J78^2/2)*((wa_cf+wb_cf*(x1_cf)/1000)/Bm_cf))/1E6)*1000/((cx1_cf+PI()*J78+2*(((B_cf-cy1_cf)/2)+cy1_cf))*dp_cf)/(vRdc_p*2*dp_cf/J78),0)</f>
        <v/>
      </c>
      <c r="M78">
        <f>IFERROR(beta_cf*MAX(0,P1_cf-(((cx1_cf+2*K78)*(((B_cf-cy1_cf)/2)+cy1_cf)+cx1_cf*K78+PI()*K78^2/2)*((wa_cf+wb_cf*(x1_cf)/1000)/Bm_cf))/1E6)*1000/((cx1_cf+PI()*K78+2*(((B_cf-cy1_cf)/2)+cy1_cf))*dp_cf)/(vRdc_p*2*dp_cf/K78),0)</f>
        <v/>
      </c>
      <c r="O78">
        <f>IF(S77&lt;T77,Q77,O77)</f>
        <v/>
      </c>
      <c r="P78">
        <f>IF(S77&lt;T77,P77,R77)</f>
        <v/>
      </c>
      <c r="Q78">
        <f>P78-((SQRT(5)-1)/2)*(P78-O78)</f>
        <v/>
      </c>
      <c r="R78">
        <f>O78+((SQRT(5)-1)/2)*(P78-O78)</f>
        <v/>
      </c>
      <c r="S78">
        <f>IFERROR(beta_cf*MAX(0,P1_cf-(((x1_cf-cx1_cf/2)+cx1_cf)*(((B_cf-cy1_cf)/2)+cy1_cf+Q78)*((wa_cf+wb_cf*((x1_cf+cx1_cf/2)/2)/1000)/Bm_cf)+(((B_cf-cy1_cf)/2)+cy1_cf)*Q78*((wa_cf+wb_cf*((x1_cf+cx1_cf/2)+Q78/2)/1000)/Bm_cf)+PI()*Q78^2/4*((wa_cf+wb_cf*((x1_cf+cx1_cf/2)+4*Q78/(3*PI()))/1000)/Bm_cf))/1E6)*1000/(((x1_cf-cx1_cf/2)+cx1_cf+((B_cf-cy1_cf)/2)+cy1_cf+PI()*Q78/2)*dp_cf)/(vRdc_p*2*dp_cf/Q78),0)</f>
        <v/>
      </c>
      <c r="T78">
        <f>IFERROR(beta_cf*MAX(0,P1_cf-(((x1_cf-cx1_cf/2)+cx1_cf)*(((B_cf-cy1_cf)/2)+cy1_cf+R78)*((wa_cf+wb_cf*((x1_cf+cx1_cf/2)/2)/1000)/Bm_cf)+(((B_cf-cy1_cf)/2)+cy1_cf)*R78*((wa_cf+wb_cf*((x1_cf+cx1_cf/2)+R78/2)/1000)/Bm_cf)+PI()*R78^2/4*((wa_cf+wb_cf*((x1_cf+cx1_cf/2)+4*R78/(3*PI()))/1000)/Bm_cf))/1E6)*1000/(((x1_cf-cx1_cf/2)+cx1_cf+((B_cf-cy1_cf)/2)+cy1_cf+PI()*R78/2)*dp_cf)/(vRdc_p*2*dp_cf/R78),0)</f>
        <v/>
      </c>
      <c r="V78">
        <f>IF(Z77&lt;AA77,X77,V77)</f>
        <v/>
      </c>
      <c r="W78">
        <f>IF(Z77&lt;AA77,W77,Y77)</f>
        <v/>
      </c>
      <c r="X78">
        <f>W78-((SQRT(5)-1)/2)*(W78-V78)</f>
        <v/>
      </c>
      <c r="Y78">
        <f>V78+((SQRT(5)-1)/2)*(W78-V78)</f>
        <v/>
      </c>
      <c r="Z78">
        <f>IFERROR(beta_cf*MAX(0,P2_cf-(((L_cf-x2_cf-cx2_cf/2)+cx2_cf)*(cy2_cf+2*X78)*((wa_cf+wb_cf*(((x2_cf-cx2_cf/2)+L_cf)/2)/1000)/Bm_cf)+cy2_cf*X78*((wa_cf+wb_cf*((x2_cf-cx2_cf/2)-X78/2)/1000)/Bm_cf)+PI()*X78^2/2*((wa_cf+wb_cf*((x2_cf-cx2_cf/2)-4*X78/(3*PI()))/1000)/Bm_cf))/1E6)*1000/((cy2_cf+PI()*X78+2*((L_cf-x2_cf-cx2_cf/2)+cx2_cf))*dp_cf)/(vRdc_p*2*dp_cf/X78),0)</f>
        <v/>
      </c>
      <c r="AA78">
        <f>IFERROR(beta_cf*MAX(0,P2_cf-(((L_cf-x2_cf-cx2_cf/2)+cx2_cf)*(cy2_cf+2*Y78)*((wa_cf+wb_cf*(((x2_cf-cx2_cf/2)+L_cf)/2)/1000)/Bm_cf)+cy2_cf*Y78*((wa_cf+wb_cf*((x2_cf-cx2_cf/2)-Y78/2)/1000)/Bm_cf)+PI()*Y78^2/2*((wa_cf+wb_cf*((x2_cf-cx2_cf/2)-4*Y78/(3*PI()))/1000)/Bm_cf))/1E6)*1000/((cy2_cf+PI()*Y78+2*((L_cf-x2_cf-cx2_cf/2)+cx2_cf))*dp_cf)/(vRdc_p*2*dp_cf/Y78),0)</f>
        <v/>
      </c>
      <c r="AC78">
        <f>IF(AG77&lt;AH77,AE77,AC77)</f>
        <v/>
      </c>
      <c r="AD78">
        <f>IF(AG77&lt;AH77,AD77,AF77)</f>
        <v/>
      </c>
      <c r="AE78">
        <f>AD78-((SQRT(5)-1)/2)*(AD78-AC78)</f>
        <v/>
      </c>
      <c r="AF78">
        <f>AC78+((SQRT(5)-1)/2)*(AD78-AC78)</f>
        <v/>
      </c>
      <c r="AG78">
        <f>IFERROR(beta_cf*MAX(0,P2_cf-(((cx2_cf+2*AE78)*(((B_cf-cy2_cf)/2)+cy2_cf)+cx2_cf*AE78+PI()*AE78^2/2)*((wa_cf+wb_cf*(x2_cf)/1000)/Bm_cf))/1E6)*1000/((cx2_cf+PI()*AE78+2*(((B_cf-cy2_cf)/2)+cy2_cf))*dp_cf)/(vRdc_p*2*dp_cf/AE78),0)</f>
        <v/>
      </c>
      <c r="AH78">
        <f>IFERROR(beta_cf*MAX(0,P2_cf-(((cx2_cf+2*AF78)*(((B_cf-cy2_cf)/2)+cy2_cf)+cx2_cf*AF78+PI()*AF78^2/2)*((wa_cf+wb_cf*(x2_cf)/1000)/Bm_cf))/1E6)*1000/((cx2_cf+PI()*AF78+2*(((B_cf-cy2_cf)/2)+cy2_cf))*dp_cf)/(vRdc_p*2*dp_cf/AF78),0)</f>
        <v/>
      </c>
      <c r="AJ78">
        <f>IF(AN77&lt;AO77,AL77,AJ77)</f>
        <v/>
      </c>
      <c r="AK78">
        <f>IF(AN77&lt;AO77,AK77,AM77)</f>
        <v/>
      </c>
      <c r="AL78">
        <f>AK78-((SQRT(5)-1)/2)*(AK78-AJ78)</f>
        <v/>
      </c>
      <c r="AM78">
        <f>AJ78+((SQRT(5)-1)/2)*(AK78-AJ78)</f>
        <v/>
      </c>
      <c r="AN78">
        <f>IFERROR(beta_cf*MAX(0,P2_cf-(((L_cf-x2_cf-cx2_cf/2)+cx2_cf)*(((B_cf-cy2_cf)/2)+cy2_cf+AL78)*((wa_cf+wb_cf*(((x2_cf-cx2_cf/2)+L_cf)/2)/1000)/Bm_cf)+(((B_cf-cy2_cf)/2)+cy2_cf)*AL78*((wa_cf+wb_cf*((x2_cf-cx2_cf/2)-AL78/2)/1000)/Bm_cf)+PI()*AL78^2/4*((wa_cf+wb_cf*((x2_cf-cx2_cf/2)-4*AL78/(3*PI()))/1000)/Bm_cf))/1E6)*1000/(((L_cf-x2_cf-cx2_cf/2)+cx2_cf+((B_cf-cy2_cf)/2)+cy2_cf+PI()*AL78/2)*dp_cf)/(vRdc_p*2*dp_cf/AL78),0)</f>
        <v/>
      </c>
      <c r="AO78">
        <f>IFERROR(beta_cf*MAX(0,P2_cf-(((L_cf-x2_cf-cx2_cf/2)+cx2_cf)*(((B_cf-cy2_cf)/2)+cy2_cf+AM78)*((wa_cf+wb_cf*(((x2_cf-cx2_cf/2)+L_cf)/2)/1000)/Bm_cf)+(((B_cf-cy2_cf)/2)+cy2_cf)*AM78*((wa_cf+wb_cf*((x2_cf-cx2_cf/2)-AM78/2)/1000)/Bm_cf)+PI()*AM78^2/4*((wa_cf+wb_cf*((x2_cf-cx2_cf/2)-4*AM78/(3*PI()))/1000)/Bm_cf))/1E6)*1000/(((L_cf-x2_cf-cx2_cf/2)+cx2_cf+((B_cf-cy2_cf)/2)+cy2_cf+PI()*AM78/2)*dp_cf)/(vRdc_p*2*dp_cf/AM78),0)</f>
        <v/>
      </c>
    </row>
    <row r="79">
      <c r="A79">
        <f>IF(E78&lt;F78,C78,A78)</f>
        <v/>
      </c>
      <c r="B79">
        <f>IF(E78&lt;F78,B78,D78)</f>
        <v/>
      </c>
      <c r="C79">
        <f>B79-((SQRT(5)-1)/2)*(B79-A79)</f>
        <v/>
      </c>
      <c r="D79">
        <f>A79+((SQRT(5)-1)/2)*(B79-A79)</f>
        <v/>
      </c>
      <c r="E79">
        <f>IFERROR(beta_cf*MAX(0,P1_cf-(((x1_cf-cx1_cf/2)+cx1_cf)*(cy1_cf+2*C79)*((wa_cf+wb_cf*((x1_cf+cx1_cf/2)/2)/1000)/Bm_cf)+cy1_cf*C79*((wa_cf+wb_cf*((x1_cf+cx1_cf/2)+C79/2)/1000)/Bm_cf)+PI()*C79^2/2*((wa_cf+wb_cf*((x1_cf+cx1_cf/2)+4*C79/(3*PI()))/1000)/Bm_cf))/1E6)*1000/((cy1_cf+PI()*C79+2*((x1_cf-cx1_cf/2)+cx1_cf))*dp_cf)/(vRdc_p*2*dp_cf/C79),0)</f>
        <v/>
      </c>
      <c r="F79">
        <f>IFERROR(beta_cf*MAX(0,P1_cf-(((x1_cf-cx1_cf/2)+cx1_cf)*(cy1_cf+2*D79)*((wa_cf+wb_cf*((x1_cf+cx1_cf/2)/2)/1000)/Bm_cf)+cy1_cf*D79*((wa_cf+wb_cf*((x1_cf+cx1_cf/2)+D79/2)/1000)/Bm_cf)+PI()*D79^2/2*((wa_cf+wb_cf*((x1_cf+cx1_cf/2)+4*D79/(3*PI()))/1000)/Bm_cf))/1E6)*1000/((cy1_cf+PI()*D79+2*((x1_cf-cx1_cf/2)+cx1_cf))*dp_cf)/(vRdc_p*2*dp_cf/D79),0)</f>
        <v/>
      </c>
      <c r="H79">
        <f>IF(L78&lt;M78,J78,H78)</f>
        <v/>
      </c>
      <c r="I79">
        <f>IF(L78&lt;M78,I78,K78)</f>
        <v/>
      </c>
      <c r="J79">
        <f>I79-((SQRT(5)-1)/2)*(I79-H79)</f>
        <v/>
      </c>
      <c r="K79">
        <f>H79+((SQRT(5)-1)/2)*(I79-H79)</f>
        <v/>
      </c>
      <c r="L79">
        <f>IFERROR(beta_cf*MAX(0,P1_cf-(((cx1_cf+2*J79)*(((B_cf-cy1_cf)/2)+cy1_cf)+cx1_cf*J79+PI()*J79^2/2)*((wa_cf+wb_cf*(x1_cf)/1000)/Bm_cf))/1E6)*1000/((cx1_cf+PI()*J79+2*(((B_cf-cy1_cf)/2)+cy1_cf))*dp_cf)/(vRdc_p*2*dp_cf/J79),0)</f>
        <v/>
      </c>
      <c r="M79">
        <f>IFERROR(beta_cf*MAX(0,P1_cf-(((cx1_cf+2*K79)*(((B_cf-cy1_cf)/2)+cy1_cf)+cx1_cf*K79+PI()*K79^2/2)*((wa_cf+wb_cf*(x1_cf)/1000)/Bm_cf))/1E6)*1000/((cx1_cf+PI()*K79+2*(((B_cf-cy1_cf)/2)+cy1_cf))*dp_cf)/(vRdc_p*2*dp_cf/K79),0)</f>
        <v/>
      </c>
      <c r="O79">
        <f>IF(S78&lt;T78,Q78,O78)</f>
        <v/>
      </c>
      <c r="P79">
        <f>IF(S78&lt;T78,P78,R78)</f>
        <v/>
      </c>
      <c r="Q79">
        <f>P79-((SQRT(5)-1)/2)*(P79-O79)</f>
        <v/>
      </c>
      <c r="R79">
        <f>O79+((SQRT(5)-1)/2)*(P79-O79)</f>
        <v/>
      </c>
      <c r="S79">
        <f>IFERROR(beta_cf*MAX(0,P1_cf-(((x1_cf-cx1_cf/2)+cx1_cf)*(((B_cf-cy1_cf)/2)+cy1_cf+Q79)*((wa_cf+wb_cf*((x1_cf+cx1_cf/2)/2)/1000)/Bm_cf)+(((B_cf-cy1_cf)/2)+cy1_cf)*Q79*((wa_cf+wb_cf*((x1_cf+cx1_cf/2)+Q79/2)/1000)/Bm_cf)+PI()*Q79^2/4*((wa_cf+wb_cf*((x1_cf+cx1_cf/2)+4*Q79/(3*PI()))/1000)/Bm_cf))/1E6)*1000/(((x1_cf-cx1_cf/2)+cx1_cf+((B_cf-cy1_cf)/2)+cy1_cf+PI()*Q79/2)*dp_cf)/(vRdc_p*2*dp_cf/Q79),0)</f>
        <v/>
      </c>
      <c r="T79">
        <f>IFERROR(beta_cf*MAX(0,P1_cf-(((x1_cf-cx1_cf/2)+cx1_cf)*(((B_cf-cy1_cf)/2)+cy1_cf+R79)*((wa_cf+wb_cf*((x1_cf+cx1_cf/2)/2)/1000)/Bm_cf)+(((B_cf-cy1_cf)/2)+cy1_cf)*R79*((wa_cf+wb_cf*((x1_cf+cx1_cf/2)+R79/2)/1000)/Bm_cf)+PI()*R79^2/4*((wa_cf+wb_cf*((x1_cf+cx1_cf/2)+4*R79/(3*PI()))/1000)/Bm_cf))/1E6)*1000/(((x1_cf-cx1_cf/2)+cx1_cf+((B_cf-cy1_cf)/2)+cy1_cf+PI()*R79/2)*dp_cf)/(vRdc_p*2*dp_cf/R79),0)</f>
        <v/>
      </c>
      <c r="V79">
        <f>IF(Z78&lt;AA78,X78,V78)</f>
        <v/>
      </c>
      <c r="W79">
        <f>IF(Z78&lt;AA78,W78,Y78)</f>
        <v/>
      </c>
      <c r="X79">
        <f>W79-((SQRT(5)-1)/2)*(W79-V79)</f>
        <v/>
      </c>
      <c r="Y79">
        <f>V79+((SQRT(5)-1)/2)*(W79-V79)</f>
        <v/>
      </c>
      <c r="Z79">
        <f>IFERROR(beta_cf*MAX(0,P2_cf-(((L_cf-x2_cf-cx2_cf/2)+cx2_cf)*(cy2_cf+2*X79)*((wa_cf+wb_cf*(((x2_cf-cx2_cf/2)+L_cf)/2)/1000)/Bm_cf)+cy2_cf*X79*((wa_cf+wb_cf*((x2_cf-cx2_cf/2)-X79/2)/1000)/Bm_cf)+PI()*X79^2/2*((wa_cf+wb_cf*((x2_cf-cx2_cf/2)-4*X79/(3*PI()))/1000)/Bm_cf))/1E6)*1000/((cy2_cf+PI()*X79+2*((L_cf-x2_cf-cx2_cf/2)+cx2_cf))*dp_cf)/(vRdc_p*2*dp_cf/X79),0)</f>
        <v/>
      </c>
      <c r="AA79">
        <f>IFERROR(beta_cf*MAX(0,P2_cf-(((L_cf-x2_cf-cx2_cf/2)+cx2_cf)*(cy2_cf+2*Y79)*((wa_cf+wb_cf*(((x2_cf-cx2_cf/2)+L_cf)/2)/1000)/Bm_cf)+cy2_cf*Y79*((wa_cf+wb_cf*((x2_cf-cx2_cf/2)-Y79/2)/1000)/Bm_cf)+PI()*Y79^2/2*((wa_cf+wb_cf*((x2_cf-cx2_cf/2)-4*Y79/(3*PI()))/1000)/Bm_cf))/1E6)*1000/((cy2_cf+PI()*Y79+2*((L_cf-x2_cf-cx2_cf/2)+cx2_cf))*dp_cf)/(vRdc_p*2*dp_cf/Y79),0)</f>
        <v/>
      </c>
      <c r="AC79">
        <f>IF(AG78&lt;AH78,AE78,AC78)</f>
        <v/>
      </c>
      <c r="AD79">
        <f>IF(AG78&lt;AH78,AD78,AF78)</f>
        <v/>
      </c>
      <c r="AE79">
        <f>AD79-((SQRT(5)-1)/2)*(AD79-AC79)</f>
        <v/>
      </c>
      <c r="AF79">
        <f>AC79+((SQRT(5)-1)/2)*(AD79-AC79)</f>
        <v/>
      </c>
      <c r="AG79">
        <f>IFERROR(beta_cf*MAX(0,P2_cf-(((cx2_cf+2*AE79)*(((B_cf-cy2_cf)/2)+cy2_cf)+cx2_cf*AE79+PI()*AE79^2/2)*((wa_cf+wb_cf*(x2_cf)/1000)/Bm_cf))/1E6)*1000/((cx2_cf+PI()*AE79+2*(((B_cf-cy2_cf)/2)+cy2_cf))*dp_cf)/(vRdc_p*2*dp_cf/AE79),0)</f>
        <v/>
      </c>
      <c r="AH79">
        <f>IFERROR(beta_cf*MAX(0,P2_cf-(((cx2_cf+2*AF79)*(((B_cf-cy2_cf)/2)+cy2_cf)+cx2_cf*AF79+PI()*AF79^2/2)*((wa_cf+wb_cf*(x2_cf)/1000)/Bm_cf))/1E6)*1000/((cx2_cf+PI()*AF79+2*(((B_cf-cy2_cf)/2)+cy2_cf))*dp_cf)/(vRdc_p*2*dp_cf/AF79),0)</f>
        <v/>
      </c>
      <c r="AJ79">
        <f>IF(AN78&lt;AO78,AL78,AJ78)</f>
        <v/>
      </c>
      <c r="AK79">
        <f>IF(AN78&lt;AO78,AK78,AM78)</f>
        <v/>
      </c>
      <c r="AL79">
        <f>AK79-((SQRT(5)-1)/2)*(AK79-AJ79)</f>
        <v/>
      </c>
      <c r="AM79">
        <f>AJ79+((SQRT(5)-1)/2)*(AK79-AJ79)</f>
        <v/>
      </c>
      <c r="AN79">
        <f>IFERROR(beta_cf*MAX(0,P2_cf-(((L_cf-x2_cf-cx2_cf/2)+cx2_cf)*(((B_cf-cy2_cf)/2)+cy2_cf+AL79)*((wa_cf+wb_cf*(((x2_cf-cx2_cf/2)+L_cf)/2)/1000)/Bm_cf)+(((B_cf-cy2_cf)/2)+cy2_cf)*AL79*((wa_cf+wb_cf*((x2_cf-cx2_cf/2)-AL79/2)/1000)/Bm_cf)+PI()*AL79^2/4*((wa_cf+wb_cf*((x2_cf-cx2_cf/2)-4*AL79/(3*PI()))/1000)/Bm_cf))/1E6)*1000/(((L_cf-x2_cf-cx2_cf/2)+cx2_cf+((B_cf-cy2_cf)/2)+cy2_cf+PI()*AL79/2)*dp_cf)/(vRdc_p*2*dp_cf/AL79),0)</f>
        <v/>
      </c>
      <c r="AO79">
        <f>IFERROR(beta_cf*MAX(0,P2_cf-(((L_cf-x2_cf-cx2_cf/2)+cx2_cf)*(((B_cf-cy2_cf)/2)+cy2_cf+AM79)*((wa_cf+wb_cf*(((x2_cf-cx2_cf/2)+L_cf)/2)/1000)/Bm_cf)+(((B_cf-cy2_cf)/2)+cy2_cf)*AM79*((wa_cf+wb_cf*((x2_cf-cx2_cf/2)-AM79/2)/1000)/Bm_cf)+PI()*AM79^2/4*((wa_cf+wb_cf*((x2_cf-cx2_cf/2)-4*AM79/(3*PI()))/1000)/Bm_cf))/1E6)*1000/(((L_cf-x2_cf-cx2_cf/2)+cx2_cf+((B_cf-cy2_cf)/2)+cy2_cf+PI()*AM79/2)*dp_cf)/(vRdc_p*2*dp_cf/AM79),0)</f>
        <v/>
      </c>
    </row>
    <row r="80">
      <c r="A80">
        <f>IF(E79&lt;F79,C79,A79)</f>
        <v/>
      </c>
      <c r="B80">
        <f>IF(E79&lt;F79,B79,D79)</f>
        <v/>
      </c>
      <c r="C80">
        <f>B80-((SQRT(5)-1)/2)*(B80-A80)</f>
        <v/>
      </c>
      <c r="D80">
        <f>A80+((SQRT(5)-1)/2)*(B80-A80)</f>
        <v/>
      </c>
      <c r="E80">
        <f>IFERROR(beta_cf*MAX(0,P1_cf-(((x1_cf-cx1_cf/2)+cx1_cf)*(cy1_cf+2*C80)*((wa_cf+wb_cf*((x1_cf+cx1_cf/2)/2)/1000)/Bm_cf)+cy1_cf*C80*((wa_cf+wb_cf*((x1_cf+cx1_cf/2)+C80/2)/1000)/Bm_cf)+PI()*C80^2/2*((wa_cf+wb_cf*((x1_cf+cx1_cf/2)+4*C80/(3*PI()))/1000)/Bm_cf))/1E6)*1000/((cy1_cf+PI()*C80+2*((x1_cf-cx1_cf/2)+cx1_cf))*dp_cf)/(vRdc_p*2*dp_cf/C80),0)</f>
        <v/>
      </c>
      <c r="F80">
        <f>IFERROR(beta_cf*MAX(0,P1_cf-(((x1_cf-cx1_cf/2)+cx1_cf)*(cy1_cf+2*D80)*((wa_cf+wb_cf*((x1_cf+cx1_cf/2)/2)/1000)/Bm_cf)+cy1_cf*D80*((wa_cf+wb_cf*((x1_cf+cx1_cf/2)+D80/2)/1000)/Bm_cf)+PI()*D80^2/2*((wa_cf+wb_cf*((x1_cf+cx1_cf/2)+4*D80/(3*PI()))/1000)/Bm_cf))/1E6)*1000/((cy1_cf+PI()*D80+2*((x1_cf-cx1_cf/2)+cx1_cf))*dp_cf)/(vRdc_p*2*dp_cf/D80),0)</f>
        <v/>
      </c>
      <c r="H80">
        <f>IF(L79&lt;M79,J79,H79)</f>
        <v/>
      </c>
      <c r="I80">
        <f>IF(L79&lt;M79,I79,K79)</f>
        <v/>
      </c>
      <c r="J80">
        <f>I80-((SQRT(5)-1)/2)*(I80-H80)</f>
        <v/>
      </c>
      <c r="K80">
        <f>H80+((SQRT(5)-1)/2)*(I80-H80)</f>
        <v/>
      </c>
      <c r="L80">
        <f>IFERROR(beta_cf*MAX(0,P1_cf-(((cx1_cf+2*J80)*(((B_cf-cy1_cf)/2)+cy1_cf)+cx1_cf*J80+PI()*J80^2/2)*((wa_cf+wb_cf*(x1_cf)/1000)/Bm_cf))/1E6)*1000/((cx1_cf+PI()*J80+2*(((B_cf-cy1_cf)/2)+cy1_cf))*dp_cf)/(vRdc_p*2*dp_cf/J80),0)</f>
        <v/>
      </c>
      <c r="M80">
        <f>IFERROR(beta_cf*MAX(0,P1_cf-(((cx1_cf+2*K80)*(((B_cf-cy1_cf)/2)+cy1_cf)+cx1_cf*K80+PI()*K80^2/2)*((wa_cf+wb_cf*(x1_cf)/1000)/Bm_cf))/1E6)*1000/((cx1_cf+PI()*K80+2*(((B_cf-cy1_cf)/2)+cy1_cf))*dp_cf)/(vRdc_p*2*dp_cf/K80),0)</f>
        <v/>
      </c>
      <c r="O80">
        <f>IF(S79&lt;T79,Q79,O79)</f>
        <v/>
      </c>
      <c r="P80">
        <f>IF(S79&lt;T79,P79,R79)</f>
        <v/>
      </c>
      <c r="Q80">
        <f>P80-((SQRT(5)-1)/2)*(P80-O80)</f>
        <v/>
      </c>
      <c r="R80">
        <f>O80+((SQRT(5)-1)/2)*(P80-O80)</f>
        <v/>
      </c>
      <c r="S80">
        <f>IFERROR(beta_cf*MAX(0,P1_cf-(((x1_cf-cx1_cf/2)+cx1_cf)*(((B_cf-cy1_cf)/2)+cy1_cf+Q80)*((wa_cf+wb_cf*((x1_cf+cx1_cf/2)/2)/1000)/Bm_cf)+(((B_cf-cy1_cf)/2)+cy1_cf)*Q80*((wa_cf+wb_cf*((x1_cf+cx1_cf/2)+Q80/2)/1000)/Bm_cf)+PI()*Q80^2/4*((wa_cf+wb_cf*((x1_cf+cx1_cf/2)+4*Q80/(3*PI()))/1000)/Bm_cf))/1E6)*1000/(((x1_cf-cx1_cf/2)+cx1_cf+((B_cf-cy1_cf)/2)+cy1_cf+PI()*Q80/2)*dp_cf)/(vRdc_p*2*dp_cf/Q80),0)</f>
        <v/>
      </c>
      <c r="T80">
        <f>IFERROR(beta_cf*MAX(0,P1_cf-(((x1_cf-cx1_cf/2)+cx1_cf)*(((B_cf-cy1_cf)/2)+cy1_cf+R80)*((wa_cf+wb_cf*((x1_cf+cx1_cf/2)/2)/1000)/Bm_cf)+(((B_cf-cy1_cf)/2)+cy1_cf)*R80*((wa_cf+wb_cf*((x1_cf+cx1_cf/2)+R80/2)/1000)/Bm_cf)+PI()*R80^2/4*((wa_cf+wb_cf*((x1_cf+cx1_cf/2)+4*R80/(3*PI()))/1000)/Bm_cf))/1E6)*1000/(((x1_cf-cx1_cf/2)+cx1_cf+((B_cf-cy1_cf)/2)+cy1_cf+PI()*R80/2)*dp_cf)/(vRdc_p*2*dp_cf/R80),0)</f>
        <v/>
      </c>
      <c r="V80">
        <f>IF(Z79&lt;AA79,X79,V79)</f>
        <v/>
      </c>
      <c r="W80">
        <f>IF(Z79&lt;AA79,W79,Y79)</f>
        <v/>
      </c>
      <c r="X80">
        <f>W80-((SQRT(5)-1)/2)*(W80-V80)</f>
        <v/>
      </c>
      <c r="Y80">
        <f>V80+((SQRT(5)-1)/2)*(W80-V80)</f>
        <v/>
      </c>
      <c r="Z80">
        <f>IFERROR(beta_cf*MAX(0,P2_cf-(((L_cf-x2_cf-cx2_cf/2)+cx2_cf)*(cy2_cf+2*X80)*((wa_cf+wb_cf*(((x2_cf-cx2_cf/2)+L_cf)/2)/1000)/Bm_cf)+cy2_cf*X80*((wa_cf+wb_cf*((x2_cf-cx2_cf/2)-X80/2)/1000)/Bm_cf)+PI()*X80^2/2*((wa_cf+wb_cf*((x2_cf-cx2_cf/2)-4*X80/(3*PI()))/1000)/Bm_cf))/1E6)*1000/((cy2_cf+PI()*X80+2*((L_cf-x2_cf-cx2_cf/2)+cx2_cf))*dp_cf)/(vRdc_p*2*dp_cf/X80),0)</f>
        <v/>
      </c>
      <c r="AA80">
        <f>IFERROR(beta_cf*MAX(0,P2_cf-(((L_cf-x2_cf-cx2_cf/2)+cx2_cf)*(cy2_cf+2*Y80)*((wa_cf+wb_cf*(((x2_cf-cx2_cf/2)+L_cf)/2)/1000)/Bm_cf)+cy2_cf*Y80*((wa_cf+wb_cf*((x2_cf-cx2_cf/2)-Y80/2)/1000)/Bm_cf)+PI()*Y80^2/2*((wa_cf+wb_cf*((x2_cf-cx2_cf/2)-4*Y80/(3*PI()))/1000)/Bm_cf))/1E6)*1000/((cy2_cf+PI()*Y80+2*((L_cf-x2_cf-cx2_cf/2)+cx2_cf))*dp_cf)/(vRdc_p*2*dp_cf/Y80),0)</f>
        <v/>
      </c>
      <c r="AC80">
        <f>IF(AG79&lt;AH79,AE79,AC79)</f>
        <v/>
      </c>
      <c r="AD80">
        <f>IF(AG79&lt;AH79,AD79,AF79)</f>
        <v/>
      </c>
      <c r="AE80">
        <f>AD80-((SQRT(5)-1)/2)*(AD80-AC80)</f>
        <v/>
      </c>
      <c r="AF80">
        <f>AC80+((SQRT(5)-1)/2)*(AD80-AC80)</f>
        <v/>
      </c>
      <c r="AG80">
        <f>IFERROR(beta_cf*MAX(0,P2_cf-(((cx2_cf+2*AE80)*(((B_cf-cy2_cf)/2)+cy2_cf)+cx2_cf*AE80+PI()*AE80^2/2)*((wa_cf+wb_cf*(x2_cf)/1000)/Bm_cf))/1E6)*1000/((cx2_cf+PI()*AE80+2*(((B_cf-cy2_cf)/2)+cy2_cf))*dp_cf)/(vRdc_p*2*dp_cf/AE80),0)</f>
        <v/>
      </c>
      <c r="AH80">
        <f>IFERROR(beta_cf*MAX(0,P2_cf-(((cx2_cf+2*AF80)*(((B_cf-cy2_cf)/2)+cy2_cf)+cx2_cf*AF80+PI()*AF80^2/2)*((wa_cf+wb_cf*(x2_cf)/1000)/Bm_cf))/1E6)*1000/((cx2_cf+PI()*AF80+2*(((B_cf-cy2_cf)/2)+cy2_cf))*dp_cf)/(vRdc_p*2*dp_cf/AF80),0)</f>
        <v/>
      </c>
      <c r="AJ80">
        <f>IF(AN79&lt;AO79,AL79,AJ79)</f>
        <v/>
      </c>
      <c r="AK80">
        <f>IF(AN79&lt;AO79,AK79,AM79)</f>
        <v/>
      </c>
      <c r="AL80">
        <f>AK80-((SQRT(5)-1)/2)*(AK80-AJ80)</f>
        <v/>
      </c>
      <c r="AM80">
        <f>AJ80+((SQRT(5)-1)/2)*(AK80-AJ80)</f>
        <v/>
      </c>
      <c r="AN80">
        <f>IFERROR(beta_cf*MAX(0,P2_cf-(((L_cf-x2_cf-cx2_cf/2)+cx2_cf)*(((B_cf-cy2_cf)/2)+cy2_cf+AL80)*((wa_cf+wb_cf*(((x2_cf-cx2_cf/2)+L_cf)/2)/1000)/Bm_cf)+(((B_cf-cy2_cf)/2)+cy2_cf)*AL80*((wa_cf+wb_cf*((x2_cf-cx2_cf/2)-AL80/2)/1000)/Bm_cf)+PI()*AL80^2/4*((wa_cf+wb_cf*((x2_cf-cx2_cf/2)-4*AL80/(3*PI()))/1000)/Bm_cf))/1E6)*1000/(((L_cf-x2_cf-cx2_cf/2)+cx2_cf+((B_cf-cy2_cf)/2)+cy2_cf+PI()*AL80/2)*dp_cf)/(vRdc_p*2*dp_cf/AL80),0)</f>
        <v/>
      </c>
      <c r="AO80">
        <f>IFERROR(beta_cf*MAX(0,P2_cf-(((L_cf-x2_cf-cx2_cf/2)+cx2_cf)*(((B_cf-cy2_cf)/2)+cy2_cf+AM80)*((wa_cf+wb_cf*(((x2_cf-cx2_cf/2)+L_cf)/2)/1000)/Bm_cf)+(((B_cf-cy2_cf)/2)+cy2_cf)*AM80*((wa_cf+wb_cf*((x2_cf-cx2_cf/2)-AM80/2)/1000)/Bm_cf)+PI()*AM80^2/4*((wa_cf+wb_cf*((x2_cf-cx2_cf/2)-4*AM80/(3*PI()))/1000)/Bm_cf))/1E6)*1000/(((L_cf-x2_cf-cx2_cf/2)+cx2_cf+((B_cf-cy2_cf)/2)+cy2_cf+PI()*AM80/2)*dp_cf)/(vRdc_p*2*dp_cf/AM80),0)</f>
        <v/>
      </c>
    </row>
    <row r="81">
      <c r="A81">
        <f>IF(E80&lt;F80,C80,A80)</f>
        <v/>
      </c>
      <c r="B81">
        <f>IF(E80&lt;F80,B80,D80)</f>
        <v/>
      </c>
      <c r="C81">
        <f>B81-((SQRT(5)-1)/2)*(B81-A81)</f>
        <v/>
      </c>
      <c r="D81">
        <f>A81+((SQRT(5)-1)/2)*(B81-A81)</f>
        <v/>
      </c>
      <c r="E81">
        <f>IFERROR(beta_cf*MAX(0,P1_cf-(((x1_cf-cx1_cf/2)+cx1_cf)*(cy1_cf+2*C81)*((wa_cf+wb_cf*((x1_cf+cx1_cf/2)/2)/1000)/Bm_cf)+cy1_cf*C81*((wa_cf+wb_cf*((x1_cf+cx1_cf/2)+C81/2)/1000)/Bm_cf)+PI()*C81^2/2*((wa_cf+wb_cf*((x1_cf+cx1_cf/2)+4*C81/(3*PI()))/1000)/Bm_cf))/1E6)*1000/((cy1_cf+PI()*C81+2*((x1_cf-cx1_cf/2)+cx1_cf))*dp_cf)/(vRdc_p*2*dp_cf/C81),0)</f>
        <v/>
      </c>
      <c r="F81">
        <f>IFERROR(beta_cf*MAX(0,P1_cf-(((x1_cf-cx1_cf/2)+cx1_cf)*(cy1_cf+2*D81)*((wa_cf+wb_cf*((x1_cf+cx1_cf/2)/2)/1000)/Bm_cf)+cy1_cf*D81*((wa_cf+wb_cf*((x1_cf+cx1_cf/2)+D81/2)/1000)/Bm_cf)+PI()*D81^2/2*((wa_cf+wb_cf*((x1_cf+cx1_cf/2)+4*D81/(3*PI()))/1000)/Bm_cf))/1E6)*1000/((cy1_cf+PI()*D81+2*((x1_cf-cx1_cf/2)+cx1_cf))*dp_cf)/(vRdc_p*2*dp_cf/D81),0)</f>
        <v/>
      </c>
      <c r="H81">
        <f>IF(L80&lt;M80,J80,H80)</f>
        <v/>
      </c>
      <c r="I81">
        <f>IF(L80&lt;M80,I80,K80)</f>
        <v/>
      </c>
      <c r="J81">
        <f>I81-((SQRT(5)-1)/2)*(I81-H81)</f>
        <v/>
      </c>
      <c r="K81">
        <f>H81+((SQRT(5)-1)/2)*(I81-H81)</f>
        <v/>
      </c>
      <c r="L81">
        <f>IFERROR(beta_cf*MAX(0,P1_cf-(((cx1_cf+2*J81)*(((B_cf-cy1_cf)/2)+cy1_cf)+cx1_cf*J81+PI()*J81^2/2)*((wa_cf+wb_cf*(x1_cf)/1000)/Bm_cf))/1E6)*1000/((cx1_cf+PI()*J81+2*(((B_cf-cy1_cf)/2)+cy1_cf))*dp_cf)/(vRdc_p*2*dp_cf/J81),0)</f>
        <v/>
      </c>
      <c r="M81">
        <f>IFERROR(beta_cf*MAX(0,P1_cf-(((cx1_cf+2*K81)*(((B_cf-cy1_cf)/2)+cy1_cf)+cx1_cf*K81+PI()*K81^2/2)*((wa_cf+wb_cf*(x1_cf)/1000)/Bm_cf))/1E6)*1000/((cx1_cf+PI()*K81+2*(((B_cf-cy1_cf)/2)+cy1_cf))*dp_cf)/(vRdc_p*2*dp_cf/K81),0)</f>
        <v/>
      </c>
      <c r="O81">
        <f>IF(S80&lt;T80,Q80,O80)</f>
        <v/>
      </c>
      <c r="P81">
        <f>IF(S80&lt;T80,P80,R80)</f>
        <v/>
      </c>
      <c r="Q81">
        <f>P81-((SQRT(5)-1)/2)*(P81-O81)</f>
        <v/>
      </c>
      <c r="R81">
        <f>O81+((SQRT(5)-1)/2)*(P81-O81)</f>
        <v/>
      </c>
      <c r="S81">
        <f>IFERROR(beta_cf*MAX(0,P1_cf-(((x1_cf-cx1_cf/2)+cx1_cf)*(((B_cf-cy1_cf)/2)+cy1_cf+Q81)*((wa_cf+wb_cf*((x1_cf+cx1_cf/2)/2)/1000)/Bm_cf)+(((B_cf-cy1_cf)/2)+cy1_cf)*Q81*((wa_cf+wb_cf*((x1_cf+cx1_cf/2)+Q81/2)/1000)/Bm_cf)+PI()*Q81^2/4*((wa_cf+wb_cf*((x1_cf+cx1_cf/2)+4*Q81/(3*PI()))/1000)/Bm_cf))/1E6)*1000/(((x1_cf-cx1_cf/2)+cx1_cf+((B_cf-cy1_cf)/2)+cy1_cf+PI()*Q81/2)*dp_cf)/(vRdc_p*2*dp_cf/Q81),0)</f>
        <v/>
      </c>
      <c r="T81">
        <f>IFERROR(beta_cf*MAX(0,P1_cf-(((x1_cf-cx1_cf/2)+cx1_cf)*(((B_cf-cy1_cf)/2)+cy1_cf+R81)*((wa_cf+wb_cf*((x1_cf+cx1_cf/2)/2)/1000)/Bm_cf)+(((B_cf-cy1_cf)/2)+cy1_cf)*R81*((wa_cf+wb_cf*((x1_cf+cx1_cf/2)+R81/2)/1000)/Bm_cf)+PI()*R81^2/4*((wa_cf+wb_cf*((x1_cf+cx1_cf/2)+4*R81/(3*PI()))/1000)/Bm_cf))/1E6)*1000/(((x1_cf-cx1_cf/2)+cx1_cf+((B_cf-cy1_cf)/2)+cy1_cf+PI()*R81/2)*dp_cf)/(vRdc_p*2*dp_cf/R81),0)</f>
        <v/>
      </c>
      <c r="V81">
        <f>IF(Z80&lt;AA80,X80,V80)</f>
        <v/>
      </c>
      <c r="W81">
        <f>IF(Z80&lt;AA80,W80,Y80)</f>
        <v/>
      </c>
      <c r="X81">
        <f>W81-((SQRT(5)-1)/2)*(W81-V81)</f>
        <v/>
      </c>
      <c r="Y81">
        <f>V81+((SQRT(5)-1)/2)*(W81-V81)</f>
        <v/>
      </c>
      <c r="Z81">
        <f>IFERROR(beta_cf*MAX(0,P2_cf-(((L_cf-x2_cf-cx2_cf/2)+cx2_cf)*(cy2_cf+2*X81)*((wa_cf+wb_cf*(((x2_cf-cx2_cf/2)+L_cf)/2)/1000)/Bm_cf)+cy2_cf*X81*((wa_cf+wb_cf*((x2_cf-cx2_cf/2)-X81/2)/1000)/Bm_cf)+PI()*X81^2/2*((wa_cf+wb_cf*((x2_cf-cx2_cf/2)-4*X81/(3*PI()))/1000)/Bm_cf))/1E6)*1000/((cy2_cf+PI()*X81+2*((L_cf-x2_cf-cx2_cf/2)+cx2_cf))*dp_cf)/(vRdc_p*2*dp_cf/X81),0)</f>
        <v/>
      </c>
      <c r="AA81">
        <f>IFERROR(beta_cf*MAX(0,P2_cf-(((L_cf-x2_cf-cx2_cf/2)+cx2_cf)*(cy2_cf+2*Y81)*((wa_cf+wb_cf*(((x2_cf-cx2_cf/2)+L_cf)/2)/1000)/Bm_cf)+cy2_cf*Y81*((wa_cf+wb_cf*((x2_cf-cx2_cf/2)-Y81/2)/1000)/Bm_cf)+PI()*Y81^2/2*((wa_cf+wb_cf*((x2_cf-cx2_cf/2)-4*Y81/(3*PI()))/1000)/Bm_cf))/1E6)*1000/((cy2_cf+PI()*Y81+2*((L_cf-x2_cf-cx2_cf/2)+cx2_cf))*dp_cf)/(vRdc_p*2*dp_cf/Y81),0)</f>
        <v/>
      </c>
      <c r="AC81">
        <f>IF(AG80&lt;AH80,AE80,AC80)</f>
        <v/>
      </c>
      <c r="AD81">
        <f>IF(AG80&lt;AH80,AD80,AF80)</f>
        <v/>
      </c>
      <c r="AE81">
        <f>AD81-((SQRT(5)-1)/2)*(AD81-AC81)</f>
        <v/>
      </c>
      <c r="AF81">
        <f>AC81+((SQRT(5)-1)/2)*(AD81-AC81)</f>
        <v/>
      </c>
      <c r="AG81">
        <f>IFERROR(beta_cf*MAX(0,P2_cf-(((cx2_cf+2*AE81)*(((B_cf-cy2_cf)/2)+cy2_cf)+cx2_cf*AE81+PI()*AE81^2/2)*((wa_cf+wb_cf*(x2_cf)/1000)/Bm_cf))/1E6)*1000/((cx2_cf+PI()*AE81+2*(((B_cf-cy2_cf)/2)+cy2_cf))*dp_cf)/(vRdc_p*2*dp_cf/AE81),0)</f>
        <v/>
      </c>
      <c r="AH81">
        <f>IFERROR(beta_cf*MAX(0,P2_cf-(((cx2_cf+2*AF81)*(((B_cf-cy2_cf)/2)+cy2_cf)+cx2_cf*AF81+PI()*AF81^2/2)*((wa_cf+wb_cf*(x2_cf)/1000)/Bm_cf))/1E6)*1000/((cx2_cf+PI()*AF81+2*(((B_cf-cy2_cf)/2)+cy2_cf))*dp_cf)/(vRdc_p*2*dp_cf/AF81),0)</f>
        <v/>
      </c>
      <c r="AJ81">
        <f>IF(AN80&lt;AO80,AL80,AJ80)</f>
        <v/>
      </c>
      <c r="AK81">
        <f>IF(AN80&lt;AO80,AK80,AM80)</f>
        <v/>
      </c>
      <c r="AL81">
        <f>AK81-((SQRT(5)-1)/2)*(AK81-AJ81)</f>
        <v/>
      </c>
      <c r="AM81">
        <f>AJ81+((SQRT(5)-1)/2)*(AK81-AJ81)</f>
        <v/>
      </c>
      <c r="AN81">
        <f>IFERROR(beta_cf*MAX(0,P2_cf-(((L_cf-x2_cf-cx2_cf/2)+cx2_cf)*(((B_cf-cy2_cf)/2)+cy2_cf+AL81)*((wa_cf+wb_cf*(((x2_cf-cx2_cf/2)+L_cf)/2)/1000)/Bm_cf)+(((B_cf-cy2_cf)/2)+cy2_cf)*AL81*((wa_cf+wb_cf*((x2_cf-cx2_cf/2)-AL81/2)/1000)/Bm_cf)+PI()*AL81^2/4*((wa_cf+wb_cf*((x2_cf-cx2_cf/2)-4*AL81/(3*PI()))/1000)/Bm_cf))/1E6)*1000/(((L_cf-x2_cf-cx2_cf/2)+cx2_cf+((B_cf-cy2_cf)/2)+cy2_cf+PI()*AL81/2)*dp_cf)/(vRdc_p*2*dp_cf/AL81),0)</f>
        <v/>
      </c>
      <c r="AO81">
        <f>IFERROR(beta_cf*MAX(0,P2_cf-(((L_cf-x2_cf-cx2_cf/2)+cx2_cf)*(((B_cf-cy2_cf)/2)+cy2_cf+AM81)*((wa_cf+wb_cf*(((x2_cf-cx2_cf/2)+L_cf)/2)/1000)/Bm_cf)+(((B_cf-cy2_cf)/2)+cy2_cf)*AM81*((wa_cf+wb_cf*((x2_cf-cx2_cf/2)-AM81/2)/1000)/Bm_cf)+PI()*AM81^2/4*((wa_cf+wb_cf*((x2_cf-cx2_cf/2)-4*AM81/(3*PI()))/1000)/Bm_cf))/1E6)*1000/(((L_cf-x2_cf-cx2_cf/2)+cx2_cf+((B_cf-cy2_cf)/2)+cy2_cf+PI()*AM81/2)*dp_cf)/(vRdc_p*2*dp_cf/AM81),0)</f>
        <v/>
      </c>
    </row>
    <row r="82">
      <c r="A82">
        <f>IF(E81&lt;F81,C81,A81)</f>
        <v/>
      </c>
      <c r="B82">
        <f>IF(E81&lt;F81,B81,D81)</f>
        <v/>
      </c>
      <c r="C82">
        <f>B82-((SQRT(5)-1)/2)*(B82-A82)</f>
        <v/>
      </c>
      <c r="D82">
        <f>A82+((SQRT(5)-1)/2)*(B82-A82)</f>
        <v/>
      </c>
      <c r="E82">
        <f>IFERROR(beta_cf*MAX(0,P1_cf-(((x1_cf-cx1_cf/2)+cx1_cf)*(cy1_cf+2*C82)*((wa_cf+wb_cf*((x1_cf+cx1_cf/2)/2)/1000)/Bm_cf)+cy1_cf*C82*((wa_cf+wb_cf*((x1_cf+cx1_cf/2)+C82/2)/1000)/Bm_cf)+PI()*C82^2/2*((wa_cf+wb_cf*((x1_cf+cx1_cf/2)+4*C82/(3*PI()))/1000)/Bm_cf))/1E6)*1000/((cy1_cf+PI()*C82+2*((x1_cf-cx1_cf/2)+cx1_cf))*dp_cf)/(vRdc_p*2*dp_cf/C82),0)</f>
        <v/>
      </c>
      <c r="F82">
        <f>IFERROR(beta_cf*MAX(0,P1_cf-(((x1_cf-cx1_cf/2)+cx1_cf)*(cy1_cf+2*D82)*((wa_cf+wb_cf*((x1_cf+cx1_cf/2)/2)/1000)/Bm_cf)+cy1_cf*D82*((wa_cf+wb_cf*((x1_cf+cx1_cf/2)+D82/2)/1000)/Bm_cf)+PI()*D82^2/2*((wa_cf+wb_cf*((x1_cf+cx1_cf/2)+4*D82/(3*PI()))/1000)/Bm_cf))/1E6)*1000/((cy1_cf+PI()*D82+2*((x1_cf-cx1_cf/2)+cx1_cf))*dp_cf)/(vRdc_p*2*dp_cf/D82),0)</f>
        <v/>
      </c>
      <c r="H82">
        <f>IF(L81&lt;M81,J81,H81)</f>
        <v/>
      </c>
      <c r="I82">
        <f>IF(L81&lt;M81,I81,K81)</f>
        <v/>
      </c>
      <c r="J82">
        <f>I82-((SQRT(5)-1)/2)*(I82-H82)</f>
        <v/>
      </c>
      <c r="K82">
        <f>H82+((SQRT(5)-1)/2)*(I82-H82)</f>
        <v/>
      </c>
      <c r="L82">
        <f>IFERROR(beta_cf*MAX(0,P1_cf-(((cx1_cf+2*J82)*(((B_cf-cy1_cf)/2)+cy1_cf)+cx1_cf*J82+PI()*J82^2/2)*((wa_cf+wb_cf*(x1_cf)/1000)/Bm_cf))/1E6)*1000/((cx1_cf+PI()*J82+2*(((B_cf-cy1_cf)/2)+cy1_cf))*dp_cf)/(vRdc_p*2*dp_cf/J82),0)</f>
        <v/>
      </c>
      <c r="M82">
        <f>IFERROR(beta_cf*MAX(0,P1_cf-(((cx1_cf+2*K82)*(((B_cf-cy1_cf)/2)+cy1_cf)+cx1_cf*K82+PI()*K82^2/2)*((wa_cf+wb_cf*(x1_cf)/1000)/Bm_cf))/1E6)*1000/((cx1_cf+PI()*K82+2*(((B_cf-cy1_cf)/2)+cy1_cf))*dp_cf)/(vRdc_p*2*dp_cf/K82),0)</f>
        <v/>
      </c>
      <c r="O82">
        <f>IF(S81&lt;T81,Q81,O81)</f>
        <v/>
      </c>
      <c r="P82">
        <f>IF(S81&lt;T81,P81,R81)</f>
        <v/>
      </c>
      <c r="Q82">
        <f>P82-((SQRT(5)-1)/2)*(P82-O82)</f>
        <v/>
      </c>
      <c r="R82">
        <f>O82+((SQRT(5)-1)/2)*(P82-O82)</f>
        <v/>
      </c>
      <c r="S82">
        <f>IFERROR(beta_cf*MAX(0,P1_cf-(((x1_cf-cx1_cf/2)+cx1_cf)*(((B_cf-cy1_cf)/2)+cy1_cf+Q82)*((wa_cf+wb_cf*((x1_cf+cx1_cf/2)/2)/1000)/Bm_cf)+(((B_cf-cy1_cf)/2)+cy1_cf)*Q82*((wa_cf+wb_cf*((x1_cf+cx1_cf/2)+Q82/2)/1000)/Bm_cf)+PI()*Q82^2/4*((wa_cf+wb_cf*((x1_cf+cx1_cf/2)+4*Q82/(3*PI()))/1000)/Bm_cf))/1E6)*1000/(((x1_cf-cx1_cf/2)+cx1_cf+((B_cf-cy1_cf)/2)+cy1_cf+PI()*Q82/2)*dp_cf)/(vRdc_p*2*dp_cf/Q82),0)</f>
        <v/>
      </c>
      <c r="T82">
        <f>IFERROR(beta_cf*MAX(0,P1_cf-(((x1_cf-cx1_cf/2)+cx1_cf)*(((B_cf-cy1_cf)/2)+cy1_cf+R82)*((wa_cf+wb_cf*((x1_cf+cx1_cf/2)/2)/1000)/Bm_cf)+(((B_cf-cy1_cf)/2)+cy1_cf)*R82*((wa_cf+wb_cf*((x1_cf+cx1_cf/2)+R82/2)/1000)/Bm_cf)+PI()*R82^2/4*((wa_cf+wb_cf*((x1_cf+cx1_cf/2)+4*R82/(3*PI()))/1000)/Bm_cf))/1E6)*1000/(((x1_cf-cx1_cf/2)+cx1_cf+((B_cf-cy1_cf)/2)+cy1_cf+PI()*R82/2)*dp_cf)/(vRdc_p*2*dp_cf/R82),0)</f>
        <v/>
      </c>
      <c r="V82">
        <f>IF(Z81&lt;AA81,X81,V81)</f>
        <v/>
      </c>
      <c r="W82">
        <f>IF(Z81&lt;AA81,W81,Y81)</f>
        <v/>
      </c>
      <c r="X82">
        <f>W82-((SQRT(5)-1)/2)*(W82-V82)</f>
        <v/>
      </c>
      <c r="Y82">
        <f>V82+((SQRT(5)-1)/2)*(W82-V82)</f>
        <v/>
      </c>
      <c r="Z82">
        <f>IFERROR(beta_cf*MAX(0,P2_cf-(((L_cf-x2_cf-cx2_cf/2)+cx2_cf)*(cy2_cf+2*X82)*((wa_cf+wb_cf*(((x2_cf-cx2_cf/2)+L_cf)/2)/1000)/Bm_cf)+cy2_cf*X82*((wa_cf+wb_cf*((x2_cf-cx2_cf/2)-X82/2)/1000)/Bm_cf)+PI()*X82^2/2*((wa_cf+wb_cf*((x2_cf-cx2_cf/2)-4*X82/(3*PI()))/1000)/Bm_cf))/1E6)*1000/((cy2_cf+PI()*X82+2*((L_cf-x2_cf-cx2_cf/2)+cx2_cf))*dp_cf)/(vRdc_p*2*dp_cf/X82),0)</f>
        <v/>
      </c>
      <c r="AA82">
        <f>IFERROR(beta_cf*MAX(0,P2_cf-(((L_cf-x2_cf-cx2_cf/2)+cx2_cf)*(cy2_cf+2*Y82)*((wa_cf+wb_cf*(((x2_cf-cx2_cf/2)+L_cf)/2)/1000)/Bm_cf)+cy2_cf*Y82*((wa_cf+wb_cf*((x2_cf-cx2_cf/2)-Y82/2)/1000)/Bm_cf)+PI()*Y82^2/2*((wa_cf+wb_cf*((x2_cf-cx2_cf/2)-4*Y82/(3*PI()))/1000)/Bm_cf))/1E6)*1000/((cy2_cf+PI()*Y82+2*((L_cf-x2_cf-cx2_cf/2)+cx2_cf))*dp_cf)/(vRdc_p*2*dp_cf/Y82),0)</f>
        <v/>
      </c>
      <c r="AC82">
        <f>IF(AG81&lt;AH81,AE81,AC81)</f>
        <v/>
      </c>
      <c r="AD82">
        <f>IF(AG81&lt;AH81,AD81,AF81)</f>
        <v/>
      </c>
      <c r="AE82">
        <f>AD82-((SQRT(5)-1)/2)*(AD82-AC82)</f>
        <v/>
      </c>
      <c r="AF82">
        <f>AC82+((SQRT(5)-1)/2)*(AD82-AC82)</f>
        <v/>
      </c>
      <c r="AG82">
        <f>IFERROR(beta_cf*MAX(0,P2_cf-(((cx2_cf+2*AE82)*(((B_cf-cy2_cf)/2)+cy2_cf)+cx2_cf*AE82+PI()*AE82^2/2)*((wa_cf+wb_cf*(x2_cf)/1000)/Bm_cf))/1E6)*1000/((cx2_cf+PI()*AE82+2*(((B_cf-cy2_cf)/2)+cy2_cf))*dp_cf)/(vRdc_p*2*dp_cf/AE82),0)</f>
        <v/>
      </c>
      <c r="AH82">
        <f>IFERROR(beta_cf*MAX(0,P2_cf-(((cx2_cf+2*AF82)*(((B_cf-cy2_cf)/2)+cy2_cf)+cx2_cf*AF82+PI()*AF82^2/2)*((wa_cf+wb_cf*(x2_cf)/1000)/Bm_cf))/1E6)*1000/((cx2_cf+PI()*AF82+2*(((B_cf-cy2_cf)/2)+cy2_cf))*dp_cf)/(vRdc_p*2*dp_cf/AF82),0)</f>
        <v/>
      </c>
      <c r="AJ82">
        <f>IF(AN81&lt;AO81,AL81,AJ81)</f>
        <v/>
      </c>
      <c r="AK82">
        <f>IF(AN81&lt;AO81,AK81,AM81)</f>
        <v/>
      </c>
      <c r="AL82">
        <f>AK82-((SQRT(5)-1)/2)*(AK82-AJ82)</f>
        <v/>
      </c>
      <c r="AM82">
        <f>AJ82+((SQRT(5)-1)/2)*(AK82-AJ82)</f>
        <v/>
      </c>
      <c r="AN82">
        <f>IFERROR(beta_cf*MAX(0,P2_cf-(((L_cf-x2_cf-cx2_cf/2)+cx2_cf)*(((B_cf-cy2_cf)/2)+cy2_cf+AL82)*((wa_cf+wb_cf*(((x2_cf-cx2_cf/2)+L_cf)/2)/1000)/Bm_cf)+(((B_cf-cy2_cf)/2)+cy2_cf)*AL82*((wa_cf+wb_cf*((x2_cf-cx2_cf/2)-AL82/2)/1000)/Bm_cf)+PI()*AL82^2/4*((wa_cf+wb_cf*((x2_cf-cx2_cf/2)-4*AL82/(3*PI()))/1000)/Bm_cf))/1E6)*1000/(((L_cf-x2_cf-cx2_cf/2)+cx2_cf+((B_cf-cy2_cf)/2)+cy2_cf+PI()*AL82/2)*dp_cf)/(vRdc_p*2*dp_cf/AL82),0)</f>
        <v/>
      </c>
      <c r="AO82">
        <f>IFERROR(beta_cf*MAX(0,P2_cf-(((L_cf-x2_cf-cx2_cf/2)+cx2_cf)*(((B_cf-cy2_cf)/2)+cy2_cf+AM82)*((wa_cf+wb_cf*(((x2_cf-cx2_cf/2)+L_cf)/2)/1000)/Bm_cf)+(((B_cf-cy2_cf)/2)+cy2_cf)*AM82*((wa_cf+wb_cf*((x2_cf-cx2_cf/2)-AM82/2)/1000)/Bm_cf)+PI()*AM82^2/4*((wa_cf+wb_cf*((x2_cf-cx2_cf/2)-4*AM82/(3*PI()))/1000)/Bm_cf))/1E6)*1000/(((L_cf-x2_cf-cx2_cf/2)+cx2_cf+((B_cf-cy2_cf)/2)+cy2_cf+PI()*AM82/2)*dp_cf)/(vRdc_p*2*dp_cf/AM82),0)</f>
        <v/>
      </c>
    </row>
    <row r="83">
      <c r="A83">
        <f>IF(E82&lt;F82,C82,A82)</f>
        <v/>
      </c>
      <c r="B83">
        <f>IF(E82&lt;F82,B82,D82)</f>
        <v/>
      </c>
      <c r="C83">
        <f>B83-((SQRT(5)-1)/2)*(B83-A83)</f>
        <v/>
      </c>
      <c r="D83">
        <f>A83+((SQRT(5)-1)/2)*(B83-A83)</f>
        <v/>
      </c>
      <c r="E83">
        <f>IFERROR(beta_cf*MAX(0,P1_cf-(((x1_cf-cx1_cf/2)+cx1_cf)*(cy1_cf+2*C83)*((wa_cf+wb_cf*((x1_cf+cx1_cf/2)/2)/1000)/Bm_cf)+cy1_cf*C83*((wa_cf+wb_cf*((x1_cf+cx1_cf/2)+C83/2)/1000)/Bm_cf)+PI()*C83^2/2*((wa_cf+wb_cf*((x1_cf+cx1_cf/2)+4*C83/(3*PI()))/1000)/Bm_cf))/1E6)*1000/((cy1_cf+PI()*C83+2*((x1_cf-cx1_cf/2)+cx1_cf))*dp_cf)/(vRdc_p*2*dp_cf/C83),0)</f>
        <v/>
      </c>
      <c r="F83">
        <f>IFERROR(beta_cf*MAX(0,P1_cf-(((x1_cf-cx1_cf/2)+cx1_cf)*(cy1_cf+2*D83)*((wa_cf+wb_cf*((x1_cf+cx1_cf/2)/2)/1000)/Bm_cf)+cy1_cf*D83*((wa_cf+wb_cf*((x1_cf+cx1_cf/2)+D83/2)/1000)/Bm_cf)+PI()*D83^2/2*((wa_cf+wb_cf*((x1_cf+cx1_cf/2)+4*D83/(3*PI()))/1000)/Bm_cf))/1E6)*1000/((cy1_cf+PI()*D83+2*((x1_cf-cx1_cf/2)+cx1_cf))*dp_cf)/(vRdc_p*2*dp_cf/D83),0)</f>
        <v/>
      </c>
      <c r="H83">
        <f>IF(L82&lt;M82,J82,H82)</f>
        <v/>
      </c>
      <c r="I83">
        <f>IF(L82&lt;M82,I82,K82)</f>
        <v/>
      </c>
      <c r="J83">
        <f>I83-((SQRT(5)-1)/2)*(I83-H83)</f>
        <v/>
      </c>
      <c r="K83">
        <f>H83+((SQRT(5)-1)/2)*(I83-H83)</f>
        <v/>
      </c>
      <c r="L83">
        <f>IFERROR(beta_cf*MAX(0,P1_cf-(((cx1_cf+2*J83)*(((B_cf-cy1_cf)/2)+cy1_cf)+cx1_cf*J83+PI()*J83^2/2)*((wa_cf+wb_cf*(x1_cf)/1000)/Bm_cf))/1E6)*1000/((cx1_cf+PI()*J83+2*(((B_cf-cy1_cf)/2)+cy1_cf))*dp_cf)/(vRdc_p*2*dp_cf/J83),0)</f>
        <v/>
      </c>
      <c r="M83">
        <f>IFERROR(beta_cf*MAX(0,P1_cf-(((cx1_cf+2*K83)*(((B_cf-cy1_cf)/2)+cy1_cf)+cx1_cf*K83+PI()*K83^2/2)*((wa_cf+wb_cf*(x1_cf)/1000)/Bm_cf))/1E6)*1000/((cx1_cf+PI()*K83+2*(((B_cf-cy1_cf)/2)+cy1_cf))*dp_cf)/(vRdc_p*2*dp_cf/K83),0)</f>
        <v/>
      </c>
      <c r="O83">
        <f>IF(S82&lt;T82,Q82,O82)</f>
        <v/>
      </c>
      <c r="P83">
        <f>IF(S82&lt;T82,P82,R82)</f>
        <v/>
      </c>
      <c r="Q83">
        <f>P83-((SQRT(5)-1)/2)*(P83-O83)</f>
        <v/>
      </c>
      <c r="R83">
        <f>O83+((SQRT(5)-1)/2)*(P83-O83)</f>
        <v/>
      </c>
      <c r="S83">
        <f>IFERROR(beta_cf*MAX(0,P1_cf-(((x1_cf-cx1_cf/2)+cx1_cf)*(((B_cf-cy1_cf)/2)+cy1_cf+Q83)*((wa_cf+wb_cf*((x1_cf+cx1_cf/2)/2)/1000)/Bm_cf)+(((B_cf-cy1_cf)/2)+cy1_cf)*Q83*((wa_cf+wb_cf*((x1_cf+cx1_cf/2)+Q83/2)/1000)/Bm_cf)+PI()*Q83^2/4*((wa_cf+wb_cf*((x1_cf+cx1_cf/2)+4*Q83/(3*PI()))/1000)/Bm_cf))/1E6)*1000/(((x1_cf-cx1_cf/2)+cx1_cf+((B_cf-cy1_cf)/2)+cy1_cf+PI()*Q83/2)*dp_cf)/(vRdc_p*2*dp_cf/Q83),0)</f>
        <v/>
      </c>
      <c r="T83">
        <f>IFERROR(beta_cf*MAX(0,P1_cf-(((x1_cf-cx1_cf/2)+cx1_cf)*(((B_cf-cy1_cf)/2)+cy1_cf+R83)*((wa_cf+wb_cf*((x1_cf+cx1_cf/2)/2)/1000)/Bm_cf)+(((B_cf-cy1_cf)/2)+cy1_cf)*R83*((wa_cf+wb_cf*((x1_cf+cx1_cf/2)+R83/2)/1000)/Bm_cf)+PI()*R83^2/4*((wa_cf+wb_cf*((x1_cf+cx1_cf/2)+4*R83/(3*PI()))/1000)/Bm_cf))/1E6)*1000/(((x1_cf-cx1_cf/2)+cx1_cf+((B_cf-cy1_cf)/2)+cy1_cf+PI()*R83/2)*dp_cf)/(vRdc_p*2*dp_cf/R83),0)</f>
        <v/>
      </c>
      <c r="V83">
        <f>IF(Z82&lt;AA82,X82,V82)</f>
        <v/>
      </c>
      <c r="W83">
        <f>IF(Z82&lt;AA82,W82,Y82)</f>
        <v/>
      </c>
      <c r="X83">
        <f>W83-((SQRT(5)-1)/2)*(W83-V83)</f>
        <v/>
      </c>
      <c r="Y83">
        <f>V83+((SQRT(5)-1)/2)*(W83-V83)</f>
        <v/>
      </c>
      <c r="Z83">
        <f>IFERROR(beta_cf*MAX(0,P2_cf-(((L_cf-x2_cf-cx2_cf/2)+cx2_cf)*(cy2_cf+2*X83)*((wa_cf+wb_cf*(((x2_cf-cx2_cf/2)+L_cf)/2)/1000)/Bm_cf)+cy2_cf*X83*((wa_cf+wb_cf*((x2_cf-cx2_cf/2)-X83/2)/1000)/Bm_cf)+PI()*X83^2/2*((wa_cf+wb_cf*((x2_cf-cx2_cf/2)-4*X83/(3*PI()))/1000)/Bm_cf))/1E6)*1000/((cy2_cf+PI()*X83+2*((L_cf-x2_cf-cx2_cf/2)+cx2_cf))*dp_cf)/(vRdc_p*2*dp_cf/X83),0)</f>
        <v/>
      </c>
      <c r="AA83">
        <f>IFERROR(beta_cf*MAX(0,P2_cf-(((L_cf-x2_cf-cx2_cf/2)+cx2_cf)*(cy2_cf+2*Y83)*((wa_cf+wb_cf*(((x2_cf-cx2_cf/2)+L_cf)/2)/1000)/Bm_cf)+cy2_cf*Y83*((wa_cf+wb_cf*((x2_cf-cx2_cf/2)-Y83/2)/1000)/Bm_cf)+PI()*Y83^2/2*((wa_cf+wb_cf*((x2_cf-cx2_cf/2)-4*Y83/(3*PI()))/1000)/Bm_cf))/1E6)*1000/((cy2_cf+PI()*Y83+2*((L_cf-x2_cf-cx2_cf/2)+cx2_cf))*dp_cf)/(vRdc_p*2*dp_cf/Y83),0)</f>
        <v/>
      </c>
      <c r="AC83">
        <f>IF(AG82&lt;AH82,AE82,AC82)</f>
        <v/>
      </c>
      <c r="AD83">
        <f>IF(AG82&lt;AH82,AD82,AF82)</f>
        <v/>
      </c>
      <c r="AE83">
        <f>AD83-((SQRT(5)-1)/2)*(AD83-AC83)</f>
        <v/>
      </c>
      <c r="AF83">
        <f>AC83+((SQRT(5)-1)/2)*(AD83-AC83)</f>
        <v/>
      </c>
      <c r="AG83">
        <f>IFERROR(beta_cf*MAX(0,P2_cf-(((cx2_cf+2*AE83)*(((B_cf-cy2_cf)/2)+cy2_cf)+cx2_cf*AE83+PI()*AE83^2/2)*((wa_cf+wb_cf*(x2_cf)/1000)/Bm_cf))/1E6)*1000/((cx2_cf+PI()*AE83+2*(((B_cf-cy2_cf)/2)+cy2_cf))*dp_cf)/(vRdc_p*2*dp_cf/AE83),0)</f>
        <v/>
      </c>
      <c r="AH83">
        <f>IFERROR(beta_cf*MAX(0,P2_cf-(((cx2_cf+2*AF83)*(((B_cf-cy2_cf)/2)+cy2_cf)+cx2_cf*AF83+PI()*AF83^2/2)*((wa_cf+wb_cf*(x2_cf)/1000)/Bm_cf))/1E6)*1000/((cx2_cf+PI()*AF83+2*(((B_cf-cy2_cf)/2)+cy2_cf))*dp_cf)/(vRdc_p*2*dp_cf/AF83),0)</f>
        <v/>
      </c>
      <c r="AJ83">
        <f>IF(AN82&lt;AO82,AL82,AJ82)</f>
        <v/>
      </c>
      <c r="AK83">
        <f>IF(AN82&lt;AO82,AK82,AM82)</f>
        <v/>
      </c>
      <c r="AL83">
        <f>AK83-((SQRT(5)-1)/2)*(AK83-AJ83)</f>
        <v/>
      </c>
      <c r="AM83">
        <f>AJ83+((SQRT(5)-1)/2)*(AK83-AJ83)</f>
        <v/>
      </c>
      <c r="AN83">
        <f>IFERROR(beta_cf*MAX(0,P2_cf-(((L_cf-x2_cf-cx2_cf/2)+cx2_cf)*(((B_cf-cy2_cf)/2)+cy2_cf+AL83)*((wa_cf+wb_cf*(((x2_cf-cx2_cf/2)+L_cf)/2)/1000)/Bm_cf)+(((B_cf-cy2_cf)/2)+cy2_cf)*AL83*((wa_cf+wb_cf*((x2_cf-cx2_cf/2)-AL83/2)/1000)/Bm_cf)+PI()*AL83^2/4*((wa_cf+wb_cf*((x2_cf-cx2_cf/2)-4*AL83/(3*PI()))/1000)/Bm_cf))/1E6)*1000/(((L_cf-x2_cf-cx2_cf/2)+cx2_cf+((B_cf-cy2_cf)/2)+cy2_cf+PI()*AL83/2)*dp_cf)/(vRdc_p*2*dp_cf/AL83),0)</f>
        <v/>
      </c>
      <c r="AO83">
        <f>IFERROR(beta_cf*MAX(0,P2_cf-(((L_cf-x2_cf-cx2_cf/2)+cx2_cf)*(((B_cf-cy2_cf)/2)+cy2_cf+AM83)*((wa_cf+wb_cf*(((x2_cf-cx2_cf/2)+L_cf)/2)/1000)/Bm_cf)+(((B_cf-cy2_cf)/2)+cy2_cf)*AM83*((wa_cf+wb_cf*((x2_cf-cx2_cf/2)-AM83/2)/1000)/Bm_cf)+PI()*AM83^2/4*((wa_cf+wb_cf*((x2_cf-cx2_cf/2)-4*AM83/(3*PI()))/1000)/Bm_cf))/1E6)*1000/(((L_cf-x2_cf-cx2_cf/2)+cx2_cf+((B_cf-cy2_cf)/2)+cy2_cf+PI()*AM83/2)*dp_cf)/(vRdc_p*2*dp_cf/AM83),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5"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6" t="inlineStr">
        <is>
          <t>Parameter</t>
        </is>
      </c>
      <c r="C5" s="56" t="inlineStr">
        <is>
          <t>Clause</t>
        </is>
      </c>
      <c r="D5" s="56" t="inlineStr">
        <is>
          <t>UK NA</t>
        </is>
      </c>
      <c r="E5" s="56" t="inlineStr">
        <is>
          <t>PL NA</t>
        </is>
      </c>
      <c r="F5" s="56" t="inlineStr">
        <is>
          <t>Notes</t>
        </is>
      </c>
    </row>
    <row r="6">
      <c r="B6" s="57" t="inlineStr">
        <is>
          <t>Partial factor, concrete  γc</t>
        </is>
      </c>
      <c r="C6" s="58" t="inlineStr">
        <is>
          <t>2.4.2.4(1)</t>
        </is>
      </c>
      <c r="D6" s="59" t="n">
        <v>1.5</v>
      </c>
      <c r="E6" s="59" t="n">
        <v>1.4</v>
      </c>
      <c r="F6" s="58" t="inlineStr">
        <is>
          <t>Persistent &amp; transient. UK NA: recommended; PL: NA.2, Table NA.2</t>
        </is>
      </c>
    </row>
    <row r="7">
      <c r="B7" s="57" t="inlineStr">
        <is>
          <t>Partial factor, reinforcement  γs</t>
        </is>
      </c>
      <c r="C7" s="58" t="inlineStr">
        <is>
          <t>2.4.2.4(1)</t>
        </is>
      </c>
      <c r="D7" s="59" t="n">
        <v>1.15</v>
      </c>
      <c r="E7" s="59" t="n">
        <v>1.15</v>
      </c>
      <c r="F7" s="58" t="inlineStr">
        <is>
          <t>UK NA: recommended; PL: NA.2, Table NA.2</t>
        </is>
      </c>
    </row>
    <row r="8">
      <c r="B8" s="57" t="inlineStr">
        <is>
          <t>αcc  (compression in flexure / axial)</t>
        </is>
      </c>
      <c r="C8" s="58" t="inlineStr">
        <is>
          <t>3.1.6(1)</t>
        </is>
      </c>
      <c r="D8" s="59" t="n">
        <v>0.85</v>
      </c>
      <c r="E8" s="59" t="n">
        <v>1</v>
      </c>
      <c r="F8" s="58" t="inlineStr">
        <is>
          <t>UK NA: 0.85; PL: recommended (NA.9)</t>
        </is>
      </c>
    </row>
    <row r="9">
      <c r="B9" s="57" t="inlineStr">
        <is>
          <t>αcc,pl  (plain concrete, compression)</t>
        </is>
      </c>
      <c r="C9" s="58" t="inlineStr">
        <is>
          <t>12.3.1(1)</t>
        </is>
      </c>
      <c r="D9" s="59" t="n">
        <v>0.6</v>
      </c>
      <c r="E9" s="59" t="n">
        <v>0.8</v>
      </c>
      <c r="F9" s="58" t="inlineStr">
        <is>
          <t>UK NA Table NA.1: 0.6; PL: recommended (NA.9)</t>
        </is>
      </c>
    </row>
    <row r="10">
      <c r="B10" s="57" t="inlineStr">
        <is>
          <t>αcc  (shear and punching)</t>
        </is>
      </c>
      <c r="C10" s="58" t="inlineStr">
        <is>
          <t>3.1.6(1)</t>
        </is>
      </c>
      <c r="D10" s="59" t="n">
        <v>1</v>
      </c>
      <c r="E10" s="59" t="n">
        <v>1</v>
      </c>
      <c r="F10" s="58" t="inlineStr">
        <is>
          <t>UK NA: 1.0 for other phenomena; PL: recommended (NA.9)</t>
        </is>
      </c>
    </row>
    <row r="11">
      <c r="B11" s="57" t="inlineStr">
        <is>
          <t>αct  (design tensile strength)</t>
        </is>
      </c>
      <c r="C11" s="58" t="inlineStr">
        <is>
          <t>3.1.6(2)</t>
        </is>
      </c>
      <c r="D11" s="59" t="n">
        <v>1</v>
      </c>
      <c r="E11" s="59" t="n">
        <v>1</v>
      </c>
      <c r="F11" s="58" t="inlineStr">
        <is>
          <t>Recommended value in both annexes</t>
        </is>
      </c>
    </row>
    <row r="12">
      <c r="B12" s="57" t="inlineStr">
        <is>
          <t>CRd,c numerator  (CRd,c = value / γc)</t>
        </is>
      </c>
      <c r="C12" s="58" t="inlineStr">
        <is>
          <t>6.2.2(1), 6.4.4(1)</t>
        </is>
      </c>
      <c r="D12" s="59" t="n">
        <v>0.18</v>
      </c>
      <c r="E12" s="59" t="n">
        <v>0.18</v>
      </c>
      <c r="F12" s="58" t="inlineStr">
        <is>
          <t>Recommended value in both annexes</t>
        </is>
      </c>
    </row>
    <row r="13">
      <c r="B13" s="57" t="inlineStr">
        <is>
          <t>k1  (axial stress term, punching)</t>
        </is>
      </c>
      <c r="C13" s="58" t="inlineStr">
        <is>
          <t>6.4.4(1)</t>
        </is>
      </c>
      <c r="D13" s="59" t="n">
        <v>0.1</v>
      </c>
      <c r="E13" s="59" t="n">
        <v>0.1</v>
      </c>
      <c r="F13" s="58" t="inlineStr">
        <is>
          <t>Recommended value in both annexes</t>
        </is>
      </c>
    </row>
    <row r="14">
      <c r="B14" s="57" t="inlineStr">
        <is>
          <t>vRd,max factor  (vRd,max = factor · ν · fcd)</t>
        </is>
      </c>
      <c r="C14" s="58" t="inlineStr">
        <is>
          <t>6.4.5(3)</t>
        </is>
      </c>
      <c r="D14" s="59" t="n">
        <v>0.5</v>
      </c>
      <c r="E14" s="59" t="n">
        <v>0.4</v>
      </c>
      <c r="F14" s="58" t="inlineStr">
        <is>
          <t>UK NA: 0.5 ν fcd; PL: recommended value (NA.9), 0.4 ν fcd since EN 1992-1-1 AC:2010 (PN-EN 1992-1-1:2008/AC:2011)</t>
        </is>
      </c>
    </row>
    <row r="15">
      <c r="B15" s="57" t="inlineStr">
        <is>
          <t>kmax  (vEd ≤ kmax · vRd,c at u1)</t>
        </is>
      </c>
      <c r="C15" s="58" t="inlineStr">
        <is>
          <t>6.4.5</t>
        </is>
      </c>
      <c r="D15" s="59" t="n">
        <v>2</v>
      </c>
      <c r="E15" s="59" t="n">
        <v>1.5</v>
      </c>
      <c r="F15" s="58" t="inlineStr">
        <is>
          <t>UK NA 6.4.5(3): 2 vRd,c. PL: no limit in PN-EN 1992-1-1:2008; 1.5 (A1:2014 recommendation) applied conservatively</t>
        </is>
      </c>
    </row>
    <row r="16">
      <c r="B16" s="57" t="inlineStr">
        <is>
          <t>φlarge  (large bar threshold, mm)</t>
        </is>
      </c>
      <c r="C16" s="58" t="inlineStr">
        <is>
          <t>8.8(1)</t>
        </is>
      </c>
      <c r="D16" s="59" t="n">
        <v>40</v>
      </c>
      <c r="E16" s="59" t="n">
        <v>32</v>
      </c>
      <c r="F16" s="58" t="inlineStr">
        <is>
          <t>UK NA: 40 mm; PL: 32 mm recommended (NA.9)</t>
        </is>
      </c>
    </row>
    <row r="17">
      <c r="B17" s="57" t="inlineStr">
        <is>
          <t>cot θ upper limit  (variable strut)</t>
        </is>
      </c>
      <c r="C17" s="58" t="inlineStr">
        <is>
          <t>6.2.3(2)</t>
        </is>
      </c>
      <c r="D17" s="59" t="n">
        <v>2.5</v>
      </c>
      <c r="E17" s="59" t="n">
        <v>2</v>
      </c>
      <c r="F17" s="58" t="inlineStr">
        <is>
          <t>UK NA: 2.5 (1.25 with axial tension); PL: NA.4, 1 ≤ cot θ ≤ 2.0</t>
        </is>
      </c>
    </row>
    <row r="18">
      <c r="B18" s="57" t="inlineStr">
        <is>
          <t>k1  (x/d limit, δ ≥ k1 + k2 xu/d)</t>
        </is>
      </c>
      <c r="C18" s="58" t="inlineStr">
        <is>
          <t>5.5(4)</t>
        </is>
      </c>
      <c r="D18" s="59" t="n">
        <v>0.4</v>
      </c>
      <c r="E18" s="59" t="n">
        <v>0.44</v>
      </c>
      <c r="F18" s="58" t="inlineStr">
        <is>
          <t>UK NA for fyk ≤ 500 MPa; PL: recommended (NA.9)</t>
        </is>
      </c>
    </row>
    <row r="19">
      <c r="B19" s="57" t="inlineStr">
        <is>
          <t>k2  (x/d limit, εcu2 = 0.0035)</t>
        </is>
      </c>
      <c r="C19" s="58" t="inlineStr">
        <is>
          <t>5.5(4)</t>
        </is>
      </c>
      <c r="D19" s="59" t="n">
        <v>1</v>
      </c>
      <c r="E19" s="59" t="n">
        <v>1.25</v>
      </c>
      <c r="F19" s="58" t="inlineStr">
        <is>
          <t>UK NA: 0.6 + 0.0014/εcu2; PL: 1.25(0.6 + 0.0014/εcu2)</t>
        </is>
      </c>
    </row>
    <row r="20">
      <c r="B20" s="57" t="inlineStr">
        <is>
          <t>Upper limit on the (310/σs) factor  (0 = none)</t>
        </is>
      </c>
      <c r="C20" s="58" t="inlineStr">
        <is>
          <t>7.4.2(2)</t>
        </is>
      </c>
      <c r="D20" s="59" t="n">
        <v>1.5</v>
      </c>
      <c r="E20" s="59" t="n">
        <v>0</v>
      </c>
      <c r="F20" s="58" t="inlineStr">
        <is>
          <t>UK NA Table NA.5 Note 5: (310/σs) or (500/fyk)(As,prov/As,req) ≤ 1.5; PL: none</t>
        </is>
      </c>
    </row>
    <row r="21">
      <c r="B21" s="57" t="inlineStr">
        <is>
          <t>L/d not to exceed 40 K  (1 = applies)</t>
        </is>
      </c>
      <c r="C21" s="58" t="inlineStr">
        <is>
          <t>7.4.2(2)</t>
        </is>
      </c>
      <c r="D21" s="59" t="n">
        <v>1</v>
      </c>
      <c r="E21" s="59" t="n">
        <v>0</v>
      </c>
      <c r="F21" s="58" t="inlineStr">
        <is>
          <t>UK NA Table NA.5 Note 6; not in EN text</t>
        </is>
      </c>
    </row>
    <row r="22">
      <c r="B22" s="57" t="inlineStr">
        <is>
          <t>φmin  (longitudinal bars in columns, mm)</t>
        </is>
      </c>
      <c r="C22" s="58" t="inlineStr">
        <is>
          <t>9.5.2(1)</t>
        </is>
      </c>
      <c r="D22" s="59" t="n">
        <v>12</v>
      </c>
      <c r="E22" s="59" t="n">
        <v>6</v>
      </c>
      <c r="F22" s="58" t="inlineStr">
        <is>
          <t>UK NA: 12 mm; PL: NA.6, 6 mm</t>
        </is>
      </c>
    </row>
    <row r="23">
      <c r="B23" s="57" t="inlineStr">
        <is>
          <t>k3  (crack spacing)</t>
        </is>
      </c>
      <c r="C23" s="58" t="inlineStr">
        <is>
          <t>7.3.4(3)</t>
        </is>
      </c>
      <c r="D23" s="59" t="n">
        <v>3.4</v>
      </c>
      <c r="E23" s="59" t="n">
        <v>3.4</v>
      </c>
      <c r="F23" s="58" t="inlineStr">
        <is>
          <t>Recommended value in both annexes</t>
        </is>
      </c>
    </row>
    <row r="24">
      <c r="B24" s="57" t="inlineStr">
        <is>
          <t>k4  (crack spacing)</t>
        </is>
      </c>
      <c r="C24" s="58" t="inlineStr">
        <is>
          <t>7.3.4(3)</t>
        </is>
      </c>
      <c r="D24" s="59" t="n">
        <v>0.425</v>
      </c>
      <c r="E24" s="59" t="n">
        <v>0.425</v>
      </c>
      <c r="F24" s="58" t="inlineStr">
        <is>
          <t>Recommended value in both annexes</t>
        </is>
      </c>
    </row>
    <row r="25">
      <c r="B25" s="57" t="inlineStr">
        <is>
          <t>k1  (concrete stress, characteristic; XD, XF, XS)</t>
        </is>
      </c>
      <c r="C25" s="58" t="inlineStr">
        <is>
          <t>7.2(2)</t>
        </is>
      </c>
      <c r="D25" s="59" t="n">
        <v>0.6</v>
      </c>
      <c r="E25" s="59" t="n">
        <v>1</v>
      </c>
      <c r="F25" s="58" t="inlineStr">
        <is>
          <t>UK NA: recommended; PL: NA.5, k1 = 1.0</t>
        </is>
      </c>
    </row>
    <row r="26">
      <c r="B26" s="57" t="inlineStr">
        <is>
          <t>k2  (concrete stress, quasi-permanent; linear creep)</t>
        </is>
      </c>
      <c r="C26" s="58" t="inlineStr">
        <is>
          <t>7.2(3)</t>
        </is>
      </c>
      <c r="D26" s="59" t="n">
        <v>0.45</v>
      </c>
      <c r="E26" s="59" t="n">
        <v>0.45</v>
      </c>
      <c r="F26" s="58" t="inlineStr">
        <is>
          <t>Recommended value in both annexes (UK NA; PL NA.9)</t>
        </is>
      </c>
    </row>
    <row r="27">
      <c r="B27" s="57" t="inlineStr">
        <is>
          <t>k3  (steel stress, characteristic)</t>
        </is>
      </c>
      <c r="C27" s="58" t="inlineStr">
        <is>
          <t>7.2(5)</t>
        </is>
      </c>
      <c r="D27" s="59" t="n">
        <v>0.8</v>
      </c>
      <c r="E27" s="59" t="n">
        <v>0.8</v>
      </c>
      <c r="F27" s="58" t="inlineStr">
        <is>
          <t>Recommended value in both annexes (UK NA; PL NA.9)</t>
        </is>
      </c>
    </row>
    <row r="28">
      <c r="B28" s="57" t="inlineStr">
        <is>
          <t>k4  (steel stress, imposed deformation)</t>
        </is>
      </c>
      <c r="C28" s="58" t="inlineStr">
        <is>
          <t>7.2(5)</t>
        </is>
      </c>
      <c r="D28" s="59" t="n">
        <v>1</v>
      </c>
      <c r="E28" s="59" t="n">
        <v>1</v>
      </c>
      <c r="F28" s="58"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&amp;K8A8A8ANAE-RC-028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NAE-RC-028 Combined footing</dc:title>
  <dc:subject xmlns:dc="http://purl.org/dc/elements/1.1/">Rectangular footing under two columns  ·  EN 1992-1-1 §6.1, §6.2, §6.4.4, §9.3  ·  UK NA / PN-EN</dc:subject>
  <dcterms:created xmlns:dcterms="http://purl.org/dc/terms/" xmlns:xsi="http://www.w3.org/2001/XMLSchema-instance" xsi:type="dcterms:W3CDTF">2026-10-30T10:58:43Z</dcterms:created>
  <dcterms:modified xmlns:dcterms="http://purl.org/dc/terms/" xmlns:xsi="http://www.w3.org/2001/XMLSchema-instance" xsi:type="dcterms:W3CDTF">2026-10-30T10:58:43Z</dcterms:modified>
  <cp:lastModifiedBy>NA Engineering sp. z o.o.</cp:lastModifiedBy>
  <cp:keywords>NA Engineering; Eurocode 2; EN 1992-1-1</cp:keywords>
</cp:coreProperties>
</file>