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iq_surf">'Calculation'!$E$14</definedName>
    <definedName name="iq_dyn">'Calculation'!$E$15</definedName>
    <definedName name="iq_h">'Calculation'!$E$16</definedName>
    <definedName name="iq_ht">'Calculation'!$E$17</definedName>
    <definedName name="iq_d">'Calculation'!$E$18</definedName>
    <definedName name="iq_z">'Calculation'!$E$19</definedName>
    <definedName name="iq_bi">'Calculation'!$E$20</definedName>
    <definedName name="iq_n">'Calculation'!$E$21</definedName>
    <definedName name="iq_phi">'Calculation'!$E$22</definedName>
    <definedName name="iq_s">'Calculation'!$E$23</definedName>
    <definedName name="iq_alpha">'Calculation'!$E$24</definedName>
    <definedName name="iq_V">'Calculation'!$E$27</definedName>
    <definedName name="iq_beta">'Calculation'!$E$28</definedName>
    <definedName name="iq_sig">'Calculation'!$E$29</definedName>
    <definedName name="inputs_ok">IFERROR(AND(OR(NA_sel="UK NA (BS EN)",NA_sel="PL NA (PN-EN)"),OR(conc_class="C20/25",conc_class="C25/30",conc_class="C28/35",conc_class="C30/37",conc_class="C32/40",conc_class="C35/45",conc_class="C40/50",conc_class="C45/55",conc_class="C50/60"),ISNUMBER(f_yk),f_yk&gt;0,OR(iq_surf="Very smooth",iq_surf="Smooth",iq_surf="Rough",iq_surf="Indented"),OR(iq_dyn="No",iq_dyn="Yes"),ISNUMBER(iq_h),iq_h&gt;0,ISNUMBER(iq_ht),iq_ht&gt;0,ISNUMBER(iq_d),iq_d&gt;0,ISNUMBER(iq_z),iq_z&gt;0,ISNUMBER(iq_bi),iq_bi&gt;0,ISNUMBER(iq_n),iq_n&gt;=0,OR(AND(ISNUMBER(iq_phi),iq_phi=8),AND(ISNUMBER(iq_phi),iq_phi=10),AND(ISNUMBER(iq_phi),iq_phi=12),AND(ISNUMBER(iq_phi),iq_phi=16),AND(ISNUMBER(iq_phi),iq_phi=20),AND(ISNUMBER(iq_phi),iq_phi=25),AND(ISNUMBER(iq_phi),iq_phi=32),AND(ISNUMBER(iq_phi),iq_phi=40)),ISNUMBER(iq_s),iq_s&gt;0,ISNUMBER(iq_alpha),iq_alpha&gt;0,ISNUMBER(iq_V),iq_V&gt;0,ISNUMBER(iq_beta),iq_beta&gt;0,ISNUMBER(iq_sig),iq_sig&gt;=-10,AND(f_yk&gt;=400,f_yk&lt;=500,iq_ht&lt;iq_h,iq_d&lt;iq_h,iq_d&gt;iq_ht,iq_z&lt;iq_d,INT(iq_n)=iq_n,iq_n&lt;=8,iq_alpha&gt;=45,iq_alpha&lt;=90,iq_beta&lt;=1,iq_sig&lt;0.6*iq_fcdv,iq_s&gt;=50)),FALSE)</definedName>
    <definedName name="input_status">'Calculation'!$G$30</definedName>
    <definedName name="iq_fcdv">ndp_alpha_cc_shear*VALUE(MID(conc_class,2,FIND("/",conc_class)-2))/ndp_gamma_c</definedName>
    <definedName name="iq_dx">(iq_d-0.35*iq_ht)/TAN(RADIANS(iq_alpha))</definedName>
    <definedName name="iq_LX">MIN(MAX(4*iq_s,2*iq_h,iq_dx+2*iq_s),iq_dx+12*iq_s)</definedName>
    <definedName name="int_ok">IFERROR(vEdi_iq&lt;=vRdi_iq,FALSE)</definedName>
    <definedName name="crush_iq">IFERROR(vEdi_iq&lt;=vmax_iq,FALSE)</definedName>
    <definedName name="plain_iq">IFERROR(vEdi_iq&lt;=vc_iq,FALSE)</definedName>
    <definedName name="int_status">'Calculation'!$G$33</definedName>
    <definedName name="crush_status">'Calculation'!$G$34</definedName>
    <definedName name="need_status">'Calculation'!$G$35</definedName>
    <definedName name="gamma_c">'Calculation'!$E$64</definedName>
    <definedName name="gamma_s">'Calculation'!$E$65</definedName>
    <definedName name="alpha_ct">'Calculation'!$E$66</definedName>
    <definedName name="alpha_cc_shear">'Calculation'!$E$67</definedName>
    <definedName name="f_ck">'Calculation'!$E$68</definedName>
    <definedName name="f_ctm">'Calculation'!$E$69</definedName>
    <definedName name="fctk_iq">'Calculation'!$E$70</definedName>
    <definedName name="fctd_iq">'Calculation'!$E$71</definedName>
    <definedName name="fcd_iq">'Calculation'!$E$72</definedName>
    <definedName name="fyd_iq">'Calculation'!$E$73</definedName>
    <definedName name="nu_iq">'Calculation'!$E$74</definedName>
    <definedName name="csurf_iq">'Calculation'!$E$75</definedName>
    <definedName name="mu_iq">'Calculation'!$E$76</definedName>
    <definedName name="c_iq">'Calculation'!$E$77</definedName>
    <definedName name="z_iq">'Calculation'!$E$80</definedName>
    <definedName name="vEdi_iq">'Calculation'!$E$81</definedName>
    <definedName name="vc_iq">'Calculation'!$E$82</definedName>
    <definedName name="rho_iq">'Calculation'!$E$83</definedName>
    <definedName name="vs_iq">'Calculation'!$E$84</definedName>
    <definedName name="vmax_iq">'Calculation'!$E$85</definedName>
    <definedName name="vRdi_iq">'Calculation'!$E$86</definedName>
    <definedName name="chk_int">'Calculation'!$G$87</definedName>
    <definedName name="Areq_iq">'Calculation'!$E$88</definedName>
    <definedName name="Aprov_iq">'Calculation'!$E$89</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'Calculation'!$A$1:$H$93</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0.000"/>
    <numFmt numFmtId="167" formatCode="0.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2">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 fontId="16"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166" fontId="12" fillId="0" borderId="1" applyAlignment="1" pivotButton="0" quotePrefix="0" xfId="0">
      <alignment horizontal="center" vertical="center"/>
    </xf>
    <xf numFmtId="167"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first pour</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'Geometry'!$D$3:$D$6</f>
            </numRef>
          </xVal>
          <yVal>
            <numRef>
              <f>'Geometry'!$E$3:$E$6</f>
            </numRef>
          </yVal>
          <smooth val="0"/>
        </ser>
        <ser>
          <idx val="2"/>
          <order val="2"/>
          <tx>
            <v>second pour</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'Geometry'!$G$3:$G$6</f>
            </numRef>
          </xVal>
          <yVal>
            <numRef>
              <f>'Geometry'!$H$3:$H$6</f>
            </numRef>
          </yVal>
          <smooth val="0"/>
        </ser>
        <ser>
          <idx val="3"/>
          <order val="3"/>
          <tx>
            <v>interface</v>
          </tx>
          <spPr>
            <a:ln xmlns:a="http://schemas.openxmlformats.org/drawingml/2006/main" w="19050">
              <a:solidFill>
                <a:srgbClr val="B3261E"/>
              </a:solidFill>
              <a:prstDash val="dash"/>
            </a:ln>
          </spPr>
          <marker>
            <symbol val="none"/>
            <spPr>
              <a:ln xmlns:a="http://schemas.openxmlformats.org/drawingml/2006/main">
                <a:prstDash val="solid"/>
              </a:ln>
            </spPr>
          </marker>
          <xVal>
            <numRef>
              <f>'Geometry'!$J$3:$J$4</f>
            </numRef>
          </xVal>
          <yVal>
            <numRef>
              <f>'Geometry'!$K$3:$K$4</f>
            </numRef>
          </yVal>
          <smooth val="0"/>
        </ser>
        <ser>
          <idx val="4"/>
          <order val="4"/>
          <tx>
            <v>tension bar</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link 0</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'Geometry'!$P$3:$P$4</f>
            </numRef>
          </xVal>
          <yVal>
            <numRef>
              <f>'Geometry'!$Q$3:$Q$4</f>
            </numRef>
          </yVal>
          <smooth val="0"/>
        </ser>
        <ser>
          <idx val="6"/>
          <order val="6"/>
          <tx>
            <v>link 1</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'Geometry'!$S$3:$S$4</f>
            </numRef>
          </xVal>
          <yVal>
            <numRef>
              <f>'Geometry'!$T$3:$T$4</f>
            </numRef>
          </yVal>
          <smooth val="0"/>
        </ser>
        <ser>
          <idx val="7"/>
          <order val="7"/>
          <tx>
            <v>link 2</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link 3</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'Geometry'!$Y$3:$Y$4</f>
            </numRef>
          </xVal>
          <yVal>
            <numRef>
              <f>'Geometry'!$Z$3:$Z$4</f>
            </numRef>
          </yVal>
          <smooth val="0"/>
        </ser>
        <ser>
          <idx val="9"/>
          <order val="9"/>
          <tx>
            <v>link 4</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'Geometry'!$AB$3:$AB$4</f>
            </numRef>
          </xVal>
          <yVal>
            <numRef>
              <f>'Geometry'!$AC$3:$AC$4</f>
            </numRef>
          </yVal>
          <smooth val="0"/>
        </ser>
        <ser>
          <idx val="10"/>
          <order val="10"/>
          <tx>
            <v>link 5</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'Geometry'!$AE$3:$AE$4</f>
            </numRef>
          </xVal>
          <yVal>
            <numRef>
              <f>'Geometry'!$AF$3:$AF$4</f>
            </numRef>
          </yVal>
          <smooth val="0"/>
        </ser>
        <ser>
          <idx val="11"/>
          <order val="11"/>
          <tx>
            <v>link 6</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'Geometry'!$AH$3:$AH$4</f>
            </numRef>
          </xVal>
          <yVal>
            <numRef>
              <f>'Geometry'!$AI$3:$AI$4</f>
            </numRef>
          </yVal>
          <smooth val="0"/>
        </ser>
        <ser>
          <idx val="12"/>
          <order val="12"/>
          <tx>
            <v>link 7</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link 8</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'Geometry'!$AN$3:$AN$4</f>
            </numRef>
          </xVal>
          <yVal>
            <numRef>
              <f>'Geometry'!$AO$3:$AO$4</f>
            </numRef>
          </yVal>
          <smooth val="0"/>
        </ser>
        <ser>
          <idx val="14"/>
          <order val="14"/>
          <tx>
            <v>link 9</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'Geometry'!$AQ$3:$AQ$4</f>
            </numRef>
          </xVal>
          <yVal>
            <numRef>
              <f>'Geometry'!$AR$3:$AR$4</f>
            </numRef>
          </yVal>
          <smooth val="0"/>
        </ser>
        <ser>
          <idx val="15"/>
          <order val="15"/>
          <tx>
            <v>link 10</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'Geometry'!$AT$3:$AT$4</f>
            </numRef>
          </xVal>
          <yVal>
            <numRef>
              <f>'Geometry'!$AU$3:$AU$4</f>
            </numRef>
          </yVal>
          <smooth val="0"/>
        </ser>
        <ser>
          <idx val="16"/>
          <order val="16"/>
          <tx>
            <v>link 11</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'Geometry'!$AW$3:$AW$4</f>
            </numRef>
          </xVal>
          <yVal>
            <numRef>
              <f>'Geometry'!$AX$3:$AX$4</f>
            </numRef>
          </yVal>
          <smooth val="0"/>
        </ser>
        <ser>
          <idx val="17"/>
          <order val="17"/>
          <tx>
            <v>shear above</v>
          </tx>
          <spPr>
            <a:ln xmlns:a="http://schemas.openxmlformats.org/drawingml/2006/main" w="15875">
              <a:solidFill>
                <a:srgbClr val="B3261E"/>
              </a:solidFill>
              <a:prstDash val="solid"/>
              <a:tailEnd type="triangle" w="sm" len="sm"/>
            </a:ln>
          </spPr>
          <marker>
            <symbol val="none"/>
            <spPr>
              <a:ln xmlns:a="http://schemas.openxmlformats.org/drawingml/2006/main">
                <a:prstDash val="solid"/>
              </a:ln>
            </spPr>
          </marker>
          <xVal>
            <numRef>
              <f>'Geometry'!$AZ$3:$AZ$4</f>
            </numRef>
          </xVal>
          <yVal>
            <numRef>
              <f>'Geometry'!$BA$3:$BA$4</f>
            </numRef>
          </yVal>
          <smooth val="0"/>
        </ser>
        <ser>
          <idx val="18"/>
          <order val="18"/>
          <tx>
            <v>shear below</v>
          </tx>
          <spPr>
            <a:ln xmlns:a="http://schemas.openxmlformats.org/drawingml/2006/main" w="15875">
              <a:solidFill>
                <a:srgbClr val="B3261E"/>
              </a:solidFill>
              <a:prstDash val="solid"/>
              <a:tailEnd type="triangle" w="sm" len="sm"/>
            </a:ln>
          </spPr>
          <marker>
            <symbol val="none"/>
            <spPr>
              <a:ln xmlns:a="http://schemas.openxmlformats.org/drawingml/2006/main">
                <a:prstDash val="solid"/>
              </a:ln>
            </spPr>
          </marker>
          <xVal>
            <numRef>
              <f>'Geometry'!$BC$3:$BC$4</f>
            </numRef>
          </xVal>
          <yVal>
            <numRef>
              <f>'Geometry'!$BD$3:$BD$4</f>
            </numRef>
          </yVal>
          <smooth val="0"/>
        </ser>
        <ser>
          <idx val="19"/>
          <order val="1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'Geometry'!$BF$3:$BF$4</f>
            </numRef>
          </xVal>
          <yVal>
            <numRef>
              <f>'Geometry'!$BG$3:$BG$4</f>
            </numRef>
          </yVal>
          <smooth val="0"/>
        </ser>
        <ser>
          <idx val="20"/>
          <order val="20"/>
          <tx>
            <strRef>
              <f>'Geometry'!$BI$2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'Geometry'!$BI$3</f>
            </numRef>
          </xVal>
          <yVal>
            <numRef>
              <f>'Geometry'!$BJ$3</f>
            </numRef>
          </yVal>
          <smooth val="0"/>
        </ser>
        <ser>
          <idx val="21"/>
          <order val="2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'Geometry'!$BL$3:$BL$4</f>
            </numRef>
          </xVal>
          <yVal>
            <numRef>
              <f>'Geometry'!$BM$3:$BM$4</f>
            </numRef>
          </yVal>
          <smooth val="0"/>
        </ser>
        <ser>
          <idx val="22"/>
          <order val="22"/>
          <tx>
            <strRef>
              <f>'Geometry'!$BO$2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'Geometry'!$BO$3</f>
            </numRef>
          </xVal>
          <yVal>
            <numRef>
              <f>'Geometry'!$BP$3</f>
            </numRef>
          </yVal>
          <smooth val="0"/>
        </ser>
        <ser>
          <idx val="23"/>
          <order val="2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'Geometry'!$BR$3:$BR$4</f>
            </numRef>
          </xVal>
          <yVal>
            <numRef>
              <f>'Geometry'!$BS$3:$BS$4</f>
            </numRef>
          </yVal>
          <smooth val="0"/>
        </ser>
        <ser>
          <idx val="24"/>
          <order val="24"/>
          <tx>
            <strRef>
              <f>'Geometry'!$BU$2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'Geometry'!$BU$3</f>
            </numRef>
          </xVal>
          <yVal>
            <numRef>
              <f>'Geometry'!$BV$3</f>
            </numRef>
          </yVal>
          <smooth val="0"/>
        </ser>
        <ser>
          <idx val="25"/>
          <order val="25"/>
          <tx>
            <strRef>
              <f>'Geometry'!$BX$2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700">
                    <a:solidFill>
                      <a:srgbClr val="B3261E"/>
                    </a:solidFill>
                  </a:defRPr>
                </a:pPr>
                <a:r>
                  <a:t/>
                </a:r>
                <a:endParaRPr sz="700">
                  <a:solidFill>
                    <a:srgbClr val="B3261E"/>
                  </a:solidFill>
                </a:endParaRPr>
              </a:p>
            </txPr>
            <dLblPos val="t"/>
            <showLegendKey val="0"/>
            <showVal val="0"/>
            <showCatName val="0"/>
            <showSerName val="1"/>
            <showPercent val="0"/>
          </dLbls>
          <xVal>
            <numRef>
              <f>'Geometry'!$BX$3</f>
            </numRef>
          </xVal>
          <yVal>
            <numRef>
              <f>'Geometry'!$BY$3</f>
            </numRef>
          </yVal>
          <smooth val="0"/>
        </ser>
        <ser>
          <idx val="26"/>
          <order val="26"/>
          <tx>
            <strRef>
              <f>'Geometry'!$CA$2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'Geometry'!$CA$3</f>
            </numRef>
          </xVal>
          <yVal>
            <numRef>
              <f>'Geometry'!$CB$3</f>
            </numRef>
          </yVal>
          <smooth val="0"/>
        </ser>
        <ser>
          <idx val="27"/>
          <order val="27"/>
          <tx>
            <strRef>
              <f>'Geometry'!$CD$2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'Geometry'!$CD$3</f>
            </numRef>
          </xVal>
          <yVal>
            <numRef>
              <f>'Geometry'!$CE$3</f>
            </numRef>
          </yVal>
          <smooth val="0"/>
        </ser>
        <ser>
          <idx val="28"/>
          <order val="28"/>
          <tx>
            <strRef>
              <f>'Geometry'!$CG$2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b"/>
            <showLegendKey val="0"/>
            <showVal val="0"/>
            <showCatName val="0"/>
            <showSerName val="1"/>
            <showPercent val="0"/>
          </dLbls>
          <xVal>
            <numRef>
              <f>'Geometry'!$CG$3</f>
            </numRef>
          </xVal>
          <yVal>
            <numRef>
              <f>'Geometry'!$CH$3</f>
            </numRef>
          </yVal>
          <smooth val="0"/>
        </ser>
        <ser>
          <idx val="29"/>
          <order val="29"/>
          <tx>
            <v>frame</v>
          </tx>
          <spPr>
            <a:ln xmlns:a="http://schemas.openxmlformats.org/drawingml/2006/main">
              <a:noFill/>
              <a:prstDash val="solid"/>
            </a:ln>
          </spPr>
          <marker>
            <symbol val="none"/>
            <spPr>
              <a:ln xmlns:a="http://schemas.openxmlformats.org/drawingml/2006/main">
                <a:prstDash val="solid"/>
              </a:ln>
            </spPr>
          </marker>
          <xVal>
            <numRef>
              <f>'Geometry'!$CJ$3:$CJ$4</f>
            </numRef>
          </xVal>
          <yVal>
            <numRef>
              <f>'Geometry'!$CK$3:$CK$4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40</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Interface shear</t>
        </is>
      </c>
    </row>
    <row r="8" ht="20" customHeight="1">
      <c r="B8" s="4" t="inlineStr">
        <is>
          <t>Shear at the interface between concrete cast at different times  ·  EN 1992-1-1 §6.2.5  ·  UK NA / PN-EN</t>
        </is>
      </c>
    </row>
    <row r="10">
      <c r="B10" s="5" t="inlineStr">
        <is>
          <t>Reference</t>
        </is>
      </c>
      <c r="C10" s="6" t="inlineStr">
        <is>
          <t>NAE-RC-027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62" customHeight="1">
      <c r="B16" s="7" t="inlineStr">
        <is>
          <t>Check of the longitudinal shear at the joint between concrete cast at different times: a precast unit or slab with a structural topping, a beam cast in two lifts, or a construction joint. The design shear stress at the interface is compared with its resistance from adhesion, friction under the normal stress and the reinforcement crossing the joint, and the steel needed is given.</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21.5" customHeight="1">
      <c r="B22" s="7" t="inlineStr">
        <is>
          <t>EN 1992-1-1 6.2.5 at one section. vEdi = β VEd / (z bi) (6.24), with β the ratio of the longitudinal force in the new concrete to the total force in the compression or tension zone (1.0 is always safe), z the lever arm of the composite section, entered (0.9 d is the usual value for a reinforced section without axial force or prestress, 6.2.3(1); with either, z from a section analysis) and bi the width of the joint. vRdi = c fctd + μ σn + ρ fyd (μ sin α + cos α) ≤ 0.5 ν fcd (6.25), with c and μ for the surface from 6.2.5(2) (very smooth taken at the lowest c, 0.025), c halved for fatigue or dynamic loads (6.2.5(5)) and c fctd = 0 when σn is tension; σn is the smallest normal stress across the joint from the other actions at the same time (compression positive, below 0.6 fcd); ρ = As / Ai from the legs crossing the joint; 45° ≤ α ≤ 90°, the steel inclined so that it is in tension under the shear. fck, fctd and ν from the weaker of the two concretes. The steel must be anchored on both sides of the joint; a stepped distribution along the member (6.2.5(3), Figure 6.10) is left to the designer, who checks each zone at its own VEd. Surfaces, in brief: very smooth, cast against steel, plastic or specially prepared timber moulds; smooth, slipformed or extruded, or a free surface left untreated after vibration; rough, at least 3 mm roughness at about 40 mm spacing (raked, aggregate exposed or similar); indented, keys to Figure 6.9. Grouted joints between slab or wall elements (6.2.5(4)), the composite flexural design and the ordinary shear checks of the member (6.2.2, 6.2.3) are not covered here. fyk 400 – 500 MPa.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Beams and Slabs (interface shear in composite construction).
•  The Concrete Centre, Concise Eurocode 2, 7.2.6 (shear at the interface).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&amp;K8A8A8ANAE-RC-027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92"/>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Interface shear</t>
        </is>
      </c>
      <c r="H2" s="1" t="n"/>
    </row>
    <row r="3" ht="16" customHeight="1">
      <c r="A3" s="1" t="n"/>
      <c r="B3" s="1" t="n"/>
      <c r="C3" s="15" t="inlineStr">
        <is>
          <t>NAE-RC-027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joint and steel</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Steel crossing the joint: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6.2.5(2)</t>
        </is>
      </c>
      <c r="C14" s="24" t="inlineStr">
        <is>
          <t>Surface of the joint</t>
        </is>
      </c>
      <c r="D14" s="23" t="n"/>
      <c r="E14" s="25" t="inlineStr">
        <is>
          <t>Rough</t>
        </is>
      </c>
      <c r="F14" s="23" t="n"/>
      <c r="G14" s="23" t="n"/>
    </row>
    <row r="15" ht="17" customHeight="1">
      <c r="B15" s="26" t="inlineStr">
        <is>
          <t>6.2.5(5)</t>
        </is>
      </c>
      <c r="C15" s="24" t="inlineStr">
        <is>
          <t>Fatigue or dynamic loading  (c halved)</t>
        </is>
      </c>
      <c r="D15" s="23" t="n"/>
      <c r="E15" s="25" t="inlineStr">
        <is>
          <t>No</t>
        </is>
      </c>
      <c r="F15" s="23" t="n"/>
      <c r="G15" s="23" t="n"/>
    </row>
    <row r="16" ht="17" customHeight="1">
      <c r="B16" s="23" t="n"/>
      <c r="C16" s="24" t="inlineStr">
        <is>
          <t>Overall depth of the composite member</t>
        </is>
      </c>
      <c r="D16" s="27" t="inlineStr">
        <is>
          <r>
            <rPr>
              <rFont val="Calibri"/>
              <i val="1"/>
              <color rgb="002B2B2B"/>
              <sz val="10"/>
            </rPr>
            <t>h</t>
          </r>
        </is>
      </c>
      <c r="E16" s="25" t="n">
        <v>600</v>
      </c>
      <c r="F16" s="28" t="inlineStr">
        <is>
          <t>mm</t>
        </is>
      </c>
      <c r="G16" s="23" t="n"/>
    </row>
    <row r="17" ht="17" customHeight="1">
      <c r="B17" s="23" t="n"/>
      <c r="C17" s="24" t="inlineStr">
        <is>
          <t>Depth of the second pour, from the top to the joint</t>
        </is>
      </c>
      <c r="D17" s="27" t="inlineStr">
        <is>
          <r>
            <rPr>
              <rFont val="Calibri"/>
              <i val="1"/>
              <color rgb="002B2B2B"/>
              <sz val="10"/>
            </rPr>
            <t>h</t>
          </r>
          <r>
            <rPr>
              <rFont val="Calibri"/>
              <i val="1"/>
              <color rgb="002B2B2B"/>
              <sz val="10"/>
              <vertAlign val="subscript"/>
            </rPr>
            <t>t</t>
          </r>
        </is>
      </c>
      <c r="E17" s="25" t="n">
        <v>150</v>
      </c>
      <c r="F17" s="28" t="inlineStr">
        <is>
          <t>mm</t>
        </is>
      </c>
      <c r="G17" s="23" t="n"/>
    </row>
    <row r="18" ht="17" customHeight="1">
      <c r="B18" s="26" t="inlineStr">
        <is>
          <t>6.2.5(1)</t>
        </is>
      </c>
      <c r="C18" s="24" t="inlineStr">
        <is>
          <t>Effective depth of the composite section</t>
        </is>
      </c>
      <c r="D18" s="27" t="inlineStr">
        <is>
          <r>
            <rPr>
              <rFont val="Calibri"/>
              <i val="1"/>
              <color rgb="002B2B2B"/>
              <sz val="10"/>
            </rPr>
            <t>d</t>
          </r>
        </is>
      </c>
      <c r="E18" s="25" t="n">
        <v>550</v>
      </c>
      <c r="F18" s="28" t="inlineStr">
        <is>
          <t>mm</t>
        </is>
      </c>
      <c r="G18" s="23" t="n"/>
    </row>
    <row r="19" ht="17" customHeight="1">
      <c r="B19" s="26" t="inlineStr">
        <is>
          <t>6.2.5(1)</t>
        </is>
      </c>
      <c r="C19" s="24" t="inlineStr">
        <is>
          <t>Lever arm of the composite section, verified</t>
        </is>
      </c>
      <c r="D19" s="27" t="inlineStr">
        <is>
          <r>
            <rPr>
              <rFont val="Calibri"/>
              <i val="1"/>
              <color rgb="002B2B2B"/>
              <sz val="10"/>
            </rPr>
            <t>z</t>
          </r>
        </is>
      </c>
      <c r="E19" s="25" t="n">
        <v>495</v>
      </c>
      <c r="F19" s="28" t="inlineStr">
        <is>
          <t>mm</t>
        </is>
      </c>
      <c r="G19" s="26" t="inlineStr">
        <is>
          <t>≈ 0.9 d: RC, no N or P</t>
        </is>
      </c>
    </row>
    <row r="20" ht="17" customHeight="1">
      <c r="B20" s="26" t="inlineStr">
        <is>
          <t>6.2.5(1)</t>
        </is>
      </c>
      <c r="C20" s="24" t="inlineStr">
        <is>
          <t>Width of the joint</t>
        </is>
      </c>
      <c r="D20" s="27" t="inlineStr">
        <is>
          <r>
            <rPr>
              <rFont val="Calibri"/>
              <i val="1"/>
              <color rgb="002B2B2B"/>
              <sz val="10"/>
            </rPr>
            <t>b</t>
          </r>
          <r>
            <rPr>
              <rFont val="Calibri"/>
              <i val="1"/>
              <color rgb="002B2B2B"/>
              <sz val="10"/>
              <vertAlign val="subscript"/>
            </rPr>
            <t>i</t>
          </r>
        </is>
      </c>
      <c r="E20" s="25" t="n">
        <v>300</v>
      </c>
      <c r="F20" s="28" t="inlineStr">
        <is>
          <t>mm</t>
        </is>
      </c>
      <c r="G20" s="23" t="n"/>
    </row>
    <row r="21" ht="17" customHeight="1">
      <c r="B21" s="23" t="n"/>
      <c r="C21" s="24" t="inlineStr">
        <is>
          <t>Steel across the joint: legs in each row  (0 – 8)</t>
        </is>
      </c>
      <c r="D21" s="27" t="inlineStr">
        <is>
          <r>
            <rPr>
              <rFont val="Calibri"/>
              <i val="1"/>
              <color rgb="002B2B2B"/>
              <sz val="10"/>
            </rPr>
            <t>n</t>
          </r>
        </is>
      </c>
      <c r="E21" s="25" t="n">
        <v>2</v>
      </c>
      <c r="F21" s="23" t="n"/>
      <c r="G21" s="23" t="n"/>
    </row>
    <row r="22" ht="17" customHeight="1">
      <c r="B22" s="23" t="n"/>
      <c r="C22" s="24" t="inlineStr">
        <is>
          <t>Diameter</t>
        </is>
      </c>
      <c r="D22" s="27" t="inlineStr">
        <is>
          <r>
            <rPr>
              <rFont val="Calibri"/>
              <i val="1"/>
              <color rgb="002B2B2B"/>
              <sz val="10"/>
            </rPr>
            <t>φ</t>
          </r>
        </is>
      </c>
      <c r="E22" s="25" t="n">
        <v>10</v>
      </c>
      <c r="F22" s="28" t="inlineStr">
        <is>
          <t>mm</t>
        </is>
      </c>
      <c r="G22" s="23" t="n"/>
    </row>
    <row r="23" ht="17" customHeight="1">
      <c r="B23" s="23" t="n"/>
      <c r="C23" s="24" t="inlineStr">
        <is>
          <t>Spacing of the rows along the member</t>
        </is>
      </c>
      <c r="D23" s="27" t="inlineStr">
        <is>
          <r>
            <rPr>
              <rFont val="Calibri"/>
              <i val="1"/>
              <color rgb="002B2B2B"/>
              <sz val="10"/>
            </rPr>
            <t>s</t>
          </r>
        </is>
      </c>
      <c r="E23" s="25" t="n">
        <v>200</v>
      </c>
      <c r="F23" s="28" t="inlineStr">
        <is>
          <t>mm</t>
        </is>
      </c>
      <c r="G23" s="23" t="n"/>
    </row>
    <row r="24" ht="17" customHeight="1">
      <c r="B24" s="26" t="inlineStr">
        <is>
          <t>Figure 6.9</t>
        </is>
      </c>
      <c r="C24" s="24" t="inlineStr">
        <is>
          <t>Angle of the steel to the joint  (45° – 90°)</t>
        </is>
      </c>
      <c r="D24" s="27" t="inlineStr">
        <is>
          <r>
            <rPr>
              <rFont val="Calibri"/>
              <i val="1"/>
              <color rgb="002B2B2B"/>
              <sz val="10"/>
            </rPr>
            <t>α</t>
          </r>
        </is>
      </c>
      <c r="E24" s="25" t="n">
        <v>90</v>
      </c>
      <c r="F24" s="28" t="inlineStr">
        <is>
          <t>°</t>
        </is>
      </c>
      <c r="G24" s="23" t="n"/>
    </row>
    <row r="26" ht="22" customHeight="1">
      <c r="B26" s="20" t="inlineStr">
        <is>
          <t>Inputs  ·  design actions</t>
        </is>
      </c>
      <c r="C26" s="21" t="n"/>
      <c r="D26" s="21" t="n"/>
      <c r="E26" s="21" t="n"/>
      <c r="F26" s="21" t="n"/>
      <c r="G26" s="22" t="inlineStr">
        <is>
          <t>Ultimate limit state, at the same section</t>
        </is>
      </c>
    </row>
    <row r="27" ht="17" customHeight="1">
      <c r="B27" s="23" t="n"/>
      <c r="C27" s="24" t="inlineStr">
        <is>
          <t>Shear force</t>
        </is>
      </c>
      <c r="D27" s="27" t="inlineStr">
        <is>
          <r>
            <rPr>
              <rFont val="Calibri"/>
              <i val="1"/>
              <color rgb="002B2B2B"/>
              <sz val="10"/>
            </rPr>
            <t>V</t>
          </r>
          <r>
            <rPr>
              <rFont val="Calibri"/>
              <i val="1"/>
              <color rgb="002B2B2B"/>
              <sz val="10"/>
              <vertAlign val="subscript"/>
            </rPr>
            <t>Ed</t>
          </r>
        </is>
      </c>
      <c r="E27" s="29" t="n">
        <v>180</v>
      </c>
      <c r="F27" s="28" t="inlineStr">
        <is>
          <t>kN</t>
        </is>
      </c>
      <c r="G27" s="23" t="n"/>
    </row>
    <row r="28" ht="17" customHeight="1">
      <c r="B28" s="26" t="inlineStr">
        <is>
          <t>6.2.5(1)</t>
        </is>
      </c>
      <c r="C28" s="24" t="inlineStr">
        <is>
          <t>Ratio of the force in the new concrete to the total  (≤ 1)</t>
        </is>
      </c>
      <c r="D28" s="27" t="inlineStr">
        <is>
          <r>
            <rPr>
              <rFont val="Calibri"/>
              <i val="1"/>
              <color rgb="002B2B2B"/>
              <sz val="10"/>
            </rPr>
            <t>β</t>
          </r>
        </is>
      </c>
      <c r="E28" s="30" t="n">
        <v>1</v>
      </c>
      <c r="F28" s="23" t="n"/>
      <c r="G28" s="23" t="n"/>
    </row>
    <row r="29" ht="17" customHeight="1">
      <c r="B29" s="26" t="inlineStr">
        <is>
          <t>6.2.5(1)</t>
        </is>
      </c>
      <c r="C29" s="24" t="inlineStr">
        <is>
          <t>Smallest normal stress across the joint  (compression +, tension −)</t>
        </is>
      </c>
      <c r="D29" s="27" t="inlineStr">
        <is>
          <r>
            <rPr>
              <rFont val="Calibri"/>
              <i val="1"/>
              <color rgb="002B2B2B"/>
              <sz val="10"/>
            </rPr>
            <t>σ</t>
          </r>
          <r>
            <rPr>
              <rFont val="Calibri"/>
              <i val="1"/>
              <color rgb="002B2B2B"/>
              <sz val="10"/>
              <vertAlign val="subscript"/>
            </rPr>
            <t>n</t>
          </r>
        </is>
      </c>
      <c r="E29" s="30" t="n">
        <v>0</v>
      </c>
      <c r="F29" s="28" t="inlineStr">
        <is>
          <t>MPa</t>
        </is>
      </c>
      <c r="G29" s="23" t="n"/>
    </row>
    <row r="30" ht="17" customHeight="1">
      <c r="B30" s="23" t="n"/>
      <c r="C30" s="24" t="inlineStr">
        <is>
          <t>Inputs valid and consistent</t>
        </is>
      </c>
      <c r="D30" s="23" t="n"/>
      <c r="E30" s="9" t="n"/>
      <c r="F30" s="23" t="n"/>
      <c r="G30" s="31">
        <f>IF(inputs_ok,"OK","FAIL")</f>
        <v/>
      </c>
    </row>
    <row r="32" ht="22" customHeight="1">
      <c r="B32" s="20" t="inlineStr">
        <is>
          <t>Results</t>
        </is>
      </c>
      <c r="C32" s="21" t="n"/>
      <c r="D32" s="21" t="n"/>
      <c r="E32" s="21" t="n"/>
      <c r="F32" s="21" t="n"/>
      <c r="G32" s="21" t="n"/>
    </row>
    <row r="33" ht="26" customHeight="1">
      <c r="B33" s="32" t="n"/>
      <c r="C33" s="33" t="inlineStr">
        <is>
          <t>Interface  vEdi / vRdi  (6.23)</t>
        </is>
      </c>
      <c r="D33" s="32" t="n"/>
      <c r="E33" s="34">
        <f>IF(inputs_ok,IF(vRdi_iq&lt;=0,"no resistance",vEdi_iq/vRdi_iq),"–")</f>
        <v/>
      </c>
      <c r="F33" s="35" t="inlineStr"/>
      <c r="G33" s="36">
        <f>IF(NOT(inputs_ok),"FAIL",IF(int_ok,"OK","FAIL"))</f>
        <v/>
      </c>
    </row>
    <row r="34" ht="26" customHeight="1">
      <c r="B34" s="32" t="n"/>
      <c r="C34" s="33" t="inlineStr">
        <is>
          <t>Upper limit  vEdi / 0.5 ν fcd  (6.25)</t>
        </is>
      </c>
      <c r="D34" s="32" t="n"/>
      <c r="E34" s="34">
        <f>IF(inputs_ok,vEdi_iq/vmax_iq,"–")</f>
        <v/>
      </c>
      <c r="F34" s="35" t="inlineStr"/>
      <c r="G34" s="36">
        <f>IF(NOT(inputs_ok),"FAIL",IF(crush_iq,"OK","FAIL"))</f>
        <v/>
      </c>
    </row>
    <row r="35" ht="26" customHeight="1">
      <c r="B35" s="32" t="n"/>
      <c r="C35" s="33" t="inlineStr">
        <is>
          <t>Steel across the joint needed</t>
        </is>
      </c>
      <c r="D35" s="37" t="inlineStr">
        <is>
          <r>
            <rPr>
              <rFont val="Calibri"/>
              <i val="1"/>
              <color rgb="002B2B2B"/>
              <sz val="11"/>
            </rPr>
            <t>A</t>
          </r>
          <r>
            <rPr>
              <rFont val="Calibri"/>
              <i val="1"/>
              <color rgb="002B2B2B"/>
              <sz val="11"/>
              <vertAlign val="subscript"/>
            </rPr>
            <t>s/s</t>
          </r>
        </is>
      </c>
      <c r="E35" s="38">
        <f>IF(inputs_ok,Areq_iq,"–")</f>
        <v/>
      </c>
      <c r="F35" s="35" t="inlineStr">
        <is>
          <t>mm²/m</t>
        </is>
      </c>
      <c r="G35" s="36">
        <f>IF(NOT(inputs_ok),"FAIL",IF(plain_iq,"No","Yes"))</f>
        <v/>
      </c>
    </row>
    <row r="36" ht="26" customHeight="1">
      <c r="B36" s="32" t="n"/>
      <c r="C36" s="33" t="inlineStr">
        <is>
          <t>Steel provided</t>
        </is>
      </c>
      <c r="D36" s="37" t="inlineStr">
        <is>
          <r>
            <rPr>
              <rFont val="Calibri"/>
              <i val="1"/>
              <color rgb="002B2B2B"/>
              <sz val="11"/>
            </rPr>
            <t>A</t>
          </r>
          <r>
            <rPr>
              <rFont val="Calibri"/>
              <i val="1"/>
              <color rgb="002B2B2B"/>
              <sz val="11"/>
              <vertAlign val="subscript"/>
            </rPr>
            <t>s/s</t>
          </r>
        </is>
      </c>
      <c r="E36" s="38">
        <f>IF(inputs_ok,Aprov_iq,"–")</f>
        <v/>
      </c>
      <c r="F36" s="35" t="inlineStr">
        <is>
          <t>mm²/m</t>
        </is>
      </c>
      <c r="G36" s="32" t="n"/>
    </row>
    <row r="37" ht="26" customHeight="1">
      <c r="B37" s="32" t="n"/>
      <c r="C37" s="33" t="inlineStr">
        <is>
          <t>Design shear stress at the joint</t>
        </is>
      </c>
      <c r="D37" s="37" t="inlineStr">
        <is>
          <r>
            <rPr>
              <rFont val="Calibri"/>
              <i val="1"/>
              <color rgb="002B2B2B"/>
              <sz val="11"/>
            </rPr>
            <t>v</t>
          </r>
          <r>
            <rPr>
              <rFont val="Calibri"/>
              <i val="1"/>
              <color rgb="002B2B2B"/>
              <sz val="11"/>
              <vertAlign val="subscript"/>
            </rPr>
            <t>Edi</t>
          </r>
        </is>
      </c>
      <c r="E37" s="34">
        <f>IF(inputs_ok,vEdi_iq,"–")</f>
        <v/>
      </c>
      <c r="F37" s="35" t="inlineStr">
        <is>
          <t>MPa</t>
        </is>
      </c>
      <c r="G37" s="32" t="n"/>
    </row>
    <row r="38" ht="26" customHeight="1">
      <c r="B38" s="32" t="n"/>
      <c r="C38" s="33" t="inlineStr">
        <is>
          <t>Resistance of the joint</t>
        </is>
      </c>
      <c r="D38" s="37" t="inlineStr">
        <is>
          <r>
            <rPr>
              <rFont val="Calibri"/>
              <i val="1"/>
              <color rgb="002B2B2B"/>
              <sz val="11"/>
            </rPr>
            <t>v</t>
          </r>
          <r>
            <rPr>
              <rFont val="Calibri"/>
              <i val="1"/>
              <color rgb="002B2B2B"/>
              <sz val="11"/>
              <vertAlign val="subscript"/>
            </rPr>
            <t>Rdi</t>
          </r>
        </is>
      </c>
      <c r="E38" s="34">
        <f>IF(inputs_ok,vRdi_iq,"–")</f>
        <v/>
      </c>
      <c r="F38" s="35" t="inlineStr">
        <is>
          <t>MPa</t>
        </is>
      </c>
      <c r="G38" s="32" t="n"/>
    </row>
    <row r="39"/>
    <row r="40">
      <c r="B40" s="39" t="inlineStr">
        <is>
          <t>Your joint, to scale  ·  elevation of a length of the member: precast or first pour below, topping or second pour above, the interface (dashed) and the steel crossing it</t>
        </is>
      </c>
    </row>
    <row r="41"/>
    <row r="42"/>
    <row r="43"/>
    <row r="44"/>
    <row r="45"/>
    <row r="46"/>
    <row r="47"/>
    <row r="48"/>
    <row r="49"/>
    <row r="50"/>
    <row r="51"/>
    <row r="52"/>
    <row r="53"/>
    <row r="54"/>
    <row r="55"/>
    <row r="56"/>
    <row r="57"/>
    <row r="58"/>
    <row r="59"/>
    <row r="60"/>
    <row r="61"/>
    <row r="62"/>
    <row r="63" ht="22" customHeight="1">
      <c r="B63" s="20" t="inlineStr">
        <is>
          <t>Calculation  ·  materials and surface</t>
        </is>
      </c>
      <c r="C63" s="21" t="n"/>
      <c r="D63" s="21" t="n"/>
      <c r="E63" s="21" t="n"/>
      <c r="F63" s="21" t="n"/>
      <c r="G63" s="21" t="n"/>
    </row>
    <row r="64" ht="17" customHeight="1">
      <c r="B64" s="26" t="inlineStr">
        <is>
          <t>2.4.2.4(1)</t>
        </is>
      </c>
      <c r="C64" s="24" t="inlineStr">
        <is>
          <t>Partial factor, concrete</t>
        </is>
      </c>
      <c r="D64" s="27" t="inlineStr">
        <is>
          <r>
            <rPr>
              <rFont val="Calibri"/>
              <i val="1"/>
              <color rgb="002B2B2B"/>
              <sz val="10"/>
            </rPr>
            <t>γ</t>
          </r>
          <r>
            <rPr>
              <rFont val="Calibri"/>
              <i val="1"/>
              <color rgb="002B2B2B"/>
              <sz val="10"/>
              <vertAlign val="subscript"/>
            </rPr>
            <t>c</t>
          </r>
        </is>
      </c>
      <c r="E64" s="40">
        <f>IF(inputs_ok,ndp_gamma_c,NA())</f>
        <v/>
      </c>
      <c r="F64" s="23" t="n"/>
      <c r="G64" s="26" t="inlineStr">
        <is>
          <t>NDP sheet</t>
        </is>
      </c>
    </row>
    <row r="65" ht="17" customHeight="1">
      <c r="B65" s="26" t="inlineStr">
        <is>
          <t>2.4.2.4(1)</t>
        </is>
      </c>
      <c r="C65" s="24" t="inlineStr">
        <is>
          <t>Partial factor, reinforcement</t>
        </is>
      </c>
      <c r="D65" s="27" t="inlineStr">
        <is>
          <r>
            <rPr>
              <rFont val="Calibri"/>
              <i val="1"/>
              <color rgb="002B2B2B"/>
              <sz val="10"/>
            </rPr>
            <t>γ</t>
          </r>
          <r>
            <rPr>
              <rFont val="Calibri"/>
              <i val="1"/>
              <color rgb="002B2B2B"/>
              <sz val="10"/>
              <vertAlign val="subscript"/>
            </rPr>
            <t>s</t>
          </r>
        </is>
      </c>
      <c r="E65" s="40">
        <f>IF(inputs_ok,ndp_gamma_s,NA())</f>
        <v/>
      </c>
      <c r="F65" s="23" t="n"/>
      <c r="G65" s="26" t="inlineStr">
        <is>
          <t>NDP sheet</t>
        </is>
      </c>
    </row>
    <row r="66" ht="17" customHeight="1">
      <c r="B66" s="26" t="inlineStr">
        <is>
          <t>3.1.6(2)</t>
        </is>
      </c>
      <c r="C66" s="24" t="inlineStr">
        <is>
          <t>Coefficient on tensile strength</t>
        </is>
      </c>
      <c r="D66" s="27" t="inlineStr">
        <is>
          <r>
            <rPr>
              <rFont val="Calibri"/>
              <i val="1"/>
              <color rgb="002B2B2B"/>
              <sz val="10"/>
            </rPr>
            <t>α</t>
          </r>
          <r>
            <rPr>
              <rFont val="Calibri"/>
              <i val="1"/>
              <color rgb="002B2B2B"/>
              <sz val="10"/>
              <vertAlign val="subscript"/>
            </rPr>
            <t>ct</t>
          </r>
        </is>
      </c>
      <c r="E66" s="40">
        <f>IF(inputs_ok,ndp_alpha_ct,NA())</f>
        <v/>
      </c>
      <c r="F66" s="23" t="n"/>
      <c r="G66" s="26" t="inlineStr">
        <is>
          <t>NDP sheet</t>
        </is>
      </c>
    </row>
    <row r="67" ht="17" customHeight="1">
      <c r="B67" s="26" t="inlineStr">
        <is>
          <t>3.1.6(1)</t>
        </is>
      </c>
      <c r="C67" s="24" t="inlineStr">
        <is>
          <t>Coefficient on compressive strength (shear)</t>
        </is>
      </c>
      <c r="D67" s="27" t="inlineStr">
        <is>
          <r>
            <rPr>
              <rFont val="Calibri"/>
              <i val="1"/>
              <color rgb="002B2B2B"/>
              <sz val="10"/>
            </rPr>
            <t>α</t>
          </r>
          <r>
            <rPr>
              <rFont val="Calibri"/>
              <i val="1"/>
              <color rgb="002B2B2B"/>
              <sz val="10"/>
              <vertAlign val="subscript"/>
            </rPr>
            <t>cc</t>
          </r>
        </is>
      </c>
      <c r="E67" s="40">
        <f>IF(inputs_ok,ndp_alpha_cc_shear,NA())</f>
        <v/>
      </c>
      <c r="F67" s="23" t="n"/>
      <c r="G67" s="26" t="inlineStr">
        <is>
          <t>NDP sheet</t>
        </is>
      </c>
    </row>
    <row r="68" ht="17" customHeight="1">
      <c r="B68" s="26" t="inlineStr">
        <is>
          <t>Table 3.1</t>
        </is>
      </c>
      <c r="C68" s="24" t="inlineStr">
        <is>
          <t>Characteristic cylinder strength</t>
        </is>
      </c>
      <c r="D68" s="27" t="inlineStr">
        <is>
          <r>
            <rPr>
              <rFont val="Calibri"/>
              <i val="1"/>
              <color rgb="002B2B2B"/>
              <sz val="10"/>
            </rPr>
            <t>f</t>
          </r>
          <r>
            <rPr>
              <rFont val="Calibri"/>
              <i val="1"/>
              <color rgb="002B2B2B"/>
              <sz val="10"/>
              <vertAlign val="subscript"/>
            </rPr>
            <t>ck</t>
          </r>
        </is>
      </c>
      <c r="E68" s="41">
        <f>IF(inputs_ok,VALUE(MID(conc_class,2,FIND("/",conc_class)-2)),NA())</f>
        <v/>
      </c>
      <c r="F68" s="28" t="inlineStr">
        <is>
          <t>MPa</t>
        </is>
      </c>
      <c r="G68" s="23" t="n"/>
    </row>
    <row r="69" ht="17" customHeight="1">
      <c r="B69" s="26" t="inlineStr">
        <is>
          <t>Table 3.1</t>
        </is>
      </c>
      <c r="C69" s="24" t="inlineStr">
        <is>
          <t>Mean tensile strength</t>
        </is>
      </c>
      <c r="D69" s="27" t="inlineStr">
        <is>
          <r>
            <rPr>
              <rFont val="Calibri"/>
              <i val="1"/>
              <color rgb="002B2B2B"/>
              <sz val="10"/>
            </rPr>
            <t>f</t>
          </r>
          <r>
            <rPr>
              <rFont val="Calibri"/>
              <i val="1"/>
              <color rgb="002B2B2B"/>
              <sz val="10"/>
              <vertAlign val="subscript"/>
            </rPr>
            <t>ctm</t>
          </r>
        </is>
      </c>
      <c r="E69" s="40">
        <f>IF(inputs_ok,IF(f_ck&lt;=50,0.3*f_ck^(2/3),2.12*LN(1+(f_ck+8)/10)),NA())</f>
        <v/>
      </c>
      <c r="F69" s="28" t="inlineStr">
        <is>
          <t>MPa</t>
        </is>
      </c>
      <c r="G69" s="23" t="n"/>
    </row>
    <row r="70" ht="17" customHeight="1">
      <c r="B70" s="26" t="inlineStr">
        <is>
          <t>Table 3.1</t>
        </is>
      </c>
      <c r="C70" s="24" t="inlineStr">
        <is>
          <t>Characteristic tensile strength (5 % fractile)</t>
        </is>
      </c>
      <c r="D70" s="27" t="inlineStr">
        <is>
          <r>
            <rPr>
              <rFont val="Calibri"/>
              <i val="1"/>
              <color rgb="002B2B2B"/>
              <sz val="10"/>
            </rPr>
            <t>f</t>
          </r>
          <r>
            <rPr>
              <rFont val="Calibri"/>
              <i val="1"/>
              <color rgb="002B2B2B"/>
              <sz val="10"/>
              <vertAlign val="subscript"/>
            </rPr>
            <t>ctk,0.05</t>
          </r>
        </is>
      </c>
      <c r="E70" s="40">
        <f>IF(inputs_ok,0.7*f_ctm,NA())</f>
        <v/>
      </c>
      <c r="F70" s="28" t="inlineStr">
        <is>
          <t>MPa</t>
        </is>
      </c>
      <c r="G70" s="23" t="n"/>
    </row>
    <row r="71" ht="17" customHeight="1">
      <c r="B71" s="26" t="inlineStr">
        <is>
          <t>3.1.6(2)</t>
        </is>
      </c>
      <c r="C71" s="24" t="inlineStr">
        <is>
          <t>Design tensile strength  αct fctk,0.05 / γc</t>
        </is>
      </c>
      <c r="D71" s="27" t="inlineStr">
        <is>
          <r>
            <rPr>
              <rFont val="Calibri"/>
              <i val="1"/>
              <color rgb="002B2B2B"/>
              <sz val="10"/>
            </rPr>
            <t>f</t>
          </r>
          <r>
            <rPr>
              <rFont val="Calibri"/>
              <i val="1"/>
              <color rgb="002B2B2B"/>
              <sz val="10"/>
              <vertAlign val="subscript"/>
            </rPr>
            <t>ctd</t>
          </r>
        </is>
      </c>
      <c r="E71" s="40">
        <f>IF(inputs_ok,alpha_ct*fctk_iq/gamma_c,NA())</f>
        <v/>
      </c>
      <c r="F71" s="28" t="inlineStr">
        <is>
          <t>MPa</t>
        </is>
      </c>
      <c r="G71" s="23" t="n"/>
    </row>
    <row r="72" ht="17" customHeight="1">
      <c r="B72" s="26" t="inlineStr">
        <is>
          <t>3.1.6(1)</t>
        </is>
      </c>
      <c r="C72" s="24" t="inlineStr">
        <is>
          <t>Design compressive strength  αcc fck / γc</t>
        </is>
      </c>
      <c r="D72" s="27" t="inlineStr">
        <is>
          <r>
            <rPr>
              <rFont val="Calibri"/>
              <i val="1"/>
              <color rgb="002B2B2B"/>
              <sz val="10"/>
            </rPr>
            <t>f</t>
          </r>
          <r>
            <rPr>
              <rFont val="Calibri"/>
              <i val="1"/>
              <color rgb="002B2B2B"/>
              <sz val="10"/>
              <vertAlign val="subscript"/>
            </rPr>
            <t>cd</t>
          </r>
        </is>
      </c>
      <c r="E72" s="40">
        <f>IF(inputs_ok,alpha_cc_shear*f_ck/gamma_c,NA())</f>
        <v/>
      </c>
      <c r="F72" s="28" t="inlineStr">
        <is>
          <t>MPa</t>
        </is>
      </c>
      <c r="G72" s="23" t="n"/>
    </row>
    <row r="73" ht="17" customHeight="1">
      <c r="B73" s="26" t="inlineStr">
        <is>
          <t>3.2.7</t>
        </is>
      </c>
      <c r="C73" s="24" t="inlineStr">
        <is>
          <t>Design yield strength</t>
        </is>
      </c>
      <c r="D73" s="27" t="inlineStr">
        <is>
          <r>
            <rPr>
              <rFont val="Calibri"/>
              <i val="1"/>
              <color rgb="002B2B2B"/>
              <sz val="10"/>
            </rPr>
            <t>f</t>
          </r>
          <r>
            <rPr>
              <rFont val="Calibri"/>
              <i val="1"/>
              <color rgb="002B2B2B"/>
              <sz val="10"/>
              <vertAlign val="subscript"/>
            </rPr>
            <t>yd</t>
          </r>
        </is>
      </c>
      <c r="E73" s="42">
        <f>IF(inputs_ok,f_yk/gamma_s,NA())</f>
        <v/>
      </c>
      <c r="F73" s="28" t="inlineStr">
        <is>
          <t>MPa</t>
        </is>
      </c>
      <c r="G73" s="23" t="n"/>
    </row>
    <row r="74" ht="17" customHeight="1">
      <c r="B74" s="26" t="inlineStr">
        <is>
          <t>(6.6N)</t>
        </is>
      </c>
      <c r="C74" s="24" t="inlineStr">
        <is>
          <t>Strength reduction factor  ν = 0.6 (1 − fck/250)</t>
        </is>
      </c>
      <c r="D74" s="27" t="inlineStr">
        <is>
          <r>
            <rPr>
              <rFont val="Calibri"/>
              <i val="1"/>
              <color rgb="002B2B2B"/>
              <sz val="10"/>
            </rPr>
            <t>ν</t>
          </r>
        </is>
      </c>
      <c r="E74" s="43">
        <f>IF(inputs_ok,0.6*(1-f_ck/250),NA())</f>
        <v/>
      </c>
      <c r="F74" s="23" t="n"/>
      <c r="G74" s="23" t="n"/>
    </row>
    <row r="75" ht="17" customHeight="1">
      <c r="B75" s="26" t="inlineStr">
        <is>
          <t>6.2.5(2)</t>
        </is>
      </c>
      <c r="C75" s="24" t="inlineStr">
        <is>
          <t>Adhesion factor for the surface</t>
        </is>
      </c>
      <c r="D75" s="27" t="inlineStr">
        <is>
          <r>
            <rPr>
              <rFont val="Calibri"/>
              <i val="1"/>
              <color rgb="002B2B2B"/>
              <sz val="10"/>
            </rPr>
            <t>c</t>
          </r>
        </is>
      </c>
      <c r="E75" s="43">
        <f>IF(inputs_ok,CHOOSE(MATCH(iq_surf,{"Very smooth","Smooth","Rough","Indented"},0),0.025,0.2,0.4,0.5),NA())</f>
        <v/>
      </c>
      <c r="F75" s="23" t="n"/>
      <c r="G75" s="23" t="n"/>
    </row>
    <row r="76" ht="17" customHeight="1">
      <c r="B76" s="26" t="inlineStr">
        <is>
          <t>6.2.5(2)</t>
        </is>
      </c>
      <c r="C76" s="24" t="inlineStr">
        <is>
          <t>Friction factor for the surface</t>
        </is>
      </c>
      <c r="D76" s="27" t="inlineStr">
        <is>
          <r>
            <rPr>
              <rFont val="Calibri"/>
              <i val="1"/>
              <color rgb="002B2B2B"/>
              <sz val="10"/>
            </rPr>
            <t>μ</t>
          </r>
        </is>
      </c>
      <c r="E76" s="40">
        <f>IF(inputs_ok,CHOOSE(MATCH(iq_surf,{"Very smooth","Smooth","Rough","Indented"},0),0.5,0.6,0.7,0.9),NA())</f>
        <v/>
      </c>
      <c r="F76" s="23" t="n"/>
      <c r="G76" s="23" t="n"/>
    </row>
    <row r="77" ht="17" customHeight="1">
      <c r="B77" s="26" t="inlineStr">
        <is>
          <t>6.2.5(1), (5)</t>
        </is>
      </c>
      <c r="C77" s="24" t="inlineStr">
        <is>
          <t>c used: halved for fatigue or dynamic loads, 0 under tension</t>
        </is>
      </c>
      <c r="D77" s="27" t="inlineStr">
        <is>
          <r>
            <rPr>
              <rFont val="Calibri"/>
              <i val="1"/>
              <color rgb="002B2B2B"/>
              <sz val="10"/>
            </rPr>
            <t>c</t>
          </r>
        </is>
      </c>
      <c r="E77" s="43">
        <f>IF(inputs_ok,IF(iq_sig&lt;0,0,csurf_iq*IF(iq_dyn="Yes",0.5,1)),NA())</f>
        <v/>
      </c>
      <c r="F77" s="23" t="n"/>
      <c r="G77" s="23" t="n"/>
    </row>
    <row r="78"/>
    <row r="79" ht="22" customHeight="1">
      <c r="B79" s="20" t="inlineStr">
        <is>
          <t>Calculation  ·  interface</t>
        </is>
      </c>
      <c r="C79" s="21" t="n"/>
      <c r="D79" s="21" t="n"/>
      <c r="E79" s="21" t="n"/>
      <c r="F79" s="21" t="n"/>
      <c r="G79" s="21" t="n"/>
    </row>
    <row r="80" ht="17" customHeight="1">
      <c r="B80" s="26" t="inlineStr">
        <is>
          <t>6.2.5(1)</t>
        </is>
      </c>
      <c r="C80" s="24" t="inlineStr">
        <is>
          <t>Lever arm of the composite section, entered</t>
        </is>
      </c>
      <c r="D80" s="27" t="inlineStr">
        <is>
          <r>
            <rPr>
              <rFont val="Calibri"/>
              <i val="1"/>
              <color rgb="002B2B2B"/>
              <sz val="10"/>
            </rPr>
            <t>z</t>
          </r>
        </is>
      </c>
      <c r="E80" s="41">
        <f>IF(inputs_ok,iq_z,NA())</f>
        <v/>
      </c>
      <c r="F80" s="28" t="inlineStr">
        <is>
          <t>mm</t>
        </is>
      </c>
      <c r="G80" s="23" t="n"/>
    </row>
    <row r="81" ht="17" customHeight="1">
      <c r="B81" s="26" t="inlineStr">
        <is>
          <t>(6.24)</t>
        </is>
      </c>
      <c r="C81" s="24" t="inlineStr">
        <is>
          <t>Design shear stress  β VEd / (z bi)</t>
        </is>
      </c>
      <c r="D81" s="27" t="inlineStr">
        <is>
          <r>
            <rPr>
              <rFont val="Calibri"/>
              <i val="1"/>
              <color rgb="002B2B2B"/>
              <sz val="10"/>
            </rPr>
            <t>v</t>
          </r>
          <r>
            <rPr>
              <rFont val="Calibri"/>
              <i val="1"/>
              <color rgb="002B2B2B"/>
              <sz val="10"/>
              <vertAlign val="subscript"/>
            </rPr>
            <t>Edi</t>
          </r>
        </is>
      </c>
      <c r="E81" s="44">
        <f>IF(inputs_ok,iq_beta*iq_V*1000/(z_iq*iq_bi),NA())</f>
        <v/>
      </c>
      <c r="F81" s="28" t="inlineStr">
        <is>
          <t>MPa</t>
        </is>
      </c>
      <c r="G81" s="23" t="n"/>
    </row>
    <row r="82" ht="17" customHeight="1">
      <c r="B82" s="26" t="inlineStr">
        <is>
          <t>(6.25)</t>
        </is>
      </c>
      <c r="C82" s="24" t="inlineStr">
        <is>
          <t>Without steel  c fctd + μ σn</t>
        </is>
      </c>
      <c r="D82" s="27" t="inlineStr">
        <is>
          <r>
            <rPr>
              <rFont val="Calibri"/>
              <i val="1"/>
              <color rgb="002B2B2B"/>
              <sz val="10"/>
            </rPr>
            <t>v</t>
          </r>
          <r>
            <rPr>
              <rFont val="Calibri"/>
              <i val="1"/>
              <color rgb="002B2B2B"/>
              <sz val="10"/>
              <vertAlign val="subscript"/>
            </rPr>
            <t>c</t>
          </r>
        </is>
      </c>
      <c r="E82" s="43">
        <f>IF(inputs_ok,c_iq*fctd_iq+mu_iq*iq_sig,NA())</f>
        <v/>
      </c>
      <c r="F82" s="28" t="inlineStr">
        <is>
          <t>MPa</t>
        </is>
      </c>
      <c r="G82" s="23" t="n"/>
    </row>
    <row r="83" ht="17" customHeight="1">
      <c r="B83" s="26" t="inlineStr">
        <is>
          <t>6.2.5(1)</t>
        </is>
      </c>
      <c r="C83" s="24" t="inlineStr">
        <is>
          <t>Steel ratio  ρ = n π φ² / 4 / (bi s)</t>
        </is>
      </c>
      <c r="D83" s="27" t="inlineStr">
        <is>
          <r>
            <rPr>
              <rFont val="Calibri"/>
              <i val="1"/>
              <color rgb="002B2B2B"/>
              <sz val="10"/>
            </rPr>
            <t>ρ</t>
          </r>
        </is>
      </c>
      <c r="E83" s="45">
        <f>IF(inputs_ok,iq_n*PI()*iq_phi^2/4/(iq_bi*iq_s),NA())</f>
        <v/>
      </c>
      <c r="F83" s="23" t="n"/>
      <c r="G83" s="23" t="n"/>
    </row>
    <row r="84" ht="17" customHeight="1">
      <c r="B84" s="26" t="inlineStr">
        <is>
          <t>(6.25)</t>
        </is>
      </c>
      <c r="C84" s="24" t="inlineStr">
        <is>
          <t>Steel term  ρ fyd (μ sin α + cos α)</t>
        </is>
      </c>
      <c r="D84" s="27" t="inlineStr">
        <is>
          <r>
            <rPr>
              <rFont val="Calibri"/>
              <i val="1"/>
              <color rgb="002B2B2B"/>
              <sz val="10"/>
            </rPr>
            <t>v</t>
          </r>
          <r>
            <rPr>
              <rFont val="Calibri"/>
              <i val="1"/>
              <color rgb="002B2B2B"/>
              <sz val="10"/>
              <vertAlign val="subscript"/>
            </rPr>
            <t>s</t>
          </r>
        </is>
      </c>
      <c r="E84" s="43">
        <f>IF(inputs_ok,rho_iq*fyd_iq*(mu_iq*SIN(RADIANS(iq_alpha))+COS(RADIANS(iq_alpha))),NA())</f>
        <v/>
      </c>
      <c r="F84" s="28" t="inlineStr">
        <is>
          <t>MPa</t>
        </is>
      </c>
      <c r="G84" s="23" t="n"/>
    </row>
    <row r="85" ht="17" customHeight="1">
      <c r="B85" s="26" t="inlineStr">
        <is>
          <t>(6.25)</t>
        </is>
      </c>
      <c r="C85" s="24" t="inlineStr">
        <is>
          <t>Upper limit  0.5 ν fcd</t>
        </is>
      </c>
      <c r="D85" s="27" t="inlineStr">
        <is>
          <r>
            <rPr>
              <rFont val="Calibri"/>
              <i val="1"/>
              <color rgb="002B2B2B"/>
              <sz val="10"/>
            </rPr>
            <t>v</t>
          </r>
          <r>
            <rPr>
              <rFont val="Calibri"/>
              <i val="1"/>
              <color rgb="002B2B2B"/>
              <sz val="10"/>
              <vertAlign val="subscript"/>
            </rPr>
            <t>Rdi,max</t>
          </r>
        </is>
      </c>
      <c r="E85" s="43">
        <f>IF(inputs_ok,0.5*nu_iq*fcd_iq,NA())</f>
        <v/>
      </c>
      <c r="F85" s="28" t="inlineStr">
        <is>
          <t>MPa</t>
        </is>
      </c>
      <c r="G85" s="23" t="n"/>
    </row>
    <row r="86" ht="17" customHeight="1">
      <c r="B86" s="26" t="inlineStr">
        <is>
          <t>(6.25)</t>
        </is>
      </c>
      <c r="C86" s="24" t="inlineStr">
        <is>
          <t>Resistance  min(vc + vs; 0.5 ν fcd)</t>
        </is>
      </c>
      <c r="D86" s="27" t="inlineStr">
        <is>
          <r>
            <rPr>
              <rFont val="Calibri"/>
              <i val="1"/>
              <color rgb="002B2B2B"/>
              <sz val="10"/>
            </rPr>
            <t>v</t>
          </r>
          <r>
            <rPr>
              <rFont val="Calibri"/>
              <i val="1"/>
              <color rgb="002B2B2B"/>
              <sz val="10"/>
              <vertAlign val="subscript"/>
            </rPr>
            <t>Rdi</t>
          </r>
        </is>
      </c>
      <c r="E86" s="44">
        <f>IF(inputs_ok,MIN(vc_iq+vs_iq,vmax_iq),NA())</f>
        <v/>
      </c>
      <c r="F86" s="28" t="inlineStr">
        <is>
          <t>MPa</t>
        </is>
      </c>
      <c r="G86" s="23" t="n"/>
    </row>
    <row r="87" ht="17" customHeight="1">
      <c r="B87" s="26" t="inlineStr">
        <is>
          <t>(6.23)</t>
        </is>
      </c>
      <c r="C87" s="24" t="inlineStr">
        <is>
          <t>vEdi ≤ vRdi</t>
        </is>
      </c>
      <c r="D87" s="23" t="n"/>
      <c r="E87" s="43">
        <f>IF(inputs_ok,vEdi_iq,NA())</f>
        <v/>
      </c>
      <c r="F87" s="28" t="inlineStr">
        <is>
          <t>MPa</t>
        </is>
      </c>
      <c r="G87" s="31">
        <f>IF(NOT(inputs_ok),"FAIL",IF(int_ok,"OK","FAIL"))</f>
        <v/>
      </c>
    </row>
    <row r="88" ht="17" customHeight="1">
      <c r="B88" s="26" t="inlineStr">
        <is>
          <t>(6.25)</t>
        </is>
      </c>
      <c r="C88" s="24" t="inlineStr">
        <is>
          <t>Steel needed  max(0; vEdi − vc) bi / (fyd (μ sin α + cos α))</t>
        </is>
      </c>
      <c r="D88" s="27" t="inlineStr">
        <is>
          <r>
            <rPr>
              <rFont val="Calibri"/>
              <i val="1"/>
              <color rgb="002B2B2B"/>
              <sz val="10"/>
            </rPr>
            <t>A</t>
          </r>
          <r>
            <rPr>
              <rFont val="Calibri"/>
              <i val="1"/>
              <color rgb="002B2B2B"/>
              <sz val="10"/>
              <vertAlign val="subscript"/>
            </rPr>
            <t>s/s</t>
          </r>
        </is>
      </c>
      <c r="E88" s="41">
        <f>IF(inputs_ok,MAX(0,vEdi_iq-vc_iq)*iq_bi*1000/(fyd_iq*(mu_iq*SIN(RADIANS(iq_alpha))+COS(RADIANS(iq_alpha)))),NA())</f>
        <v/>
      </c>
      <c r="F88" s="28" t="inlineStr">
        <is>
          <t>mm²/m</t>
        </is>
      </c>
      <c r="G88" s="23" t="n"/>
    </row>
    <row r="89" ht="17" customHeight="1">
      <c r="B89" s="23" t="n"/>
      <c r="C89" s="24" t="inlineStr">
        <is>
          <t>Steel provided  n π φ² / 4 · 1000 / s</t>
        </is>
      </c>
      <c r="D89" s="27" t="inlineStr">
        <is>
          <r>
            <rPr>
              <rFont val="Calibri"/>
              <i val="1"/>
              <color rgb="002B2B2B"/>
              <sz val="10"/>
            </rPr>
            <t>A</t>
          </r>
          <r>
            <rPr>
              <rFont val="Calibri"/>
              <i val="1"/>
              <color rgb="002B2B2B"/>
              <sz val="10"/>
              <vertAlign val="subscript"/>
            </rPr>
            <t>s/s</t>
          </r>
        </is>
      </c>
      <c r="E89" s="41">
        <f>IF(inputs_ok,iq_n*PI()*iq_phi^2/4*1000/iq_s,NA())</f>
        <v/>
      </c>
      <c r="F89" s="28" t="inlineStr">
        <is>
          <t>mm²/m</t>
        </is>
      </c>
      <c r="G89" s="23" t="n"/>
    </row>
    <row r="90" ht="41.5" customHeight="1">
      <c r="B90" s="46" t="inlineStr">
        <is>
          <t>The steel needed holds only while vEdi ≤ 0.5 ν fcd; above that limit no amount of steel helps and the joint (or the section) must change. Anchor the steel on both sides of the joint (8.4); links of the vertical shear design that cross the joint may be counted. The drawing is an elevation of the member over a few spacings, the steel drawn leaning to show α only.</t>
        </is>
      </c>
    </row>
    <row r="91"/>
    <row r="92" ht="29" customHeight="1">
      <c r="B92" s="46"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90:G90"/>
    <mergeCell ref="E5:G5"/>
    <mergeCell ref="B92:G92"/>
    <mergeCell ref="D2:G2"/>
    <mergeCell ref="E7:G7"/>
    <mergeCell ref="E6:G6"/>
    <mergeCell ref="C3:G3"/>
  </mergeCells>
  <conditionalFormatting sqref="G9:G93">
    <cfRule type="expression" priority="1" dxfId="0">
      <formula>G9="OK"</formula>
    </cfRule>
    <cfRule type="expression" priority="2" dxfId="1">
      <formula>G9="FAIL"</formula>
    </cfRule>
    <cfRule type="expression" priority="3" dxfId="2">
      <formula>LEFT(G9,1)="!"</formula>
    </cfRule>
  </conditionalFormatting>
  <dataValidations count="17">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"Very smooth,Smooth,Rough,Indented"</formula1>
    </dataValidation>
    <dataValidation sqref="E15" showDropDown="0" showInputMessage="0" showErrorMessage="1" allowBlank="0" errorTitle="NA Engineering" error="Pick a value from the list." type="list" errorStyle="stop">
      <formula1>"No,Yes"</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 0." type="decimal" errorStyle="stop" operator="greaterThanOrEqual">
      <formula1>0</formula1>
    </dataValidation>
    <dataValidation sqref="E22" showDropDown="0" showInputMessage="0" showErrorMessage="1" allowBlank="0" errorTitle="NA Engineering" error="Pick a value from the list." type="list" errorStyle="stop">
      <formula1>"8,10,12,16,20,25,32,40"</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 -10." type="decimal" errorStyle="stop" operator="greaterThanOrEqual">
      <formula1>-10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&amp;K8A8A8ANAE-RC-027  v1.0</oddFooter>
    <evenHeader/>
    <evenFooter/>
    <firstHeader/>
    <firstFooter/>
  </headerFooter>
  <rowBreaks count="1" manualBreakCount="1">
    <brk id="31"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K6"/>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first pour</t>
        </is>
      </c>
      <c r="G2" t="inlineStr">
        <is>
          <t>second pour</t>
        </is>
      </c>
      <c r="J2" t="inlineStr">
        <is>
          <t>interface</t>
        </is>
      </c>
      <c r="M2" t="inlineStr">
        <is>
          <t>tension bar</t>
        </is>
      </c>
      <c r="P2" t="inlineStr">
        <is>
          <t>link 0</t>
        </is>
      </c>
      <c r="S2" t="inlineStr">
        <is>
          <t>link 1</t>
        </is>
      </c>
      <c r="V2" t="inlineStr">
        <is>
          <t>link 2</t>
        </is>
      </c>
      <c r="Y2" t="inlineStr">
        <is>
          <t>link 3</t>
        </is>
      </c>
      <c r="AB2" t="inlineStr">
        <is>
          <t>link 4</t>
        </is>
      </c>
      <c r="AE2" t="inlineStr">
        <is>
          <t>link 5</t>
        </is>
      </c>
      <c r="AH2" t="inlineStr">
        <is>
          <t>link 6</t>
        </is>
      </c>
      <c r="AK2" t="inlineStr">
        <is>
          <t>link 7</t>
        </is>
      </c>
      <c r="AN2" t="inlineStr">
        <is>
          <t>link 8</t>
        </is>
      </c>
      <c r="AQ2" t="inlineStr">
        <is>
          <t>link 9</t>
        </is>
      </c>
      <c r="AT2" t="inlineStr">
        <is>
          <t>link 10</t>
        </is>
      </c>
      <c r="AW2" t="inlineStr">
        <is>
          <t>link 11</t>
        </is>
      </c>
      <c r="AZ2" t="inlineStr">
        <is>
          <t>shear above</t>
        </is>
      </c>
      <c r="BC2" t="inlineStr">
        <is>
          <t>shear below</t>
        </is>
      </c>
      <c r="BF2" t="inlineStr">
        <is>
          <t>dim</t>
        </is>
      </c>
      <c r="BI2">
        <f>IF(inputs_ok,"h_t "&amp;TEXT(iq_ht,"0"),"")</f>
        <v/>
      </c>
      <c r="BL2" t="inlineStr">
        <is>
          <t>dim</t>
        </is>
      </c>
      <c r="BO2">
        <f>IF(inputs_ok,"d "&amp;TEXT(iq_d,"0"),"")</f>
        <v/>
      </c>
      <c r="BR2" t="inlineStr">
        <is>
          <t>dim</t>
        </is>
      </c>
      <c r="BU2">
        <f>IF(inputs_ok,"s "&amp;TEXT(iq_s,"0"),"")</f>
        <v/>
      </c>
      <c r="BX2">
        <f>IF(inputs_ok,"shear on the faces","")</f>
        <v/>
      </c>
      <c r="CA2">
        <f>IF(inputs_ok,iq_surf&amp;" interface","")</f>
        <v/>
      </c>
      <c r="CD2">
        <f>IF(inputs_ok,"v_Edi "&amp;TEXT(vEdi_iq,"0.00")&amp;" · v_Rdi "&amp;TEXT(vRdi_iq,"0.00")&amp;" MPa","")</f>
        <v/>
      </c>
      <c r="CG2">
        <f>IF(inputs_ok,"h "&amp;iq_h&amp;" · "&amp;IF(iq_n&gt;0,iq_n&amp;" legs φ"&amp;iq_phi&amp;" @ "&amp;iq_s&amp;" at "&amp;iq_alpha&amp;"°","no steel across the joint"),"")</f>
        <v/>
      </c>
      <c r="CJ2" t="inlineStr">
        <is>
          <t>frame</t>
        </is>
      </c>
    </row>
    <row r="3">
      <c r="A3">
        <f>0</f>
        <v/>
      </c>
      <c r="B3">
        <f>0</f>
        <v/>
      </c>
      <c r="D3">
        <f>IF(inputs_ok,0,NA())</f>
        <v/>
      </c>
      <c r="E3">
        <f>(iq_h-iq_ht)</f>
        <v/>
      </c>
      <c r="G3">
        <f>IF(inputs_ok,0,NA())</f>
        <v/>
      </c>
      <c r="H3">
        <f>(iq_h-iq_ht)</f>
        <v/>
      </c>
      <c r="J3">
        <f>IF(inputs_ok,0,NA())</f>
        <v/>
      </c>
      <c r="K3">
        <f>(iq_h-iq_ht)</f>
        <v/>
      </c>
      <c r="M3">
        <f>IF(inputs_ok,0,NA())</f>
        <v/>
      </c>
      <c r="N3">
        <f>(iq_h-iq_d)</f>
        <v/>
      </c>
      <c r="P3">
        <f>IF(inputs_ok,IF(AND(iq_n&gt;0,(0+0.5)*iq_s+iq_dx&lt;=iq_LX),(0+0.5)*iq_s,NA()),NA())</f>
        <v/>
      </c>
      <c r="Q3">
        <f>IF(AND(iq_n&gt;0,(0+0.5)*iq_s+iq_dx&lt;=iq_LX),(iq_h-iq_d),NA())</f>
        <v/>
      </c>
      <c r="S3">
        <f>IF(inputs_ok,IF(AND(iq_n&gt;0,(1+0.5)*iq_s+iq_dx&lt;=iq_LX),(1+0.5)*iq_s,NA()),NA())</f>
        <v/>
      </c>
      <c r="T3">
        <f>IF(AND(iq_n&gt;0,(1+0.5)*iq_s+iq_dx&lt;=iq_LX),(iq_h-iq_d),NA())</f>
        <v/>
      </c>
      <c r="V3">
        <f>IF(inputs_ok,IF(AND(iq_n&gt;0,(2+0.5)*iq_s+iq_dx&lt;=iq_LX),(2+0.5)*iq_s,NA()),NA())</f>
        <v/>
      </c>
      <c r="W3">
        <f>IF(AND(iq_n&gt;0,(2+0.5)*iq_s+iq_dx&lt;=iq_LX),(iq_h-iq_d),NA())</f>
        <v/>
      </c>
      <c r="Y3">
        <f>IF(inputs_ok,IF(AND(iq_n&gt;0,(3+0.5)*iq_s+iq_dx&lt;=iq_LX),(3+0.5)*iq_s,NA()),NA())</f>
        <v/>
      </c>
      <c r="Z3">
        <f>IF(AND(iq_n&gt;0,(3+0.5)*iq_s+iq_dx&lt;=iq_LX),(iq_h-iq_d),NA())</f>
        <v/>
      </c>
      <c r="AB3">
        <f>IF(inputs_ok,IF(AND(iq_n&gt;0,(4+0.5)*iq_s+iq_dx&lt;=iq_LX),(4+0.5)*iq_s,NA()),NA())</f>
        <v/>
      </c>
      <c r="AC3">
        <f>IF(AND(iq_n&gt;0,(4+0.5)*iq_s+iq_dx&lt;=iq_LX),(iq_h-iq_d),NA())</f>
        <v/>
      </c>
      <c r="AE3">
        <f>IF(inputs_ok,IF(AND(iq_n&gt;0,(5+0.5)*iq_s+iq_dx&lt;=iq_LX),(5+0.5)*iq_s,NA()),NA())</f>
        <v/>
      </c>
      <c r="AF3">
        <f>IF(AND(iq_n&gt;0,(5+0.5)*iq_s+iq_dx&lt;=iq_LX),(iq_h-iq_d),NA())</f>
        <v/>
      </c>
      <c r="AH3">
        <f>IF(inputs_ok,IF(AND(iq_n&gt;0,(6+0.5)*iq_s+iq_dx&lt;=iq_LX),(6+0.5)*iq_s,NA()),NA())</f>
        <v/>
      </c>
      <c r="AI3">
        <f>IF(AND(iq_n&gt;0,(6+0.5)*iq_s+iq_dx&lt;=iq_LX),(iq_h-iq_d),NA())</f>
        <v/>
      </c>
      <c r="AK3">
        <f>IF(inputs_ok,IF(AND(iq_n&gt;0,(7+0.5)*iq_s+iq_dx&lt;=iq_LX),(7+0.5)*iq_s,NA()),NA())</f>
        <v/>
      </c>
      <c r="AL3">
        <f>IF(AND(iq_n&gt;0,(7+0.5)*iq_s+iq_dx&lt;=iq_LX),(iq_h-iq_d),NA())</f>
        <v/>
      </c>
      <c r="AN3">
        <f>IF(inputs_ok,IF(AND(iq_n&gt;0,(8+0.5)*iq_s+iq_dx&lt;=iq_LX),(8+0.5)*iq_s,NA()),NA())</f>
        <v/>
      </c>
      <c r="AO3">
        <f>IF(AND(iq_n&gt;0,(8+0.5)*iq_s+iq_dx&lt;=iq_LX),(iq_h-iq_d),NA())</f>
        <v/>
      </c>
      <c r="AQ3">
        <f>IF(inputs_ok,IF(AND(iq_n&gt;0,(9+0.5)*iq_s+iq_dx&lt;=iq_LX),(9+0.5)*iq_s,NA()),NA())</f>
        <v/>
      </c>
      <c r="AR3">
        <f>IF(AND(iq_n&gt;0,(9+0.5)*iq_s+iq_dx&lt;=iq_LX),(iq_h-iq_d),NA())</f>
        <v/>
      </c>
      <c r="AT3">
        <f>IF(inputs_ok,IF(AND(iq_n&gt;0,(10+0.5)*iq_s+iq_dx&lt;=iq_LX),(10+0.5)*iq_s,NA()),NA())</f>
        <v/>
      </c>
      <c r="AU3">
        <f>IF(AND(iq_n&gt;0,(10+0.5)*iq_s+iq_dx&lt;=iq_LX),(iq_h-iq_d),NA())</f>
        <v/>
      </c>
      <c r="AW3">
        <f>IF(inputs_ok,IF(AND(iq_n&gt;0,(11+0.5)*iq_s+iq_dx&lt;=iq_LX),(11+0.5)*iq_s,NA()),NA())</f>
        <v/>
      </c>
      <c r="AX3">
        <f>IF(AND(iq_n&gt;0,(11+0.5)*iq_s+iq_dx&lt;=iq_LX),(iq_h-iq_d),NA())</f>
        <v/>
      </c>
      <c r="AZ3">
        <f>IF(inputs_ok,0.34*iq_LX,NA())</f>
        <v/>
      </c>
      <c r="BA3">
        <f>(iq_h-iq_ht)+0.3*MIN(iq_ht,iq_h-iq_ht)</f>
        <v/>
      </c>
      <c r="BC3">
        <f>IF(inputs_ok,0.1*iq_LX,NA())</f>
        <v/>
      </c>
      <c r="BD3">
        <f>(iq_h-iq_ht)-0.3*MIN(iq_ht,iq_h-iq_ht)</f>
        <v/>
      </c>
      <c r="BF3">
        <f>IF(inputs_ok,IF(TRUE,-0.07*iq_LX,NA()),NA())</f>
        <v/>
      </c>
      <c r="BG3">
        <f>IF(TRUE,(iq_h-iq_ht),NA())</f>
        <v/>
      </c>
      <c r="BI3">
        <f>IF(inputs_ok,IF(TRUE,((-0.07*iq_LX)+(-0.07*iq_LX))/2,NA()),NA())</f>
        <v/>
      </c>
      <c r="BJ3">
        <f>IF(TRUE,(((iq_h-iq_ht))+(iq_h))/2,NA())</f>
        <v/>
      </c>
      <c r="BL3">
        <f>IF(inputs_ok,IF(TRUE,iq_LX+0.07*iq_LX,NA()),NA())</f>
        <v/>
      </c>
      <c r="BM3">
        <f>IF(TRUE,(iq_h-iq_d),NA())</f>
        <v/>
      </c>
      <c r="BO3">
        <f>IF(inputs_ok,IF(TRUE,((iq_LX+0.07*iq_LX)+(iq_LX+0.07*iq_LX))/2,NA()),NA())</f>
        <v/>
      </c>
      <c r="BP3">
        <f>IF(TRUE,(((iq_h-iq_d))+(iq_h))/2,NA())</f>
        <v/>
      </c>
      <c r="BR3">
        <f>IF(inputs_ok,IF(AND(iq_n&gt;0,1.5*iq_s+iq_dx&lt;=iq_LX),0.5*iq_s,NA()),NA())</f>
        <v/>
      </c>
      <c r="BS3">
        <f>IF(AND(iq_n&gt;0,1.5*iq_s+iq_dx&lt;=iq_LX),-0.12*iq_h,NA())</f>
        <v/>
      </c>
      <c r="BU3">
        <f>IF(inputs_ok,IF(AND(iq_n&gt;0,1.5*iq_s+iq_dx&lt;=iq_LX),((0.5*iq_s)+(1.5*iq_s))/2,NA()),NA())</f>
        <v/>
      </c>
      <c r="BV3">
        <f>IF(AND(iq_n&gt;0,1.5*iq_s+iq_dx&lt;=iq_LX),((-0.12*iq_h)+(-0.12*iq_h))/2,NA())</f>
        <v/>
      </c>
      <c r="BX3">
        <f>IF(inputs_ok,0.22*iq_LX,NA())</f>
        <v/>
      </c>
      <c r="BY3">
        <f>(iq_h-iq_ht)+0.3*MIN(iq_ht,iq_h-iq_ht)</f>
        <v/>
      </c>
      <c r="CA3">
        <f>IF(inputs_ok,0.65*iq_LX,NA())</f>
        <v/>
      </c>
      <c r="CB3">
        <f>(iq_h-iq_ht)</f>
        <v/>
      </c>
      <c r="CD3">
        <f>IF(inputs_ok,iq_LX/2,NA())</f>
        <v/>
      </c>
      <c r="CE3">
        <f>iq_h+0.06*iq_h</f>
        <v/>
      </c>
      <c r="CG3">
        <f>IF(inputs_ok,iq_LX/2,NA())</f>
        <v/>
      </c>
      <c r="CH3">
        <f>-0.3*iq_h</f>
        <v/>
      </c>
      <c r="CJ3">
        <f>((-0.25*iq_LX)+(1.3*iq_LX))/2-MAX((1.3*iq_h)-(-0.5*iq_h),((1.3*iq_LX)-(-0.25*iq_LX))/1.55)*0.53*1.55</f>
        <v/>
      </c>
      <c r="CK3">
        <f>((-0.5*iq_h)+(1.3*iq_h))/2-MAX((1.3*iq_h)-(-0.5*iq_h),((1.3*iq_LX)-(-0.25*iq_LX))/1.55)*0.53</f>
        <v/>
      </c>
    </row>
    <row r="4">
      <c r="D4">
        <f>IF(inputs_ok,0,NA())</f>
        <v/>
      </c>
      <c r="E4">
        <f>0</f>
        <v/>
      </c>
      <c r="G4">
        <f>IF(inputs_ok,0,NA())</f>
        <v/>
      </c>
      <c r="H4">
        <f>iq_h</f>
        <v/>
      </c>
      <c r="J4">
        <f>IF(inputs_ok,iq_LX,NA())</f>
        <v/>
      </c>
      <c r="K4">
        <f>(iq_h-iq_ht)</f>
        <v/>
      </c>
      <c r="M4">
        <f>IF(inputs_ok,iq_LX,NA())</f>
        <v/>
      </c>
      <c r="N4">
        <f>(iq_h-iq_d)</f>
        <v/>
      </c>
      <c r="P4">
        <f>IF(inputs_ok,IF(AND(iq_n&gt;0,(0+0.5)*iq_s+iq_dx&lt;=iq_LX),(0+0.5)*iq_s+iq_dx,NA()),NA())</f>
        <v/>
      </c>
      <c r="Q4">
        <f>IF(AND(iq_n&gt;0,(0+0.5)*iq_s+iq_dx&lt;=iq_LX),(iq_h-0.35*iq_ht),NA())</f>
        <v/>
      </c>
      <c r="S4">
        <f>IF(inputs_ok,IF(AND(iq_n&gt;0,(1+0.5)*iq_s+iq_dx&lt;=iq_LX),(1+0.5)*iq_s+iq_dx,NA()),NA())</f>
        <v/>
      </c>
      <c r="T4">
        <f>IF(AND(iq_n&gt;0,(1+0.5)*iq_s+iq_dx&lt;=iq_LX),(iq_h-0.35*iq_ht),NA())</f>
        <v/>
      </c>
      <c r="V4">
        <f>IF(inputs_ok,IF(AND(iq_n&gt;0,(2+0.5)*iq_s+iq_dx&lt;=iq_LX),(2+0.5)*iq_s+iq_dx,NA()),NA())</f>
        <v/>
      </c>
      <c r="W4">
        <f>IF(AND(iq_n&gt;0,(2+0.5)*iq_s+iq_dx&lt;=iq_LX),(iq_h-0.35*iq_ht),NA())</f>
        <v/>
      </c>
      <c r="Y4">
        <f>IF(inputs_ok,IF(AND(iq_n&gt;0,(3+0.5)*iq_s+iq_dx&lt;=iq_LX),(3+0.5)*iq_s+iq_dx,NA()),NA())</f>
        <v/>
      </c>
      <c r="Z4">
        <f>IF(AND(iq_n&gt;0,(3+0.5)*iq_s+iq_dx&lt;=iq_LX),(iq_h-0.35*iq_ht),NA())</f>
        <v/>
      </c>
      <c r="AB4">
        <f>IF(inputs_ok,IF(AND(iq_n&gt;0,(4+0.5)*iq_s+iq_dx&lt;=iq_LX),(4+0.5)*iq_s+iq_dx,NA()),NA())</f>
        <v/>
      </c>
      <c r="AC4">
        <f>IF(AND(iq_n&gt;0,(4+0.5)*iq_s+iq_dx&lt;=iq_LX),(iq_h-0.35*iq_ht),NA())</f>
        <v/>
      </c>
      <c r="AE4">
        <f>IF(inputs_ok,IF(AND(iq_n&gt;0,(5+0.5)*iq_s+iq_dx&lt;=iq_LX),(5+0.5)*iq_s+iq_dx,NA()),NA())</f>
        <v/>
      </c>
      <c r="AF4">
        <f>IF(AND(iq_n&gt;0,(5+0.5)*iq_s+iq_dx&lt;=iq_LX),(iq_h-0.35*iq_ht),NA())</f>
        <v/>
      </c>
      <c r="AH4">
        <f>IF(inputs_ok,IF(AND(iq_n&gt;0,(6+0.5)*iq_s+iq_dx&lt;=iq_LX),(6+0.5)*iq_s+iq_dx,NA()),NA())</f>
        <v/>
      </c>
      <c r="AI4">
        <f>IF(AND(iq_n&gt;0,(6+0.5)*iq_s+iq_dx&lt;=iq_LX),(iq_h-0.35*iq_ht),NA())</f>
        <v/>
      </c>
      <c r="AK4">
        <f>IF(inputs_ok,IF(AND(iq_n&gt;0,(7+0.5)*iq_s+iq_dx&lt;=iq_LX),(7+0.5)*iq_s+iq_dx,NA()),NA())</f>
        <v/>
      </c>
      <c r="AL4">
        <f>IF(AND(iq_n&gt;0,(7+0.5)*iq_s+iq_dx&lt;=iq_LX),(iq_h-0.35*iq_ht),NA())</f>
        <v/>
      </c>
      <c r="AN4">
        <f>IF(inputs_ok,IF(AND(iq_n&gt;0,(8+0.5)*iq_s+iq_dx&lt;=iq_LX),(8+0.5)*iq_s+iq_dx,NA()),NA())</f>
        <v/>
      </c>
      <c r="AO4">
        <f>IF(AND(iq_n&gt;0,(8+0.5)*iq_s+iq_dx&lt;=iq_LX),(iq_h-0.35*iq_ht),NA())</f>
        <v/>
      </c>
      <c r="AQ4">
        <f>IF(inputs_ok,IF(AND(iq_n&gt;0,(9+0.5)*iq_s+iq_dx&lt;=iq_LX),(9+0.5)*iq_s+iq_dx,NA()),NA())</f>
        <v/>
      </c>
      <c r="AR4">
        <f>IF(AND(iq_n&gt;0,(9+0.5)*iq_s+iq_dx&lt;=iq_LX),(iq_h-0.35*iq_ht),NA())</f>
        <v/>
      </c>
      <c r="AT4">
        <f>IF(inputs_ok,IF(AND(iq_n&gt;0,(10+0.5)*iq_s+iq_dx&lt;=iq_LX),(10+0.5)*iq_s+iq_dx,NA()),NA())</f>
        <v/>
      </c>
      <c r="AU4">
        <f>IF(AND(iq_n&gt;0,(10+0.5)*iq_s+iq_dx&lt;=iq_LX),(iq_h-0.35*iq_ht),NA())</f>
        <v/>
      </c>
      <c r="AW4">
        <f>IF(inputs_ok,IF(AND(iq_n&gt;0,(11+0.5)*iq_s+iq_dx&lt;=iq_LX),(11+0.5)*iq_s+iq_dx,NA()),NA())</f>
        <v/>
      </c>
      <c r="AX4">
        <f>IF(AND(iq_n&gt;0,(11+0.5)*iq_s+iq_dx&lt;=iq_LX),(iq_h-0.35*iq_ht),NA())</f>
        <v/>
      </c>
      <c r="AZ4">
        <f>IF(inputs_ok,0.1*iq_LX,NA())</f>
        <v/>
      </c>
      <c r="BA4">
        <f>(iq_h-iq_ht)+0.3*MIN(iq_ht,iq_h-iq_ht)</f>
        <v/>
      </c>
      <c r="BC4">
        <f>IF(inputs_ok,0.34*iq_LX,NA())</f>
        <v/>
      </c>
      <c r="BD4">
        <f>(iq_h-iq_ht)-0.3*MIN(iq_ht,iq_h-iq_ht)</f>
        <v/>
      </c>
      <c r="BF4">
        <f>IF(inputs_ok,IF(TRUE,-0.07*iq_LX,NA()),NA())</f>
        <v/>
      </c>
      <c r="BG4">
        <f>IF(TRUE,iq_h,NA())</f>
        <v/>
      </c>
      <c r="BL4">
        <f>IF(inputs_ok,IF(TRUE,iq_LX+0.07*iq_LX,NA()),NA())</f>
        <v/>
      </c>
      <c r="BM4">
        <f>IF(TRUE,iq_h,NA())</f>
        <v/>
      </c>
      <c r="BR4">
        <f>IF(inputs_ok,IF(AND(iq_n&gt;0,1.5*iq_s+iq_dx&lt;=iq_LX),1.5*iq_s,NA()),NA())</f>
        <v/>
      </c>
      <c r="BS4">
        <f>IF(AND(iq_n&gt;0,1.5*iq_s+iq_dx&lt;=iq_LX),-0.12*iq_h,NA())</f>
        <v/>
      </c>
      <c r="CJ4">
        <f>((-0.25*iq_LX)+(1.3*iq_LX))/2+MAX((1.3*iq_h)-(-0.5*iq_h),((1.3*iq_LX)-(-0.25*iq_LX))/1.55)*0.53*1.55</f>
        <v/>
      </c>
      <c r="CK4">
        <f>((-0.5*iq_h)+(1.3*iq_h))/2+MAX((1.3*iq_h)-(-0.5*iq_h),((1.3*iq_LX)-(-0.25*iq_LX))/1.55)*0.53</f>
        <v/>
      </c>
    </row>
    <row r="5">
      <c r="D5">
        <f>IF(inputs_ok,iq_LX,NA())</f>
        <v/>
      </c>
      <c r="E5">
        <f>0</f>
        <v/>
      </c>
      <c r="G5">
        <f>IF(inputs_ok,iq_LX,NA())</f>
        <v/>
      </c>
      <c r="H5">
        <f>iq_h</f>
        <v/>
      </c>
    </row>
    <row r="6">
      <c r="D6">
        <f>IF(inputs_ok,iq_LX,NA())</f>
        <v/>
      </c>
      <c r="E6">
        <f>(iq_h-iq_ht)</f>
        <v/>
      </c>
      <c r="G6">
        <f>IF(inputs_ok,iq_LX,NA())</f>
        <v/>
      </c>
      <c r="H6">
        <f>(iq_h-iq_ht)</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7"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8" t="inlineStr">
        <is>
          <t>Parameter</t>
        </is>
      </c>
      <c r="C5" s="48" t="inlineStr">
        <is>
          <t>Clause</t>
        </is>
      </c>
      <c r="D5" s="48" t="inlineStr">
        <is>
          <t>UK NA</t>
        </is>
      </c>
      <c r="E5" s="48" t="inlineStr">
        <is>
          <t>PL NA</t>
        </is>
      </c>
      <c r="F5" s="48" t="inlineStr">
        <is>
          <t>Notes</t>
        </is>
      </c>
    </row>
    <row r="6">
      <c r="B6" s="49" t="inlineStr">
        <is>
          <t>Partial factor, concrete  γc</t>
        </is>
      </c>
      <c r="C6" s="50" t="inlineStr">
        <is>
          <t>2.4.2.4(1)</t>
        </is>
      </c>
      <c r="D6" s="51" t="n">
        <v>1.5</v>
      </c>
      <c r="E6" s="51" t="n">
        <v>1.4</v>
      </c>
      <c r="F6" s="50" t="inlineStr">
        <is>
          <t>Persistent &amp; transient. UK NA: recommended; PL: NA.2, Table NA.2</t>
        </is>
      </c>
    </row>
    <row r="7">
      <c r="B7" s="49" t="inlineStr">
        <is>
          <t>Partial factor, reinforcement  γs</t>
        </is>
      </c>
      <c r="C7" s="50" t="inlineStr">
        <is>
          <t>2.4.2.4(1)</t>
        </is>
      </c>
      <c r="D7" s="51" t="n">
        <v>1.15</v>
      </c>
      <c r="E7" s="51" t="n">
        <v>1.15</v>
      </c>
      <c r="F7" s="50" t="inlineStr">
        <is>
          <t>UK NA: recommended; PL: NA.2, Table NA.2</t>
        </is>
      </c>
    </row>
    <row r="8">
      <c r="B8" s="49" t="inlineStr">
        <is>
          <t>αcc  (compression in flexure / axial)</t>
        </is>
      </c>
      <c r="C8" s="50" t="inlineStr">
        <is>
          <t>3.1.6(1)</t>
        </is>
      </c>
      <c r="D8" s="51" t="n">
        <v>0.85</v>
      </c>
      <c r="E8" s="51" t="n">
        <v>1</v>
      </c>
      <c r="F8" s="50" t="inlineStr">
        <is>
          <t>UK NA: 0.85; PL: recommended (NA.9)</t>
        </is>
      </c>
    </row>
    <row r="9">
      <c r="B9" s="49" t="inlineStr">
        <is>
          <t>αcc,pl  (plain concrete, compression)</t>
        </is>
      </c>
      <c r="C9" s="50" t="inlineStr">
        <is>
          <t>12.3.1(1)</t>
        </is>
      </c>
      <c r="D9" s="51" t="n">
        <v>0.6</v>
      </c>
      <c r="E9" s="51" t="n">
        <v>0.8</v>
      </c>
      <c r="F9" s="50" t="inlineStr">
        <is>
          <t>UK NA Table NA.1: 0.6; PL: recommended (NA.9)</t>
        </is>
      </c>
    </row>
    <row r="10">
      <c r="B10" s="49" t="inlineStr">
        <is>
          <t>αcc  (shear and punching)</t>
        </is>
      </c>
      <c r="C10" s="50" t="inlineStr">
        <is>
          <t>3.1.6(1)</t>
        </is>
      </c>
      <c r="D10" s="51" t="n">
        <v>1</v>
      </c>
      <c r="E10" s="51" t="n">
        <v>1</v>
      </c>
      <c r="F10" s="50" t="inlineStr">
        <is>
          <t>UK NA: 1.0 for other phenomena; PL: recommended (NA.9)</t>
        </is>
      </c>
    </row>
    <row r="11">
      <c r="B11" s="49" t="inlineStr">
        <is>
          <t>αct  (design tensile strength)</t>
        </is>
      </c>
      <c r="C11" s="50" t="inlineStr">
        <is>
          <t>3.1.6(2)</t>
        </is>
      </c>
      <c r="D11" s="51" t="n">
        <v>1</v>
      </c>
      <c r="E11" s="51" t="n">
        <v>1</v>
      </c>
      <c r="F11" s="50" t="inlineStr">
        <is>
          <t>Recommended value in both annexes</t>
        </is>
      </c>
    </row>
    <row r="12">
      <c r="B12" s="49" t="inlineStr">
        <is>
          <t>CRd,c numerator  (CRd,c = value / γc)</t>
        </is>
      </c>
      <c r="C12" s="50" t="inlineStr">
        <is>
          <t>6.2.2(1), 6.4.4(1)</t>
        </is>
      </c>
      <c r="D12" s="51" t="n">
        <v>0.18</v>
      </c>
      <c r="E12" s="51" t="n">
        <v>0.18</v>
      </c>
      <c r="F12" s="50" t="inlineStr">
        <is>
          <t>Recommended value in both annexes</t>
        </is>
      </c>
    </row>
    <row r="13">
      <c r="B13" s="49" t="inlineStr">
        <is>
          <t>k1  (axial stress term, punching)</t>
        </is>
      </c>
      <c r="C13" s="50" t="inlineStr">
        <is>
          <t>6.4.4(1)</t>
        </is>
      </c>
      <c r="D13" s="51" t="n">
        <v>0.1</v>
      </c>
      <c r="E13" s="51" t="n">
        <v>0.1</v>
      </c>
      <c r="F13" s="50" t="inlineStr">
        <is>
          <t>Recommended value in both annexes</t>
        </is>
      </c>
    </row>
    <row r="14">
      <c r="B14" s="49" t="inlineStr">
        <is>
          <t>vRd,max factor  (vRd,max = factor · ν · fcd)</t>
        </is>
      </c>
      <c r="C14" s="50" t="inlineStr">
        <is>
          <t>6.4.5(3)</t>
        </is>
      </c>
      <c r="D14" s="51" t="n">
        <v>0.5</v>
      </c>
      <c r="E14" s="51" t="n">
        <v>0.4</v>
      </c>
      <c r="F14" s="50" t="inlineStr">
        <is>
          <t>UK NA: 0.5 ν fcd; PL: recommended value (NA.9), 0.4 ν fcd since EN 1992-1-1 AC:2010 (PN-EN 1992-1-1:2008/AC:2011)</t>
        </is>
      </c>
    </row>
    <row r="15">
      <c r="B15" s="49" t="inlineStr">
        <is>
          <t>kmax  (vEd ≤ kmax · vRd,c at u1)</t>
        </is>
      </c>
      <c r="C15" s="50" t="inlineStr">
        <is>
          <t>6.4.5</t>
        </is>
      </c>
      <c r="D15" s="51" t="n">
        <v>2</v>
      </c>
      <c r="E15" s="51" t="n">
        <v>1.5</v>
      </c>
      <c r="F15" s="50" t="inlineStr">
        <is>
          <t>UK NA 6.4.5(3): 2 vRd,c. PL: no limit in PN-EN 1992-1-1:2008; 1.5 (A1:2014 recommendation) applied conservatively</t>
        </is>
      </c>
    </row>
    <row r="16">
      <c r="B16" s="49" t="inlineStr">
        <is>
          <t>φlarge  (large bar threshold, mm)</t>
        </is>
      </c>
      <c r="C16" s="50" t="inlineStr">
        <is>
          <t>8.8(1)</t>
        </is>
      </c>
      <c r="D16" s="51" t="n">
        <v>40</v>
      </c>
      <c r="E16" s="51" t="n">
        <v>32</v>
      </c>
      <c r="F16" s="50" t="inlineStr">
        <is>
          <t>UK NA: 40 mm; PL: 32 mm recommended (NA.9)</t>
        </is>
      </c>
    </row>
    <row r="17">
      <c r="B17" s="49" t="inlineStr">
        <is>
          <t>cot θ upper limit  (variable strut)</t>
        </is>
      </c>
      <c r="C17" s="50" t="inlineStr">
        <is>
          <t>6.2.3(2)</t>
        </is>
      </c>
      <c r="D17" s="51" t="n">
        <v>2.5</v>
      </c>
      <c r="E17" s="51" t="n">
        <v>2</v>
      </c>
      <c r="F17" s="50" t="inlineStr">
        <is>
          <t>UK NA: 2.5 (1.25 with axial tension); PL: NA.4, 1 ≤ cot θ ≤ 2.0</t>
        </is>
      </c>
    </row>
    <row r="18">
      <c r="B18" s="49" t="inlineStr">
        <is>
          <t>k1  (x/d limit, δ ≥ k1 + k2 xu/d)</t>
        </is>
      </c>
      <c r="C18" s="50" t="inlineStr">
        <is>
          <t>5.5(4)</t>
        </is>
      </c>
      <c r="D18" s="51" t="n">
        <v>0.4</v>
      </c>
      <c r="E18" s="51" t="n">
        <v>0.44</v>
      </c>
      <c r="F18" s="50" t="inlineStr">
        <is>
          <t>UK NA for fyk ≤ 500 MPa; PL: recommended (NA.9)</t>
        </is>
      </c>
    </row>
    <row r="19">
      <c r="B19" s="49" t="inlineStr">
        <is>
          <t>k2  (x/d limit, εcu2 = 0.0035)</t>
        </is>
      </c>
      <c r="C19" s="50" t="inlineStr">
        <is>
          <t>5.5(4)</t>
        </is>
      </c>
      <c r="D19" s="51" t="n">
        <v>1</v>
      </c>
      <c r="E19" s="51" t="n">
        <v>1.25</v>
      </c>
      <c r="F19" s="50" t="inlineStr">
        <is>
          <t>UK NA: 0.6 + 0.0014/εcu2; PL: 1.25(0.6 + 0.0014/εcu2)</t>
        </is>
      </c>
    </row>
    <row r="20">
      <c r="B20" s="49" t="inlineStr">
        <is>
          <t>Upper limit on the (310/σs) factor  (0 = none)</t>
        </is>
      </c>
      <c r="C20" s="50" t="inlineStr">
        <is>
          <t>7.4.2(2)</t>
        </is>
      </c>
      <c r="D20" s="51" t="n">
        <v>1.5</v>
      </c>
      <c r="E20" s="51" t="n">
        <v>0</v>
      </c>
      <c r="F20" s="50" t="inlineStr">
        <is>
          <t>UK NA Table NA.5 Note 5: (310/σs) or (500/fyk)(As,prov/As,req) ≤ 1.5; PL: none</t>
        </is>
      </c>
    </row>
    <row r="21">
      <c r="B21" s="49" t="inlineStr">
        <is>
          <t>L/d not to exceed 40 K  (1 = applies)</t>
        </is>
      </c>
      <c r="C21" s="50" t="inlineStr">
        <is>
          <t>7.4.2(2)</t>
        </is>
      </c>
      <c r="D21" s="51" t="n">
        <v>1</v>
      </c>
      <c r="E21" s="51" t="n">
        <v>0</v>
      </c>
      <c r="F21" s="50" t="inlineStr">
        <is>
          <t>UK NA Table NA.5 Note 6; not in EN text</t>
        </is>
      </c>
    </row>
    <row r="22">
      <c r="B22" s="49" t="inlineStr">
        <is>
          <t>φmin  (longitudinal bars in columns, mm)</t>
        </is>
      </c>
      <c r="C22" s="50" t="inlineStr">
        <is>
          <t>9.5.2(1)</t>
        </is>
      </c>
      <c r="D22" s="51" t="n">
        <v>12</v>
      </c>
      <c r="E22" s="51" t="n">
        <v>6</v>
      </c>
      <c r="F22" s="50" t="inlineStr">
        <is>
          <t>UK NA: 12 mm; PL: NA.6, 6 mm</t>
        </is>
      </c>
    </row>
    <row r="23">
      <c r="B23" s="49" t="inlineStr">
        <is>
          <t>k3  (crack spacing)</t>
        </is>
      </c>
      <c r="C23" s="50" t="inlineStr">
        <is>
          <t>7.3.4(3)</t>
        </is>
      </c>
      <c r="D23" s="51" t="n">
        <v>3.4</v>
      </c>
      <c r="E23" s="51" t="n">
        <v>3.4</v>
      </c>
      <c r="F23" s="50" t="inlineStr">
        <is>
          <t>Recommended value in both annexes</t>
        </is>
      </c>
    </row>
    <row r="24">
      <c r="B24" s="49" t="inlineStr">
        <is>
          <t>k4  (crack spacing)</t>
        </is>
      </c>
      <c r="C24" s="50" t="inlineStr">
        <is>
          <t>7.3.4(3)</t>
        </is>
      </c>
      <c r="D24" s="51" t="n">
        <v>0.425</v>
      </c>
      <c r="E24" s="51" t="n">
        <v>0.425</v>
      </c>
      <c r="F24" s="50" t="inlineStr">
        <is>
          <t>Recommended value in both annexes</t>
        </is>
      </c>
    </row>
    <row r="25">
      <c r="B25" s="49" t="inlineStr">
        <is>
          <t>k1  (concrete stress, characteristic; XD, XF, XS)</t>
        </is>
      </c>
      <c r="C25" s="50" t="inlineStr">
        <is>
          <t>7.2(2)</t>
        </is>
      </c>
      <c r="D25" s="51" t="n">
        <v>0.6</v>
      </c>
      <c r="E25" s="51" t="n">
        <v>1</v>
      </c>
      <c r="F25" s="50" t="inlineStr">
        <is>
          <t>UK NA: recommended; PL: NA.5, k1 = 1.0</t>
        </is>
      </c>
    </row>
    <row r="26">
      <c r="B26" s="49" t="inlineStr">
        <is>
          <t>k2  (concrete stress, quasi-permanent; linear creep)</t>
        </is>
      </c>
      <c r="C26" s="50" t="inlineStr">
        <is>
          <t>7.2(3)</t>
        </is>
      </c>
      <c r="D26" s="51" t="n">
        <v>0.45</v>
      </c>
      <c r="E26" s="51" t="n">
        <v>0.45</v>
      </c>
      <c r="F26" s="50" t="inlineStr">
        <is>
          <t>Recommended value in both annexes (UK NA; PL NA.9)</t>
        </is>
      </c>
    </row>
    <row r="27">
      <c r="B27" s="49" t="inlineStr">
        <is>
          <t>k3  (steel stress, characteristic)</t>
        </is>
      </c>
      <c r="C27" s="50" t="inlineStr">
        <is>
          <t>7.2(5)</t>
        </is>
      </c>
      <c r="D27" s="51" t="n">
        <v>0.8</v>
      </c>
      <c r="E27" s="51" t="n">
        <v>0.8</v>
      </c>
      <c r="F27" s="50" t="inlineStr">
        <is>
          <t>Recommended value in both annexes (UK NA; PL NA.9)</t>
        </is>
      </c>
    </row>
    <row r="28">
      <c r="B28" s="49" t="inlineStr">
        <is>
          <t>k4  (steel stress, imposed deformation)</t>
        </is>
      </c>
      <c r="C28" s="50" t="inlineStr">
        <is>
          <t>7.2(5)</t>
        </is>
      </c>
      <c r="D28" s="51" t="n">
        <v>1</v>
      </c>
      <c r="E28" s="51" t="n">
        <v>1</v>
      </c>
      <c r="F28" s="50"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&amp;K8A8A8ANAE-RC-027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NAE-RC-027 Interface shear</dc:title>
  <dc:subject xmlns:dc="http://purl.org/dc/elements/1.1/">Shear at the interface between concrete cast at different times  ·  EN 1992-1-1 §6.2.5  ·  UK NA / PN-EN</dc:subject>
  <dcterms:created xmlns:dcterms="http://purl.org/dc/terms/" xmlns:xsi="http://www.w3.org/2001/XMLSchema-instance" xsi:type="dcterms:W3CDTF">2026-10-30T10:58:39Z</dcterms:created>
  <dcterms:modified xmlns:dcterms="http://purl.org/dc/terms/" xmlns:xsi="http://www.w3.org/2001/XMLSchema-instance" xsi:type="dcterms:W3CDTF">2026-10-30T10:58:39Z</dcterms:modified>
  <cp:lastModifiedBy>NA Engineering sp. z o.o.</cp:lastModifiedBy>
  <cp:keywords>NA Engineering; Eurocode 2; EN 1992-1-1</cp:keywords>
</cp:coreProperties>
</file>