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f_ywk">'Calculation'!$E$14</definedName>
    <definedName name="b_tq">'Calculation'!$E$15</definedName>
    <definedName name="h_tq">'Calculation'!$E$16</definedName>
    <definedName name="c_nom">'Calculation'!$E$17</definedName>
    <definedName name="phi_wt">'Calculation'!$E$18</definedName>
    <definedName name="s_wt">'Calculation'!$E$19</definedName>
    <definedName name="phi_lt">'Calculation'!$E$20</definedName>
    <definedName name="nb_tq">'Calculation'!$E$21</definedName>
    <definedName name="nh_tq">'Calculation'!$E$22</definedName>
    <definedName name="As1_tq">'Calculation'!$E$23</definedName>
    <definedName name="d_tq">'Calculation'!$E$24</definedName>
    <definedName name="T_Ed">'Calculation'!$E$27</definedName>
    <definedName name="V_Ed">'Calculation'!$E$28</definedName>
    <definedName name="M_Ed">'Calculation'!$E$29</definedName>
    <definedName name="inputs_ok">IFERROR(AND(OR(NA_sel="UK NA (BS EN)",NA_sel="PL NA (PN-EN)"),OR(conc_class="C20/25",conc_class="C25/30",conc_class="C28/35",conc_class="C30/37",conc_class="C32/40",conc_class="C35/45",conc_class="C40/50",conc_class="C45/55",conc_class="C50/60"),ISNUMBER(f_yk),f_yk&gt;0,ISNUMBER(f_ywk),f_ywk&gt;0,ISNUMBER(b_tq),b_tq&gt;0,ISNUMBER(h_tq),h_tq&gt;0,ISNUMBER(c_nom),c_nom&gt;0,OR(AND(ISNUMBER(phi_wt),phi_wt=8),AND(ISNUMBER(phi_wt),phi_wt=10),AND(ISNUMBER(phi_wt),phi_wt=12),AND(ISNUMBER(phi_wt),phi_wt=16),AND(ISNUMBER(phi_wt),phi_wt=20),AND(ISNUMBER(phi_wt),phi_wt=25),AND(ISNUMBER(phi_wt),phi_wt=32),AND(ISNUMBER(phi_wt),phi_wt=40)),ISNUMBER(s_wt),s_wt&gt;0,OR(AND(ISNUMBER(phi_lt),phi_lt=8),AND(ISNUMBER(phi_lt),phi_lt=10),AND(ISNUMBER(phi_lt),phi_lt=12),AND(ISNUMBER(phi_lt),phi_lt=16),AND(ISNUMBER(phi_lt),phi_lt=20),AND(ISNUMBER(phi_lt),phi_lt=25),AND(ISNUMBER(phi_lt),phi_lt=32),AND(ISNUMBER(phi_lt),phi_lt=40)),ISNUMBER(nb_tq),nb_tq&gt;0,ISNUMBER(nh_tq),nh_tq&gt;0,ISNUMBER(As1_tq),As1_tq&gt;0,ISNUMBER(d_tq),d_tq&gt;0,ISNUMBER(T_Ed),T_Ed&gt;=0,ISNUMBER(V_Ed),V_Ed&gt;=0,ISNUMBER(M_Ed),M_Ed&gt;=0,AND(f_yk&gt;=400,f_yk&lt;=500,f_ywk&gt;=400,f_ywk&lt;=500,s_wt&gt;=50,INT(nb_tq)=nb_tq,nb_tq&gt;=2,nb_tq&lt;=8,INT(nh_tq)=nh_tq,nh_tq&gt;=2,nh_tq&lt;=8,MIN(b_tq,h_tq)&gt;2*(c_nom+phi_wt)+2*phi_lt,t_ef&lt;MIN(b_tq,h_tq)/2,T_Ed+V_Ed&gt;0,d_tq&lt;h_tq-c_nom-phi_wt)),FALSE)</definedName>
    <definedName name="input_status">'Calculation'!$G$30</definedName>
    <definedName name="n_lt">2*nb_tq+2*nh_tq-4</definedName>
    <definedName name="t_ef">MAX(b_tq*h_tq/(2*(b_tq+h_tq)),2*(c_nom+phi_wt+phi_lt/2))</definedName>
    <definedName name="min_only">IFERROR(T_Ed/TRc_tq+V_Ed/VRc_tq&lt;=1,FALSE)</definedName>
    <definedName name="crush_ok">IFERROR(T_Ed/TRmax_tq+V_Ed/VRmax_tq&lt;=1+1E-9,FALSE)</definedName>
    <definedName name="link_ok">IFERROR(Aleg_prov&gt;=Aleg_need,FALSE)</definedName>
    <definedName name="long_ok">IFERROR(AND(Aslb_prov&gt;=Aslb_req,Aslh_prov&gt;=Aslh_req,As1_tq&gt;=Asmin_tq,Ach_prov&gt;=Ach_req),FALSE)</definedName>
    <definedName name="det_tq">AND(s_wt&lt;=sw_max,sl_tq&lt;=350,st_tq&lt;=st_max)</definedName>
    <definedName name="crush_status">'Calculation'!$G$33</definedName>
    <definedName name="link_status">'Calculation'!$G$34</definedName>
    <definedName name="long_status">'Calculation'!$G$35</definedName>
    <definedName name="det_status">'Calculation'!$G$36</definedName>
    <definedName name="min_status">'Calculation'!$G$37</definedName>
    <definedName name="gamma_c">'Calculation'!$E$64</definedName>
    <definedName name="gamma_s">'Calculation'!$E$65</definedName>
    <definedName name="alpha_cc">'Calculation'!$E$66</definedName>
    <definedName name="alpha_ct">'Calculation'!$E$67</definedName>
    <definedName name="alpha_cc_shear">'Calculation'!$E$68</definedName>
    <definedName name="C_Rdc">'Calculation'!$E$69</definedName>
    <definedName name="cot_max">'Calculation'!$E$70</definedName>
    <definedName name="f_ck">'Calculation'!$E$71</definedName>
    <definedName name="f_ctm">'Calculation'!$E$72</definedName>
    <definedName name="fcd_tq">'Calculation'!$E$73</definedName>
    <definedName name="fctd_tq">'Calculation'!$E$74</definedName>
    <definedName name="fyd_tq">'Calculation'!$E$75</definedName>
    <definedName name="fywd_tq">'Calculation'!$E$76</definedName>
    <definedName name="A_tq">'Calculation'!$E$77</definedName>
    <definedName name="A_k">'Calculation'!$E$79</definedName>
    <definedName name="u_k">'Calculation'!$E$80</definedName>
    <definedName name="z_tq">'Calculation'!$E$81</definedName>
    <definedName name="nu_tq">'Calculation'!$E$82</definedName>
    <definedName name="R_tq">'Calculation'!$E$85</definedName>
    <definedName name="cot_tq">'Calculation'!$E$86</definedName>
    <definedName name="TRmax_tq">'Calculation'!$E$87</definedName>
    <definedName name="VRmax_tq">'Calculation'!$E$88</definedName>
    <definedName name="chk_crush">'Calculation'!$G$89</definedName>
    <definedName name="TRc_tq">'Calculation'!$E$90</definedName>
    <definedName name="VRc_tq">'Calculation'!$E$91</definedName>
    <definedName name="Ast_tq">'Calculation'!$E$92</definedName>
    <definedName name="Asw_tq">'Calculation'!$E$93</definedName>
    <definedName name="Aswm_tq">'Calculation'!$E$94</definedName>
    <definedName name="Aleg_need">'Calculation'!$E$95</definedName>
    <definedName name="Aleg_prov">'Calculation'!$E$96</definedName>
    <definedName name="chk_link">'Calculation'!$G$97</definedName>
    <definedName name="Asl_req">'Calculation'!$E$98</definedName>
    <definedName name="Asl_prov">'Calculation'!$E$99</definedName>
    <definedName name="Aslb_req">'Calculation'!$E$100</definedName>
    <definedName name="Aslb_prov">'Calculation'!$E$101</definedName>
    <definedName name="Aslh_req">'Calculation'!$E$102</definedName>
    <definedName name="Aslh_prov">'Calculation'!$E$103</definedName>
    <definedName name="Asmin_tq">'Calculation'!$E$104</definedName>
    <definedName name="K_tq">'Calculation'!$E$105</definedName>
    <definedName name="zM_tq">'Calculation'!$E$106</definedName>
    <definedName name="Ach_req">'Calculation'!$E$107</definedName>
    <definedName name="Ach_prov">'Calculation'!$E$108</definedName>
    <definedName name="chk_long">'Calculation'!$G$109</definedName>
    <definedName name="sw_max">'Calculation'!$E$110</definedName>
    <definedName name="st_tq">'Calculation'!$E$111</definedName>
    <definedName name="st_max">'Calculation'!$E$112</definedName>
    <definedName name="sl_tq">'Calculation'!$E$113</definedName>
    <definedName name="chk_det">'Calculation'!$G$114</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'Calculation'!$A$1:$H$118</definedName>
    <definedName name="_xlnm.Print_Area" localSheetId="3">'NDP'!$A$1:$G$29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49">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0" fontId="17" fillId="0" borderId="0" pivotButton="0" quotePrefix="0" xfId="0"/>
    <xf numFmtId="2" fontId="5" fillId="0" borderId="1" applyAlignment="1" pivotButton="0" quotePrefix="0" xfId="0">
      <alignment horizontal="center" vertical="center"/>
    </xf>
    <xf numFmtId="166"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6" fontId="12"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link</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'Geometry'!$G$3:$G$7</f>
            </numRef>
          </xVal>
          <yVal>
            <numRef>
              <f>'Geometry'!$H$3:$H$7</f>
            </numRef>
          </yVal>
          <smooth val="0"/>
        </ser>
        <ser>
          <idx val="3"/>
          <order val="3"/>
          <tx>
            <v>wall centre line</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'Geometry'!$J$3:$J$7</f>
            </numRef>
          </xVal>
          <yVal>
            <numRef>
              <f>'Geometry'!$K$3:$K$7</f>
            </numRef>
          </yVal>
          <smooth val="0"/>
        </ser>
        <ser>
          <idx val="4"/>
          <order val="4"/>
          <tx>
            <v>inner face</v>
          </tx>
          <spPr>
            <a:ln xmlns:a="http://schemas.openxmlformats.org/drawingml/2006/main" w="12700">
              <a:solidFill>
                <a:srgbClr val="B3261E"/>
              </a:solidFill>
              <a:prstDash val="sysDot"/>
            </a:ln>
          </spPr>
          <marker>
            <symbol val="none"/>
            <spPr>
              <a:ln xmlns:a="http://schemas.openxmlformats.org/drawingml/2006/main">
                <a:prstDash val="solid"/>
              </a:ln>
            </spPr>
          </marker>
          <xVal>
            <numRef>
              <f>'Geometry'!$M$3:$M$7</f>
            </numRef>
          </xVal>
          <yVal>
            <numRef>
              <f>'Geometry'!$N$3:$N$7</f>
            </numRef>
          </yVal>
          <smooth val="0"/>
        </ser>
        <ser>
          <idx val="5"/>
          <order val="5"/>
          <tx>
            <v>bottom bar 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'Geometry'!$P$3:$P$13</f>
            </numRef>
          </xVal>
          <yVal>
            <numRef>
              <f>'Geometry'!$Q$3:$Q$13</f>
            </numRef>
          </yVal>
          <smooth val="0"/>
        </ser>
        <ser>
          <idx val="6"/>
          <order val="6"/>
          <tx>
            <v>top bar 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'Geometry'!$S$3:$S$13</f>
            </numRef>
          </xVal>
          <yVal>
            <numRef>
              <f>'Geometry'!$T$3:$T$13</f>
            </numRef>
          </yVal>
          <smooth val="0"/>
        </ser>
        <ser>
          <idx val="7"/>
          <order val="7"/>
          <tx>
            <v>bottom bar 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'Geometry'!$V$3:$V$13</f>
            </numRef>
          </xVal>
          <yVal>
            <numRef>
              <f>'Geometry'!$W$3:$W$13</f>
            </numRef>
          </yVal>
          <smooth val="0"/>
        </ser>
        <ser>
          <idx val="8"/>
          <order val="8"/>
          <tx>
            <v>top bar 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'Geometry'!$Y$3:$Y$13</f>
            </numRef>
          </xVal>
          <yVal>
            <numRef>
              <f>'Geometry'!$Z$3:$Z$13</f>
            </numRef>
          </yVal>
          <smooth val="0"/>
        </ser>
        <ser>
          <idx val="9"/>
          <order val="9"/>
          <tx>
            <v>bottom bar 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'Geometry'!$AB$3:$AB$13</f>
            </numRef>
          </xVal>
          <yVal>
            <numRef>
              <f>'Geometry'!$AC$3:$AC$13</f>
            </numRef>
          </yVal>
          <smooth val="0"/>
        </ser>
        <ser>
          <idx val="10"/>
          <order val="10"/>
          <tx>
            <v>top bar 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'Geometry'!$AE$3:$AE$13</f>
            </numRef>
          </xVal>
          <yVal>
            <numRef>
              <f>'Geometry'!$AF$3:$AF$13</f>
            </numRef>
          </yVal>
          <smooth val="0"/>
        </ser>
        <ser>
          <idx val="11"/>
          <order val="11"/>
          <tx>
            <v>bottom bar 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'Geometry'!$AH$3:$AH$13</f>
            </numRef>
          </xVal>
          <yVal>
            <numRef>
              <f>'Geometry'!$AI$3:$AI$13</f>
            </numRef>
          </yVal>
          <smooth val="0"/>
        </ser>
        <ser>
          <idx val="12"/>
          <order val="12"/>
          <tx>
            <v>top bar 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'Geometry'!$AK$3:$AK$13</f>
            </numRef>
          </xVal>
          <yVal>
            <numRef>
              <f>'Geometry'!$AL$3:$AL$13</f>
            </numRef>
          </yVal>
          <smooth val="0"/>
        </ser>
        <ser>
          <idx val="13"/>
          <order val="13"/>
          <tx>
            <v>bottom bar 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'Geometry'!$AN$3:$AN$13</f>
            </numRef>
          </xVal>
          <yVal>
            <numRef>
              <f>'Geometry'!$AO$3:$AO$13</f>
            </numRef>
          </yVal>
          <smooth val="0"/>
        </ser>
        <ser>
          <idx val="14"/>
          <order val="14"/>
          <tx>
            <v>top bar 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'Geometry'!$AQ$3:$AQ$13</f>
            </numRef>
          </xVal>
          <yVal>
            <numRef>
              <f>'Geometry'!$AR$3:$AR$13</f>
            </numRef>
          </yVal>
          <smooth val="0"/>
        </ser>
        <ser>
          <idx val="15"/>
          <order val="15"/>
          <tx>
            <v>bottom bar 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'Geometry'!$AT$3:$AT$13</f>
            </numRef>
          </xVal>
          <yVal>
            <numRef>
              <f>'Geometry'!$AU$3:$AU$13</f>
            </numRef>
          </yVal>
          <smooth val="0"/>
        </ser>
        <ser>
          <idx val="16"/>
          <order val="16"/>
          <tx>
            <v>top bar 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'Geometry'!$AW$3:$AW$13</f>
            </numRef>
          </xVal>
          <yVal>
            <numRef>
              <f>'Geometry'!$AX$3:$AX$13</f>
            </numRef>
          </yVal>
          <smooth val="0"/>
        </ser>
        <ser>
          <idx val="17"/>
          <order val="17"/>
          <tx>
            <v>bottom bar 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'Geometry'!$AZ$3:$AZ$13</f>
            </numRef>
          </xVal>
          <yVal>
            <numRef>
              <f>'Geometry'!$BA$3:$BA$13</f>
            </numRef>
          </yVal>
          <smooth val="0"/>
        </ser>
        <ser>
          <idx val="18"/>
          <order val="18"/>
          <tx>
            <v>top bar 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'Geometry'!$BC$3:$BC$13</f>
            </numRef>
          </xVal>
          <yVal>
            <numRef>
              <f>'Geometry'!$BD$3:$BD$13</f>
            </numRef>
          </yVal>
          <smooth val="0"/>
        </ser>
        <ser>
          <idx val="19"/>
          <order val="19"/>
          <tx>
            <v>bottom bar 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'Geometry'!$BF$3:$BF$13</f>
            </numRef>
          </xVal>
          <yVal>
            <numRef>
              <f>'Geometry'!$BG$3:$BG$13</f>
            </numRef>
          </yVal>
          <smooth val="0"/>
        </ser>
        <ser>
          <idx val="20"/>
          <order val="20"/>
          <tx>
            <v>top bar 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'Geometry'!$BI$3:$BI$13</f>
            </numRef>
          </xVal>
          <yVal>
            <numRef>
              <f>'Geometry'!$BJ$3:$BJ$13</f>
            </numRef>
          </yVal>
          <smooth val="0"/>
        </ser>
        <ser>
          <idx val="21"/>
          <order val="21"/>
          <tx>
            <v>left bar 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'Geometry'!$BL$3:$BL$13</f>
            </numRef>
          </xVal>
          <yVal>
            <numRef>
              <f>'Geometry'!$BM$3:$BM$13</f>
            </numRef>
          </yVal>
          <smooth val="0"/>
        </ser>
        <ser>
          <idx val="22"/>
          <order val="22"/>
          <tx>
            <v>right bar 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'Geometry'!$BO$3:$BO$13</f>
            </numRef>
          </xVal>
          <yVal>
            <numRef>
              <f>'Geometry'!$BP$3:$BP$13</f>
            </numRef>
          </yVal>
          <smooth val="0"/>
        </ser>
        <ser>
          <idx val="23"/>
          <order val="23"/>
          <tx>
            <v>left bar 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'Geometry'!$BR$3:$BR$13</f>
            </numRef>
          </xVal>
          <yVal>
            <numRef>
              <f>'Geometry'!$BS$3:$BS$13</f>
            </numRef>
          </yVal>
          <smooth val="0"/>
        </ser>
        <ser>
          <idx val="24"/>
          <order val="24"/>
          <tx>
            <v>right bar 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'Geometry'!$BU$3:$BU$13</f>
            </numRef>
          </xVal>
          <yVal>
            <numRef>
              <f>'Geometry'!$BV$3:$BV$13</f>
            </numRef>
          </yVal>
          <smooth val="0"/>
        </ser>
        <ser>
          <idx val="25"/>
          <order val="25"/>
          <tx>
            <v>left bar 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'Geometry'!$BX$3:$BX$13</f>
            </numRef>
          </xVal>
          <yVal>
            <numRef>
              <f>'Geometry'!$BY$3:$BY$13</f>
            </numRef>
          </yVal>
          <smooth val="0"/>
        </ser>
        <ser>
          <idx val="26"/>
          <order val="26"/>
          <tx>
            <v>right bar 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'Geometry'!$CA$3:$CA$13</f>
            </numRef>
          </xVal>
          <yVal>
            <numRef>
              <f>'Geometry'!$CB$3:$CB$13</f>
            </numRef>
          </yVal>
          <smooth val="0"/>
        </ser>
        <ser>
          <idx val="27"/>
          <order val="27"/>
          <tx>
            <v>left bar 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'Geometry'!$CD$3:$CD$13</f>
            </numRef>
          </xVal>
          <yVal>
            <numRef>
              <f>'Geometry'!$CE$3:$CE$13</f>
            </numRef>
          </yVal>
          <smooth val="0"/>
        </ser>
        <ser>
          <idx val="28"/>
          <order val="28"/>
          <tx>
            <v>right bar 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'Geometry'!$CG$3:$CG$13</f>
            </numRef>
          </xVal>
          <yVal>
            <numRef>
              <f>'Geometry'!$CH$3:$CH$13</f>
            </numRef>
          </yVal>
          <smooth val="0"/>
        </ser>
        <ser>
          <idx val="29"/>
          <order val="29"/>
          <tx>
            <v>left bar 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'Geometry'!$CJ$3:$CJ$13</f>
            </numRef>
          </xVal>
          <yVal>
            <numRef>
              <f>'Geometry'!$CK$3:$CK$13</f>
            </numRef>
          </yVal>
          <smooth val="0"/>
        </ser>
        <ser>
          <idx val="30"/>
          <order val="30"/>
          <tx>
            <v>right bar 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'Geometry'!$CM$3:$CM$13</f>
            </numRef>
          </xVal>
          <yVal>
            <numRef>
              <f>'Geometry'!$CN$3:$CN$13</f>
            </numRef>
          </yVal>
          <smooth val="0"/>
        </ser>
        <ser>
          <idx val="31"/>
          <order val="31"/>
          <tx>
            <v>left bar 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'Geometry'!$CP$3:$CP$13</f>
            </numRef>
          </xVal>
          <yVal>
            <numRef>
              <f>'Geometry'!$CQ$3:$CQ$13</f>
            </numRef>
          </yVal>
          <smooth val="0"/>
        </ser>
        <ser>
          <idx val="32"/>
          <order val="32"/>
          <tx>
            <v>right bar 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'Geometry'!$CS$3:$CS$13</f>
            </numRef>
          </xVal>
          <yVal>
            <numRef>
              <f>'Geometry'!$CT$3:$CT$13</f>
            </numRef>
          </yVal>
          <smooth val="0"/>
        </ser>
        <ser>
          <idx val="33"/>
          <order val="3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'Geometry'!$CV$3:$CV$4</f>
            </numRef>
          </xVal>
          <yVal>
            <numRef>
              <f>'Geometry'!$CW$3:$CW$4</f>
            </numRef>
          </yVal>
          <smooth val="0"/>
        </ser>
        <ser>
          <idx val="34"/>
          <order val="34"/>
          <tx>
            <strRef>
              <f>'Geometry'!$CY$2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'Geometry'!$CY$3</f>
            </numRef>
          </xVal>
          <yVal>
            <numRef>
              <f>'Geometry'!$CZ$3</f>
            </numRef>
          </yVal>
          <smooth val="0"/>
        </ser>
        <ser>
          <idx val="35"/>
          <order val="3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'Geometry'!$DB$3:$DB$4</f>
            </numRef>
          </xVal>
          <yVal>
            <numRef>
              <f>'Geometry'!$DC$3:$DC$4</f>
            </numRef>
          </yVal>
          <smooth val="0"/>
        </ser>
        <ser>
          <idx val="36"/>
          <order val="36"/>
          <tx>
            <strRef>
              <f>'Geometry'!$DE$2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'Geometry'!$DE$3</f>
            </numRef>
          </xVal>
          <yVal>
            <numRef>
              <f>'Geometry'!$DF$3</f>
            </numRef>
          </yVal>
          <smooth val="0"/>
        </ser>
        <ser>
          <idx val="37"/>
          <order val="37"/>
          <tx>
            <strRef>
              <f>'Geometry'!$DH$2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'Geometry'!$DH$3</f>
            </numRef>
          </xVal>
          <yVal>
            <numRef>
              <f>'Geometry'!$DI$3</f>
            </numRef>
          </yVal>
          <smooth val="0"/>
        </ser>
        <ser>
          <idx val="38"/>
          <order val="38"/>
          <tx>
            <strRef>
              <f>'Geometry'!$DK$2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b"/>
            <showLegendKey val="0"/>
            <showVal val="0"/>
            <showCatName val="0"/>
            <showSerName val="1"/>
            <showPercent val="0"/>
          </dLbls>
          <xVal>
            <numRef>
              <f>'Geometry'!$DK$3</f>
            </numRef>
          </xVal>
          <yVal>
            <numRef>
              <f>'Geometry'!$DL$3</f>
            </numRef>
          </yVal>
          <smooth val="0"/>
        </ser>
        <ser>
          <idx val="39"/>
          <order val="39"/>
          <tx>
            <strRef>
              <f>'Geometry'!$DN$2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'Geometry'!$DN$3</f>
            </numRef>
          </xVal>
          <yVal>
            <numRef>
              <f>'Geometry'!$DO$3</f>
            </numRef>
          </yVal>
          <smooth val="0"/>
        </ser>
        <ser>
          <idx val="40"/>
          <order val="40"/>
          <tx>
            <v>frame</v>
          </tx>
          <spPr>
            <a:ln xmlns:a="http://schemas.openxmlformats.org/drawingml/2006/main">
              <a:noFill/>
              <a:prstDash val="solid"/>
            </a:ln>
          </spPr>
          <marker>
            <symbol val="none"/>
            <spPr>
              <a:ln xmlns:a="http://schemas.openxmlformats.org/drawingml/2006/main">
                <a:prstDash val="solid"/>
              </a:ln>
            </spPr>
          </marker>
          <xVal>
            <numRef>
              <f>'Geometry'!$DQ$3:$DQ$4</f>
            </numRef>
          </xVal>
          <yVal>
            <numRef>
              <f>'Geometry'!$DR$3:$DR$4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40</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Beam torsion</t>
        </is>
      </c>
    </row>
    <row r="8" ht="20" customHeight="1">
      <c r="B8" s="4" t="inlineStr">
        <is>
          <t>Rectangular beam in torsion and shear  ·  EN 1992-1-1 §6.3, §9.2.3  ·  UK NA / PN-EN</t>
        </is>
      </c>
    </row>
    <row r="10">
      <c r="B10" s="5" t="inlineStr">
        <is>
          <t>Reference</t>
        </is>
      </c>
      <c r="C10" s="6" t="inlineStr">
        <is>
          <t>NAE-RC-026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Design of a solid rectangular reinforced concrete beam for a torsional moment together with a shear force: the equivalent thin walled section, the strut inclination, crushing of the concrete under torsion and shear together, the closed links and the longitudinal bars for torsion added to those for shear, and the torsion detailing rules.</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36" customHeight="1">
      <c r="B22" s="7" t="inlineStr">
        <is>
          <t>Solid rectangular section, equilibrium torsion (or compatibility torsion the designer chooses to design for), no axial force, no prestress (αcw = 1). Thin walled section to 6.3.2(1): t_ef = A/u, not less than twice the distance from the face to the centre of the longitudinal bars; A_k and u_k on the wall centre line. Strut angle: the largest cot θ, up to the National Annex limit, for which TEd/TRd,max + VEd/VRd,max ≤ 1 (6.29), the same θ for torsion and shear (6.3.2(2)); VRd,max on bw z with z = 0.9 d and ν = 0.6(1 − fck/250). Where TEd/TRd,c + VEd/VRd,c ≤ 1 (6.31), with TRd,c = 2 fctd t_ef A_k, only the minimum links (9.5N) are required (6.3.2(5)); otherwise links for torsion (one leg: the shear flow TEd / 2Ak of (6.26) carried by a truss at θ, 6.3.2(3)) plus links for shear (6.8, two legs; legs ≤ min(0.75 d; 600) apart, 9.2.2(8)), and longitudinal bars ΣAsl = TEd uk cot θ / (2 Ak fyd) (6.28), each wall checked for its share by length with corner bars counted half to each wall, in addition to the bending steel (not reduced in the compression chord, conservative); the bending steel entered must meet As,min (9.2.1.1), and the tension chord, As1 plus the torsion bars of that wall (nb − 1, corners half), must carry MEd / (z fyd) + 0.5 VEd cot θ / fyd (6.2.3(7), not capped) + its torsion share. Detailing to 9.2.3: closed links anchored by laps or hooks, spacing ≤ u/8, 0.75 d and b; longitudinal bars at every corner, ≤ 350 mm apart. VRd,c for (6.31) from the bending tension steel and its effective depth entered (the steel anchored beyond the section). Flanged and hollow sections, warping torsion and torsion with bending interaction in the compression chord are not covered. fyk 400 – 500 MPa.
The second-generation EN 1992-1-1:2023 is not yet implemented.</t>
        </is>
      </c>
    </row>
    <row r="24" ht="20" customHeight="1">
      <c r="B24" s="8" t="inlineStr">
        <is>
          <t>Further reading and independent cross-check</t>
        </is>
      </c>
      <c r="C24" s="9" t="n"/>
    </row>
    <row r="25" ht="76.5" customHeight="1">
      <c r="B25" s="10" t="inlineStr">
        <is>
          <t>•  The Concrete Centre, How to design concrete structures using Eurocode 2: Beams (torsion).
•  The Concrete Centre, Concise Eurocode 2, 7.5 (torsion).
•  The Concrete Centre, RC Spreadsheets v4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&amp;K8A8A8ANAE-RC-026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17"/>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Beam torsion</t>
        </is>
      </c>
      <c r="H2" s="1" t="n"/>
    </row>
    <row r="3" ht="16" customHeight="1">
      <c r="A3" s="1" t="n"/>
      <c r="B3" s="1" t="n"/>
      <c r="C3" s="15" t="inlineStr">
        <is>
          <t>NAE-RC-026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section and bars</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Longitudinal bars: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3.2.2</t>
        </is>
      </c>
      <c r="C14" s="24" t="inlineStr">
        <is>
          <t>Links: characteristic yield strength  (≤ 500 MPa)</t>
        </is>
      </c>
      <c r="D14" s="27" t="inlineStr">
        <is>
          <r>
            <rPr>
              <rFont val="Calibri"/>
              <i val="1"/>
              <color rgb="002B2B2B"/>
              <sz val="10"/>
            </rPr>
            <t>f</t>
          </r>
          <r>
            <rPr>
              <rFont val="Calibri"/>
              <i val="1"/>
              <color rgb="002B2B2B"/>
              <sz val="10"/>
              <vertAlign val="subscript"/>
            </rPr>
            <t>ywk</t>
          </r>
        </is>
      </c>
      <c r="E14" s="25" t="n">
        <v>500</v>
      </c>
      <c r="F14" s="28" t="inlineStr">
        <is>
          <t>MPa</t>
        </is>
      </c>
      <c r="G14" s="23" t="n"/>
    </row>
    <row r="15" ht="17" customHeight="1">
      <c r="B15" s="23" t="n"/>
      <c r="C15" s="24" t="inlineStr">
        <is>
          <t>Width</t>
        </is>
      </c>
      <c r="D15" s="27" t="inlineStr">
        <is>
          <r>
            <rPr>
              <rFont val="Calibri"/>
              <i val="1"/>
              <color rgb="002B2B2B"/>
              <sz val="10"/>
            </rPr>
            <t>b</t>
          </r>
        </is>
      </c>
      <c r="E15" s="25" t="n">
        <v>300</v>
      </c>
      <c r="F15" s="28" t="inlineStr">
        <is>
          <t>mm</t>
        </is>
      </c>
      <c r="G15" s="23" t="n"/>
    </row>
    <row r="16" ht="17" customHeight="1">
      <c r="B16" s="23" t="n"/>
      <c r="C16" s="24" t="inlineStr">
        <is>
          <t>Overall depth</t>
        </is>
      </c>
      <c r="D16" s="27" t="inlineStr">
        <is>
          <r>
            <rPr>
              <rFont val="Calibri"/>
              <i val="1"/>
              <color rgb="002B2B2B"/>
              <sz val="10"/>
            </rPr>
            <t>h</t>
          </r>
        </is>
      </c>
      <c r="E16" s="25" t="n">
        <v>600</v>
      </c>
      <c r="F16" s="28" t="inlineStr">
        <is>
          <t>mm</t>
        </is>
      </c>
      <c r="G16" s="23" t="n"/>
    </row>
    <row r="17" ht="17" customHeight="1">
      <c r="B17" s="26" t="inlineStr">
        <is>
          <t>4.4.1</t>
        </is>
      </c>
      <c r="C17" s="24" t="inlineStr">
        <is>
          <t>Nominal cover to the links</t>
        </is>
      </c>
      <c r="D17" s="27" t="inlineStr">
        <is>
          <r>
            <rPr>
              <rFont val="Calibri"/>
              <i val="1"/>
              <color rgb="002B2B2B"/>
              <sz val="10"/>
            </rPr>
            <t>c</t>
          </r>
          <r>
            <rPr>
              <rFont val="Calibri"/>
              <i val="1"/>
              <color rgb="002B2B2B"/>
              <sz val="10"/>
              <vertAlign val="subscript"/>
            </rPr>
            <t>nom</t>
          </r>
        </is>
      </c>
      <c r="E17" s="25" t="n">
        <v>30</v>
      </c>
      <c r="F17" s="28" t="inlineStr">
        <is>
          <t>mm</t>
        </is>
      </c>
      <c r="G17" s="23" t="n"/>
    </row>
    <row r="18" ht="17" customHeight="1">
      <c r="B18" s="23" t="n"/>
      <c r="C18" s="24" t="inlineStr">
        <is>
          <t>Closed links: diameter  (two legs)</t>
        </is>
      </c>
      <c r="D18" s="27" t="inlineStr">
        <is>
          <r>
            <rPr>
              <rFont val="Calibri"/>
              <i val="1"/>
              <color rgb="002B2B2B"/>
              <sz val="10"/>
            </rPr>
            <t>φ</t>
          </r>
          <r>
            <rPr>
              <rFont val="Calibri"/>
              <i val="1"/>
              <color rgb="002B2B2B"/>
              <sz val="10"/>
              <vertAlign val="subscript"/>
            </rPr>
            <t>w</t>
          </r>
        </is>
      </c>
      <c r="E18" s="25" t="n">
        <v>10</v>
      </c>
      <c r="F18" s="28" t="inlineStr">
        <is>
          <t>mm</t>
        </is>
      </c>
      <c r="G18" s="23" t="n"/>
    </row>
    <row r="19" ht="17" customHeight="1">
      <c r="B19" s="26" t="inlineStr">
        <is>
          <t>9.2.3(3)</t>
        </is>
      </c>
      <c r="C19" s="24" t="inlineStr">
        <is>
          <t>Closed links: spacing</t>
        </is>
      </c>
      <c r="D19" s="27" t="inlineStr">
        <is>
          <r>
            <rPr>
              <rFont val="Calibri"/>
              <i val="1"/>
              <color rgb="002B2B2B"/>
              <sz val="10"/>
            </rPr>
            <t>s</t>
          </r>
        </is>
      </c>
      <c r="E19" s="25" t="n">
        <v>150</v>
      </c>
      <c r="F19" s="28" t="inlineStr">
        <is>
          <t>mm</t>
        </is>
      </c>
      <c r="G19" s="23" t="n"/>
    </row>
    <row r="20" ht="17" customHeight="1">
      <c r="B20" s="23" t="n"/>
      <c r="C20" s="24" t="inlineStr">
        <is>
          <t>Longitudinal bars for torsion: diameter</t>
        </is>
      </c>
      <c r="D20" s="27" t="inlineStr">
        <is>
          <r>
            <rPr>
              <rFont val="Calibri"/>
              <i val="1"/>
              <color rgb="002B2B2B"/>
              <sz val="10"/>
            </rPr>
            <t>φ</t>
          </r>
          <r>
            <rPr>
              <rFont val="Calibri"/>
              <i val="1"/>
              <color rgb="002B2B2B"/>
              <sz val="10"/>
              <vertAlign val="subscript"/>
            </rPr>
            <t>l</t>
          </r>
        </is>
      </c>
      <c r="E20" s="25" t="n">
        <v>16</v>
      </c>
      <c r="F20" s="28" t="inlineStr">
        <is>
          <t>mm</t>
        </is>
      </c>
      <c r="G20" s="23" t="n"/>
    </row>
    <row r="21" ht="17" customHeight="1">
      <c r="B21" s="26" t="inlineStr">
        <is>
          <t>9.2.3(4)</t>
        </is>
      </c>
      <c r="C21" s="24" t="inlineStr">
        <is>
          <t>Longitudinal bars along each b face, corners included  (2 – 8)</t>
        </is>
      </c>
      <c r="D21" s="27" t="inlineStr">
        <is>
          <r>
            <rPr>
              <rFont val="Calibri"/>
              <i val="1"/>
              <color rgb="002B2B2B"/>
              <sz val="10"/>
            </rPr>
            <t>n</t>
          </r>
          <r>
            <rPr>
              <rFont val="Calibri"/>
              <i val="1"/>
              <color rgb="002B2B2B"/>
              <sz val="10"/>
              <vertAlign val="subscript"/>
            </rPr>
            <t>b</t>
          </r>
        </is>
      </c>
      <c r="E21" s="25" t="n">
        <v>3</v>
      </c>
      <c r="F21" s="23" t="n"/>
      <c r="G21" s="23" t="n"/>
    </row>
    <row r="22" ht="17" customHeight="1">
      <c r="B22" s="26" t="inlineStr">
        <is>
          <t>9.2.3(4)</t>
        </is>
      </c>
      <c r="C22" s="24" t="inlineStr">
        <is>
          <t>Longitudinal bars along each h face, corners included  (2 – 8)</t>
        </is>
      </c>
      <c r="D22" s="27" t="inlineStr">
        <is>
          <r>
            <rPr>
              <rFont val="Calibri"/>
              <i val="1"/>
              <color rgb="002B2B2B"/>
              <sz val="10"/>
            </rPr>
            <t>n</t>
          </r>
          <r>
            <rPr>
              <rFont val="Calibri"/>
              <i val="1"/>
              <color rgb="002B2B2B"/>
              <sz val="10"/>
              <vertAlign val="subscript"/>
            </rPr>
            <t>h</t>
          </r>
        </is>
      </c>
      <c r="E22" s="25" t="n">
        <v>4</v>
      </c>
      <c r="F22" s="23" t="n"/>
      <c r="G22" s="23" t="n"/>
    </row>
    <row r="23" ht="17" customHeight="1">
      <c r="B23" s="26" t="inlineStr">
        <is>
          <t>6.2.2(1)</t>
        </is>
      </c>
      <c r="C23" s="24" t="inlineStr">
        <is>
          <t>Bending tension steel provided  (besides the torsion bars of that face)</t>
        </is>
      </c>
      <c r="D23" s="27" t="inlineStr">
        <is>
          <r>
            <rPr>
              <rFont val="Calibri"/>
              <i val="1"/>
              <color rgb="002B2B2B"/>
              <sz val="10"/>
            </rPr>
            <t>A</t>
          </r>
          <r>
            <rPr>
              <rFont val="Calibri"/>
              <i val="1"/>
              <color rgb="002B2B2B"/>
              <sz val="10"/>
              <vertAlign val="subscript"/>
            </rPr>
            <t>s1</t>
          </r>
        </is>
      </c>
      <c r="E23" s="25" t="n">
        <v>1473</v>
      </c>
      <c r="F23" s="28" t="inlineStr">
        <is>
          <t>mm²</t>
        </is>
      </c>
      <c r="G23" s="23" t="n"/>
    </row>
    <row r="24" ht="17" customHeight="1">
      <c r="B24" s="26" t="inlineStr">
        <is>
          <t>6.2.3(1)</t>
        </is>
      </c>
      <c r="C24" s="24" t="inlineStr">
        <is>
          <t>Effective depth to the bending tension steel</t>
        </is>
      </c>
      <c r="D24" s="27" t="inlineStr">
        <is>
          <r>
            <rPr>
              <rFont val="Calibri"/>
              <i val="1"/>
              <color rgb="002B2B2B"/>
              <sz val="10"/>
            </rPr>
            <t>d</t>
          </r>
        </is>
      </c>
      <c r="E24" s="25" t="n">
        <v>545</v>
      </c>
      <c r="F24" s="28" t="inlineStr">
        <is>
          <t>mm</t>
        </is>
      </c>
      <c r="G24" s="23" t="n"/>
    </row>
    <row r="26" ht="22" customHeight="1">
      <c r="B26" s="20" t="inlineStr">
        <is>
          <t>Inputs  ·  design actions</t>
        </is>
      </c>
      <c r="C26" s="21" t="n"/>
      <c r="D26" s="21" t="n"/>
      <c r="E26" s="21" t="n"/>
      <c r="F26" s="21" t="n"/>
      <c r="G26" s="22" t="inlineStr">
        <is>
          <t>Ultimate limit state, at the same section</t>
        </is>
      </c>
    </row>
    <row r="27" ht="17" customHeight="1">
      <c r="B27" s="23" t="n"/>
      <c r="C27" s="24" t="inlineStr">
        <is>
          <t>Torsional moment</t>
        </is>
      </c>
      <c r="D27" s="27" t="inlineStr">
        <is>
          <r>
            <rPr>
              <rFont val="Calibri"/>
              <i val="1"/>
              <color rgb="002B2B2B"/>
              <sz val="10"/>
            </rPr>
            <t>T</t>
          </r>
          <r>
            <rPr>
              <rFont val="Calibri"/>
              <i val="1"/>
              <color rgb="002B2B2B"/>
              <sz val="10"/>
              <vertAlign val="subscript"/>
            </rPr>
            <t>Ed</t>
          </r>
        </is>
      </c>
      <c r="E27" s="29" t="n">
        <v>25</v>
      </c>
      <c r="F27" s="28" t="inlineStr">
        <is>
          <t>kNm</t>
        </is>
      </c>
      <c r="G27" s="23" t="n"/>
    </row>
    <row r="28" ht="17" customHeight="1">
      <c r="B28" s="23" t="n"/>
      <c r="C28" s="24" t="inlineStr">
        <is>
          <t>Shear force</t>
        </is>
      </c>
      <c r="D28" s="27" t="inlineStr">
        <is>
          <r>
            <rPr>
              <rFont val="Calibri"/>
              <i val="1"/>
              <color rgb="002B2B2B"/>
              <sz val="10"/>
            </rPr>
            <t>V</t>
          </r>
          <r>
            <rPr>
              <rFont val="Calibri"/>
              <i val="1"/>
              <color rgb="002B2B2B"/>
              <sz val="10"/>
              <vertAlign val="subscript"/>
            </rPr>
            <t>Ed</t>
          </r>
        </is>
      </c>
      <c r="E28" s="29" t="n">
        <v>150</v>
      </c>
      <c r="F28" s="28" t="inlineStr">
        <is>
          <t>kN</t>
        </is>
      </c>
      <c r="G28" s="23" t="n"/>
    </row>
    <row r="29" ht="17" customHeight="1">
      <c r="B29" s="23" t="n"/>
      <c r="C29" s="24" t="inlineStr">
        <is>
          <t>Bending moment  (sagging or hogging, As1 in its tension face)</t>
        </is>
      </c>
      <c r="D29" s="27" t="inlineStr">
        <is>
          <r>
            <rPr>
              <rFont val="Calibri"/>
              <i val="1"/>
              <color rgb="002B2B2B"/>
              <sz val="10"/>
            </rPr>
            <t>M</t>
          </r>
          <r>
            <rPr>
              <rFont val="Calibri"/>
              <i val="1"/>
              <color rgb="002B2B2B"/>
              <sz val="10"/>
              <vertAlign val="subscript"/>
            </rPr>
            <t>Ed</t>
          </r>
        </is>
      </c>
      <c r="E29" s="29" t="n">
        <v>150</v>
      </c>
      <c r="F29" s="28" t="inlineStr">
        <is>
          <t>kNm</t>
        </is>
      </c>
      <c r="G29" s="23" t="n"/>
    </row>
    <row r="30" ht="17" customHeight="1">
      <c r="B30" s="23" t="n"/>
      <c r="C30" s="24" t="inlineStr">
        <is>
          <t>Inputs valid and consistent</t>
        </is>
      </c>
      <c r="D30" s="23" t="n"/>
      <c r="E30" s="9" t="n"/>
      <c r="F30" s="23" t="n"/>
      <c r="G30" s="30">
        <f>IF(inputs_ok,"OK","FAIL")</f>
        <v/>
      </c>
    </row>
    <row r="32" ht="22" customHeight="1">
      <c r="B32" s="20" t="inlineStr">
        <is>
          <t>Results</t>
        </is>
      </c>
      <c r="C32" s="21" t="n"/>
      <c r="D32" s="21" t="n"/>
      <c r="E32" s="21" t="n"/>
      <c r="F32" s="21" t="n"/>
      <c r="G32" s="21" t="n"/>
    </row>
    <row r="33" ht="26" customHeight="1">
      <c r="B33" s="31" t="n"/>
      <c r="C33" s="32" t="inlineStr">
        <is>
          <t>Concrete struts  TEd/TRd,max + VEd/VRd,max  (6.29)</t>
        </is>
      </c>
      <c r="D33" s="31" t="n"/>
      <c r="E33" s="33">
        <f>IF(inputs_ok,T_Ed/TRmax_tq+V_Ed/VRmax_tq,"–")</f>
        <v/>
      </c>
      <c r="F33" s="34" t="inlineStr"/>
      <c r="G33" s="35">
        <f>IF(NOT(inputs_ok),"FAIL",IF(crush_ok,"OK","FAIL"))</f>
        <v/>
      </c>
    </row>
    <row r="34" ht="26" customHeight="1">
      <c r="B34" s="31" t="n"/>
      <c r="C34" s="32" t="inlineStr">
        <is>
          <t>Closed links, per leg  need / provided</t>
        </is>
      </c>
      <c r="D34" s="31" t="n"/>
      <c r="E34" s="33">
        <f>IF(inputs_ok,Aleg_need/Aleg_prov,"–")</f>
        <v/>
      </c>
      <c r="F34" s="34" t="inlineStr"/>
      <c r="G34" s="35">
        <f>IF(NOT(inputs_ok),"FAIL",IF(link_ok,"OK","FAIL"))</f>
        <v/>
      </c>
    </row>
    <row r="35" ht="26" customHeight="1">
      <c r="B35" s="31" t="n"/>
      <c r="C35" s="32" t="inlineStr">
        <is>
          <t>Longitudinal bars  (each wall; tension chord; As1 ≥ As,min)</t>
        </is>
      </c>
      <c r="D35" s="31" t="n"/>
      <c r="E35" s="33">
        <f>IF(inputs_ok,IF(ISNA(zM_tq),"K &gt; K′",MAX(Aslb_req/Aslb_prov,Aslh_req/Aslh_prov,Asmin_tq/As1_tq,Ach_req/Ach_prov)),"–")</f>
        <v/>
      </c>
      <c r="F35" s="34" t="inlineStr"/>
      <c r="G35" s="35">
        <f>IF(NOT(inputs_ok),"FAIL",IF(long_ok,"OK","FAIL"))</f>
        <v/>
      </c>
    </row>
    <row r="36" ht="26" customHeight="1">
      <c r="B36" s="31" t="n"/>
      <c r="C36" s="32" t="inlineStr">
        <is>
          <t>Detailing  (link spacing along and across, bar spacing)</t>
        </is>
      </c>
      <c r="D36" s="31" t="n"/>
      <c r="E36" s="33">
        <f>IF(inputs_ok,MAX(s_wt/sw_max,st_tq/st_max,sl_tq/350),"–")</f>
        <v/>
      </c>
      <c r="F36" s="34" t="inlineStr"/>
      <c r="G36" s="35">
        <f>IF(NOT(inputs_ok),"FAIL",IF(det_tq,"OK","FAIL"))</f>
        <v/>
      </c>
    </row>
    <row r="37" ht="26" customHeight="1">
      <c r="B37" s="31" t="n"/>
      <c r="C37" s="32" t="inlineStr">
        <is>
          <t>Only minimum links  TEd/TRd,c + VEd/VRd,c ≤ 1  (6.31)</t>
        </is>
      </c>
      <c r="D37" s="31" t="n"/>
      <c r="E37" s="33">
        <f>IF(inputs_ok,T_Ed/TRc_tq+V_Ed/VRc_tq,"–")</f>
        <v/>
      </c>
      <c r="F37" s="34" t="inlineStr"/>
      <c r="G37" s="35">
        <f>IF(NOT(inputs_ok),"FAIL",IF(min_only,"Yes","No: designed"))</f>
        <v/>
      </c>
    </row>
    <row r="38" ht="26" customHeight="1">
      <c r="B38" s="31" t="n"/>
      <c r="C38" s="32" t="inlineStr">
        <is>
          <t>Strut inclination used</t>
        </is>
      </c>
      <c r="D38" s="36" t="inlineStr">
        <is>
          <r>
            <rPr>
              <rFont val="Calibri"/>
              <i val="1"/>
              <color rgb="002B2B2B"/>
              <sz val="11"/>
            </rPr>
            <t>cot θ</t>
          </r>
        </is>
      </c>
      <c r="E38" s="33">
        <f>IF(inputs_ok,cot_tq,"–")</f>
        <v/>
      </c>
      <c r="F38" s="34" t="inlineStr"/>
      <c r="G38" s="31" t="n"/>
    </row>
    <row r="39"/>
    <row r="40">
      <c r="B40" s="37" t="inlineStr">
        <is>
          <t>Your section, to scale  ·  torsion reinforcement only: closed links, longitudinal bars, thin walled section (centre line dashed, inner face dotted)</t>
        </is>
      </c>
    </row>
    <row r="41"/>
    <row r="42"/>
    <row r="43"/>
    <row r="44"/>
    <row r="45"/>
    <row r="46"/>
    <row r="47"/>
    <row r="48"/>
    <row r="49"/>
    <row r="50"/>
    <row r="51"/>
    <row r="52"/>
    <row r="53"/>
    <row r="54"/>
    <row r="55"/>
    <row r="56"/>
    <row r="57"/>
    <row r="58"/>
    <row r="59"/>
    <row r="60"/>
    <row r="61"/>
    <row r="62"/>
    <row r="63" ht="22" customHeight="1">
      <c r="B63" s="20" t="inlineStr">
        <is>
          <t>Calculation  ·  thin walled section</t>
        </is>
      </c>
      <c r="C63" s="21" t="n"/>
      <c r="D63" s="21" t="n"/>
      <c r="E63" s="21" t="n"/>
      <c r="F63" s="21" t="n"/>
      <c r="G63" s="21" t="n"/>
    </row>
    <row r="64" ht="17" customHeight="1">
      <c r="B64" s="26" t="inlineStr">
        <is>
          <t>2.4.2.4(1)</t>
        </is>
      </c>
      <c r="C64" s="24" t="inlineStr">
        <is>
          <t>Partial factor, concrete</t>
        </is>
      </c>
      <c r="D64" s="27" t="inlineStr">
        <is>
          <r>
            <rPr>
              <rFont val="Calibri"/>
              <i val="1"/>
              <color rgb="002B2B2B"/>
              <sz val="10"/>
            </rPr>
            <t>γ</t>
          </r>
          <r>
            <rPr>
              <rFont val="Calibri"/>
              <i val="1"/>
              <color rgb="002B2B2B"/>
              <sz val="10"/>
              <vertAlign val="subscript"/>
            </rPr>
            <t>c</t>
          </r>
        </is>
      </c>
      <c r="E64" s="38">
        <f>IF(inputs_ok,ndp_gamma_c,NA())</f>
        <v/>
      </c>
      <c r="F64" s="23" t="n"/>
      <c r="G64" s="26" t="inlineStr">
        <is>
          <t>NDP sheet</t>
        </is>
      </c>
    </row>
    <row r="65" ht="17" customHeight="1">
      <c r="B65" s="26" t="inlineStr">
        <is>
          <t>2.4.2.4(1)</t>
        </is>
      </c>
      <c r="C65" s="24" t="inlineStr">
        <is>
          <t>Partial factor, reinforcement</t>
        </is>
      </c>
      <c r="D65" s="27" t="inlineStr">
        <is>
          <r>
            <rPr>
              <rFont val="Calibri"/>
              <i val="1"/>
              <color rgb="002B2B2B"/>
              <sz val="10"/>
            </rPr>
            <t>γ</t>
          </r>
          <r>
            <rPr>
              <rFont val="Calibri"/>
              <i val="1"/>
              <color rgb="002B2B2B"/>
              <sz val="10"/>
              <vertAlign val="subscript"/>
            </rPr>
            <t>s</t>
          </r>
        </is>
      </c>
      <c r="E65" s="38">
        <f>IF(inputs_ok,ndp_gamma_s,NA())</f>
        <v/>
      </c>
      <c r="F65" s="23" t="n"/>
      <c r="G65" s="26" t="inlineStr">
        <is>
          <t>NDP sheet</t>
        </is>
      </c>
    </row>
    <row r="66" ht="17" customHeight="1">
      <c r="B66" s="26" t="inlineStr">
        <is>
          <t>3.1.6(1)</t>
        </is>
      </c>
      <c r="C66" s="24" t="inlineStr">
        <is>
          <t>Coefficient on compressive strength (flexure)</t>
        </is>
      </c>
      <c r="D66" s="27" t="inlineStr">
        <is>
          <r>
            <rPr>
              <rFont val="Calibri"/>
              <i val="1"/>
              <color rgb="002B2B2B"/>
              <sz val="10"/>
            </rPr>
            <t>α</t>
          </r>
          <r>
            <rPr>
              <rFont val="Calibri"/>
              <i val="1"/>
              <color rgb="002B2B2B"/>
              <sz val="10"/>
              <vertAlign val="subscript"/>
            </rPr>
            <t>cc</t>
          </r>
        </is>
      </c>
      <c r="E66" s="38">
        <f>IF(inputs_ok,ndp_alpha_cc,NA())</f>
        <v/>
      </c>
      <c r="F66" s="23" t="n"/>
      <c r="G66" s="26" t="inlineStr">
        <is>
          <t>NDP sheet</t>
        </is>
      </c>
    </row>
    <row r="67" ht="17" customHeight="1">
      <c r="B67" s="26" t="inlineStr">
        <is>
          <t>3.1.6(2)</t>
        </is>
      </c>
      <c r="C67" s="24" t="inlineStr">
        <is>
          <t>Coefficient on tensile strength</t>
        </is>
      </c>
      <c r="D67" s="27" t="inlineStr">
        <is>
          <r>
            <rPr>
              <rFont val="Calibri"/>
              <i val="1"/>
              <color rgb="002B2B2B"/>
              <sz val="10"/>
            </rPr>
            <t>α</t>
          </r>
          <r>
            <rPr>
              <rFont val="Calibri"/>
              <i val="1"/>
              <color rgb="002B2B2B"/>
              <sz val="10"/>
              <vertAlign val="subscript"/>
            </rPr>
            <t>ct</t>
          </r>
        </is>
      </c>
      <c r="E67" s="38">
        <f>IF(inputs_ok,ndp_alpha_ct,NA())</f>
        <v/>
      </c>
      <c r="F67" s="23" t="n"/>
      <c r="G67" s="26" t="inlineStr">
        <is>
          <t>NDP sheet</t>
        </is>
      </c>
    </row>
    <row r="68" ht="17" customHeight="1">
      <c r="B68" s="26" t="inlineStr">
        <is>
          <t>3.1.6(1)</t>
        </is>
      </c>
      <c r="C68" s="24" t="inlineStr">
        <is>
          <t>Coefficient on compressive strength (shear)</t>
        </is>
      </c>
      <c r="D68" s="27" t="inlineStr">
        <is>
          <r>
            <rPr>
              <rFont val="Calibri"/>
              <i val="1"/>
              <color rgb="002B2B2B"/>
              <sz val="10"/>
            </rPr>
            <t>α</t>
          </r>
          <r>
            <rPr>
              <rFont val="Calibri"/>
              <i val="1"/>
              <color rgb="002B2B2B"/>
              <sz val="10"/>
              <vertAlign val="subscript"/>
            </rPr>
            <t>cc</t>
          </r>
        </is>
      </c>
      <c r="E68" s="38">
        <f>IF(inputs_ok,ndp_alpha_cc_shear,NA())</f>
        <v/>
      </c>
      <c r="F68" s="23" t="n"/>
      <c r="G68" s="26" t="inlineStr">
        <is>
          <t>NDP sheet</t>
        </is>
      </c>
    </row>
    <row r="69" ht="17" customHeight="1">
      <c r="B69" s="26" t="inlineStr">
        <is>
          <t>6.2.2(1), 6.4.4(1)</t>
        </is>
      </c>
      <c r="C69" s="24" t="inlineStr">
        <is>
          <t>Coefficient  0.18 / γc</t>
        </is>
      </c>
      <c r="D69" s="27" t="inlineStr">
        <is>
          <r>
            <rPr>
              <rFont val="Calibri"/>
              <i val="1"/>
              <color rgb="002B2B2B"/>
              <sz val="10"/>
            </rPr>
            <t>C</t>
          </r>
          <r>
            <rPr>
              <rFont val="Calibri"/>
              <i val="1"/>
              <color rgb="002B2B2B"/>
              <sz val="10"/>
              <vertAlign val="subscript"/>
            </rPr>
            <t>Rd,c</t>
          </r>
        </is>
      </c>
      <c r="E69" s="39">
        <f>IF(inputs_ok,ndp_C_Rdc/ndp_gamma_c,NA())</f>
        <v/>
      </c>
      <c r="F69" s="23" t="n"/>
      <c r="G69" s="26" t="inlineStr">
        <is>
          <t>NDP sheet</t>
        </is>
      </c>
    </row>
    <row r="70" ht="17" customHeight="1">
      <c r="B70" s="26" t="inlineStr">
        <is>
          <t>6.2.3(2)</t>
        </is>
      </c>
      <c r="C70" s="24" t="inlineStr">
        <is>
          <t>Upper limit of cot θ</t>
        </is>
      </c>
      <c r="D70" s="27" t="inlineStr">
        <is>
          <r>
            <rPr>
              <rFont val="Calibri"/>
              <i val="1"/>
              <color rgb="002B2B2B"/>
              <sz val="10"/>
            </rPr>
            <t>cot θ</t>
          </r>
          <r>
            <rPr>
              <rFont val="Calibri"/>
              <i val="1"/>
              <color rgb="002B2B2B"/>
              <sz val="10"/>
              <vertAlign val="subscript"/>
            </rPr>
            <t>max</t>
          </r>
        </is>
      </c>
      <c r="E70" s="38">
        <f>IF(inputs_ok,ndp_cot_max,NA())</f>
        <v/>
      </c>
      <c r="F70" s="23" t="n"/>
      <c r="G70" s="26" t="inlineStr">
        <is>
          <t>NDP sheet</t>
        </is>
      </c>
    </row>
    <row r="71" ht="17" customHeight="1">
      <c r="B71" s="26" t="inlineStr">
        <is>
          <t>Table 3.1</t>
        </is>
      </c>
      <c r="C71" s="24" t="inlineStr">
        <is>
          <t>Characteristic cylinder strength</t>
        </is>
      </c>
      <c r="D71" s="27" t="inlineStr">
        <is>
          <r>
            <rPr>
              <rFont val="Calibri"/>
              <i val="1"/>
              <color rgb="002B2B2B"/>
              <sz val="10"/>
            </rPr>
            <t>f</t>
          </r>
          <r>
            <rPr>
              <rFont val="Calibri"/>
              <i val="1"/>
              <color rgb="002B2B2B"/>
              <sz val="10"/>
              <vertAlign val="subscript"/>
            </rPr>
            <t>ck</t>
          </r>
        </is>
      </c>
      <c r="E71" s="40">
        <f>IF(inputs_ok,VALUE(MID(conc_class,2,FIND("/",conc_class)-2)),NA())</f>
        <v/>
      </c>
      <c r="F71" s="28" t="inlineStr">
        <is>
          <t>MPa</t>
        </is>
      </c>
      <c r="G71" s="23" t="n"/>
    </row>
    <row r="72" ht="17" customHeight="1">
      <c r="B72" s="26" t="inlineStr">
        <is>
          <t>Table 3.1</t>
        </is>
      </c>
      <c r="C72" s="24" t="inlineStr">
        <is>
          <t>Mean tensile strength</t>
        </is>
      </c>
      <c r="D72" s="27" t="inlineStr">
        <is>
          <r>
            <rPr>
              <rFont val="Calibri"/>
              <i val="1"/>
              <color rgb="002B2B2B"/>
              <sz val="10"/>
            </rPr>
            <t>f</t>
          </r>
          <r>
            <rPr>
              <rFont val="Calibri"/>
              <i val="1"/>
              <color rgb="002B2B2B"/>
              <sz val="10"/>
              <vertAlign val="subscript"/>
            </rPr>
            <t>ctm</t>
          </r>
        </is>
      </c>
      <c r="E72" s="38">
        <f>IF(inputs_ok,IF(f_ck&lt;=50,0.3*f_ck^(2/3),2.12*LN(1+(f_ck+8)/10)),NA())</f>
        <v/>
      </c>
      <c r="F72" s="28" t="inlineStr">
        <is>
          <t>MPa</t>
        </is>
      </c>
      <c r="G72" s="23" t="n"/>
    </row>
    <row r="73" ht="17" customHeight="1">
      <c r="B73" s="26" t="inlineStr">
        <is>
          <t>3.1.6(1)</t>
        </is>
      </c>
      <c r="C73" s="24" t="inlineStr">
        <is>
          <t>Design compressive strength for shear</t>
        </is>
      </c>
      <c r="D73" s="27" t="inlineStr">
        <is>
          <r>
            <rPr>
              <rFont val="Calibri"/>
              <i val="1"/>
              <color rgb="002B2B2B"/>
              <sz val="10"/>
            </rPr>
            <t>f</t>
          </r>
          <r>
            <rPr>
              <rFont val="Calibri"/>
              <i val="1"/>
              <color rgb="002B2B2B"/>
              <sz val="10"/>
              <vertAlign val="subscript"/>
            </rPr>
            <t>cd</t>
          </r>
        </is>
      </c>
      <c r="E73" s="38">
        <f>IF(inputs_ok,alpha_cc_shear*f_ck/gamma_c,NA())</f>
        <v/>
      </c>
      <c r="F73" s="28" t="inlineStr">
        <is>
          <t>MPa</t>
        </is>
      </c>
      <c r="G73" s="23" t="n"/>
    </row>
    <row r="74" ht="17" customHeight="1">
      <c r="B74" s="26" t="inlineStr">
        <is>
          <t>3.1.6(2)</t>
        </is>
      </c>
      <c r="C74" s="24" t="inlineStr">
        <is>
          <t>Design tensile strength  αct 0.7 fctm / γc</t>
        </is>
      </c>
      <c r="D74" s="27" t="inlineStr">
        <is>
          <r>
            <rPr>
              <rFont val="Calibri"/>
              <i val="1"/>
              <color rgb="002B2B2B"/>
              <sz val="10"/>
            </rPr>
            <t>f</t>
          </r>
          <r>
            <rPr>
              <rFont val="Calibri"/>
              <i val="1"/>
              <color rgb="002B2B2B"/>
              <sz val="10"/>
              <vertAlign val="subscript"/>
            </rPr>
            <t>ctd</t>
          </r>
        </is>
      </c>
      <c r="E74" s="38">
        <f>IF(inputs_ok,alpha_ct*0.7*f_ctm/gamma_c,NA())</f>
        <v/>
      </c>
      <c r="F74" s="28" t="inlineStr">
        <is>
          <t>MPa</t>
        </is>
      </c>
      <c r="G74" s="23" t="n"/>
    </row>
    <row r="75" ht="17" customHeight="1">
      <c r="B75" s="26" t="inlineStr">
        <is>
          <t>3.2.7</t>
        </is>
      </c>
      <c r="C75" s="24" t="inlineStr">
        <is>
          <t>Design yield strengths  bars / links</t>
        </is>
      </c>
      <c r="D75" s="27" t="inlineStr">
        <is>
          <r>
            <rPr>
              <rFont val="Calibri"/>
              <i val="1"/>
              <color rgb="002B2B2B"/>
              <sz val="10"/>
            </rPr>
            <t>f</t>
          </r>
          <r>
            <rPr>
              <rFont val="Calibri"/>
              <i val="1"/>
              <color rgb="002B2B2B"/>
              <sz val="10"/>
              <vertAlign val="subscript"/>
            </rPr>
            <t>yd</t>
          </r>
        </is>
      </c>
      <c r="E75" s="41">
        <f>IF(inputs_ok,f_yk/gamma_s,NA())</f>
        <v/>
      </c>
      <c r="F75" s="28" t="inlineStr">
        <is>
          <t>MPa</t>
        </is>
      </c>
      <c r="G75" s="23" t="n"/>
    </row>
    <row r="76" ht="17" customHeight="1">
      <c r="B76" s="26" t="inlineStr">
        <is>
          <t>3.2.7</t>
        </is>
      </c>
      <c r="C76" s="24" t="inlineStr"/>
      <c r="D76" s="27" t="inlineStr">
        <is>
          <r>
            <rPr>
              <rFont val="Calibri"/>
              <i val="1"/>
              <color rgb="002B2B2B"/>
              <sz val="10"/>
            </rPr>
            <t>f</t>
          </r>
          <r>
            <rPr>
              <rFont val="Calibri"/>
              <i val="1"/>
              <color rgb="002B2B2B"/>
              <sz val="10"/>
              <vertAlign val="subscript"/>
            </rPr>
            <t>ywd</t>
          </r>
        </is>
      </c>
      <c r="E76" s="41">
        <f>IF(inputs_ok,f_ywk/gamma_s,NA())</f>
        <v/>
      </c>
      <c r="F76" s="28" t="inlineStr">
        <is>
          <t>MPa</t>
        </is>
      </c>
      <c r="G76" s="23" t="n"/>
    </row>
    <row r="77" ht="17" customHeight="1">
      <c r="B77" s="26" t="inlineStr">
        <is>
          <t>6.3.2(1)</t>
        </is>
      </c>
      <c r="C77" s="24" t="inlineStr">
        <is>
          <t>Area and perimeter of the section  A = b h,  u = 2(b + h)</t>
        </is>
      </c>
      <c r="D77" s="27" t="inlineStr">
        <is>
          <r>
            <rPr>
              <rFont val="Calibri"/>
              <i val="1"/>
              <color rgb="002B2B2B"/>
              <sz val="10"/>
            </rPr>
            <t>A</t>
          </r>
        </is>
      </c>
      <c r="E77" s="40">
        <f>IF(inputs_ok,b_tq*h_tq,NA())</f>
        <v/>
      </c>
      <c r="F77" s="28" t="inlineStr">
        <is>
          <t>mm²</t>
        </is>
      </c>
      <c r="G77" s="23" t="n"/>
    </row>
    <row r="78" ht="17" customHeight="1">
      <c r="B78" s="26" t="inlineStr">
        <is>
          <t>6.3.2(1)</t>
        </is>
      </c>
      <c r="C78" s="24" t="inlineStr">
        <is>
          <t>Wall thickness  max(A/u; twice face to bar centre)</t>
        </is>
      </c>
      <c r="D78" s="27" t="inlineStr">
        <is>
          <r>
            <rPr>
              <rFont val="Calibri"/>
              <i val="1"/>
              <color rgb="002B2B2B"/>
              <sz val="10"/>
            </rPr>
            <t>t</t>
          </r>
          <r>
            <rPr>
              <rFont val="Calibri"/>
              <i val="1"/>
              <color rgb="002B2B2B"/>
              <sz val="10"/>
              <vertAlign val="subscript"/>
            </rPr>
            <t>ef</t>
          </r>
        </is>
      </c>
      <c r="E78" s="41">
        <f>IF(inputs_ok,t_ef,NA())</f>
        <v/>
      </c>
      <c r="F78" s="28" t="inlineStr">
        <is>
          <t>mm</t>
        </is>
      </c>
      <c r="G78" s="23" t="n"/>
    </row>
    <row r="79" ht="17" customHeight="1">
      <c r="B79" s="26" t="inlineStr">
        <is>
          <t>6.3.2(1)</t>
        </is>
      </c>
      <c r="C79" s="24" t="inlineStr">
        <is>
          <t>Area within the wall centre line  (b − t_ef)(h − t_ef)</t>
        </is>
      </c>
      <c r="D79" s="27" t="inlineStr">
        <is>
          <r>
            <rPr>
              <rFont val="Calibri"/>
              <i val="1"/>
              <color rgb="002B2B2B"/>
              <sz val="10"/>
            </rPr>
            <t>A</t>
          </r>
          <r>
            <rPr>
              <rFont val="Calibri"/>
              <i val="1"/>
              <color rgb="002B2B2B"/>
              <sz val="10"/>
              <vertAlign val="subscript"/>
            </rPr>
            <t>k</t>
          </r>
        </is>
      </c>
      <c r="E79" s="40">
        <f>IF(inputs_ok,(b_tq-t_ef)*(h_tq-t_ef),NA())</f>
        <v/>
      </c>
      <c r="F79" s="28" t="inlineStr">
        <is>
          <t>mm²</t>
        </is>
      </c>
      <c r="G79" s="23" t="n"/>
    </row>
    <row r="80" ht="17" customHeight="1">
      <c r="B80" s="26" t="inlineStr">
        <is>
          <t>6.3.2(1)</t>
        </is>
      </c>
      <c r="C80" s="24" t="inlineStr">
        <is>
          <t>Perimeter of A_k  2(b + h − 2 t_ef)</t>
        </is>
      </c>
      <c r="D80" s="27" t="inlineStr">
        <is>
          <r>
            <rPr>
              <rFont val="Calibri"/>
              <i val="1"/>
              <color rgb="002B2B2B"/>
              <sz val="10"/>
            </rPr>
            <t>u</t>
          </r>
          <r>
            <rPr>
              <rFont val="Calibri"/>
              <i val="1"/>
              <color rgb="002B2B2B"/>
              <sz val="10"/>
              <vertAlign val="subscript"/>
            </rPr>
            <t>k</t>
          </r>
        </is>
      </c>
      <c r="E80" s="40">
        <f>IF(inputs_ok,2*(b_tq+h_tq-2*t_ef),NA())</f>
        <v/>
      </c>
      <c r="F80" s="28" t="inlineStr">
        <is>
          <t>mm</t>
        </is>
      </c>
      <c r="G80" s="23" t="n"/>
    </row>
    <row r="81" ht="17" customHeight="1">
      <c r="B81" s="26" t="inlineStr">
        <is>
          <t>6.2.3(1)</t>
        </is>
      </c>
      <c r="C81" s="24" t="inlineStr">
        <is>
          <t>Inner lever arm  0.9 d</t>
        </is>
      </c>
      <c r="D81" s="27" t="inlineStr">
        <is>
          <r>
            <rPr>
              <rFont val="Calibri"/>
              <i val="1"/>
              <color rgb="002B2B2B"/>
              <sz val="10"/>
            </rPr>
            <t>z</t>
          </r>
        </is>
      </c>
      <c r="E81" s="40">
        <f>IF(inputs_ok,0.9*d_tq,NA())</f>
        <v/>
      </c>
      <c r="F81" s="28" t="inlineStr">
        <is>
          <t>mm</t>
        </is>
      </c>
      <c r="G81" s="23" t="n"/>
    </row>
    <row r="82" ht="17" customHeight="1">
      <c r="B82" s="26" t="inlineStr">
        <is>
          <t>(6.6N)</t>
        </is>
      </c>
      <c r="C82" s="24" t="inlineStr">
        <is>
          <t>Strength reduction factor  ν = 0.6 (1 − fck/250)</t>
        </is>
      </c>
      <c r="D82" s="27" t="inlineStr">
        <is>
          <r>
            <rPr>
              <rFont val="Calibri"/>
              <i val="1"/>
              <color rgb="002B2B2B"/>
              <sz val="10"/>
            </rPr>
            <t>ν</t>
          </r>
        </is>
      </c>
      <c r="E82" s="39">
        <f>IF(inputs_ok,0.6*(1-f_ck/250),NA())</f>
        <v/>
      </c>
      <c r="F82" s="23" t="n"/>
      <c r="G82" s="23" t="n"/>
    </row>
    <row r="83"/>
    <row r="84" ht="22" customHeight="1">
      <c r="B84" s="20" t="inlineStr">
        <is>
          <t>Calculation  ·  resistances and reinforcement</t>
        </is>
      </c>
      <c r="C84" s="21" t="n"/>
      <c r="D84" s="21" t="n"/>
      <c r="E84" s="21" t="n"/>
      <c r="F84" s="21" t="n"/>
      <c r="G84" s="21" t="n"/>
    </row>
    <row r="85" ht="17" customHeight="1">
      <c r="B85" s="26" t="inlineStr">
        <is>
          <t>(6.29)</t>
        </is>
      </c>
      <c r="C85" s="24" t="inlineStr">
        <is>
          <t>(6.29) at 45°:  TEd / (ν fcd Ak tef) + 2 VEd / (b z ν fcd)</t>
        </is>
      </c>
      <c r="D85" s="27" t="inlineStr">
        <is>
          <r>
            <rPr>
              <rFont val="Calibri"/>
              <i val="1"/>
              <color rgb="002B2B2B"/>
              <sz val="10"/>
            </rPr>
            <t>R</t>
          </r>
        </is>
      </c>
      <c r="E85" s="39">
        <f>IF(inputs_ok,T_Ed*1E6/(nu_tq*fcd_tq*A_k*t_ef)+2*V_Ed*1000/(b_tq*z_tq*nu_tq*fcd_tq),NA())</f>
        <v/>
      </c>
      <c r="F85" s="23" t="n"/>
      <c r="G85" s="23" t="n"/>
    </row>
    <row r="86" ht="17" customHeight="1">
      <c r="B86" s="26" t="inlineStr">
        <is>
          <t>6.2.3(2)</t>
        </is>
      </c>
      <c r="C86" s="24" t="inlineStr">
        <is>
          <t>Strut inclination  largest cot θ ≤ cot θmax meeting (6.29)</t>
        </is>
      </c>
      <c r="D86" s="27" t="inlineStr">
        <is>
          <r>
            <rPr>
              <rFont val="Calibri"/>
              <i val="1"/>
              <color rgb="002B2B2B"/>
              <sz val="10"/>
            </rPr>
            <t>cot θ</t>
          </r>
        </is>
      </c>
      <c r="E86" s="39">
        <f>IF(inputs_ok,IF(R_tq&lt;=0,cot_max,IF(R_tq&gt;=1,1,MIN(cot_max,1/TAN(0.5*ASIN(R_tq))))),NA())</f>
        <v/>
      </c>
      <c r="F86" s="23" t="n"/>
      <c r="G86" s="23" t="n"/>
    </row>
    <row r="87" ht="17" customHeight="1">
      <c r="B87" s="26" t="inlineStr">
        <is>
          <t>(6.30)</t>
        </is>
      </c>
      <c r="C87" s="24" t="inlineStr">
        <is>
          <t>TRd,max = 2 ν fcd Ak tef sin θ cos θ  (αcw = 1)</t>
        </is>
      </c>
      <c r="D87" s="27" t="inlineStr">
        <is>
          <r>
            <rPr>
              <rFont val="Calibri"/>
              <i val="1"/>
              <color rgb="002B2B2B"/>
              <sz val="10"/>
            </rPr>
            <t>T</t>
          </r>
          <r>
            <rPr>
              <rFont val="Calibri"/>
              <i val="1"/>
              <color rgb="002B2B2B"/>
              <sz val="10"/>
              <vertAlign val="subscript"/>
            </rPr>
            <t>Rd,max</t>
          </r>
        </is>
      </c>
      <c r="E87" s="41">
        <f>IF(inputs_ok,2*nu_tq*fcd_tq*A_k*t_ef*cot_tq/(1+cot_tq^2)/1E6,NA())</f>
        <v/>
      </c>
      <c r="F87" s="28" t="inlineStr">
        <is>
          <t>kNm</t>
        </is>
      </c>
      <c r="G87" s="23" t="n"/>
    </row>
    <row r="88" ht="17" customHeight="1">
      <c r="B88" s="26" t="inlineStr">
        <is>
          <t>(6.9)</t>
        </is>
      </c>
      <c r="C88" s="24" t="inlineStr">
        <is>
          <t>VRd,max = b z ν fcd / (cot θ + tan θ)</t>
        </is>
      </c>
      <c r="D88" s="27" t="inlineStr">
        <is>
          <r>
            <rPr>
              <rFont val="Calibri"/>
              <i val="1"/>
              <color rgb="002B2B2B"/>
              <sz val="10"/>
            </rPr>
            <t>V</t>
          </r>
          <r>
            <rPr>
              <rFont val="Calibri"/>
              <i val="1"/>
              <color rgb="002B2B2B"/>
              <sz val="10"/>
              <vertAlign val="subscript"/>
            </rPr>
            <t>Rd,max</t>
          </r>
        </is>
      </c>
      <c r="E88" s="41">
        <f>IF(inputs_ok,b_tq*z_tq*nu_tq*fcd_tq/(cot_tq+1/cot_tq)/1000,NA())</f>
        <v/>
      </c>
      <c r="F88" s="28" t="inlineStr">
        <is>
          <t>kN</t>
        </is>
      </c>
      <c r="G88" s="23" t="n"/>
    </row>
    <row r="89" ht="17" customHeight="1">
      <c r="B89" s="26" t="inlineStr">
        <is>
          <t>(6.29)</t>
        </is>
      </c>
      <c r="C89" s="24" t="inlineStr">
        <is>
          <t>TEd/TRd,max + VEd/VRd,max ≤ 1</t>
        </is>
      </c>
      <c r="D89" s="23" t="n"/>
      <c r="E89" s="38">
        <f>IF(inputs_ok,T_Ed/TRmax_tq+V_Ed/VRmax_tq,NA())</f>
        <v/>
      </c>
      <c r="F89" s="23" t="n"/>
      <c r="G89" s="30">
        <f>IF(NOT(inputs_ok),"FAIL",IF(crush_ok,"OK","FAIL"))</f>
        <v/>
      </c>
    </row>
    <row r="90" ht="17" customHeight="1">
      <c r="B90" s="26" t="inlineStr">
        <is>
          <t>6.3.2(5)</t>
        </is>
      </c>
      <c r="C90" s="24" t="inlineStr">
        <is>
          <t>Cracking torsion  TRd,c = 2 fctd tef Ak</t>
        </is>
      </c>
      <c r="D90" s="27" t="inlineStr">
        <is>
          <r>
            <rPr>
              <rFont val="Calibri"/>
              <i val="1"/>
              <color rgb="002B2B2B"/>
              <sz val="10"/>
            </rPr>
            <t>T</t>
          </r>
          <r>
            <rPr>
              <rFont val="Calibri"/>
              <i val="1"/>
              <color rgb="002B2B2B"/>
              <sz val="10"/>
              <vertAlign val="subscript"/>
            </rPr>
            <t>Rd,c</t>
          </r>
        </is>
      </c>
      <c r="E90" s="41">
        <f>IF(inputs_ok,2*fctd_tq*t_ef*A_k/1E6,NA())</f>
        <v/>
      </c>
      <c r="F90" s="28" t="inlineStr">
        <is>
          <t>kNm</t>
        </is>
      </c>
      <c r="G90" s="23" t="n"/>
    </row>
    <row r="91" ht="17" customHeight="1">
      <c r="B91" s="26" t="inlineStr">
        <is>
          <t>(6.2)</t>
        </is>
      </c>
      <c r="C91" s="24" t="inlineStr">
        <is>
          <t>Shear without links  VRd,c  (ρl from As1, ≤ 0.02)</t>
        </is>
      </c>
      <c r="D91" s="27" t="inlineStr">
        <is>
          <r>
            <rPr>
              <rFont val="Calibri"/>
              <i val="1"/>
              <color rgb="002B2B2B"/>
              <sz val="10"/>
            </rPr>
            <t>V</t>
          </r>
          <r>
            <rPr>
              <rFont val="Calibri"/>
              <i val="1"/>
              <color rgb="002B2B2B"/>
              <sz val="10"/>
              <vertAlign val="subscript"/>
            </rPr>
            <t>Rd,c</t>
          </r>
        </is>
      </c>
      <c r="E91" s="41">
        <f>IF(inputs_ok,MAX(C_Rdc*MIN(2,1+SQRT(200/d_tq))*(100*MIN(0.02,As1_tq/(b_tq*d_tq))*f_ck)^(1/3),0.035*MIN(2,1+SQRT(200/d_tq))^1.5*SQRT(f_ck))*b_tq*d_tq/1000,NA())</f>
        <v/>
      </c>
      <c r="F91" s="28" t="inlineStr">
        <is>
          <t>kN</t>
        </is>
      </c>
      <c r="G91" s="23" t="n"/>
    </row>
    <row r="92" ht="17" customHeight="1">
      <c r="B92" s="26" t="inlineStr">
        <is>
          <t>(6.26), 6.3.2(3)</t>
        </is>
      </c>
      <c r="C92" s="24" t="inlineStr">
        <is>
          <t>Torsion links, one leg: shear flow TEd / 2Ak over fywd cot θ</t>
        </is>
      </c>
      <c r="D92" s="27" t="inlineStr">
        <is>
          <r>
            <rPr>
              <rFont val="Calibri"/>
              <i val="1"/>
              <color rgb="002B2B2B"/>
              <sz val="10"/>
            </rPr>
            <t>A</t>
          </r>
          <r>
            <rPr>
              <rFont val="Calibri"/>
              <i val="1"/>
              <color rgb="002B2B2B"/>
              <sz val="10"/>
              <vertAlign val="subscript"/>
            </rPr>
            <t>st/s</t>
          </r>
        </is>
      </c>
      <c r="E92" s="39">
        <f>IF(inputs_ok,IF(min_only,0,T_Ed*1E6/(2*A_k*fywd_tq*cot_tq)),NA())</f>
        <v/>
      </c>
      <c r="F92" s="28" t="inlineStr">
        <is>
          <t>mm²/mm</t>
        </is>
      </c>
      <c r="G92" s="23" t="n"/>
    </row>
    <row r="93" ht="17" customHeight="1">
      <c r="B93" s="26" t="inlineStr">
        <is>
          <t>(6.8)</t>
        </is>
      </c>
      <c r="C93" s="24" t="inlineStr">
        <is>
          <t>Shear links, two legs  VEd / (z fywd cot θ)</t>
        </is>
      </c>
      <c r="D93" s="27" t="inlineStr">
        <is>
          <r>
            <rPr>
              <rFont val="Calibri"/>
              <i val="1"/>
              <color rgb="002B2B2B"/>
              <sz val="10"/>
            </rPr>
            <t>A</t>
          </r>
          <r>
            <rPr>
              <rFont val="Calibri"/>
              <i val="1"/>
              <color rgb="002B2B2B"/>
              <sz val="10"/>
              <vertAlign val="subscript"/>
            </rPr>
            <t>sw/s</t>
          </r>
        </is>
      </c>
      <c r="E93" s="39">
        <f>IF(inputs_ok,IF(min_only,0,V_Ed*1000/(z_tq*fywd_tq*cot_tq)),NA())</f>
        <v/>
      </c>
      <c r="F93" s="28" t="inlineStr">
        <is>
          <t>mm²/mm</t>
        </is>
      </c>
      <c r="G93" s="23" t="n"/>
    </row>
    <row r="94" ht="17" customHeight="1">
      <c r="B94" s="26" t="inlineStr">
        <is>
          <t>(9.5N)</t>
        </is>
      </c>
      <c r="C94" s="24" t="inlineStr">
        <is>
          <t>Minimum links, two legs  0.08 √fck / fywk · b</t>
        </is>
      </c>
      <c r="D94" s="27" t="inlineStr">
        <is>
          <r>
            <rPr>
              <rFont val="Calibri"/>
              <i val="1"/>
              <color rgb="002B2B2B"/>
              <sz val="10"/>
            </rPr>
            <t>A</t>
          </r>
          <r>
            <rPr>
              <rFont val="Calibri"/>
              <i val="1"/>
              <color rgb="002B2B2B"/>
              <sz val="10"/>
              <vertAlign val="subscript"/>
            </rPr>
            <t>sw,min/s</t>
          </r>
        </is>
      </c>
      <c r="E94" s="39">
        <f>IF(inputs_ok,0.08*SQRT(f_ck)/f_ywk*b_tq,NA())</f>
        <v/>
      </c>
      <c r="F94" s="28" t="inlineStr">
        <is>
          <t>mm²/mm</t>
        </is>
      </c>
      <c r="G94" s="23" t="n"/>
    </row>
    <row r="95" ht="17" customHeight="1">
      <c r="B95" s="23" t="n"/>
      <c r="C95" s="24" t="inlineStr">
        <is>
          <t>Needed per leg  max(Asw/2s + Ast/s; Asw,min/2s)</t>
        </is>
      </c>
      <c r="D95" s="27" t="inlineStr">
        <is>
          <r>
            <rPr>
              <rFont val="Calibri"/>
              <i val="1"/>
              <color rgb="002B2B2B"/>
              <sz val="10"/>
            </rPr>
            <t>A</t>
          </r>
          <r>
            <rPr>
              <rFont val="Calibri"/>
              <i val="1"/>
              <color rgb="002B2B2B"/>
              <sz val="10"/>
              <vertAlign val="subscript"/>
            </rPr>
            <t>leg/s</t>
          </r>
        </is>
      </c>
      <c r="E95" s="42">
        <f>IF(inputs_ok,MAX(Asw_tq/2+Ast_tq,Aswm_tq/2),NA())</f>
        <v/>
      </c>
      <c r="F95" s="28" t="inlineStr">
        <is>
          <t>mm²/mm</t>
        </is>
      </c>
      <c r="G95" s="23" t="n"/>
    </row>
    <row r="96" ht="17" customHeight="1">
      <c r="B96" s="23" t="n"/>
      <c r="C96" s="24" t="inlineStr">
        <is>
          <t>Provided per leg  π φw² / 4 / s</t>
        </is>
      </c>
      <c r="D96" s="27" t="inlineStr">
        <is>
          <r>
            <rPr>
              <rFont val="Calibri"/>
              <i val="1"/>
              <color rgb="002B2B2B"/>
              <sz val="10"/>
            </rPr>
            <t>A</t>
          </r>
          <r>
            <rPr>
              <rFont val="Calibri"/>
              <i val="1"/>
              <color rgb="002B2B2B"/>
              <sz val="10"/>
              <vertAlign val="subscript"/>
            </rPr>
            <t>leg/s</t>
          </r>
        </is>
      </c>
      <c r="E96" s="39">
        <f>IF(inputs_ok,PI()*phi_wt^2/4/s_wt,NA())</f>
        <v/>
      </c>
      <c r="F96" s="28" t="inlineStr">
        <is>
          <t>mm²/mm</t>
        </is>
      </c>
      <c r="G96" s="23" t="n"/>
    </row>
    <row r="97" ht="17" customHeight="1">
      <c r="B97" s="26" t="inlineStr">
        <is>
          <t>6.3.2(3)</t>
        </is>
      </c>
      <c r="C97" s="24" t="inlineStr">
        <is>
          <t>Closed links: provided ≥ needed per leg</t>
        </is>
      </c>
      <c r="D97" s="23" t="n"/>
      <c r="E97" s="39">
        <f>IF(inputs_ok,Aleg_prov,NA())</f>
        <v/>
      </c>
      <c r="F97" s="28" t="inlineStr">
        <is>
          <t>mm²/mm</t>
        </is>
      </c>
      <c r="G97" s="30">
        <f>IF(NOT(inputs_ok),"FAIL",IF(link_ok,"OK","FAIL"))</f>
        <v/>
      </c>
    </row>
    <row r="98" ht="17" customHeight="1">
      <c r="B98" s="26" t="inlineStr">
        <is>
          <t>(6.28)</t>
        </is>
      </c>
      <c r="C98" s="24" t="inlineStr">
        <is>
          <t>Longitudinal bars for torsion  TEd uk cot θ / (2 Ak fyd)</t>
        </is>
      </c>
      <c r="D98" s="27" t="inlineStr">
        <is>
          <r>
            <rPr>
              <rFont val="Calibri"/>
              <i val="1"/>
              <color rgb="002B2B2B"/>
              <sz val="10"/>
            </rPr>
            <t>ΣA</t>
          </r>
          <r>
            <rPr>
              <rFont val="Calibri"/>
              <i val="1"/>
              <color rgb="002B2B2B"/>
              <sz val="10"/>
              <vertAlign val="subscript"/>
            </rPr>
            <t>sl</t>
          </r>
        </is>
      </c>
      <c r="E98" s="40">
        <f>IF(inputs_ok,IF(min_only,0,T_Ed*1E6*u_k*cot_tq/(2*A_k*fyd_tq)),NA())</f>
        <v/>
      </c>
      <c r="F98" s="28" t="inlineStr">
        <is>
          <t>mm²</t>
        </is>
      </c>
      <c r="G98" s="23" t="n"/>
    </row>
    <row r="99" ht="17" customHeight="1">
      <c r="B99" s="23" t="n"/>
      <c r="C99" s="24" t="inlineStr">
        <is>
          <t>Provided  n π φl² / 4  (2 nb + 2 nh − 4 bars)</t>
        </is>
      </c>
      <c r="D99" s="27" t="inlineStr">
        <is>
          <r>
            <rPr>
              <rFont val="Calibri"/>
              <i val="1"/>
              <color rgb="002B2B2B"/>
              <sz val="10"/>
            </rPr>
            <t>ΣA</t>
          </r>
          <r>
            <rPr>
              <rFont val="Calibri"/>
              <i val="1"/>
              <color rgb="002B2B2B"/>
              <sz val="10"/>
              <vertAlign val="subscript"/>
            </rPr>
            <t>sl,prov</t>
          </r>
        </is>
      </c>
      <c r="E99" s="40">
        <f>IF(inputs_ok,n_lt*PI()*phi_lt^2/4,NA())</f>
        <v/>
      </c>
      <c r="F99" s="28" t="inlineStr">
        <is>
          <t>mm²</t>
        </is>
      </c>
      <c r="G99" s="23" t="n"/>
    </row>
    <row r="100" ht="17" customHeight="1">
      <c r="B100" s="26" t="inlineStr">
        <is>
          <t>6.3.2(3)</t>
        </is>
      </c>
      <c r="C100" s="24" t="inlineStr">
        <is>
          <t>Each b wall: share ΣAsl (b − tef) / uk</t>
        </is>
      </c>
      <c r="D100" s="27" t="inlineStr">
        <is>
          <r>
            <rPr>
              <rFont val="Calibri"/>
              <i val="1"/>
              <color rgb="002B2B2B"/>
              <sz val="10"/>
            </rPr>
            <t>A</t>
          </r>
          <r>
            <rPr>
              <rFont val="Calibri"/>
              <i val="1"/>
              <color rgb="002B2B2B"/>
              <sz val="10"/>
              <vertAlign val="subscript"/>
            </rPr>
            <t>sl,b</t>
          </r>
        </is>
      </c>
      <c r="E100" s="40">
        <f>IF(inputs_ok,Asl_req*(b_tq-t_ef)/u_k,NA())</f>
        <v/>
      </c>
      <c r="F100" s="28" t="inlineStr">
        <is>
          <t>mm²</t>
        </is>
      </c>
      <c r="G100" s="23" t="n"/>
    </row>
    <row r="101" ht="17" customHeight="1">
      <c r="B101" s="23" t="n"/>
      <c r="C101" s="24" t="inlineStr">
        <is>
          <t>Each b wall provides  (nb − 1) bars  (corner bars half)</t>
        </is>
      </c>
      <c r="D101" s="27" t="inlineStr">
        <is>
          <r>
            <rPr>
              <rFont val="Calibri"/>
              <i val="1"/>
              <color rgb="002B2B2B"/>
              <sz val="10"/>
            </rPr>
            <t>A</t>
          </r>
          <r>
            <rPr>
              <rFont val="Calibri"/>
              <i val="1"/>
              <color rgb="002B2B2B"/>
              <sz val="10"/>
              <vertAlign val="subscript"/>
            </rPr>
            <t>sl,b,prov</t>
          </r>
        </is>
      </c>
      <c r="E101" s="40">
        <f>IF(inputs_ok,(nb_tq-1)*PI()*phi_lt^2/4,NA())</f>
        <v/>
      </c>
      <c r="F101" s="28" t="inlineStr">
        <is>
          <t>mm²</t>
        </is>
      </c>
      <c r="G101" s="23" t="n"/>
    </row>
    <row r="102" ht="17" customHeight="1">
      <c r="B102" s="26" t="inlineStr">
        <is>
          <t>6.3.2(3)</t>
        </is>
      </c>
      <c r="C102" s="24" t="inlineStr">
        <is>
          <t>Each h wall: share ΣAsl (h − tef) / uk</t>
        </is>
      </c>
      <c r="D102" s="27" t="inlineStr">
        <is>
          <r>
            <rPr>
              <rFont val="Calibri"/>
              <i val="1"/>
              <color rgb="002B2B2B"/>
              <sz val="10"/>
            </rPr>
            <t>A</t>
          </r>
          <r>
            <rPr>
              <rFont val="Calibri"/>
              <i val="1"/>
              <color rgb="002B2B2B"/>
              <sz val="10"/>
              <vertAlign val="subscript"/>
            </rPr>
            <t>sl,h</t>
          </r>
        </is>
      </c>
      <c r="E102" s="40">
        <f>IF(inputs_ok,Asl_req*(h_tq-t_ef)/u_k,NA())</f>
        <v/>
      </c>
      <c r="F102" s="28" t="inlineStr">
        <is>
          <t>mm²</t>
        </is>
      </c>
      <c r="G102" s="23" t="n"/>
    </row>
    <row r="103" ht="17" customHeight="1">
      <c r="B103" s="23" t="n"/>
      <c r="C103" s="24" t="inlineStr">
        <is>
          <t>Each h wall provides  (nh − 1) bars  (corner bars half)</t>
        </is>
      </c>
      <c r="D103" s="27" t="inlineStr">
        <is>
          <r>
            <rPr>
              <rFont val="Calibri"/>
              <i val="1"/>
              <color rgb="002B2B2B"/>
              <sz val="10"/>
            </rPr>
            <t>A</t>
          </r>
          <r>
            <rPr>
              <rFont val="Calibri"/>
              <i val="1"/>
              <color rgb="002B2B2B"/>
              <sz val="10"/>
              <vertAlign val="subscript"/>
            </rPr>
            <t>sl,h,prov</t>
          </r>
        </is>
      </c>
      <c r="E103" s="40">
        <f>IF(inputs_ok,(nh_tq-1)*PI()*phi_lt^2/4,NA())</f>
        <v/>
      </c>
      <c r="F103" s="28" t="inlineStr">
        <is>
          <t>mm²</t>
        </is>
      </c>
      <c r="G103" s="23" t="n"/>
    </row>
    <row r="104" ht="17" customHeight="1">
      <c r="B104" s="26" t="inlineStr">
        <is>
          <t>(9.1N)</t>
        </is>
      </c>
      <c r="C104" s="24" t="inlineStr">
        <is>
          <t>Bending steel minimum  max(0.26 fctm / fyk; 0.0013) b d</t>
        </is>
      </c>
      <c r="D104" s="27" t="inlineStr">
        <is>
          <r>
            <rPr>
              <rFont val="Calibri"/>
              <i val="1"/>
              <color rgb="002B2B2B"/>
              <sz val="10"/>
            </rPr>
            <t>A</t>
          </r>
          <r>
            <rPr>
              <rFont val="Calibri"/>
              <i val="1"/>
              <color rgb="002B2B2B"/>
              <sz val="10"/>
              <vertAlign val="subscript"/>
            </rPr>
            <t>s,min</t>
          </r>
        </is>
      </c>
      <c r="E104" s="40">
        <f>IF(inputs_ok,MAX(0.26*f_ctm/f_yk,0.0013)*b_tq*d_tq,NA())</f>
        <v/>
      </c>
      <c r="F104" s="28" t="inlineStr">
        <is>
          <t>mm²</t>
        </is>
      </c>
      <c r="G104" s="23" t="n"/>
    </row>
    <row r="105" ht="17" customHeight="1">
      <c r="B105" s="26" t="inlineStr">
        <is>
          <t>3.1.7(3)</t>
        </is>
      </c>
      <c r="C105" s="24" t="inlineStr">
        <is>
          <t>Tension chord: K = MEd / (b d² fck)  (≤ K' for ξ ≤ 0.45)</t>
        </is>
      </c>
      <c r="D105" s="27" t="inlineStr">
        <is>
          <r>
            <rPr>
              <rFont val="Calibri"/>
              <i val="1"/>
              <color rgb="002B2B2B"/>
              <sz val="10"/>
            </rPr>
            <t>K</t>
          </r>
        </is>
      </c>
      <c r="E105" s="39">
        <f>IF(inputs_ok,M_Ed*1E6/(b_tq*d_tq^2*f_ck),NA())</f>
        <v/>
      </c>
      <c r="F105" s="23" t="n"/>
      <c r="G105" s="23" t="n"/>
    </row>
    <row r="106" ht="17" customHeight="1">
      <c r="B106" s="23" t="n"/>
      <c r="C106" s="24" t="inlineStr">
        <is>
          <t>Lever arm  d (1 − 0.5(1 − √(1 − 2K / (αcc/γc))))  ≤ 0.95 d</t>
        </is>
      </c>
      <c r="D106" s="27" t="inlineStr">
        <is>
          <r>
            <rPr>
              <rFont val="Calibri"/>
              <i val="1"/>
              <color rgb="002B2B2B"/>
              <sz val="10"/>
            </rPr>
            <t>z</t>
          </r>
          <r>
            <rPr>
              <rFont val="Calibri"/>
              <i val="1"/>
              <color rgb="002B2B2B"/>
              <sz val="10"/>
              <vertAlign val="subscript"/>
            </rPr>
            <t>M</t>
          </r>
        </is>
      </c>
      <c r="E106" s="40">
        <f>IF(inputs_ok,IF(K_tq&lt;=alpha_cc/gamma_c*0.8*0.45*(1-0.4*0.45),MIN(0.95*d_tq,d_tq*(1-0.5*(1-SQRT(1-2*K_tq/(alpha_cc/gamma_c))))),NA()),NA())</f>
        <v/>
      </c>
      <c r="F106" s="28" t="inlineStr">
        <is>
          <t>mm</t>
        </is>
      </c>
      <c r="G106" s="26" t="inlineStr">
        <is>
          <t>N/A: compression bars needed, outside scope</t>
        </is>
      </c>
    </row>
    <row r="107" ht="17" customHeight="1">
      <c r="B107" s="26" t="inlineStr">
        <is>
          <t>6.2.3(7), 6.3.2(3)</t>
        </is>
      </c>
      <c r="C107" s="24" t="inlineStr">
        <is>
          <t>Tension chord needs  MEd / (zM fyd) + 0.5 VEd cot θ / fyd + A_sl,b</t>
        </is>
      </c>
      <c r="D107" s="27" t="inlineStr">
        <is>
          <r>
            <rPr>
              <rFont val="Calibri"/>
              <i val="1"/>
              <color rgb="002B2B2B"/>
              <sz val="10"/>
            </rPr>
            <t>A</t>
          </r>
          <r>
            <rPr>
              <rFont val="Calibri"/>
              <i val="1"/>
              <color rgb="002B2B2B"/>
              <sz val="10"/>
              <vertAlign val="subscript"/>
            </rPr>
            <t>s,ch</t>
          </r>
        </is>
      </c>
      <c r="E107" s="40">
        <f>IF(inputs_ok,M_Ed*1E6/(zM_tq*fyd_tq)+0.5*V_Ed*1000*cot_tq/fyd_tq+Aslb_req,NA())</f>
        <v/>
      </c>
      <c r="F107" s="28" t="inlineStr">
        <is>
          <t>mm²</t>
        </is>
      </c>
      <c r="G107" s="26" t="inlineStr">
        <is>
          <t>ΔFtd not capped (conservative)</t>
        </is>
      </c>
    </row>
    <row r="108" ht="17" customHeight="1">
      <c r="B108" s="23" t="n"/>
      <c r="C108" s="24" t="inlineStr">
        <is>
          <t>Tension chord has  As1 + the torsion bars of that wall  (nb − 1)</t>
        </is>
      </c>
      <c r="D108" s="27" t="inlineStr">
        <is>
          <r>
            <rPr>
              <rFont val="Calibri"/>
              <i val="1"/>
              <color rgb="002B2B2B"/>
              <sz val="10"/>
            </rPr>
            <t>A</t>
          </r>
          <r>
            <rPr>
              <rFont val="Calibri"/>
              <i val="1"/>
              <color rgb="002B2B2B"/>
              <sz val="10"/>
              <vertAlign val="subscript"/>
            </rPr>
            <t>s,ch,prov</t>
          </r>
        </is>
      </c>
      <c r="E108" s="40">
        <f>IF(inputs_ok,As1_tq+Aslb_prov,NA())</f>
        <v/>
      </c>
      <c r="F108" s="28" t="inlineStr">
        <is>
          <t>mm²</t>
        </is>
      </c>
      <c r="G108" s="23" t="n"/>
    </row>
    <row r="109" ht="17" customHeight="1">
      <c r="B109" s="26" t="inlineStr">
        <is>
          <t>6.3.2(3), 9.2.1.1</t>
        </is>
      </c>
      <c r="C109" s="24" t="inlineStr">
        <is>
          <t>Longitudinal: each wall ≥ its share; tension chord; As1 ≥ As,min</t>
        </is>
      </c>
      <c r="D109" s="23" t="n"/>
      <c r="E109" s="40">
        <f>IF(inputs_ok,Asl_prov,NA())</f>
        <v/>
      </c>
      <c r="F109" s="28" t="inlineStr">
        <is>
          <t>mm²</t>
        </is>
      </c>
      <c r="G109" s="30">
        <f>IF(NOT(inputs_ok),"FAIL",IF(long_ok,"OK","FAIL"))</f>
        <v/>
      </c>
    </row>
    <row r="110" ht="17" customHeight="1">
      <c r="B110" s="26" t="inlineStr">
        <is>
          <t>9.2.3(3)</t>
        </is>
      </c>
      <c r="C110" s="24" t="inlineStr">
        <is>
          <t>Maximum link spacing  min(u/8; 0.75 d; b),  u = 2(b + h)</t>
        </is>
      </c>
      <c r="D110" s="27" t="inlineStr">
        <is>
          <r>
            <rPr>
              <rFont val="Calibri"/>
              <i val="1"/>
              <color rgb="002B2B2B"/>
              <sz val="10"/>
            </rPr>
            <t>s</t>
          </r>
          <r>
            <rPr>
              <rFont val="Calibri"/>
              <i val="1"/>
              <color rgb="002B2B2B"/>
              <sz val="10"/>
              <vertAlign val="subscript"/>
            </rPr>
            <t>max</t>
          </r>
        </is>
      </c>
      <c r="E110" s="40">
        <f>IF(inputs_ok,MIN(2*(b_tq+h_tq)/8,0.75*d_tq,b_tq),NA())</f>
        <v/>
      </c>
      <c r="F110" s="28" t="inlineStr">
        <is>
          <t>mm</t>
        </is>
      </c>
      <c r="G110" s="23" t="n"/>
    </row>
    <row r="111" ht="17" customHeight="1">
      <c r="B111" s="26" t="inlineStr">
        <is>
          <t>9.2.2(8)</t>
        </is>
      </c>
      <c r="C111" s="24" t="inlineStr">
        <is>
          <t>Transverse spacing of the two link legs  b − 2c − φw</t>
        </is>
      </c>
      <c r="D111" s="27" t="inlineStr">
        <is>
          <r>
            <rPr>
              <rFont val="Calibri"/>
              <i val="1"/>
              <color rgb="002B2B2B"/>
              <sz val="10"/>
            </rPr>
            <t>s</t>
          </r>
          <r>
            <rPr>
              <rFont val="Calibri"/>
              <i val="1"/>
              <color rgb="002B2B2B"/>
              <sz val="10"/>
              <vertAlign val="subscript"/>
            </rPr>
            <t>t</t>
          </r>
        </is>
      </c>
      <c r="E111" s="40">
        <f>IF(inputs_ok,b_tq-2*c_nom-phi_wt,NA())</f>
        <v/>
      </c>
      <c r="F111" s="28" t="inlineStr">
        <is>
          <t>mm</t>
        </is>
      </c>
      <c r="G111" s="23" t="n"/>
    </row>
    <row r="112" ht="17" customHeight="1">
      <c r="B112" s="26" t="inlineStr">
        <is>
          <t>9.2.2(8)</t>
        </is>
      </c>
      <c r="C112" s="24" t="inlineStr">
        <is>
          <t>Its limit  min(0.75 d; 600)</t>
        </is>
      </c>
      <c r="D112" s="27" t="inlineStr">
        <is>
          <r>
            <rPr>
              <rFont val="Calibri"/>
              <i val="1"/>
              <color rgb="002B2B2B"/>
              <sz val="10"/>
            </rPr>
            <t>s</t>
          </r>
          <r>
            <rPr>
              <rFont val="Calibri"/>
              <i val="1"/>
              <color rgb="002B2B2B"/>
              <sz val="10"/>
              <vertAlign val="subscript"/>
            </rPr>
            <t>t,max</t>
          </r>
        </is>
      </c>
      <c r="E112" s="40">
        <f>IF(inputs_ok,MIN(0.75*d_tq,600),NA())</f>
        <v/>
      </c>
      <c r="F112" s="28" t="inlineStr">
        <is>
          <t>mm</t>
        </is>
      </c>
      <c r="G112" s="23" t="n"/>
    </row>
    <row r="113" ht="17" customHeight="1">
      <c r="B113" s="26" t="inlineStr">
        <is>
          <t>9.2.3(4)</t>
        </is>
      </c>
      <c r="C113" s="24" t="inlineStr">
        <is>
          <t>Largest spacing of the longitudinal bars round the section</t>
        </is>
      </c>
      <c r="D113" s="27" t="inlineStr">
        <is>
          <r>
            <rPr>
              <rFont val="Calibri"/>
              <i val="1"/>
              <color rgb="002B2B2B"/>
              <sz val="10"/>
            </rPr>
            <t>s</t>
          </r>
          <r>
            <rPr>
              <rFont val="Calibri"/>
              <i val="1"/>
              <color rgb="002B2B2B"/>
              <sz val="10"/>
              <vertAlign val="subscript"/>
            </rPr>
            <t>l</t>
          </r>
        </is>
      </c>
      <c r="E113" s="40">
        <f>IF(inputs_ok,MAX((b_tq-2*(c_nom+phi_wt)-phi_lt)/(nb_tq-1),(h_tq-2*(c_nom+phi_wt)-phi_lt)/(nh_tq-1)),NA())</f>
        <v/>
      </c>
      <c r="F113" s="28" t="inlineStr">
        <is>
          <t>mm</t>
        </is>
      </c>
      <c r="G113" s="23" t="n"/>
    </row>
    <row r="114" ht="17" customHeight="1">
      <c r="B114" s="26" t="inlineStr">
        <is>
          <t>9.2.2, 9.2.3</t>
        </is>
      </c>
      <c r="C114" s="24" t="inlineStr">
        <is>
          <t>Links ≤ s_max, legs ≤ s_t,max apart; bars ≤ 350 mm apart</t>
        </is>
      </c>
      <c r="D114" s="27" t="inlineStr">
        <is>
          <r>
            <rPr>
              <rFont val="Calibri"/>
              <i val="1"/>
              <color rgb="002B2B2B"/>
              <sz val="10"/>
            </rPr>
            <t>s</t>
          </r>
        </is>
      </c>
      <c r="E114" s="40">
        <f>IF(inputs_ok,s_wt,NA())</f>
        <v/>
      </c>
      <c r="F114" s="28" t="inlineStr">
        <is>
          <t>mm</t>
        </is>
      </c>
      <c r="G114" s="30">
        <f>IF(NOT(inputs_ok),"FAIL",IF(det_tq,"OK","FAIL"))</f>
        <v/>
      </c>
    </row>
    <row r="115" ht="41.5" customHeight="1">
      <c r="B115" s="43" t="inlineStr">
        <is>
          <t>Links for torsion must be closed and anchored by laps or hooks (9.2.3(1), Figure 9.6); the clear gaps between bars and the bending design are checked in RC-004. The tension chord check adds the force from shear 0.5 VEd cot θ (6.2.3(7)), uncapped, and the share of the torsion wall there to MEd / (z fyd). The drawing shows the torsion reinforcement only.</t>
        </is>
      </c>
    </row>
    <row r="116"/>
    <row r="117" ht="29" customHeight="1">
      <c r="B117" s="43"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117:G117"/>
    <mergeCell ref="B115:G115"/>
    <mergeCell ref="E5:G5"/>
    <mergeCell ref="D2:G2"/>
    <mergeCell ref="E7:G7"/>
    <mergeCell ref="E6:G6"/>
    <mergeCell ref="C3:G3"/>
  </mergeCells>
  <conditionalFormatting sqref="G9:G118">
    <cfRule type="expression" priority="1" dxfId="0">
      <formula>G9="OK"</formula>
    </cfRule>
    <cfRule type="expression" priority="2" dxfId="1">
      <formula>G9="FAIL"</formula>
    </cfRule>
    <cfRule type="expression" priority="3" dxfId="2">
      <formula>LEFT(G9,1)="!"</formula>
    </cfRule>
  </conditionalFormatting>
  <dataValidations count="16">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E20" showDropDown="0" showInputMessage="0" showErrorMessage="1" allowBlank="0" errorTitle="NA Engineering" error="Pick a value from the list." type="list" errorStyle="stop">
      <formula1>"8,10,12,16,20,25,32,40"</formula1>
    </dataValidation>
    <dataValidation sqref="E19"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0" errorTitle="NA Engineering" error="Enter a number greater than 0." type="decimal" errorStyle="stop" operator="greaterThan">
      <formula1>0</formula1>
    </dataValidation>
    <dataValidation sqref="E27" showDropDown="0" showInputMessage="0" showErrorMessage="1" allowBlank="0" errorTitle="NA Engineering" error="Enter a number ≥ 0." type="decimal" errorStyle="stop" operator="greaterThanOrEqual">
      <formula1>0</formula1>
    </dataValidation>
    <dataValidation sqref="E28" showDropDown="0" showInputMessage="0" showErrorMessage="1" allowBlank="0" errorTitle="NA Engineering" error="Enter a number ≥ 0." type="decimal" errorStyle="stop" operator="greaterThanOrEqual">
      <formula1>0</formula1>
    </dataValidation>
    <dataValidation sqref="E29" showDropDown="0" showInputMessage="0" showErrorMessage="1" allowBlank="0" errorTitle="NA Engineering" error="Enter a number ≥ 0." type="decimal" errorStyle="stop" operator="greaterThanOrEqual">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&amp;K8A8A8ANAE-RC-026  v1.0</oddFooter>
    <evenHeader/>
    <evenFooter/>
    <firstHeader/>
    <firstFooter/>
  </headerFooter>
  <rowBreaks count="1" manualBreakCount="1">
    <brk id="31"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R13"/>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section</t>
        </is>
      </c>
      <c r="G2" t="inlineStr">
        <is>
          <t>link</t>
        </is>
      </c>
      <c r="J2" t="inlineStr">
        <is>
          <t>wall centre line</t>
        </is>
      </c>
      <c r="M2" t="inlineStr">
        <is>
          <t>inner face</t>
        </is>
      </c>
      <c r="P2" t="inlineStr">
        <is>
          <t>bottom bar 0</t>
        </is>
      </c>
      <c r="S2" t="inlineStr">
        <is>
          <t>top bar 0</t>
        </is>
      </c>
      <c r="V2" t="inlineStr">
        <is>
          <t>bottom bar 1</t>
        </is>
      </c>
      <c r="Y2" t="inlineStr">
        <is>
          <t>top bar 1</t>
        </is>
      </c>
      <c r="AB2" t="inlineStr">
        <is>
          <t>bottom bar 2</t>
        </is>
      </c>
      <c r="AE2" t="inlineStr">
        <is>
          <t>top bar 2</t>
        </is>
      </c>
      <c r="AH2" t="inlineStr">
        <is>
          <t>bottom bar 3</t>
        </is>
      </c>
      <c r="AK2" t="inlineStr">
        <is>
          <t>top bar 3</t>
        </is>
      </c>
      <c r="AN2" t="inlineStr">
        <is>
          <t>bottom bar 4</t>
        </is>
      </c>
      <c r="AQ2" t="inlineStr">
        <is>
          <t>top bar 4</t>
        </is>
      </c>
      <c r="AT2" t="inlineStr">
        <is>
          <t>bottom bar 5</t>
        </is>
      </c>
      <c r="AW2" t="inlineStr">
        <is>
          <t>top bar 5</t>
        </is>
      </c>
      <c r="AZ2" t="inlineStr">
        <is>
          <t>bottom bar 6</t>
        </is>
      </c>
      <c r="BC2" t="inlineStr">
        <is>
          <t>top bar 6</t>
        </is>
      </c>
      <c r="BF2" t="inlineStr">
        <is>
          <t>bottom bar 7</t>
        </is>
      </c>
      <c r="BI2" t="inlineStr">
        <is>
          <t>top bar 7</t>
        </is>
      </c>
      <c r="BL2" t="inlineStr">
        <is>
          <t>left bar 1</t>
        </is>
      </c>
      <c r="BO2" t="inlineStr">
        <is>
          <t>right bar 1</t>
        </is>
      </c>
      <c r="BR2" t="inlineStr">
        <is>
          <t>left bar 2</t>
        </is>
      </c>
      <c r="BU2" t="inlineStr">
        <is>
          <t>right bar 2</t>
        </is>
      </c>
      <c r="BX2" t="inlineStr">
        <is>
          <t>left bar 3</t>
        </is>
      </c>
      <c r="CA2" t="inlineStr">
        <is>
          <t>right bar 3</t>
        </is>
      </c>
      <c r="CD2" t="inlineStr">
        <is>
          <t>left bar 4</t>
        </is>
      </c>
      <c r="CG2" t="inlineStr">
        <is>
          <t>right bar 4</t>
        </is>
      </c>
      <c r="CJ2" t="inlineStr">
        <is>
          <t>left bar 5</t>
        </is>
      </c>
      <c r="CM2" t="inlineStr">
        <is>
          <t>right bar 5</t>
        </is>
      </c>
      <c r="CP2" t="inlineStr">
        <is>
          <t>left bar 6</t>
        </is>
      </c>
      <c r="CS2" t="inlineStr">
        <is>
          <t>right bar 6</t>
        </is>
      </c>
      <c r="CV2" t="inlineStr">
        <is>
          <t>dim</t>
        </is>
      </c>
      <c r="CY2">
        <f>IF(inputs_ok,"b = "&amp;TEXT(b_tq,"0"),"")</f>
        <v/>
      </c>
      <c r="DB2" t="inlineStr">
        <is>
          <t>dim</t>
        </is>
      </c>
      <c r="DE2">
        <f>IF(inputs_ok,"h = "&amp;TEXT(h_tq,"0"),"")</f>
        <v/>
      </c>
      <c r="DH2">
        <f>IF(inputs_ok,"t_ef "&amp;TEXT(t_ef,"0")&amp;" · A_k "&amp;TEXT(A_k/1E6,"0.000")&amp;" m²","")</f>
        <v/>
      </c>
      <c r="DK2">
        <f>IF(inputs_ok,"φ"&amp;phi_wt&amp;" @ "&amp;s_wt&amp;" · "&amp;n_lt&amp;" φ"&amp;phi_lt,"")</f>
        <v/>
      </c>
      <c r="DN2">
        <f>IF(inputs_ok,"T "&amp;TEXT(T_Ed,"0.0")&amp;" · V "&amp;TEXT(V_Ed,"0.0"),"")</f>
        <v/>
      </c>
      <c r="DQ2" t="inlineStr">
        <is>
          <t>frame</t>
        </is>
      </c>
    </row>
    <row r="3">
      <c r="A3">
        <f>0</f>
        <v/>
      </c>
      <c r="B3">
        <f>0</f>
        <v/>
      </c>
      <c r="D3">
        <f>IF(inputs_ok,0,NA())</f>
        <v/>
      </c>
      <c r="E3">
        <f>0</f>
        <v/>
      </c>
      <c r="G3">
        <f>IF(inputs_ok,(c_nom+phi_wt/2),NA())</f>
        <v/>
      </c>
      <c r="H3">
        <f>(c_nom+phi_wt/2)</f>
        <v/>
      </c>
      <c r="J3">
        <f>IF(inputs_ok,t_ef/2,NA())</f>
        <v/>
      </c>
      <c r="K3">
        <f>t_ef/2</f>
        <v/>
      </c>
      <c r="M3">
        <f>IF(inputs_ok,t_ef,NA())</f>
        <v/>
      </c>
      <c r="N3">
        <f>t_ef</f>
        <v/>
      </c>
      <c r="P3">
        <f>IF(inputs_ok,IF(0&lt;nb_tq,((c_nom+phi_wt+phi_lt/2)+0*(b_tq-2*(c_nom+phi_wt+phi_lt/2))/(nb_tq-1))+(phi_lt/2)*1.000000,NA()),NA())</f>
        <v/>
      </c>
      <c r="Q3">
        <f>IF(0&lt;nb_tq,((c_nom+phi_wt+phi_lt/2))+(phi_lt/2)*0.000000,NA())</f>
        <v/>
      </c>
      <c r="S3">
        <f>IF(inputs_ok,IF(0&lt;nb_tq,((c_nom+phi_wt+phi_lt/2)+0*(b_tq-2*(c_nom+phi_wt+phi_lt/2))/(nb_tq-1))+(phi_lt/2)*1.000000,NA()),NA())</f>
        <v/>
      </c>
      <c r="T3">
        <f>IF(0&lt;nb_tq,(h_tq-(c_nom+phi_wt+phi_lt/2))+(phi_lt/2)*0.000000,NA())</f>
        <v/>
      </c>
      <c r="V3">
        <f>IF(inputs_ok,IF(1&lt;nb_tq,((c_nom+phi_wt+phi_lt/2)+1*(b_tq-2*(c_nom+phi_wt+phi_lt/2))/(nb_tq-1))+(phi_lt/2)*1.000000,NA()),NA())</f>
        <v/>
      </c>
      <c r="W3">
        <f>IF(1&lt;nb_tq,((c_nom+phi_wt+phi_lt/2))+(phi_lt/2)*0.000000,NA())</f>
        <v/>
      </c>
      <c r="Y3">
        <f>IF(inputs_ok,IF(1&lt;nb_tq,((c_nom+phi_wt+phi_lt/2)+1*(b_tq-2*(c_nom+phi_wt+phi_lt/2))/(nb_tq-1))+(phi_lt/2)*1.000000,NA()),NA())</f>
        <v/>
      </c>
      <c r="Z3">
        <f>IF(1&lt;nb_tq,(h_tq-(c_nom+phi_wt+phi_lt/2))+(phi_lt/2)*0.000000,NA())</f>
        <v/>
      </c>
      <c r="AB3">
        <f>IF(inputs_ok,IF(2&lt;nb_tq,((c_nom+phi_wt+phi_lt/2)+2*(b_tq-2*(c_nom+phi_wt+phi_lt/2))/(nb_tq-1))+(phi_lt/2)*1.000000,NA()),NA())</f>
        <v/>
      </c>
      <c r="AC3">
        <f>IF(2&lt;nb_tq,((c_nom+phi_wt+phi_lt/2))+(phi_lt/2)*0.000000,NA())</f>
        <v/>
      </c>
      <c r="AE3">
        <f>IF(inputs_ok,IF(2&lt;nb_tq,((c_nom+phi_wt+phi_lt/2)+2*(b_tq-2*(c_nom+phi_wt+phi_lt/2))/(nb_tq-1))+(phi_lt/2)*1.000000,NA()),NA())</f>
        <v/>
      </c>
      <c r="AF3">
        <f>IF(2&lt;nb_tq,(h_tq-(c_nom+phi_wt+phi_lt/2))+(phi_lt/2)*0.000000,NA())</f>
        <v/>
      </c>
      <c r="AH3">
        <f>IF(inputs_ok,IF(3&lt;nb_tq,((c_nom+phi_wt+phi_lt/2)+3*(b_tq-2*(c_nom+phi_wt+phi_lt/2))/(nb_tq-1))+(phi_lt/2)*1.000000,NA()),NA())</f>
        <v/>
      </c>
      <c r="AI3">
        <f>IF(3&lt;nb_tq,((c_nom+phi_wt+phi_lt/2))+(phi_lt/2)*0.000000,NA())</f>
        <v/>
      </c>
      <c r="AK3">
        <f>IF(inputs_ok,IF(3&lt;nb_tq,((c_nom+phi_wt+phi_lt/2)+3*(b_tq-2*(c_nom+phi_wt+phi_lt/2))/(nb_tq-1))+(phi_lt/2)*1.000000,NA()),NA())</f>
        <v/>
      </c>
      <c r="AL3">
        <f>IF(3&lt;nb_tq,(h_tq-(c_nom+phi_wt+phi_lt/2))+(phi_lt/2)*0.000000,NA())</f>
        <v/>
      </c>
      <c r="AN3">
        <f>IF(inputs_ok,IF(4&lt;nb_tq,((c_nom+phi_wt+phi_lt/2)+4*(b_tq-2*(c_nom+phi_wt+phi_lt/2))/(nb_tq-1))+(phi_lt/2)*1.000000,NA()),NA())</f>
        <v/>
      </c>
      <c r="AO3">
        <f>IF(4&lt;nb_tq,((c_nom+phi_wt+phi_lt/2))+(phi_lt/2)*0.000000,NA())</f>
        <v/>
      </c>
      <c r="AQ3">
        <f>IF(inputs_ok,IF(4&lt;nb_tq,((c_nom+phi_wt+phi_lt/2)+4*(b_tq-2*(c_nom+phi_wt+phi_lt/2))/(nb_tq-1))+(phi_lt/2)*1.000000,NA()),NA())</f>
        <v/>
      </c>
      <c r="AR3">
        <f>IF(4&lt;nb_tq,(h_tq-(c_nom+phi_wt+phi_lt/2))+(phi_lt/2)*0.000000,NA())</f>
        <v/>
      </c>
      <c r="AT3">
        <f>IF(inputs_ok,IF(5&lt;nb_tq,((c_nom+phi_wt+phi_lt/2)+5*(b_tq-2*(c_nom+phi_wt+phi_lt/2))/(nb_tq-1))+(phi_lt/2)*1.000000,NA()),NA())</f>
        <v/>
      </c>
      <c r="AU3">
        <f>IF(5&lt;nb_tq,((c_nom+phi_wt+phi_lt/2))+(phi_lt/2)*0.000000,NA())</f>
        <v/>
      </c>
      <c r="AW3">
        <f>IF(inputs_ok,IF(5&lt;nb_tq,((c_nom+phi_wt+phi_lt/2)+5*(b_tq-2*(c_nom+phi_wt+phi_lt/2))/(nb_tq-1))+(phi_lt/2)*1.000000,NA()),NA())</f>
        <v/>
      </c>
      <c r="AX3">
        <f>IF(5&lt;nb_tq,(h_tq-(c_nom+phi_wt+phi_lt/2))+(phi_lt/2)*0.000000,NA())</f>
        <v/>
      </c>
      <c r="AZ3">
        <f>IF(inputs_ok,IF(6&lt;nb_tq,((c_nom+phi_wt+phi_lt/2)+6*(b_tq-2*(c_nom+phi_wt+phi_lt/2))/(nb_tq-1))+(phi_lt/2)*1.000000,NA()),NA())</f>
        <v/>
      </c>
      <c r="BA3">
        <f>IF(6&lt;nb_tq,((c_nom+phi_wt+phi_lt/2))+(phi_lt/2)*0.000000,NA())</f>
        <v/>
      </c>
      <c r="BC3">
        <f>IF(inputs_ok,IF(6&lt;nb_tq,((c_nom+phi_wt+phi_lt/2)+6*(b_tq-2*(c_nom+phi_wt+phi_lt/2))/(nb_tq-1))+(phi_lt/2)*1.000000,NA()),NA())</f>
        <v/>
      </c>
      <c r="BD3">
        <f>IF(6&lt;nb_tq,(h_tq-(c_nom+phi_wt+phi_lt/2))+(phi_lt/2)*0.000000,NA())</f>
        <v/>
      </c>
      <c r="BF3">
        <f>IF(inputs_ok,IF(7&lt;nb_tq,((c_nom+phi_wt+phi_lt/2)+7*(b_tq-2*(c_nom+phi_wt+phi_lt/2))/(nb_tq-1))+(phi_lt/2)*1.000000,NA()),NA())</f>
        <v/>
      </c>
      <c r="BG3">
        <f>IF(7&lt;nb_tq,((c_nom+phi_wt+phi_lt/2))+(phi_lt/2)*0.000000,NA())</f>
        <v/>
      </c>
      <c r="BI3">
        <f>IF(inputs_ok,IF(7&lt;nb_tq,((c_nom+phi_wt+phi_lt/2)+7*(b_tq-2*(c_nom+phi_wt+phi_lt/2))/(nb_tq-1))+(phi_lt/2)*1.000000,NA()),NA())</f>
        <v/>
      </c>
      <c r="BJ3">
        <f>IF(7&lt;nb_tq,(h_tq-(c_nom+phi_wt+phi_lt/2))+(phi_lt/2)*0.000000,NA())</f>
        <v/>
      </c>
      <c r="BL3">
        <f>IF(inputs_ok,IF(1&lt;nh_tq-1,((c_nom+phi_wt+phi_lt/2))+(phi_lt/2)*1.000000,NA()),NA())</f>
        <v/>
      </c>
      <c r="BM3">
        <f>IF(1&lt;nh_tq-1,((c_nom+phi_wt+phi_lt/2)+1*(h_tq-2*(c_nom+phi_wt+phi_lt/2))/(nh_tq-1))+(phi_lt/2)*0.000000,NA())</f>
        <v/>
      </c>
      <c r="BO3">
        <f>IF(inputs_ok,IF(1&lt;nh_tq-1,(b_tq-(c_nom+phi_wt+phi_lt/2))+(phi_lt/2)*1.000000,NA()),NA())</f>
        <v/>
      </c>
      <c r="BP3">
        <f>IF(1&lt;nh_tq-1,((c_nom+phi_wt+phi_lt/2)+1*(h_tq-2*(c_nom+phi_wt+phi_lt/2))/(nh_tq-1))+(phi_lt/2)*0.000000,NA())</f>
        <v/>
      </c>
      <c r="BR3">
        <f>IF(inputs_ok,IF(2&lt;nh_tq-1,((c_nom+phi_wt+phi_lt/2))+(phi_lt/2)*1.000000,NA()),NA())</f>
        <v/>
      </c>
      <c r="BS3">
        <f>IF(2&lt;nh_tq-1,((c_nom+phi_wt+phi_lt/2)+2*(h_tq-2*(c_nom+phi_wt+phi_lt/2))/(nh_tq-1))+(phi_lt/2)*0.000000,NA())</f>
        <v/>
      </c>
      <c r="BU3">
        <f>IF(inputs_ok,IF(2&lt;nh_tq-1,(b_tq-(c_nom+phi_wt+phi_lt/2))+(phi_lt/2)*1.000000,NA()),NA())</f>
        <v/>
      </c>
      <c r="BV3">
        <f>IF(2&lt;nh_tq-1,((c_nom+phi_wt+phi_lt/2)+2*(h_tq-2*(c_nom+phi_wt+phi_lt/2))/(nh_tq-1))+(phi_lt/2)*0.000000,NA())</f>
        <v/>
      </c>
      <c r="BX3">
        <f>IF(inputs_ok,IF(3&lt;nh_tq-1,((c_nom+phi_wt+phi_lt/2))+(phi_lt/2)*1.000000,NA()),NA())</f>
        <v/>
      </c>
      <c r="BY3">
        <f>IF(3&lt;nh_tq-1,((c_nom+phi_wt+phi_lt/2)+3*(h_tq-2*(c_nom+phi_wt+phi_lt/2))/(nh_tq-1))+(phi_lt/2)*0.000000,NA())</f>
        <v/>
      </c>
      <c r="CA3">
        <f>IF(inputs_ok,IF(3&lt;nh_tq-1,(b_tq-(c_nom+phi_wt+phi_lt/2))+(phi_lt/2)*1.000000,NA()),NA())</f>
        <v/>
      </c>
      <c r="CB3">
        <f>IF(3&lt;nh_tq-1,((c_nom+phi_wt+phi_lt/2)+3*(h_tq-2*(c_nom+phi_wt+phi_lt/2))/(nh_tq-1))+(phi_lt/2)*0.000000,NA())</f>
        <v/>
      </c>
      <c r="CD3">
        <f>IF(inputs_ok,IF(4&lt;nh_tq-1,((c_nom+phi_wt+phi_lt/2))+(phi_lt/2)*1.000000,NA()),NA())</f>
        <v/>
      </c>
      <c r="CE3">
        <f>IF(4&lt;nh_tq-1,((c_nom+phi_wt+phi_lt/2)+4*(h_tq-2*(c_nom+phi_wt+phi_lt/2))/(nh_tq-1))+(phi_lt/2)*0.000000,NA())</f>
        <v/>
      </c>
      <c r="CG3">
        <f>IF(inputs_ok,IF(4&lt;nh_tq-1,(b_tq-(c_nom+phi_wt+phi_lt/2))+(phi_lt/2)*1.000000,NA()),NA())</f>
        <v/>
      </c>
      <c r="CH3">
        <f>IF(4&lt;nh_tq-1,((c_nom+phi_wt+phi_lt/2)+4*(h_tq-2*(c_nom+phi_wt+phi_lt/2))/(nh_tq-1))+(phi_lt/2)*0.000000,NA())</f>
        <v/>
      </c>
      <c r="CJ3">
        <f>IF(inputs_ok,IF(5&lt;nh_tq-1,((c_nom+phi_wt+phi_lt/2))+(phi_lt/2)*1.000000,NA()),NA())</f>
        <v/>
      </c>
      <c r="CK3">
        <f>IF(5&lt;nh_tq-1,((c_nom+phi_wt+phi_lt/2)+5*(h_tq-2*(c_nom+phi_wt+phi_lt/2))/(nh_tq-1))+(phi_lt/2)*0.000000,NA())</f>
        <v/>
      </c>
      <c r="CM3">
        <f>IF(inputs_ok,IF(5&lt;nh_tq-1,(b_tq-(c_nom+phi_wt+phi_lt/2))+(phi_lt/2)*1.000000,NA()),NA())</f>
        <v/>
      </c>
      <c r="CN3">
        <f>IF(5&lt;nh_tq-1,((c_nom+phi_wt+phi_lt/2)+5*(h_tq-2*(c_nom+phi_wt+phi_lt/2))/(nh_tq-1))+(phi_lt/2)*0.000000,NA())</f>
        <v/>
      </c>
      <c r="CP3">
        <f>IF(inputs_ok,IF(6&lt;nh_tq-1,((c_nom+phi_wt+phi_lt/2))+(phi_lt/2)*1.000000,NA()),NA())</f>
        <v/>
      </c>
      <c r="CQ3">
        <f>IF(6&lt;nh_tq-1,((c_nom+phi_wt+phi_lt/2)+6*(h_tq-2*(c_nom+phi_wt+phi_lt/2))/(nh_tq-1))+(phi_lt/2)*0.000000,NA())</f>
        <v/>
      </c>
      <c r="CS3">
        <f>IF(inputs_ok,IF(6&lt;nh_tq-1,(b_tq-(c_nom+phi_wt+phi_lt/2))+(phi_lt/2)*1.000000,NA()),NA())</f>
        <v/>
      </c>
      <c r="CT3">
        <f>IF(6&lt;nh_tq-1,((c_nom+phi_wt+phi_lt/2)+6*(h_tq-2*(c_nom+phi_wt+phi_lt/2))/(nh_tq-1))+(phi_lt/2)*0.000000,NA())</f>
        <v/>
      </c>
      <c r="CV3">
        <f>IF(inputs_ok,IF(TRUE,0,NA()),NA())</f>
        <v/>
      </c>
      <c r="CW3">
        <f>IF(TRUE,-0.12*h_tq,NA())</f>
        <v/>
      </c>
      <c r="CY3">
        <f>IF(inputs_ok,IF(TRUE,((0)+(b_tq))/2,NA()),NA())</f>
        <v/>
      </c>
      <c r="CZ3">
        <f>IF(TRUE,((-0.12*h_tq)+(-0.12*h_tq))/2,NA())</f>
        <v/>
      </c>
      <c r="DB3">
        <f>IF(inputs_ok,IF(TRUE,b_tq+0.1*b_tq,NA()),NA())</f>
        <v/>
      </c>
      <c r="DC3">
        <f>IF(TRUE,0,NA())</f>
        <v/>
      </c>
      <c r="DE3">
        <f>IF(inputs_ok,IF(TRUE,((b_tq+0.1*b_tq)+(b_tq+0.1*b_tq))/2,NA()),NA())</f>
        <v/>
      </c>
      <c r="DF3">
        <f>IF(TRUE,((0)+(h_tq))/2,NA())</f>
        <v/>
      </c>
      <c r="DH3">
        <f>IF(inputs_ok,b_tq/2,NA())</f>
        <v/>
      </c>
      <c r="DI3">
        <f>h_tq+0.04*h_tq</f>
        <v/>
      </c>
      <c r="DK3">
        <f>IF(inputs_ok,b_tq/2,NA())</f>
        <v/>
      </c>
      <c r="DL3">
        <f>-0.24*h_tq</f>
        <v/>
      </c>
      <c r="DN3">
        <f>IF(inputs_ok,b_tq/2,NA())</f>
        <v/>
      </c>
      <c r="DO3">
        <f>-0.36*h_tq</f>
        <v/>
      </c>
      <c r="DQ3">
        <f>((b_tq/2-0.9*MAX(b_tq,h_tq))+(b_tq/2+0.9*MAX(b_tq,h_tq)))/2-MAX((1.2*h_tq)-(-0.5*h_tq),((b_tq/2+0.9*MAX(b_tq,h_tq))-(b_tq/2-0.9*MAX(b_tq,h_tq)))/1.55)*0.53*1.55</f>
        <v/>
      </c>
      <c r="DR3">
        <f>((-0.5*h_tq)+(1.2*h_tq))/2-MAX((1.2*h_tq)-(-0.5*h_tq),((b_tq/2+0.9*MAX(b_tq,h_tq))-(b_tq/2-0.9*MAX(b_tq,h_tq)))/1.55)*0.53</f>
        <v/>
      </c>
    </row>
    <row r="4">
      <c r="D4">
        <f>IF(inputs_ok,b_tq,NA())</f>
        <v/>
      </c>
      <c r="E4">
        <f>0</f>
        <v/>
      </c>
      <c r="G4">
        <f>IF(inputs_ok,b_tq-(c_nom+phi_wt/2),NA())</f>
        <v/>
      </c>
      <c r="H4">
        <f>(c_nom+phi_wt/2)</f>
        <v/>
      </c>
      <c r="J4">
        <f>IF(inputs_ok,b_tq-t_ef/2,NA())</f>
        <v/>
      </c>
      <c r="K4">
        <f>t_ef/2</f>
        <v/>
      </c>
      <c r="M4">
        <f>IF(inputs_ok,b_tq-t_ef,NA())</f>
        <v/>
      </c>
      <c r="N4">
        <f>t_ef</f>
        <v/>
      </c>
      <c r="P4">
        <f>IF(inputs_ok,IF(0&lt;nb_tq,((c_nom+phi_wt+phi_lt/2)+0*(b_tq-2*(c_nom+phi_wt+phi_lt/2))/(nb_tq-1))+(phi_lt/2)*0.809017,NA()),NA())</f>
        <v/>
      </c>
      <c r="Q4">
        <f>IF(0&lt;nb_tq,((c_nom+phi_wt+phi_lt/2))+(phi_lt/2)*0.587785,NA())</f>
        <v/>
      </c>
      <c r="S4">
        <f>IF(inputs_ok,IF(0&lt;nb_tq,((c_nom+phi_wt+phi_lt/2)+0*(b_tq-2*(c_nom+phi_wt+phi_lt/2))/(nb_tq-1))+(phi_lt/2)*0.809017,NA()),NA())</f>
        <v/>
      </c>
      <c r="T4">
        <f>IF(0&lt;nb_tq,(h_tq-(c_nom+phi_wt+phi_lt/2))+(phi_lt/2)*0.587785,NA())</f>
        <v/>
      </c>
      <c r="V4">
        <f>IF(inputs_ok,IF(1&lt;nb_tq,((c_nom+phi_wt+phi_lt/2)+1*(b_tq-2*(c_nom+phi_wt+phi_lt/2))/(nb_tq-1))+(phi_lt/2)*0.809017,NA()),NA())</f>
        <v/>
      </c>
      <c r="W4">
        <f>IF(1&lt;nb_tq,((c_nom+phi_wt+phi_lt/2))+(phi_lt/2)*0.587785,NA())</f>
        <v/>
      </c>
      <c r="Y4">
        <f>IF(inputs_ok,IF(1&lt;nb_tq,((c_nom+phi_wt+phi_lt/2)+1*(b_tq-2*(c_nom+phi_wt+phi_lt/2))/(nb_tq-1))+(phi_lt/2)*0.809017,NA()),NA())</f>
        <v/>
      </c>
      <c r="Z4">
        <f>IF(1&lt;nb_tq,(h_tq-(c_nom+phi_wt+phi_lt/2))+(phi_lt/2)*0.587785,NA())</f>
        <v/>
      </c>
      <c r="AB4">
        <f>IF(inputs_ok,IF(2&lt;nb_tq,((c_nom+phi_wt+phi_lt/2)+2*(b_tq-2*(c_nom+phi_wt+phi_lt/2))/(nb_tq-1))+(phi_lt/2)*0.809017,NA()),NA())</f>
        <v/>
      </c>
      <c r="AC4">
        <f>IF(2&lt;nb_tq,((c_nom+phi_wt+phi_lt/2))+(phi_lt/2)*0.587785,NA())</f>
        <v/>
      </c>
      <c r="AE4">
        <f>IF(inputs_ok,IF(2&lt;nb_tq,((c_nom+phi_wt+phi_lt/2)+2*(b_tq-2*(c_nom+phi_wt+phi_lt/2))/(nb_tq-1))+(phi_lt/2)*0.809017,NA()),NA())</f>
        <v/>
      </c>
      <c r="AF4">
        <f>IF(2&lt;nb_tq,(h_tq-(c_nom+phi_wt+phi_lt/2))+(phi_lt/2)*0.587785,NA())</f>
        <v/>
      </c>
      <c r="AH4">
        <f>IF(inputs_ok,IF(3&lt;nb_tq,((c_nom+phi_wt+phi_lt/2)+3*(b_tq-2*(c_nom+phi_wt+phi_lt/2))/(nb_tq-1))+(phi_lt/2)*0.809017,NA()),NA())</f>
        <v/>
      </c>
      <c r="AI4">
        <f>IF(3&lt;nb_tq,((c_nom+phi_wt+phi_lt/2))+(phi_lt/2)*0.587785,NA())</f>
        <v/>
      </c>
      <c r="AK4">
        <f>IF(inputs_ok,IF(3&lt;nb_tq,((c_nom+phi_wt+phi_lt/2)+3*(b_tq-2*(c_nom+phi_wt+phi_lt/2))/(nb_tq-1))+(phi_lt/2)*0.809017,NA()),NA())</f>
        <v/>
      </c>
      <c r="AL4">
        <f>IF(3&lt;nb_tq,(h_tq-(c_nom+phi_wt+phi_lt/2))+(phi_lt/2)*0.587785,NA())</f>
        <v/>
      </c>
      <c r="AN4">
        <f>IF(inputs_ok,IF(4&lt;nb_tq,((c_nom+phi_wt+phi_lt/2)+4*(b_tq-2*(c_nom+phi_wt+phi_lt/2))/(nb_tq-1))+(phi_lt/2)*0.809017,NA()),NA())</f>
        <v/>
      </c>
      <c r="AO4">
        <f>IF(4&lt;nb_tq,((c_nom+phi_wt+phi_lt/2))+(phi_lt/2)*0.587785,NA())</f>
        <v/>
      </c>
      <c r="AQ4">
        <f>IF(inputs_ok,IF(4&lt;nb_tq,((c_nom+phi_wt+phi_lt/2)+4*(b_tq-2*(c_nom+phi_wt+phi_lt/2))/(nb_tq-1))+(phi_lt/2)*0.809017,NA()),NA())</f>
        <v/>
      </c>
      <c r="AR4">
        <f>IF(4&lt;nb_tq,(h_tq-(c_nom+phi_wt+phi_lt/2))+(phi_lt/2)*0.587785,NA())</f>
        <v/>
      </c>
      <c r="AT4">
        <f>IF(inputs_ok,IF(5&lt;nb_tq,((c_nom+phi_wt+phi_lt/2)+5*(b_tq-2*(c_nom+phi_wt+phi_lt/2))/(nb_tq-1))+(phi_lt/2)*0.809017,NA()),NA())</f>
        <v/>
      </c>
      <c r="AU4">
        <f>IF(5&lt;nb_tq,((c_nom+phi_wt+phi_lt/2))+(phi_lt/2)*0.587785,NA())</f>
        <v/>
      </c>
      <c r="AW4">
        <f>IF(inputs_ok,IF(5&lt;nb_tq,((c_nom+phi_wt+phi_lt/2)+5*(b_tq-2*(c_nom+phi_wt+phi_lt/2))/(nb_tq-1))+(phi_lt/2)*0.809017,NA()),NA())</f>
        <v/>
      </c>
      <c r="AX4">
        <f>IF(5&lt;nb_tq,(h_tq-(c_nom+phi_wt+phi_lt/2))+(phi_lt/2)*0.587785,NA())</f>
        <v/>
      </c>
      <c r="AZ4">
        <f>IF(inputs_ok,IF(6&lt;nb_tq,((c_nom+phi_wt+phi_lt/2)+6*(b_tq-2*(c_nom+phi_wt+phi_lt/2))/(nb_tq-1))+(phi_lt/2)*0.809017,NA()),NA())</f>
        <v/>
      </c>
      <c r="BA4">
        <f>IF(6&lt;nb_tq,((c_nom+phi_wt+phi_lt/2))+(phi_lt/2)*0.587785,NA())</f>
        <v/>
      </c>
      <c r="BC4">
        <f>IF(inputs_ok,IF(6&lt;nb_tq,((c_nom+phi_wt+phi_lt/2)+6*(b_tq-2*(c_nom+phi_wt+phi_lt/2))/(nb_tq-1))+(phi_lt/2)*0.809017,NA()),NA())</f>
        <v/>
      </c>
      <c r="BD4">
        <f>IF(6&lt;nb_tq,(h_tq-(c_nom+phi_wt+phi_lt/2))+(phi_lt/2)*0.587785,NA())</f>
        <v/>
      </c>
      <c r="BF4">
        <f>IF(inputs_ok,IF(7&lt;nb_tq,((c_nom+phi_wt+phi_lt/2)+7*(b_tq-2*(c_nom+phi_wt+phi_lt/2))/(nb_tq-1))+(phi_lt/2)*0.809017,NA()),NA())</f>
        <v/>
      </c>
      <c r="BG4">
        <f>IF(7&lt;nb_tq,((c_nom+phi_wt+phi_lt/2))+(phi_lt/2)*0.587785,NA())</f>
        <v/>
      </c>
      <c r="BI4">
        <f>IF(inputs_ok,IF(7&lt;nb_tq,((c_nom+phi_wt+phi_lt/2)+7*(b_tq-2*(c_nom+phi_wt+phi_lt/2))/(nb_tq-1))+(phi_lt/2)*0.809017,NA()),NA())</f>
        <v/>
      </c>
      <c r="BJ4">
        <f>IF(7&lt;nb_tq,(h_tq-(c_nom+phi_wt+phi_lt/2))+(phi_lt/2)*0.587785,NA())</f>
        <v/>
      </c>
      <c r="BL4">
        <f>IF(inputs_ok,IF(1&lt;nh_tq-1,((c_nom+phi_wt+phi_lt/2))+(phi_lt/2)*0.809017,NA()),NA())</f>
        <v/>
      </c>
      <c r="BM4">
        <f>IF(1&lt;nh_tq-1,((c_nom+phi_wt+phi_lt/2)+1*(h_tq-2*(c_nom+phi_wt+phi_lt/2))/(nh_tq-1))+(phi_lt/2)*0.587785,NA())</f>
        <v/>
      </c>
      <c r="BO4">
        <f>IF(inputs_ok,IF(1&lt;nh_tq-1,(b_tq-(c_nom+phi_wt+phi_lt/2))+(phi_lt/2)*0.809017,NA()),NA())</f>
        <v/>
      </c>
      <c r="BP4">
        <f>IF(1&lt;nh_tq-1,((c_nom+phi_wt+phi_lt/2)+1*(h_tq-2*(c_nom+phi_wt+phi_lt/2))/(nh_tq-1))+(phi_lt/2)*0.587785,NA())</f>
        <v/>
      </c>
      <c r="BR4">
        <f>IF(inputs_ok,IF(2&lt;nh_tq-1,((c_nom+phi_wt+phi_lt/2))+(phi_lt/2)*0.809017,NA()),NA())</f>
        <v/>
      </c>
      <c r="BS4">
        <f>IF(2&lt;nh_tq-1,((c_nom+phi_wt+phi_lt/2)+2*(h_tq-2*(c_nom+phi_wt+phi_lt/2))/(nh_tq-1))+(phi_lt/2)*0.587785,NA())</f>
        <v/>
      </c>
      <c r="BU4">
        <f>IF(inputs_ok,IF(2&lt;nh_tq-1,(b_tq-(c_nom+phi_wt+phi_lt/2))+(phi_lt/2)*0.809017,NA()),NA())</f>
        <v/>
      </c>
      <c r="BV4">
        <f>IF(2&lt;nh_tq-1,((c_nom+phi_wt+phi_lt/2)+2*(h_tq-2*(c_nom+phi_wt+phi_lt/2))/(nh_tq-1))+(phi_lt/2)*0.587785,NA())</f>
        <v/>
      </c>
      <c r="BX4">
        <f>IF(inputs_ok,IF(3&lt;nh_tq-1,((c_nom+phi_wt+phi_lt/2))+(phi_lt/2)*0.809017,NA()),NA())</f>
        <v/>
      </c>
      <c r="BY4">
        <f>IF(3&lt;nh_tq-1,((c_nom+phi_wt+phi_lt/2)+3*(h_tq-2*(c_nom+phi_wt+phi_lt/2))/(nh_tq-1))+(phi_lt/2)*0.587785,NA())</f>
        <v/>
      </c>
      <c r="CA4">
        <f>IF(inputs_ok,IF(3&lt;nh_tq-1,(b_tq-(c_nom+phi_wt+phi_lt/2))+(phi_lt/2)*0.809017,NA()),NA())</f>
        <v/>
      </c>
      <c r="CB4">
        <f>IF(3&lt;nh_tq-1,((c_nom+phi_wt+phi_lt/2)+3*(h_tq-2*(c_nom+phi_wt+phi_lt/2))/(nh_tq-1))+(phi_lt/2)*0.587785,NA())</f>
        <v/>
      </c>
      <c r="CD4">
        <f>IF(inputs_ok,IF(4&lt;nh_tq-1,((c_nom+phi_wt+phi_lt/2))+(phi_lt/2)*0.809017,NA()),NA())</f>
        <v/>
      </c>
      <c r="CE4">
        <f>IF(4&lt;nh_tq-1,((c_nom+phi_wt+phi_lt/2)+4*(h_tq-2*(c_nom+phi_wt+phi_lt/2))/(nh_tq-1))+(phi_lt/2)*0.587785,NA())</f>
        <v/>
      </c>
      <c r="CG4">
        <f>IF(inputs_ok,IF(4&lt;nh_tq-1,(b_tq-(c_nom+phi_wt+phi_lt/2))+(phi_lt/2)*0.809017,NA()),NA())</f>
        <v/>
      </c>
      <c r="CH4">
        <f>IF(4&lt;nh_tq-1,((c_nom+phi_wt+phi_lt/2)+4*(h_tq-2*(c_nom+phi_wt+phi_lt/2))/(nh_tq-1))+(phi_lt/2)*0.587785,NA())</f>
        <v/>
      </c>
      <c r="CJ4">
        <f>IF(inputs_ok,IF(5&lt;nh_tq-1,((c_nom+phi_wt+phi_lt/2))+(phi_lt/2)*0.809017,NA()),NA())</f>
        <v/>
      </c>
      <c r="CK4">
        <f>IF(5&lt;nh_tq-1,((c_nom+phi_wt+phi_lt/2)+5*(h_tq-2*(c_nom+phi_wt+phi_lt/2))/(nh_tq-1))+(phi_lt/2)*0.587785,NA())</f>
        <v/>
      </c>
      <c r="CM4">
        <f>IF(inputs_ok,IF(5&lt;nh_tq-1,(b_tq-(c_nom+phi_wt+phi_lt/2))+(phi_lt/2)*0.809017,NA()),NA())</f>
        <v/>
      </c>
      <c r="CN4">
        <f>IF(5&lt;nh_tq-1,((c_nom+phi_wt+phi_lt/2)+5*(h_tq-2*(c_nom+phi_wt+phi_lt/2))/(nh_tq-1))+(phi_lt/2)*0.587785,NA())</f>
        <v/>
      </c>
      <c r="CP4">
        <f>IF(inputs_ok,IF(6&lt;nh_tq-1,((c_nom+phi_wt+phi_lt/2))+(phi_lt/2)*0.809017,NA()),NA())</f>
        <v/>
      </c>
      <c r="CQ4">
        <f>IF(6&lt;nh_tq-1,((c_nom+phi_wt+phi_lt/2)+6*(h_tq-2*(c_nom+phi_wt+phi_lt/2))/(nh_tq-1))+(phi_lt/2)*0.587785,NA())</f>
        <v/>
      </c>
      <c r="CS4">
        <f>IF(inputs_ok,IF(6&lt;nh_tq-1,(b_tq-(c_nom+phi_wt+phi_lt/2))+(phi_lt/2)*0.809017,NA()),NA())</f>
        <v/>
      </c>
      <c r="CT4">
        <f>IF(6&lt;nh_tq-1,((c_nom+phi_wt+phi_lt/2)+6*(h_tq-2*(c_nom+phi_wt+phi_lt/2))/(nh_tq-1))+(phi_lt/2)*0.587785,NA())</f>
        <v/>
      </c>
      <c r="CV4">
        <f>IF(inputs_ok,IF(TRUE,b_tq,NA()),NA())</f>
        <v/>
      </c>
      <c r="CW4">
        <f>IF(TRUE,-0.12*h_tq,NA())</f>
        <v/>
      </c>
      <c r="DB4">
        <f>IF(inputs_ok,IF(TRUE,b_tq+0.1*b_tq,NA()),NA())</f>
        <v/>
      </c>
      <c r="DC4">
        <f>IF(TRUE,h_tq,NA())</f>
        <v/>
      </c>
      <c r="DQ4">
        <f>((b_tq/2-0.9*MAX(b_tq,h_tq))+(b_tq/2+0.9*MAX(b_tq,h_tq)))/2+MAX((1.2*h_tq)-(-0.5*h_tq),((b_tq/2+0.9*MAX(b_tq,h_tq))-(b_tq/2-0.9*MAX(b_tq,h_tq)))/1.55)*0.53*1.55</f>
        <v/>
      </c>
      <c r="DR4">
        <f>((-0.5*h_tq)+(1.2*h_tq))/2+MAX((1.2*h_tq)-(-0.5*h_tq),((b_tq/2+0.9*MAX(b_tq,h_tq))-(b_tq/2-0.9*MAX(b_tq,h_tq)))/1.55)*0.53</f>
        <v/>
      </c>
    </row>
    <row r="5">
      <c r="D5">
        <f>IF(inputs_ok,b_tq,NA())</f>
        <v/>
      </c>
      <c r="E5">
        <f>h_tq</f>
        <v/>
      </c>
      <c r="G5">
        <f>IF(inputs_ok,b_tq-(c_nom+phi_wt/2),NA())</f>
        <v/>
      </c>
      <c r="H5">
        <f>h_tq-(c_nom+phi_wt/2)</f>
        <v/>
      </c>
      <c r="J5">
        <f>IF(inputs_ok,b_tq-t_ef/2,NA())</f>
        <v/>
      </c>
      <c r="K5">
        <f>h_tq-t_ef/2</f>
        <v/>
      </c>
      <c r="M5">
        <f>IF(inputs_ok,b_tq-t_ef,NA())</f>
        <v/>
      </c>
      <c r="N5">
        <f>h_tq-t_ef</f>
        <v/>
      </c>
      <c r="P5">
        <f>IF(inputs_ok,IF(0&lt;nb_tq,((c_nom+phi_wt+phi_lt/2)+0*(b_tq-2*(c_nom+phi_wt+phi_lt/2))/(nb_tq-1))+(phi_lt/2)*0.309017,NA()),NA())</f>
        <v/>
      </c>
      <c r="Q5">
        <f>IF(0&lt;nb_tq,((c_nom+phi_wt+phi_lt/2))+(phi_lt/2)*0.951057,NA())</f>
        <v/>
      </c>
      <c r="S5">
        <f>IF(inputs_ok,IF(0&lt;nb_tq,((c_nom+phi_wt+phi_lt/2)+0*(b_tq-2*(c_nom+phi_wt+phi_lt/2))/(nb_tq-1))+(phi_lt/2)*0.309017,NA()),NA())</f>
        <v/>
      </c>
      <c r="T5">
        <f>IF(0&lt;nb_tq,(h_tq-(c_nom+phi_wt+phi_lt/2))+(phi_lt/2)*0.951057,NA())</f>
        <v/>
      </c>
      <c r="V5">
        <f>IF(inputs_ok,IF(1&lt;nb_tq,((c_nom+phi_wt+phi_lt/2)+1*(b_tq-2*(c_nom+phi_wt+phi_lt/2))/(nb_tq-1))+(phi_lt/2)*0.309017,NA()),NA())</f>
        <v/>
      </c>
      <c r="W5">
        <f>IF(1&lt;nb_tq,((c_nom+phi_wt+phi_lt/2))+(phi_lt/2)*0.951057,NA())</f>
        <v/>
      </c>
      <c r="Y5">
        <f>IF(inputs_ok,IF(1&lt;nb_tq,((c_nom+phi_wt+phi_lt/2)+1*(b_tq-2*(c_nom+phi_wt+phi_lt/2))/(nb_tq-1))+(phi_lt/2)*0.309017,NA()),NA())</f>
        <v/>
      </c>
      <c r="Z5">
        <f>IF(1&lt;nb_tq,(h_tq-(c_nom+phi_wt+phi_lt/2))+(phi_lt/2)*0.951057,NA())</f>
        <v/>
      </c>
      <c r="AB5">
        <f>IF(inputs_ok,IF(2&lt;nb_tq,((c_nom+phi_wt+phi_lt/2)+2*(b_tq-2*(c_nom+phi_wt+phi_lt/2))/(nb_tq-1))+(phi_lt/2)*0.309017,NA()),NA())</f>
        <v/>
      </c>
      <c r="AC5">
        <f>IF(2&lt;nb_tq,((c_nom+phi_wt+phi_lt/2))+(phi_lt/2)*0.951057,NA())</f>
        <v/>
      </c>
      <c r="AE5">
        <f>IF(inputs_ok,IF(2&lt;nb_tq,((c_nom+phi_wt+phi_lt/2)+2*(b_tq-2*(c_nom+phi_wt+phi_lt/2))/(nb_tq-1))+(phi_lt/2)*0.309017,NA()),NA())</f>
        <v/>
      </c>
      <c r="AF5">
        <f>IF(2&lt;nb_tq,(h_tq-(c_nom+phi_wt+phi_lt/2))+(phi_lt/2)*0.951057,NA())</f>
        <v/>
      </c>
      <c r="AH5">
        <f>IF(inputs_ok,IF(3&lt;nb_tq,((c_nom+phi_wt+phi_lt/2)+3*(b_tq-2*(c_nom+phi_wt+phi_lt/2))/(nb_tq-1))+(phi_lt/2)*0.309017,NA()),NA())</f>
        <v/>
      </c>
      <c r="AI5">
        <f>IF(3&lt;nb_tq,((c_nom+phi_wt+phi_lt/2))+(phi_lt/2)*0.951057,NA())</f>
        <v/>
      </c>
      <c r="AK5">
        <f>IF(inputs_ok,IF(3&lt;nb_tq,((c_nom+phi_wt+phi_lt/2)+3*(b_tq-2*(c_nom+phi_wt+phi_lt/2))/(nb_tq-1))+(phi_lt/2)*0.309017,NA()),NA())</f>
        <v/>
      </c>
      <c r="AL5">
        <f>IF(3&lt;nb_tq,(h_tq-(c_nom+phi_wt+phi_lt/2))+(phi_lt/2)*0.951057,NA())</f>
        <v/>
      </c>
      <c r="AN5">
        <f>IF(inputs_ok,IF(4&lt;nb_tq,((c_nom+phi_wt+phi_lt/2)+4*(b_tq-2*(c_nom+phi_wt+phi_lt/2))/(nb_tq-1))+(phi_lt/2)*0.309017,NA()),NA())</f>
        <v/>
      </c>
      <c r="AO5">
        <f>IF(4&lt;nb_tq,((c_nom+phi_wt+phi_lt/2))+(phi_lt/2)*0.951057,NA())</f>
        <v/>
      </c>
      <c r="AQ5">
        <f>IF(inputs_ok,IF(4&lt;nb_tq,((c_nom+phi_wt+phi_lt/2)+4*(b_tq-2*(c_nom+phi_wt+phi_lt/2))/(nb_tq-1))+(phi_lt/2)*0.309017,NA()),NA())</f>
        <v/>
      </c>
      <c r="AR5">
        <f>IF(4&lt;nb_tq,(h_tq-(c_nom+phi_wt+phi_lt/2))+(phi_lt/2)*0.951057,NA())</f>
        <v/>
      </c>
      <c r="AT5">
        <f>IF(inputs_ok,IF(5&lt;nb_tq,((c_nom+phi_wt+phi_lt/2)+5*(b_tq-2*(c_nom+phi_wt+phi_lt/2))/(nb_tq-1))+(phi_lt/2)*0.309017,NA()),NA())</f>
        <v/>
      </c>
      <c r="AU5">
        <f>IF(5&lt;nb_tq,((c_nom+phi_wt+phi_lt/2))+(phi_lt/2)*0.951057,NA())</f>
        <v/>
      </c>
      <c r="AW5">
        <f>IF(inputs_ok,IF(5&lt;nb_tq,((c_nom+phi_wt+phi_lt/2)+5*(b_tq-2*(c_nom+phi_wt+phi_lt/2))/(nb_tq-1))+(phi_lt/2)*0.309017,NA()),NA())</f>
        <v/>
      </c>
      <c r="AX5">
        <f>IF(5&lt;nb_tq,(h_tq-(c_nom+phi_wt+phi_lt/2))+(phi_lt/2)*0.951057,NA())</f>
        <v/>
      </c>
      <c r="AZ5">
        <f>IF(inputs_ok,IF(6&lt;nb_tq,((c_nom+phi_wt+phi_lt/2)+6*(b_tq-2*(c_nom+phi_wt+phi_lt/2))/(nb_tq-1))+(phi_lt/2)*0.309017,NA()),NA())</f>
        <v/>
      </c>
      <c r="BA5">
        <f>IF(6&lt;nb_tq,((c_nom+phi_wt+phi_lt/2))+(phi_lt/2)*0.951057,NA())</f>
        <v/>
      </c>
      <c r="BC5">
        <f>IF(inputs_ok,IF(6&lt;nb_tq,((c_nom+phi_wt+phi_lt/2)+6*(b_tq-2*(c_nom+phi_wt+phi_lt/2))/(nb_tq-1))+(phi_lt/2)*0.309017,NA()),NA())</f>
        <v/>
      </c>
      <c r="BD5">
        <f>IF(6&lt;nb_tq,(h_tq-(c_nom+phi_wt+phi_lt/2))+(phi_lt/2)*0.951057,NA())</f>
        <v/>
      </c>
      <c r="BF5">
        <f>IF(inputs_ok,IF(7&lt;nb_tq,((c_nom+phi_wt+phi_lt/2)+7*(b_tq-2*(c_nom+phi_wt+phi_lt/2))/(nb_tq-1))+(phi_lt/2)*0.309017,NA()),NA())</f>
        <v/>
      </c>
      <c r="BG5">
        <f>IF(7&lt;nb_tq,((c_nom+phi_wt+phi_lt/2))+(phi_lt/2)*0.951057,NA())</f>
        <v/>
      </c>
      <c r="BI5">
        <f>IF(inputs_ok,IF(7&lt;nb_tq,((c_nom+phi_wt+phi_lt/2)+7*(b_tq-2*(c_nom+phi_wt+phi_lt/2))/(nb_tq-1))+(phi_lt/2)*0.309017,NA()),NA())</f>
        <v/>
      </c>
      <c r="BJ5">
        <f>IF(7&lt;nb_tq,(h_tq-(c_nom+phi_wt+phi_lt/2))+(phi_lt/2)*0.951057,NA())</f>
        <v/>
      </c>
      <c r="BL5">
        <f>IF(inputs_ok,IF(1&lt;nh_tq-1,((c_nom+phi_wt+phi_lt/2))+(phi_lt/2)*0.309017,NA()),NA())</f>
        <v/>
      </c>
      <c r="BM5">
        <f>IF(1&lt;nh_tq-1,((c_nom+phi_wt+phi_lt/2)+1*(h_tq-2*(c_nom+phi_wt+phi_lt/2))/(nh_tq-1))+(phi_lt/2)*0.951057,NA())</f>
        <v/>
      </c>
      <c r="BO5">
        <f>IF(inputs_ok,IF(1&lt;nh_tq-1,(b_tq-(c_nom+phi_wt+phi_lt/2))+(phi_lt/2)*0.309017,NA()),NA())</f>
        <v/>
      </c>
      <c r="BP5">
        <f>IF(1&lt;nh_tq-1,((c_nom+phi_wt+phi_lt/2)+1*(h_tq-2*(c_nom+phi_wt+phi_lt/2))/(nh_tq-1))+(phi_lt/2)*0.951057,NA())</f>
        <v/>
      </c>
      <c r="BR5">
        <f>IF(inputs_ok,IF(2&lt;nh_tq-1,((c_nom+phi_wt+phi_lt/2))+(phi_lt/2)*0.309017,NA()),NA())</f>
        <v/>
      </c>
      <c r="BS5">
        <f>IF(2&lt;nh_tq-1,((c_nom+phi_wt+phi_lt/2)+2*(h_tq-2*(c_nom+phi_wt+phi_lt/2))/(nh_tq-1))+(phi_lt/2)*0.951057,NA())</f>
        <v/>
      </c>
      <c r="BU5">
        <f>IF(inputs_ok,IF(2&lt;nh_tq-1,(b_tq-(c_nom+phi_wt+phi_lt/2))+(phi_lt/2)*0.309017,NA()),NA())</f>
        <v/>
      </c>
      <c r="BV5">
        <f>IF(2&lt;nh_tq-1,((c_nom+phi_wt+phi_lt/2)+2*(h_tq-2*(c_nom+phi_wt+phi_lt/2))/(nh_tq-1))+(phi_lt/2)*0.951057,NA())</f>
        <v/>
      </c>
      <c r="BX5">
        <f>IF(inputs_ok,IF(3&lt;nh_tq-1,((c_nom+phi_wt+phi_lt/2))+(phi_lt/2)*0.309017,NA()),NA())</f>
        <v/>
      </c>
      <c r="BY5">
        <f>IF(3&lt;nh_tq-1,((c_nom+phi_wt+phi_lt/2)+3*(h_tq-2*(c_nom+phi_wt+phi_lt/2))/(nh_tq-1))+(phi_lt/2)*0.951057,NA())</f>
        <v/>
      </c>
      <c r="CA5">
        <f>IF(inputs_ok,IF(3&lt;nh_tq-1,(b_tq-(c_nom+phi_wt+phi_lt/2))+(phi_lt/2)*0.309017,NA()),NA())</f>
        <v/>
      </c>
      <c r="CB5">
        <f>IF(3&lt;nh_tq-1,((c_nom+phi_wt+phi_lt/2)+3*(h_tq-2*(c_nom+phi_wt+phi_lt/2))/(nh_tq-1))+(phi_lt/2)*0.951057,NA())</f>
        <v/>
      </c>
      <c r="CD5">
        <f>IF(inputs_ok,IF(4&lt;nh_tq-1,((c_nom+phi_wt+phi_lt/2))+(phi_lt/2)*0.309017,NA()),NA())</f>
        <v/>
      </c>
      <c r="CE5">
        <f>IF(4&lt;nh_tq-1,((c_nom+phi_wt+phi_lt/2)+4*(h_tq-2*(c_nom+phi_wt+phi_lt/2))/(nh_tq-1))+(phi_lt/2)*0.951057,NA())</f>
        <v/>
      </c>
      <c r="CG5">
        <f>IF(inputs_ok,IF(4&lt;nh_tq-1,(b_tq-(c_nom+phi_wt+phi_lt/2))+(phi_lt/2)*0.309017,NA()),NA())</f>
        <v/>
      </c>
      <c r="CH5">
        <f>IF(4&lt;nh_tq-1,((c_nom+phi_wt+phi_lt/2)+4*(h_tq-2*(c_nom+phi_wt+phi_lt/2))/(nh_tq-1))+(phi_lt/2)*0.951057,NA())</f>
        <v/>
      </c>
      <c r="CJ5">
        <f>IF(inputs_ok,IF(5&lt;nh_tq-1,((c_nom+phi_wt+phi_lt/2))+(phi_lt/2)*0.309017,NA()),NA())</f>
        <v/>
      </c>
      <c r="CK5">
        <f>IF(5&lt;nh_tq-1,((c_nom+phi_wt+phi_lt/2)+5*(h_tq-2*(c_nom+phi_wt+phi_lt/2))/(nh_tq-1))+(phi_lt/2)*0.951057,NA())</f>
        <v/>
      </c>
      <c r="CM5">
        <f>IF(inputs_ok,IF(5&lt;nh_tq-1,(b_tq-(c_nom+phi_wt+phi_lt/2))+(phi_lt/2)*0.309017,NA()),NA())</f>
        <v/>
      </c>
      <c r="CN5">
        <f>IF(5&lt;nh_tq-1,((c_nom+phi_wt+phi_lt/2)+5*(h_tq-2*(c_nom+phi_wt+phi_lt/2))/(nh_tq-1))+(phi_lt/2)*0.951057,NA())</f>
        <v/>
      </c>
      <c r="CP5">
        <f>IF(inputs_ok,IF(6&lt;nh_tq-1,((c_nom+phi_wt+phi_lt/2))+(phi_lt/2)*0.309017,NA()),NA())</f>
        <v/>
      </c>
      <c r="CQ5">
        <f>IF(6&lt;nh_tq-1,((c_nom+phi_wt+phi_lt/2)+6*(h_tq-2*(c_nom+phi_wt+phi_lt/2))/(nh_tq-1))+(phi_lt/2)*0.951057,NA())</f>
        <v/>
      </c>
      <c r="CS5">
        <f>IF(inputs_ok,IF(6&lt;nh_tq-1,(b_tq-(c_nom+phi_wt+phi_lt/2))+(phi_lt/2)*0.309017,NA()),NA())</f>
        <v/>
      </c>
      <c r="CT5">
        <f>IF(6&lt;nh_tq-1,((c_nom+phi_wt+phi_lt/2)+6*(h_tq-2*(c_nom+phi_wt+phi_lt/2))/(nh_tq-1))+(phi_lt/2)*0.951057,NA())</f>
        <v/>
      </c>
    </row>
    <row r="6">
      <c r="D6">
        <f>IF(inputs_ok,0,NA())</f>
        <v/>
      </c>
      <c r="E6">
        <f>h_tq</f>
        <v/>
      </c>
      <c r="G6">
        <f>IF(inputs_ok,(c_nom+phi_wt/2),NA())</f>
        <v/>
      </c>
      <c r="H6">
        <f>h_tq-(c_nom+phi_wt/2)</f>
        <v/>
      </c>
      <c r="J6">
        <f>IF(inputs_ok,t_ef/2,NA())</f>
        <v/>
      </c>
      <c r="K6">
        <f>h_tq-t_ef/2</f>
        <v/>
      </c>
      <c r="M6">
        <f>IF(inputs_ok,t_ef,NA())</f>
        <v/>
      </c>
      <c r="N6">
        <f>h_tq-t_ef</f>
        <v/>
      </c>
      <c r="P6">
        <f>IF(inputs_ok,IF(0&lt;nb_tq,((c_nom+phi_wt+phi_lt/2)+0*(b_tq-2*(c_nom+phi_wt+phi_lt/2))/(nb_tq-1))+(phi_lt/2)*-0.309017,NA()),NA())</f>
        <v/>
      </c>
      <c r="Q6">
        <f>IF(0&lt;nb_tq,((c_nom+phi_wt+phi_lt/2))+(phi_lt/2)*0.951057,NA())</f>
        <v/>
      </c>
      <c r="S6">
        <f>IF(inputs_ok,IF(0&lt;nb_tq,((c_nom+phi_wt+phi_lt/2)+0*(b_tq-2*(c_nom+phi_wt+phi_lt/2))/(nb_tq-1))+(phi_lt/2)*-0.309017,NA()),NA())</f>
        <v/>
      </c>
      <c r="T6">
        <f>IF(0&lt;nb_tq,(h_tq-(c_nom+phi_wt+phi_lt/2))+(phi_lt/2)*0.951057,NA())</f>
        <v/>
      </c>
      <c r="V6">
        <f>IF(inputs_ok,IF(1&lt;nb_tq,((c_nom+phi_wt+phi_lt/2)+1*(b_tq-2*(c_nom+phi_wt+phi_lt/2))/(nb_tq-1))+(phi_lt/2)*-0.309017,NA()),NA())</f>
        <v/>
      </c>
      <c r="W6">
        <f>IF(1&lt;nb_tq,((c_nom+phi_wt+phi_lt/2))+(phi_lt/2)*0.951057,NA())</f>
        <v/>
      </c>
      <c r="Y6">
        <f>IF(inputs_ok,IF(1&lt;nb_tq,((c_nom+phi_wt+phi_lt/2)+1*(b_tq-2*(c_nom+phi_wt+phi_lt/2))/(nb_tq-1))+(phi_lt/2)*-0.309017,NA()),NA())</f>
        <v/>
      </c>
      <c r="Z6">
        <f>IF(1&lt;nb_tq,(h_tq-(c_nom+phi_wt+phi_lt/2))+(phi_lt/2)*0.951057,NA())</f>
        <v/>
      </c>
      <c r="AB6">
        <f>IF(inputs_ok,IF(2&lt;nb_tq,((c_nom+phi_wt+phi_lt/2)+2*(b_tq-2*(c_nom+phi_wt+phi_lt/2))/(nb_tq-1))+(phi_lt/2)*-0.309017,NA()),NA())</f>
        <v/>
      </c>
      <c r="AC6">
        <f>IF(2&lt;nb_tq,((c_nom+phi_wt+phi_lt/2))+(phi_lt/2)*0.951057,NA())</f>
        <v/>
      </c>
      <c r="AE6">
        <f>IF(inputs_ok,IF(2&lt;nb_tq,((c_nom+phi_wt+phi_lt/2)+2*(b_tq-2*(c_nom+phi_wt+phi_lt/2))/(nb_tq-1))+(phi_lt/2)*-0.309017,NA()),NA())</f>
        <v/>
      </c>
      <c r="AF6">
        <f>IF(2&lt;nb_tq,(h_tq-(c_nom+phi_wt+phi_lt/2))+(phi_lt/2)*0.951057,NA())</f>
        <v/>
      </c>
      <c r="AH6">
        <f>IF(inputs_ok,IF(3&lt;nb_tq,((c_nom+phi_wt+phi_lt/2)+3*(b_tq-2*(c_nom+phi_wt+phi_lt/2))/(nb_tq-1))+(phi_lt/2)*-0.309017,NA()),NA())</f>
        <v/>
      </c>
      <c r="AI6">
        <f>IF(3&lt;nb_tq,((c_nom+phi_wt+phi_lt/2))+(phi_lt/2)*0.951057,NA())</f>
        <v/>
      </c>
      <c r="AK6">
        <f>IF(inputs_ok,IF(3&lt;nb_tq,((c_nom+phi_wt+phi_lt/2)+3*(b_tq-2*(c_nom+phi_wt+phi_lt/2))/(nb_tq-1))+(phi_lt/2)*-0.309017,NA()),NA())</f>
        <v/>
      </c>
      <c r="AL6">
        <f>IF(3&lt;nb_tq,(h_tq-(c_nom+phi_wt+phi_lt/2))+(phi_lt/2)*0.951057,NA())</f>
        <v/>
      </c>
      <c r="AN6">
        <f>IF(inputs_ok,IF(4&lt;nb_tq,((c_nom+phi_wt+phi_lt/2)+4*(b_tq-2*(c_nom+phi_wt+phi_lt/2))/(nb_tq-1))+(phi_lt/2)*-0.309017,NA()),NA())</f>
        <v/>
      </c>
      <c r="AO6">
        <f>IF(4&lt;nb_tq,((c_nom+phi_wt+phi_lt/2))+(phi_lt/2)*0.951057,NA())</f>
        <v/>
      </c>
      <c r="AQ6">
        <f>IF(inputs_ok,IF(4&lt;nb_tq,((c_nom+phi_wt+phi_lt/2)+4*(b_tq-2*(c_nom+phi_wt+phi_lt/2))/(nb_tq-1))+(phi_lt/2)*-0.309017,NA()),NA())</f>
        <v/>
      </c>
      <c r="AR6">
        <f>IF(4&lt;nb_tq,(h_tq-(c_nom+phi_wt+phi_lt/2))+(phi_lt/2)*0.951057,NA())</f>
        <v/>
      </c>
      <c r="AT6">
        <f>IF(inputs_ok,IF(5&lt;nb_tq,((c_nom+phi_wt+phi_lt/2)+5*(b_tq-2*(c_nom+phi_wt+phi_lt/2))/(nb_tq-1))+(phi_lt/2)*-0.309017,NA()),NA())</f>
        <v/>
      </c>
      <c r="AU6">
        <f>IF(5&lt;nb_tq,((c_nom+phi_wt+phi_lt/2))+(phi_lt/2)*0.951057,NA())</f>
        <v/>
      </c>
      <c r="AW6">
        <f>IF(inputs_ok,IF(5&lt;nb_tq,((c_nom+phi_wt+phi_lt/2)+5*(b_tq-2*(c_nom+phi_wt+phi_lt/2))/(nb_tq-1))+(phi_lt/2)*-0.309017,NA()),NA())</f>
        <v/>
      </c>
      <c r="AX6">
        <f>IF(5&lt;nb_tq,(h_tq-(c_nom+phi_wt+phi_lt/2))+(phi_lt/2)*0.951057,NA())</f>
        <v/>
      </c>
      <c r="AZ6">
        <f>IF(inputs_ok,IF(6&lt;nb_tq,((c_nom+phi_wt+phi_lt/2)+6*(b_tq-2*(c_nom+phi_wt+phi_lt/2))/(nb_tq-1))+(phi_lt/2)*-0.309017,NA()),NA())</f>
        <v/>
      </c>
      <c r="BA6">
        <f>IF(6&lt;nb_tq,((c_nom+phi_wt+phi_lt/2))+(phi_lt/2)*0.951057,NA())</f>
        <v/>
      </c>
      <c r="BC6">
        <f>IF(inputs_ok,IF(6&lt;nb_tq,((c_nom+phi_wt+phi_lt/2)+6*(b_tq-2*(c_nom+phi_wt+phi_lt/2))/(nb_tq-1))+(phi_lt/2)*-0.309017,NA()),NA())</f>
        <v/>
      </c>
      <c r="BD6">
        <f>IF(6&lt;nb_tq,(h_tq-(c_nom+phi_wt+phi_lt/2))+(phi_lt/2)*0.951057,NA())</f>
        <v/>
      </c>
      <c r="BF6">
        <f>IF(inputs_ok,IF(7&lt;nb_tq,((c_nom+phi_wt+phi_lt/2)+7*(b_tq-2*(c_nom+phi_wt+phi_lt/2))/(nb_tq-1))+(phi_lt/2)*-0.309017,NA()),NA())</f>
        <v/>
      </c>
      <c r="BG6">
        <f>IF(7&lt;nb_tq,((c_nom+phi_wt+phi_lt/2))+(phi_lt/2)*0.951057,NA())</f>
        <v/>
      </c>
      <c r="BI6">
        <f>IF(inputs_ok,IF(7&lt;nb_tq,((c_nom+phi_wt+phi_lt/2)+7*(b_tq-2*(c_nom+phi_wt+phi_lt/2))/(nb_tq-1))+(phi_lt/2)*-0.309017,NA()),NA())</f>
        <v/>
      </c>
      <c r="BJ6">
        <f>IF(7&lt;nb_tq,(h_tq-(c_nom+phi_wt+phi_lt/2))+(phi_lt/2)*0.951057,NA())</f>
        <v/>
      </c>
      <c r="BL6">
        <f>IF(inputs_ok,IF(1&lt;nh_tq-1,((c_nom+phi_wt+phi_lt/2))+(phi_lt/2)*-0.309017,NA()),NA())</f>
        <v/>
      </c>
      <c r="BM6">
        <f>IF(1&lt;nh_tq-1,((c_nom+phi_wt+phi_lt/2)+1*(h_tq-2*(c_nom+phi_wt+phi_lt/2))/(nh_tq-1))+(phi_lt/2)*0.951057,NA())</f>
        <v/>
      </c>
      <c r="BO6">
        <f>IF(inputs_ok,IF(1&lt;nh_tq-1,(b_tq-(c_nom+phi_wt+phi_lt/2))+(phi_lt/2)*-0.309017,NA()),NA())</f>
        <v/>
      </c>
      <c r="BP6">
        <f>IF(1&lt;nh_tq-1,((c_nom+phi_wt+phi_lt/2)+1*(h_tq-2*(c_nom+phi_wt+phi_lt/2))/(nh_tq-1))+(phi_lt/2)*0.951057,NA())</f>
        <v/>
      </c>
      <c r="BR6">
        <f>IF(inputs_ok,IF(2&lt;nh_tq-1,((c_nom+phi_wt+phi_lt/2))+(phi_lt/2)*-0.309017,NA()),NA())</f>
        <v/>
      </c>
      <c r="BS6">
        <f>IF(2&lt;nh_tq-1,((c_nom+phi_wt+phi_lt/2)+2*(h_tq-2*(c_nom+phi_wt+phi_lt/2))/(nh_tq-1))+(phi_lt/2)*0.951057,NA())</f>
        <v/>
      </c>
      <c r="BU6">
        <f>IF(inputs_ok,IF(2&lt;nh_tq-1,(b_tq-(c_nom+phi_wt+phi_lt/2))+(phi_lt/2)*-0.309017,NA()),NA())</f>
        <v/>
      </c>
      <c r="BV6">
        <f>IF(2&lt;nh_tq-1,((c_nom+phi_wt+phi_lt/2)+2*(h_tq-2*(c_nom+phi_wt+phi_lt/2))/(nh_tq-1))+(phi_lt/2)*0.951057,NA())</f>
        <v/>
      </c>
      <c r="BX6">
        <f>IF(inputs_ok,IF(3&lt;nh_tq-1,((c_nom+phi_wt+phi_lt/2))+(phi_lt/2)*-0.309017,NA()),NA())</f>
        <v/>
      </c>
      <c r="BY6">
        <f>IF(3&lt;nh_tq-1,((c_nom+phi_wt+phi_lt/2)+3*(h_tq-2*(c_nom+phi_wt+phi_lt/2))/(nh_tq-1))+(phi_lt/2)*0.951057,NA())</f>
        <v/>
      </c>
      <c r="CA6">
        <f>IF(inputs_ok,IF(3&lt;nh_tq-1,(b_tq-(c_nom+phi_wt+phi_lt/2))+(phi_lt/2)*-0.309017,NA()),NA())</f>
        <v/>
      </c>
      <c r="CB6">
        <f>IF(3&lt;nh_tq-1,((c_nom+phi_wt+phi_lt/2)+3*(h_tq-2*(c_nom+phi_wt+phi_lt/2))/(nh_tq-1))+(phi_lt/2)*0.951057,NA())</f>
        <v/>
      </c>
      <c r="CD6">
        <f>IF(inputs_ok,IF(4&lt;nh_tq-1,((c_nom+phi_wt+phi_lt/2))+(phi_lt/2)*-0.309017,NA()),NA())</f>
        <v/>
      </c>
      <c r="CE6">
        <f>IF(4&lt;nh_tq-1,((c_nom+phi_wt+phi_lt/2)+4*(h_tq-2*(c_nom+phi_wt+phi_lt/2))/(nh_tq-1))+(phi_lt/2)*0.951057,NA())</f>
        <v/>
      </c>
      <c r="CG6">
        <f>IF(inputs_ok,IF(4&lt;nh_tq-1,(b_tq-(c_nom+phi_wt+phi_lt/2))+(phi_lt/2)*-0.309017,NA()),NA())</f>
        <v/>
      </c>
      <c r="CH6">
        <f>IF(4&lt;nh_tq-1,((c_nom+phi_wt+phi_lt/2)+4*(h_tq-2*(c_nom+phi_wt+phi_lt/2))/(nh_tq-1))+(phi_lt/2)*0.951057,NA())</f>
        <v/>
      </c>
      <c r="CJ6">
        <f>IF(inputs_ok,IF(5&lt;nh_tq-1,((c_nom+phi_wt+phi_lt/2))+(phi_lt/2)*-0.309017,NA()),NA())</f>
        <v/>
      </c>
      <c r="CK6">
        <f>IF(5&lt;nh_tq-1,((c_nom+phi_wt+phi_lt/2)+5*(h_tq-2*(c_nom+phi_wt+phi_lt/2))/(nh_tq-1))+(phi_lt/2)*0.951057,NA())</f>
        <v/>
      </c>
      <c r="CM6">
        <f>IF(inputs_ok,IF(5&lt;nh_tq-1,(b_tq-(c_nom+phi_wt+phi_lt/2))+(phi_lt/2)*-0.309017,NA()),NA())</f>
        <v/>
      </c>
      <c r="CN6">
        <f>IF(5&lt;nh_tq-1,((c_nom+phi_wt+phi_lt/2)+5*(h_tq-2*(c_nom+phi_wt+phi_lt/2))/(nh_tq-1))+(phi_lt/2)*0.951057,NA())</f>
        <v/>
      </c>
      <c r="CP6">
        <f>IF(inputs_ok,IF(6&lt;nh_tq-1,((c_nom+phi_wt+phi_lt/2))+(phi_lt/2)*-0.309017,NA()),NA())</f>
        <v/>
      </c>
      <c r="CQ6">
        <f>IF(6&lt;nh_tq-1,((c_nom+phi_wt+phi_lt/2)+6*(h_tq-2*(c_nom+phi_wt+phi_lt/2))/(nh_tq-1))+(phi_lt/2)*0.951057,NA())</f>
        <v/>
      </c>
      <c r="CS6">
        <f>IF(inputs_ok,IF(6&lt;nh_tq-1,(b_tq-(c_nom+phi_wt+phi_lt/2))+(phi_lt/2)*-0.309017,NA()),NA())</f>
        <v/>
      </c>
      <c r="CT6">
        <f>IF(6&lt;nh_tq-1,((c_nom+phi_wt+phi_lt/2)+6*(h_tq-2*(c_nom+phi_wt+phi_lt/2))/(nh_tq-1))+(phi_lt/2)*0.951057,NA())</f>
        <v/>
      </c>
    </row>
    <row r="7">
      <c r="D7">
        <f>IF(inputs_ok,0,NA())</f>
        <v/>
      </c>
      <c r="E7">
        <f>0</f>
        <v/>
      </c>
      <c r="G7">
        <f>IF(inputs_ok,(c_nom+phi_wt/2),NA())</f>
        <v/>
      </c>
      <c r="H7">
        <f>(c_nom+phi_wt/2)</f>
        <v/>
      </c>
      <c r="J7">
        <f>IF(inputs_ok,t_ef/2,NA())</f>
        <v/>
      </c>
      <c r="K7">
        <f>t_ef/2</f>
        <v/>
      </c>
      <c r="M7">
        <f>IF(inputs_ok,t_ef,NA())</f>
        <v/>
      </c>
      <c r="N7">
        <f>t_ef</f>
        <v/>
      </c>
      <c r="P7">
        <f>IF(inputs_ok,IF(0&lt;nb_tq,((c_nom+phi_wt+phi_lt/2)+0*(b_tq-2*(c_nom+phi_wt+phi_lt/2))/(nb_tq-1))+(phi_lt/2)*-0.809017,NA()),NA())</f>
        <v/>
      </c>
      <c r="Q7">
        <f>IF(0&lt;nb_tq,((c_nom+phi_wt+phi_lt/2))+(phi_lt/2)*0.587785,NA())</f>
        <v/>
      </c>
      <c r="S7">
        <f>IF(inputs_ok,IF(0&lt;nb_tq,((c_nom+phi_wt+phi_lt/2)+0*(b_tq-2*(c_nom+phi_wt+phi_lt/2))/(nb_tq-1))+(phi_lt/2)*-0.809017,NA()),NA())</f>
        <v/>
      </c>
      <c r="T7">
        <f>IF(0&lt;nb_tq,(h_tq-(c_nom+phi_wt+phi_lt/2))+(phi_lt/2)*0.587785,NA())</f>
        <v/>
      </c>
      <c r="V7">
        <f>IF(inputs_ok,IF(1&lt;nb_tq,((c_nom+phi_wt+phi_lt/2)+1*(b_tq-2*(c_nom+phi_wt+phi_lt/2))/(nb_tq-1))+(phi_lt/2)*-0.809017,NA()),NA())</f>
        <v/>
      </c>
      <c r="W7">
        <f>IF(1&lt;nb_tq,((c_nom+phi_wt+phi_lt/2))+(phi_lt/2)*0.587785,NA())</f>
        <v/>
      </c>
      <c r="Y7">
        <f>IF(inputs_ok,IF(1&lt;nb_tq,((c_nom+phi_wt+phi_lt/2)+1*(b_tq-2*(c_nom+phi_wt+phi_lt/2))/(nb_tq-1))+(phi_lt/2)*-0.809017,NA()),NA())</f>
        <v/>
      </c>
      <c r="Z7">
        <f>IF(1&lt;nb_tq,(h_tq-(c_nom+phi_wt+phi_lt/2))+(phi_lt/2)*0.587785,NA())</f>
        <v/>
      </c>
      <c r="AB7">
        <f>IF(inputs_ok,IF(2&lt;nb_tq,((c_nom+phi_wt+phi_lt/2)+2*(b_tq-2*(c_nom+phi_wt+phi_lt/2))/(nb_tq-1))+(phi_lt/2)*-0.809017,NA()),NA())</f>
        <v/>
      </c>
      <c r="AC7">
        <f>IF(2&lt;nb_tq,((c_nom+phi_wt+phi_lt/2))+(phi_lt/2)*0.587785,NA())</f>
        <v/>
      </c>
      <c r="AE7">
        <f>IF(inputs_ok,IF(2&lt;nb_tq,((c_nom+phi_wt+phi_lt/2)+2*(b_tq-2*(c_nom+phi_wt+phi_lt/2))/(nb_tq-1))+(phi_lt/2)*-0.809017,NA()),NA())</f>
        <v/>
      </c>
      <c r="AF7">
        <f>IF(2&lt;nb_tq,(h_tq-(c_nom+phi_wt+phi_lt/2))+(phi_lt/2)*0.587785,NA())</f>
        <v/>
      </c>
      <c r="AH7">
        <f>IF(inputs_ok,IF(3&lt;nb_tq,((c_nom+phi_wt+phi_lt/2)+3*(b_tq-2*(c_nom+phi_wt+phi_lt/2))/(nb_tq-1))+(phi_lt/2)*-0.809017,NA()),NA())</f>
        <v/>
      </c>
      <c r="AI7">
        <f>IF(3&lt;nb_tq,((c_nom+phi_wt+phi_lt/2))+(phi_lt/2)*0.587785,NA())</f>
        <v/>
      </c>
      <c r="AK7">
        <f>IF(inputs_ok,IF(3&lt;nb_tq,((c_nom+phi_wt+phi_lt/2)+3*(b_tq-2*(c_nom+phi_wt+phi_lt/2))/(nb_tq-1))+(phi_lt/2)*-0.809017,NA()),NA())</f>
        <v/>
      </c>
      <c r="AL7">
        <f>IF(3&lt;nb_tq,(h_tq-(c_nom+phi_wt+phi_lt/2))+(phi_lt/2)*0.587785,NA())</f>
        <v/>
      </c>
      <c r="AN7">
        <f>IF(inputs_ok,IF(4&lt;nb_tq,((c_nom+phi_wt+phi_lt/2)+4*(b_tq-2*(c_nom+phi_wt+phi_lt/2))/(nb_tq-1))+(phi_lt/2)*-0.809017,NA()),NA())</f>
        <v/>
      </c>
      <c r="AO7">
        <f>IF(4&lt;nb_tq,((c_nom+phi_wt+phi_lt/2))+(phi_lt/2)*0.587785,NA())</f>
        <v/>
      </c>
      <c r="AQ7">
        <f>IF(inputs_ok,IF(4&lt;nb_tq,((c_nom+phi_wt+phi_lt/2)+4*(b_tq-2*(c_nom+phi_wt+phi_lt/2))/(nb_tq-1))+(phi_lt/2)*-0.809017,NA()),NA())</f>
        <v/>
      </c>
      <c r="AR7">
        <f>IF(4&lt;nb_tq,(h_tq-(c_nom+phi_wt+phi_lt/2))+(phi_lt/2)*0.587785,NA())</f>
        <v/>
      </c>
      <c r="AT7">
        <f>IF(inputs_ok,IF(5&lt;nb_tq,((c_nom+phi_wt+phi_lt/2)+5*(b_tq-2*(c_nom+phi_wt+phi_lt/2))/(nb_tq-1))+(phi_lt/2)*-0.809017,NA()),NA())</f>
        <v/>
      </c>
      <c r="AU7">
        <f>IF(5&lt;nb_tq,((c_nom+phi_wt+phi_lt/2))+(phi_lt/2)*0.587785,NA())</f>
        <v/>
      </c>
      <c r="AW7">
        <f>IF(inputs_ok,IF(5&lt;nb_tq,((c_nom+phi_wt+phi_lt/2)+5*(b_tq-2*(c_nom+phi_wt+phi_lt/2))/(nb_tq-1))+(phi_lt/2)*-0.809017,NA()),NA())</f>
        <v/>
      </c>
      <c r="AX7">
        <f>IF(5&lt;nb_tq,(h_tq-(c_nom+phi_wt+phi_lt/2))+(phi_lt/2)*0.587785,NA())</f>
        <v/>
      </c>
      <c r="AZ7">
        <f>IF(inputs_ok,IF(6&lt;nb_tq,((c_nom+phi_wt+phi_lt/2)+6*(b_tq-2*(c_nom+phi_wt+phi_lt/2))/(nb_tq-1))+(phi_lt/2)*-0.809017,NA()),NA())</f>
        <v/>
      </c>
      <c r="BA7">
        <f>IF(6&lt;nb_tq,((c_nom+phi_wt+phi_lt/2))+(phi_lt/2)*0.587785,NA())</f>
        <v/>
      </c>
      <c r="BC7">
        <f>IF(inputs_ok,IF(6&lt;nb_tq,((c_nom+phi_wt+phi_lt/2)+6*(b_tq-2*(c_nom+phi_wt+phi_lt/2))/(nb_tq-1))+(phi_lt/2)*-0.809017,NA()),NA())</f>
        <v/>
      </c>
      <c r="BD7">
        <f>IF(6&lt;nb_tq,(h_tq-(c_nom+phi_wt+phi_lt/2))+(phi_lt/2)*0.587785,NA())</f>
        <v/>
      </c>
      <c r="BF7">
        <f>IF(inputs_ok,IF(7&lt;nb_tq,((c_nom+phi_wt+phi_lt/2)+7*(b_tq-2*(c_nom+phi_wt+phi_lt/2))/(nb_tq-1))+(phi_lt/2)*-0.809017,NA()),NA())</f>
        <v/>
      </c>
      <c r="BG7">
        <f>IF(7&lt;nb_tq,((c_nom+phi_wt+phi_lt/2))+(phi_lt/2)*0.587785,NA())</f>
        <v/>
      </c>
      <c r="BI7">
        <f>IF(inputs_ok,IF(7&lt;nb_tq,((c_nom+phi_wt+phi_lt/2)+7*(b_tq-2*(c_nom+phi_wt+phi_lt/2))/(nb_tq-1))+(phi_lt/2)*-0.809017,NA()),NA())</f>
        <v/>
      </c>
      <c r="BJ7">
        <f>IF(7&lt;nb_tq,(h_tq-(c_nom+phi_wt+phi_lt/2))+(phi_lt/2)*0.587785,NA())</f>
        <v/>
      </c>
      <c r="BL7">
        <f>IF(inputs_ok,IF(1&lt;nh_tq-1,((c_nom+phi_wt+phi_lt/2))+(phi_lt/2)*-0.809017,NA()),NA())</f>
        <v/>
      </c>
      <c r="BM7">
        <f>IF(1&lt;nh_tq-1,((c_nom+phi_wt+phi_lt/2)+1*(h_tq-2*(c_nom+phi_wt+phi_lt/2))/(nh_tq-1))+(phi_lt/2)*0.587785,NA())</f>
        <v/>
      </c>
      <c r="BO7">
        <f>IF(inputs_ok,IF(1&lt;nh_tq-1,(b_tq-(c_nom+phi_wt+phi_lt/2))+(phi_lt/2)*-0.809017,NA()),NA())</f>
        <v/>
      </c>
      <c r="BP7">
        <f>IF(1&lt;nh_tq-1,((c_nom+phi_wt+phi_lt/2)+1*(h_tq-2*(c_nom+phi_wt+phi_lt/2))/(nh_tq-1))+(phi_lt/2)*0.587785,NA())</f>
        <v/>
      </c>
      <c r="BR7">
        <f>IF(inputs_ok,IF(2&lt;nh_tq-1,((c_nom+phi_wt+phi_lt/2))+(phi_lt/2)*-0.809017,NA()),NA())</f>
        <v/>
      </c>
      <c r="BS7">
        <f>IF(2&lt;nh_tq-1,((c_nom+phi_wt+phi_lt/2)+2*(h_tq-2*(c_nom+phi_wt+phi_lt/2))/(nh_tq-1))+(phi_lt/2)*0.587785,NA())</f>
        <v/>
      </c>
      <c r="BU7">
        <f>IF(inputs_ok,IF(2&lt;nh_tq-1,(b_tq-(c_nom+phi_wt+phi_lt/2))+(phi_lt/2)*-0.809017,NA()),NA())</f>
        <v/>
      </c>
      <c r="BV7">
        <f>IF(2&lt;nh_tq-1,((c_nom+phi_wt+phi_lt/2)+2*(h_tq-2*(c_nom+phi_wt+phi_lt/2))/(nh_tq-1))+(phi_lt/2)*0.587785,NA())</f>
        <v/>
      </c>
      <c r="BX7">
        <f>IF(inputs_ok,IF(3&lt;nh_tq-1,((c_nom+phi_wt+phi_lt/2))+(phi_lt/2)*-0.809017,NA()),NA())</f>
        <v/>
      </c>
      <c r="BY7">
        <f>IF(3&lt;nh_tq-1,((c_nom+phi_wt+phi_lt/2)+3*(h_tq-2*(c_nom+phi_wt+phi_lt/2))/(nh_tq-1))+(phi_lt/2)*0.587785,NA())</f>
        <v/>
      </c>
      <c r="CA7">
        <f>IF(inputs_ok,IF(3&lt;nh_tq-1,(b_tq-(c_nom+phi_wt+phi_lt/2))+(phi_lt/2)*-0.809017,NA()),NA())</f>
        <v/>
      </c>
      <c r="CB7">
        <f>IF(3&lt;nh_tq-1,((c_nom+phi_wt+phi_lt/2)+3*(h_tq-2*(c_nom+phi_wt+phi_lt/2))/(nh_tq-1))+(phi_lt/2)*0.587785,NA())</f>
        <v/>
      </c>
      <c r="CD7">
        <f>IF(inputs_ok,IF(4&lt;nh_tq-1,((c_nom+phi_wt+phi_lt/2))+(phi_lt/2)*-0.809017,NA()),NA())</f>
        <v/>
      </c>
      <c r="CE7">
        <f>IF(4&lt;nh_tq-1,((c_nom+phi_wt+phi_lt/2)+4*(h_tq-2*(c_nom+phi_wt+phi_lt/2))/(nh_tq-1))+(phi_lt/2)*0.587785,NA())</f>
        <v/>
      </c>
      <c r="CG7">
        <f>IF(inputs_ok,IF(4&lt;nh_tq-1,(b_tq-(c_nom+phi_wt+phi_lt/2))+(phi_lt/2)*-0.809017,NA()),NA())</f>
        <v/>
      </c>
      <c r="CH7">
        <f>IF(4&lt;nh_tq-1,((c_nom+phi_wt+phi_lt/2)+4*(h_tq-2*(c_nom+phi_wt+phi_lt/2))/(nh_tq-1))+(phi_lt/2)*0.587785,NA())</f>
        <v/>
      </c>
      <c r="CJ7">
        <f>IF(inputs_ok,IF(5&lt;nh_tq-1,((c_nom+phi_wt+phi_lt/2))+(phi_lt/2)*-0.809017,NA()),NA())</f>
        <v/>
      </c>
      <c r="CK7">
        <f>IF(5&lt;nh_tq-1,((c_nom+phi_wt+phi_lt/2)+5*(h_tq-2*(c_nom+phi_wt+phi_lt/2))/(nh_tq-1))+(phi_lt/2)*0.587785,NA())</f>
        <v/>
      </c>
      <c r="CM7">
        <f>IF(inputs_ok,IF(5&lt;nh_tq-1,(b_tq-(c_nom+phi_wt+phi_lt/2))+(phi_lt/2)*-0.809017,NA()),NA())</f>
        <v/>
      </c>
      <c r="CN7">
        <f>IF(5&lt;nh_tq-1,((c_nom+phi_wt+phi_lt/2)+5*(h_tq-2*(c_nom+phi_wt+phi_lt/2))/(nh_tq-1))+(phi_lt/2)*0.587785,NA())</f>
        <v/>
      </c>
      <c r="CP7">
        <f>IF(inputs_ok,IF(6&lt;nh_tq-1,((c_nom+phi_wt+phi_lt/2))+(phi_lt/2)*-0.809017,NA()),NA())</f>
        <v/>
      </c>
      <c r="CQ7">
        <f>IF(6&lt;nh_tq-1,((c_nom+phi_wt+phi_lt/2)+6*(h_tq-2*(c_nom+phi_wt+phi_lt/2))/(nh_tq-1))+(phi_lt/2)*0.587785,NA())</f>
        <v/>
      </c>
      <c r="CS7">
        <f>IF(inputs_ok,IF(6&lt;nh_tq-1,(b_tq-(c_nom+phi_wt+phi_lt/2))+(phi_lt/2)*-0.809017,NA()),NA())</f>
        <v/>
      </c>
      <c r="CT7">
        <f>IF(6&lt;nh_tq-1,((c_nom+phi_wt+phi_lt/2)+6*(h_tq-2*(c_nom+phi_wt+phi_lt/2))/(nh_tq-1))+(phi_lt/2)*0.587785,NA())</f>
        <v/>
      </c>
    </row>
    <row r="8">
      <c r="P8">
        <f>IF(inputs_ok,IF(0&lt;nb_tq,((c_nom+phi_wt+phi_lt/2)+0*(b_tq-2*(c_nom+phi_wt+phi_lt/2))/(nb_tq-1))+(phi_lt/2)*-1.000000,NA()),NA())</f>
        <v/>
      </c>
      <c r="Q8">
        <f>IF(0&lt;nb_tq,((c_nom+phi_wt+phi_lt/2))+(phi_lt/2)*0.000000,NA())</f>
        <v/>
      </c>
      <c r="S8">
        <f>IF(inputs_ok,IF(0&lt;nb_tq,((c_nom+phi_wt+phi_lt/2)+0*(b_tq-2*(c_nom+phi_wt+phi_lt/2))/(nb_tq-1))+(phi_lt/2)*-1.000000,NA()),NA())</f>
        <v/>
      </c>
      <c r="T8">
        <f>IF(0&lt;nb_tq,(h_tq-(c_nom+phi_wt+phi_lt/2))+(phi_lt/2)*0.000000,NA())</f>
        <v/>
      </c>
      <c r="V8">
        <f>IF(inputs_ok,IF(1&lt;nb_tq,((c_nom+phi_wt+phi_lt/2)+1*(b_tq-2*(c_nom+phi_wt+phi_lt/2))/(nb_tq-1))+(phi_lt/2)*-1.000000,NA()),NA())</f>
        <v/>
      </c>
      <c r="W8">
        <f>IF(1&lt;nb_tq,((c_nom+phi_wt+phi_lt/2))+(phi_lt/2)*0.000000,NA())</f>
        <v/>
      </c>
      <c r="Y8">
        <f>IF(inputs_ok,IF(1&lt;nb_tq,((c_nom+phi_wt+phi_lt/2)+1*(b_tq-2*(c_nom+phi_wt+phi_lt/2))/(nb_tq-1))+(phi_lt/2)*-1.000000,NA()),NA())</f>
        <v/>
      </c>
      <c r="Z8">
        <f>IF(1&lt;nb_tq,(h_tq-(c_nom+phi_wt+phi_lt/2))+(phi_lt/2)*0.000000,NA())</f>
        <v/>
      </c>
      <c r="AB8">
        <f>IF(inputs_ok,IF(2&lt;nb_tq,((c_nom+phi_wt+phi_lt/2)+2*(b_tq-2*(c_nom+phi_wt+phi_lt/2))/(nb_tq-1))+(phi_lt/2)*-1.000000,NA()),NA())</f>
        <v/>
      </c>
      <c r="AC8">
        <f>IF(2&lt;nb_tq,((c_nom+phi_wt+phi_lt/2))+(phi_lt/2)*0.000000,NA())</f>
        <v/>
      </c>
      <c r="AE8">
        <f>IF(inputs_ok,IF(2&lt;nb_tq,((c_nom+phi_wt+phi_lt/2)+2*(b_tq-2*(c_nom+phi_wt+phi_lt/2))/(nb_tq-1))+(phi_lt/2)*-1.000000,NA()),NA())</f>
        <v/>
      </c>
      <c r="AF8">
        <f>IF(2&lt;nb_tq,(h_tq-(c_nom+phi_wt+phi_lt/2))+(phi_lt/2)*0.000000,NA())</f>
        <v/>
      </c>
      <c r="AH8">
        <f>IF(inputs_ok,IF(3&lt;nb_tq,((c_nom+phi_wt+phi_lt/2)+3*(b_tq-2*(c_nom+phi_wt+phi_lt/2))/(nb_tq-1))+(phi_lt/2)*-1.000000,NA()),NA())</f>
        <v/>
      </c>
      <c r="AI8">
        <f>IF(3&lt;nb_tq,((c_nom+phi_wt+phi_lt/2))+(phi_lt/2)*0.000000,NA())</f>
        <v/>
      </c>
      <c r="AK8">
        <f>IF(inputs_ok,IF(3&lt;nb_tq,((c_nom+phi_wt+phi_lt/2)+3*(b_tq-2*(c_nom+phi_wt+phi_lt/2))/(nb_tq-1))+(phi_lt/2)*-1.000000,NA()),NA())</f>
        <v/>
      </c>
      <c r="AL8">
        <f>IF(3&lt;nb_tq,(h_tq-(c_nom+phi_wt+phi_lt/2))+(phi_lt/2)*0.000000,NA())</f>
        <v/>
      </c>
      <c r="AN8">
        <f>IF(inputs_ok,IF(4&lt;nb_tq,((c_nom+phi_wt+phi_lt/2)+4*(b_tq-2*(c_nom+phi_wt+phi_lt/2))/(nb_tq-1))+(phi_lt/2)*-1.000000,NA()),NA())</f>
        <v/>
      </c>
      <c r="AO8">
        <f>IF(4&lt;nb_tq,((c_nom+phi_wt+phi_lt/2))+(phi_lt/2)*0.000000,NA())</f>
        <v/>
      </c>
      <c r="AQ8">
        <f>IF(inputs_ok,IF(4&lt;nb_tq,((c_nom+phi_wt+phi_lt/2)+4*(b_tq-2*(c_nom+phi_wt+phi_lt/2))/(nb_tq-1))+(phi_lt/2)*-1.000000,NA()),NA())</f>
        <v/>
      </c>
      <c r="AR8">
        <f>IF(4&lt;nb_tq,(h_tq-(c_nom+phi_wt+phi_lt/2))+(phi_lt/2)*0.000000,NA())</f>
        <v/>
      </c>
      <c r="AT8">
        <f>IF(inputs_ok,IF(5&lt;nb_tq,((c_nom+phi_wt+phi_lt/2)+5*(b_tq-2*(c_nom+phi_wt+phi_lt/2))/(nb_tq-1))+(phi_lt/2)*-1.000000,NA()),NA())</f>
        <v/>
      </c>
      <c r="AU8">
        <f>IF(5&lt;nb_tq,((c_nom+phi_wt+phi_lt/2))+(phi_lt/2)*0.000000,NA())</f>
        <v/>
      </c>
      <c r="AW8">
        <f>IF(inputs_ok,IF(5&lt;nb_tq,((c_nom+phi_wt+phi_lt/2)+5*(b_tq-2*(c_nom+phi_wt+phi_lt/2))/(nb_tq-1))+(phi_lt/2)*-1.000000,NA()),NA())</f>
        <v/>
      </c>
      <c r="AX8">
        <f>IF(5&lt;nb_tq,(h_tq-(c_nom+phi_wt+phi_lt/2))+(phi_lt/2)*0.000000,NA())</f>
        <v/>
      </c>
      <c r="AZ8">
        <f>IF(inputs_ok,IF(6&lt;nb_tq,((c_nom+phi_wt+phi_lt/2)+6*(b_tq-2*(c_nom+phi_wt+phi_lt/2))/(nb_tq-1))+(phi_lt/2)*-1.000000,NA()),NA())</f>
        <v/>
      </c>
      <c r="BA8">
        <f>IF(6&lt;nb_tq,((c_nom+phi_wt+phi_lt/2))+(phi_lt/2)*0.000000,NA())</f>
        <v/>
      </c>
      <c r="BC8">
        <f>IF(inputs_ok,IF(6&lt;nb_tq,((c_nom+phi_wt+phi_lt/2)+6*(b_tq-2*(c_nom+phi_wt+phi_lt/2))/(nb_tq-1))+(phi_lt/2)*-1.000000,NA()),NA())</f>
        <v/>
      </c>
      <c r="BD8">
        <f>IF(6&lt;nb_tq,(h_tq-(c_nom+phi_wt+phi_lt/2))+(phi_lt/2)*0.000000,NA())</f>
        <v/>
      </c>
      <c r="BF8">
        <f>IF(inputs_ok,IF(7&lt;nb_tq,((c_nom+phi_wt+phi_lt/2)+7*(b_tq-2*(c_nom+phi_wt+phi_lt/2))/(nb_tq-1))+(phi_lt/2)*-1.000000,NA()),NA())</f>
        <v/>
      </c>
      <c r="BG8">
        <f>IF(7&lt;nb_tq,((c_nom+phi_wt+phi_lt/2))+(phi_lt/2)*0.000000,NA())</f>
        <v/>
      </c>
      <c r="BI8">
        <f>IF(inputs_ok,IF(7&lt;nb_tq,((c_nom+phi_wt+phi_lt/2)+7*(b_tq-2*(c_nom+phi_wt+phi_lt/2))/(nb_tq-1))+(phi_lt/2)*-1.000000,NA()),NA())</f>
        <v/>
      </c>
      <c r="BJ8">
        <f>IF(7&lt;nb_tq,(h_tq-(c_nom+phi_wt+phi_lt/2))+(phi_lt/2)*0.000000,NA())</f>
        <v/>
      </c>
      <c r="BL8">
        <f>IF(inputs_ok,IF(1&lt;nh_tq-1,((c_nom+phi_wt+phi_lt/2))+(phi_lt/2)*-1.000000,NA()),NA())</f>
        <v/>
      </c>
      <c r="BM8">
        <f>IF(1&lt;nh_tq-1,((c_nom+phi_wt+phi_lt/2)+1*(h_tq-2*(c_nom+phi_wt+phi_lt/2))/(nh_tq-1))+(phi_lt/2)*0.000000,NA())</f>
        <v/>
      </c>
      <c r="BO8">
        <f>IF(inputs_ok,IF(1&lt;nh_tq-1,(b_tq-(c_nom+phi_wt+phi_lt/2))+(phi_lt/2)*-1.000000,NA()),NA())</f>
        <v/>
      </c>
      <c r="BP8">
        <f>IF(1&lt;nh_tq-1,((c_nom+phi_wt+phi_lt/2)+1*(h_tq-2*(c_nom+phi_wt+phi_lt/2))/(nh_tq-1))+(phi_lt/2)*0.000000,NA())</f>
        <v/>
      </c>
      <c r="BR8">
        <f>IF(inputs_ok,IF(2&lt;nh_tq-1,((c_nom+phi_wt+phi_lt/2))+(phi_lt/2)*-1.000000,NA()),NA())</f>
        <v/>
      </c>
      <c r="BS8">
        <f>IF(2&lt;nh_tq-1,((c_nom+phi_wt+phi_lt/2)+2*(h_tq-2*(c_nom+phi_wt+phi_lt/2))/(nh_tq-1))+(phi_lt/2)*0.000000,NA())</f>
        <v/>
      </c>
      <c r="BU8">
        <f>IF(inputs_ok,IF(2&lt;nh_tq-1,(b_tq-(c_nom+phi_wt+phi_lt/2))+(phi_lt/2)*-1.000000,NA()),NA())</f>
        <v/>
      </c>
      <c r="BV8">
        <f>IF(2&lt;nh_tq-1,((c_nom+phi_wt+phi_lt/2)+2*(h_tq-2*(c_nom+phi_wt+phi_lt/2))/(nh_tq-1))+(phi_lt/2)*0.000000,NA())</f>
        <v/>
      </c>
      <c r="BX8">
        <f>IF(inputs_ok,IF(3&lt;nh_tq-1,((c_nom+phi_wt+phi_lt/2))+(phi_lt/2)*-1.000000,NA()),NA())</f>
        <v/>
      </c>
      <c r="BY8">
        <f>IF(3&lt;nh_tq-1,((c_nom+phi_wt+phi_lt/2)+3*(h_tq-2*(c_nom+phi_wt+phi_lt/2))/(nh_tq-1))+(phi_lt/2)*0.000000,NA())</f>
        <v/>
      </c>
      <c r="CA8">
        <f>IF(inputs_ok,IF(3&lt;nh_tq-1,(b_tq-(c_nom+phi_wt+phi_lt/2))+(phi_lt/2)*-1.000000,NA()),NA())</f>
        <v/>
      </c>
      <c r="CB8">
        <f>IF(3&lt;nh_tq-1,((c_nom+phi_wt+phi_lt/2)+3*(h_tq-2*(c_nom+phi_wt+phi_lt/2))/(nh_tq-1))+(phi_lt/2)*0.000000,NA())</f>
        <v/>
      </c>
      <c r="CD8">
        <f>IF(inputs_ok,IF(4&lt;nh_tq-1,((c_nom+phi_wt+phi_lt/2))+(phi_lt/2)*-1.000000,NA()),NA())</f>
        <v/>
      </c>
      <c r="CE8">
        <f>IF(4&lt;nh_tq-1,((c_nom+phi_wt+phi_lt/2)+4*(h_tq-2*(c_nom+phi_wt+phi_lt/2))/(nh_tq-1))+(phi_lt/2)*0.000000,NA())</f>
        <v/>
      </c>
      <c r="CG8">
        <f>IF(inputs_ok,IF(4&lt;nh_tq-1,(b_tq-(c_nom+phi_wt+phi_lt/2))+(phi_lt/2)*-1.000000,NA()),NA())</f>
        <v/>
      </c>
      <c r="CH8">
        <f>IF(4&lt;nh_tq-1,((c_nom+phi_wt+phi_lt/2)+4*(h_tq-2*(c_nom+phi_wt+phi_lt/2))/(nh_tq-1))+(phi_lt/2)*0.000000,NA())</f>
        <v/>
      </c>
      <c r="CJ8">
        <f>IF(inputs_ok,IF(5&lt;nh_tq-1,((c_nom+phi_wt+phi_lt/2))+(phi_lt/2)*-1.000000,NA()),NA())</f>
        <v/>
      </c>
      <c r="CK8">
        <f>IF(5&lt;nh_tq-1,((c_nom+phi_wt+phi_lt/2)+5*(h_tq-2*(c_nom+phi_wt+phi_lt/2))/(nh_tq-1))+(phi_lt/2)*0.000000,NA())</f>
        <v/>
      </c>
      <c r="CM8">
        <f>IF(inputs_ok,IF(5&lt;nh_tq-1,(b_tq-(c_nom+phi_wt+phi_lt/2))+(phi_lt/2)*-1.000000,NA()),NA())</f>
        <v/>
      </c>
      <c r="CN8">
        <f>IF(5&lt;nh_tq-1,((c_nom+phi_wt+phi_lt/2)+5*(h_tq-2*(c_nom+phi_wt+phi_lt/2))/(nh_tq-1))+(phi_lt/2)*0.000000,NA())</f>
        <v/>
      </c>
      <c r="CP8">
        <f>IF(inputs_ok,IF(6&lt;nh_tq-1,((c_nom+phi_wt+phi_lt/2))+(phi_lt/2)*-1.000000,NA()),NA())</f>
        <v/>
      </c>
      <c r="CQ8">
        <f>IF(6&lt;nh_tq-1,((c_nom+phi_wt+phi_lt/2)+6*(h_tq-2*(c_nom+phi_wt+phi_lt/2))/(nh_tq-1))+(phi_lt/2)*0.000000,NA())</f>
        <v/>
      </c>
      <c r="CS8">
        <f>IF(inputs_ok,IF(6&lt;nh_tq-1,(b_tq-(c_nom+phi_wt+phi_lt/2))+(phi_lt/2)*-1.000000,NA()),NA())</f>
        <v/>
      </c>
      <c r="CT8">
        <f>IF(6&lt;nh_tq-1,((c_nom+phi_wt+phi_lt/2)+6*(h_tq-2*(c_nom+phi_wt+phi_lt/2))/(nh_tq-1))+(phi_lt/2)*0.000000,NA())</f>
        <v/>
      </c>
    </row>
    <row r="9">
      <c r="P9">
        <f>IF(inputs_ok,IF(0&lt;nb_tq,((c_nom+phi_wt+phi_lt/2)+0*(b_tq-2*(c_nom+phi_wt+phi_lt/2))/(nb_tq-1))+(phi_lt/2)*-0.809017,NA()),NA())</f>
        <v/>
      </c>
      <c r="Q9">
        <f>IF(0&lt;nb_tq,((c_nom+phi_wt+phi_lt/2))+(phi_lt/2)*-0.587785,NA())</f>
        <v/>
      </c>
      <c r="S9">
        <f>IF(inputs_ok,IF(0&lt;nb_tq,((c_nom+phi_wt+phi_lt/2)+0*(b_tq-2*(c_nom+phi_wt+phi_lt/2))/(nb_tq-1))+(phi_lt/2)*-0.809017,NA()),NA())</f>
        <v/>
      </c>
      <c r="T9">
        <f>IF(0&lt;nb_tq,(h_tq-(c_nom+phi_wt+phi_lt/2))+(phi_lt/2)*-0.587785,NA())</f>
        <v/>
      </c>
      <c r="V9">
        <f>IF(inputs_ok,IF(1&lt;nb_tq,((c_nom+phi_wt+phi_lt/2)+1*(b_tq-2*(c_nom+phi_wt+phi_lt/2))/(nb_tq-1))+(phi_lt/2)*-0.809017,NA()),NA())</f>
        <v/>
      </c>
      <c r="W9">
        <f>IF(1&lt;nb_tq,((c_nom+phi_wt+phi_lt/2))+(phi_lt/2)*-0.587785,NA())</f>
        <v/>
      </c>
      <c r="Y9">
        <f>IF(inputs_ok,IF(1&lt;nb_tq,((c_nom+phi_wt+phi_lt/2)+1*(b_tq-2*(c_nom+phi_wt+phi_lt/2))/(nb_tq-1))+(phi_lt/2)*-0.809017,NA()),NA())</f>
        <v/>
      </c>
      <c r="Z9">
        <f>IF(1&lt;nb_tq,(h_tq-(c_nom+phi_wt+phi_lt/2))+(phi_lt/2)*-0.587785,NA())</f>
        <v/>
      </c>
      <c r="AB9">
        <f>IF(inputs_ok,IF(2&lt;nb_tq,((c_nom+phi_wt+phi_lt/2)+2*(b_tq-2*(c_nom+phi_wt+phi_lt/2))/(nb_tq-1))+(phi_lt/2)*-0.809017,NA()),NA())</f>
        <v/>
      </c>
      <c r="AC9">
        <f>IF(2&lt;nb_tq,((c_nom+phi_wt+phi_lt/2))+(phi_lt/2)*-0.587785,NA())</f>
        <v/>
      </c>
      <c r="AE9">
        <f>IF(inputs_ok,IF(2&lt;nb_tq,((c_nom+phi_wt+phi_lt/2)+2*(b_tq-2*(c_nom+phi_wt+phi_lt/2))/(nb_tq-1))+(phi_lt/2)*-0.809017,NA()),NA())</f>
        <v/>
      </c>
      <c r="AF9">
        <f>IF(2&lt;nb_tq,(h_tq-(c_nom+phi_wt+phi_lt/2))+(phi_lt/2)*-0.587785,NA())</f>
        <v/>
      </c>
      <c r="AH9">
        <f>IF(inputs_ok,IF(3&lt;nb_tq,((c_nom+phi_wt+phi_lt/2)+3*(b_tq-2*(c_nom+phi_wt+phi_lt/2))/(nb_tq-1))+(phi_lt/2)*-0.809017,NA()),NA())</f>
        <v/>
      </c>
      <c r="AI9">
        <f>IF(3&lt;nb_tq,((c_nom+phi_wt+phi_lt/2))+(phi_lt/2)*-0.587785,NA())</f>
        <v/>
      </c>
      <c r="AK9">
        <f>IF(inputs_ok,IF(3&lt;nb_tq,((c_nom+phi_wt+phi_lt/2)+3*(b_tq-2*(c_nom+phi_wt+phi_lt/2))/(nb_tq-1))+(phi_lt/2)*-0.809017,NA()),NA())</f>
        <v/>
      </c>
      <c r="AL9">
        <f>IF(3&lt;nb_tq,(h_tq-(c_nom+phi_wt+phi_lt/2))+(phi_lt/2)*-0.587785,NA())</f>
        <v/>
      </c>
      <c r="AN9">
        <f>IF(inputs_ok,IF(4&lt;nb_tq,((c_nom+phi_wt+phi_lt/2)+4*(b_tq-2*(c_nom+phi_wt+phi_lt/2))/(nb_tq-1))+(phi_lt/2)*-0.809017,NA()),NA())</f>
        <v/>
      </c>
      <c r="AO9">
        <f>IF(4&lt;nb_tq,((c_nom+phi_wt+phi_lt/2))+(phi_lt/2)*-0.587785,NA())</f>
        <v/>
      </c>
      <c r="AQ9">
        <f>IF(inputs_ok,IF(4&lt;nb_tq,((c_nom+phi_wt+phi_lt/2)+4*(b_tq-2*(c_nom+phi_wt+phi_lt/2))/(nb_tq-1))+(phi_lt/2)*-0.809017,NA()),NA())</f>
        <v/>
      </c>
      <c r="AR9">
        <f>IF(4&lt;nb_tq,(h_tq-(c_nom+phi_wt+phi_lt/2))+(phi_lt/2)*-0.587785,NA())</f>
        <v/>
      </c>
      <c r="AT9">
        <f>IF(inputs_ok,IF(5&lt;nb_tq,((c_nom+phi_wt+phi_lt/2)+5*(b_tq-2*(c_nom+phi_wt+phi_lt/2))/(nb_tq-1))+(phi_lt/2)*-0.809017,NA()),NA())</f>
        <v/>
      </c>
      <c r="AU9">
        <f>IF(5&lt;nb_tq,((c_nom+phi_wt+phi_lt/2))+(phi_lt/2)*-0.587785,NA())</f>
        <v/>
      </c>
      <c r="AW9">
        <f>IF(inputs_ok,IF(5&lt;nb_tq,((c_nom+phi_wt+phi_lt/2)+5*(b_tq-2*(c_nom+phi_wt+phi_lt/2))/(nb_tq-1))+(phi_lt/2)*-0.809017,NA()),NA())</f>
        <v/>
      </c>
      <c r="AX9">
        <f>IF(5&lt;nb_tq,(h_tq-(c_nom+phi_wt+phi_lt/2))+(phi_lt/2)*-0.587785,NA())</f>
        <v/>
      </c>
      <c r="AZ9">
        <f>IF(inputs_ok,IF(6&lt;nb_tq,((c_nom+phi_wt+phi_lt/2)+6*(b_tq-2*(c_nom+phi_wt+phi_lt/2))/(nb_tq-1))+(phi_lt/2)*-0.809017,NA()),NA())</f>
        <v/>
      </c>
      <c r="BA9">
        <f>IF(6&lt;nb_tq,((c_nom+phi_wt+phi_lt/2))+(phi_lt/2)*-0.587785,NA())</f>
        <v/>
      </c>
      <c r="BC9">
        <f>IF(inputs_ok,IF(6&lt;nb_tq,((c_nom+phi_wt+phi_lt/2)+6*(b_tq-2*(c_nom+phi_wt+phi_lt/2))/(nb_tq-1))+(phi_lt/2)*-0.809017,NA()),NA())</f>
        <v/>
      </c>
      <c r="BD9">
        <f>IF(6&lt;nb_tq,(h_tq-(c_nom+phi_wt+phi_lt/2))+(phi_lt/2)*-0.587785,NA())</f>
        <v/>
      </c>
      <c r="BF9">
        <f>IF(inputs_ok,IF(7&lt;nb_tq,((c_nom+phi_wt+phi_lt/2)+7*(b_tq-2*(c_nom+phi_wt+phi_lt/2))/(nb_tq-1))+(phi_lt/2)*-0.809017,NA()),NA())</f>
        <v/>
      </c>
      <c r="BG9">
        <f>IF(7&lt;nb_tq,((c_nom+phi_wt+phi_lt/2))+(phi_lt/2)*-0.587785,NA())</f>
        <v/>
      </c>
      <c r="BI9">
        <f>IF(inputs_ok,IF(7&lt;nb_tq,((c_nom+phi_wt+phi_lt/2)+7*(b_tq-2*(c_nom+phi_wt+phi_lt/2))/(nb_tq-1))+(phi_lt/2)*-0.809017,NA()),NA())</f>
        <v/>
      </c>
      <c r="BJ9">
        <f>IF(7&lt;nb_tq,(h_tq-(c_nom+phi_wt+phi_lt/2))+(phi_lt/2)*-0.587785,NA())</f>
        <v/>
      </c>
      <c r="BL9">
        <f>IF(inputs_ok,IF(1&lt;nh_tq-1,((c_nom+phi_wt+phi_lt/2))+(phi_lt/2)*-0.809017,NA()),NA())</f>
        <v/>
      </c>
      <c r="BM9">
        <f>IF(1&lt;nh_tq-1,((c_nom+phi_wt+phi_lt/2)+1*(h_tq-2*(c_nom+phi_wt+phi_lt/2))/(nh_tq-1))+(phi_lt/2)*-0.587785,NA())</f>
        <v/>
      </c>
      <c r="BO9">
        <f>IF(inputs_ok,IF(1&lt;nh_tq-1,(b_tq-(c_nom+phi_wt+phi_lt/2))+(phi_lt/2)*-0.809017,NA()),NA())</f>
        <v/>
      </c>
      <c r="BP9">
        <f>IF(1&lt;nh_tq-1,((c_nom+phi_wt+phi_lt/2)+1*(h_tq-2*(c_nom+phi_wt+phi_lt/2))/(nh_tq-1))+(phi_lt/2)*-0.587785,NA())</f>
        <v/>
      </c>
      <c r="BR9">
        <f>IF(inputs_ok,IF(2&lt;nh_tq-1,((c_nom+phi_wt+phi_lt/2))+(phi_lt/2)*-0.809017,NA()),NA())</f>
        <v/>
      </c>
      <c r="BS9">
        <f>IF(2&lt;nh_tq-1,((c_nom+phi_wt+phi_lt/2)+2*(h_tq-2*(c_nom+phi_wt+phi_lt/2))/(nh_tq-1))+(phi_lt/2)*-0.587785,NA())</f>
        <v/>
      </c>
      <c r="BU9">
        <f>IF(inputs_ok,IF(2&lt;nh_tq-1,(b_tq-(c_nom+phi_wt+phi_lt/2))+(phi_lt/2)*-0.809017,NA()),NA())</f>
        <v/>
      </c>
      <c r="BV9">
        <f>IF(2&lt;nh_tq-1,((c_nom+phi_wt+phi_lt/2)+2*(h_tq-2*(c_nom+phi_wt+phi_lt/2))/(nh_tq-1))+(phi_lt/2)*-0.587785,NA())</f>
        <v/>
      </c>
      <c r="BX9">
        <f>IF(inputs_ok,IF(3&lt;nh_tq-1,((c_nom+phi_wt+phi_lt/2))+(phi_lt/2)*-0.809017,NA()),NA())</f>
        <v/>
      </c>
      <c r="BY9">
        <f>IF(3&lt;nh_tq-1,((c_nom+phi_wt+phi_lt/2)+3*(h_tq-2*(c_nom+phi_wt+phi_lt/2))/(nh_tq-1))+(phi_lt/2)*-0.587785,NA())</f>
        <v/>
      </c>
      <c r="CA9">
        <f>IF(inputs_ok,IF(3&lt;nh_tq-1,(b_tq-(c_nom+phi_wt+phi_lt/2))+(phi_lt/2)*-0.809017,NA()),NA())</f>
        <v/>
      </c>
      <c r="CB9">
        <f>IF(3&lt;nh_tq-1,((c_nom+phi_wt+phi_lt/2)+3*(h_tq-2*(c_nom+phi_wt+phi_lt/2))/(nh_tq-1))+(phi_lt/2)*-0.587785,NA())</f>
        <v/>
      </c>
      <c r="CD9">
        <f>IF(inputs_ok,IF(4&lt;nh_tq-1,((c_nom+phi_wt+phi_lt/2))+(phi_lt/2)*-0.809017,NA()),NA())</f>
        <v/>
      </c>
      <c r="CE9">
        <f>IF(4&lt;nh_tq-1,((c_nom+phi_wt+phi_lt/2)+4*(h_tq-2*(c_nom+phi_wt+phi_lt/2))/(nh_tq-1))+(phi_lt/2)*-0.587785,NA())</f>
        <v/>
      </c>
      <c r="CG9">
        <f>IF(inputs_ok,IF(4&lt;nh_tq-1,(b_tq-(c_nom+phi_wt+phi_lt/2))+(phi_lt/2)*-0.809017,NA()),NA())</f>
        <v/>
      </c>
      <c r="CH9">
        <f>IF(4&lt;nh_tq-1,((c_nom+phi_wt+phi_lt/2)+4*(h_tq-2*(c_nom+phi_wt+phi_lt/2))/(nh_tq-1))+(phi_lt/2)*-0.587785,NA())</f>
        <v/>
      </c>
      <c r="CJ9">
        <f>IF(inputs_ok,IF(5&lt;nh_tq-1,((c_nom+phi_wt+phi_lt/2))+(phi_lt/2)*-0.809017,NA()),NA())</f>
        <v/>
      </c>
      <c r="CK9">
        <f>IF(5&lt;nh_tq-1,((c_nom+phi_wt+phi_lt/2)+5*(h_tq-2*(c_nom+phi_wt+phi_lt/2))/(nh_tq-1))+(phi_lt/2)*-0.587785,NA())</f>
        <v/>
      </c>
      <c r="CM9">
        <f>IF(inputs_ok,IF(5&lt;nh_tq-1,(b_tq-(c_nom+phi_wt+phi_lt/2))+(phi_lt/2)*-0.809017,NA()),NA())</f>
        <v/>
      </c>
      <c r="CN9">
        <f>IF(5&lt;nh_tq-1,((c_nom+phi_wt+phi_lt/2)+5*(h_tq-2*(c_nom+phi_wt+phi_lt/2))/(nh_tq-1))+(phi_lt/2)*-0.587785,NA())</f>
        <v/>
      </c>
      <c r="CP9">
        <f>IF(inputs_ok,IF(6&lt;nh_tq-1,((c_nom+phi_wt+phi_lt/2))+(phi_lt/2)*-0.809017,NA()),NA())</f>
        <v/>
      </c>
      <c r="CQ9">
        <f>IF(6&lt;nh_tq-1,((c_nom+phi_wt+phi_lt/2)+6*(h_tq-2*(c_nom+phi_wt+phi_lt/2))/(nh_tq-1))+(phi_lt/2)*-0.587785,NA())</f>
        <v/>
      </c>
      <c r="CS9">
        <f>IF(inputs_ok,IF(6&lt;nh_tq-1,(b_tq-(c_nom+phi_wt+phi_lt/2))+(phi_lt/2)*-0.809017,NA()),NA())</f>
        <v/>
      </c>
      <c r="CT9">
        <f>IF(6&lt;nh_tq-1,((c_nom+phi_wt+phi_lt/2)+6*(h_tq-2*(c_nom+phi_wt+phi_lt/2))/(nh_tq-1))+(phi_lt/2)*-0.587785,NA())</f>
        <v/>
      </c>
    </row>
    <row r="10">
      <c r="P10">
        <f>IF(inputs_ok,IF(0&lt;nb_tq,((c_nom+phi_wt+phi_lt/2)+0*(b_tq-2*(c_nom+phi_wt+phi_lt/2))/(nb_tq-1))+(phi_lt/2)*-0.309017,NA()),NA())</f>
        <v/>
      </c>
      <c r="Q10">
        <f>IF(0&lt;nb_tq,((c_nom+phi_wt+phi_lt/2))+(phi_lt/2)*-0.951057,NA())</f>
        <v/>
      </c>
      <c r="S10">
        <f>IF(inputs_ok,IF(0&lt;nb_tq,((c_nom+phi_wt+phi_lt/2)+0*(b_tq-2*(c_nom+phi_wt+phi_lt/2))/(nb_tq-1))+(phi_lt/2)*-0.309017,NA()),NA())</f>
        <v/>
      </c>
      <c r="T10">
        <f>IF(0&lt;nb_tq,(h_tq-(c_nom+phi_wt+phi_lt/2))+(phi_lt/2)*-0.951057,NA())</f>
        <v/>
      </c>
      <c r="V10">
        <f>IF(inputs_ok,IF(1&lt;nb_tq,((c_nom+phi_wt+phi_lt/2)+1*(b_tq-2*(c_nom+phi_wt+phi_lt/2))/(nb_tq-1))+(phi_lt/2)*-0.309017,NA()),NA())</f>
        <v/>
      </c>
      <c r="W10">
        <f>IF(1&lt;nb_tq,((c_nom+phi_wt+phi_lt/2))+(phi_lt/2)*-0.951057,NA())</f>
        <v/>
      </c>
      <c r="Y10">
        <f>IF(inputs_ok,IF(1&lt;nb_tq,((c_nom+phi_wt+phi_lt/2)+1*(b_tq-2*(c_nom+phi_wt+phi_lt/2))/(nb_tq-1))+(phi_lt/2)*-0.309017,NA()),NA())</f>
        <v/>
      </c>
      <c r="Z10">
        <f>IF(1&lt;nb_tq,(h_tq-(c_nom+phi_wt+phi_lt/2))+(phi_lt/2)*-0.951057,NA())</f>
        <v/>
      </c>
      <c r="AB10">
        <f>IF(inputs_ok,IF(2&lt;nb_tq,((c_nom+phi_wt+phi_lt/2)+2*(b_tq-2*(c_nom+phi_wt+phi_lt/2))/(nb_tq-1))+(phi_lt/2)*-0.309017,NA()),NA())</f>
        <v/>
      </c>
      <c r="AC10">
        <f>IF(2&lt;nb_tq,((c_nom+phi_wt+phi_lt/2))+(phi_lt/2)*-0.951057,NA())</f>
        <v/>
      </c>
      <c r="AE10">
        <f>IF(inputs_ok,IF(2&lt;nb_tq,((c_nom+phi_wt+phi_lt/2)+2*(b_tq-2*(c_nom+phi_wt+phi_lt/2))/(nb_tq-1))+(phi_lt/2)*-0.309017,NA()),NA())</f>
        <v/>
      </c>
      <c r="AF10">
        <f>IF(2&lt;nb_tq,(h_tq-(c_nom+phi_wt+phi_lt/2))+(phi_lt/2)*-0.951057,NA())</f>
        <v/>
      </c>
      <c r="AH10">
        <f>IF(inputs_ok,IF(3&lt;nb_tq,((c_nom+phi_wt+phi_lt/2)+3*(b_tq-2*(c_nom+phi_wt+phi_lt/2))/(nb_tq-1))+(phi_lt/2)*-0.309017,NA()),NA())</f>
        <v/>
      </c>
      <c r="AI10">
        <f>IF(3&lt;nb_tq,((c_nom+phi_wt+phi_lt/2))+(phi_lt/2)*-0.951057,NA())</f>
        <v/>
      </c>
      <c r="AK10">
        <f>IF(inputs_ok,IF(3&lt;nb_tq,((c_nom+phi_wt+phi_lt/2)+3*(b_tq-2*(c_nom+phi_wt+phi_lt/2))/(nb_tq-1))+(phi_lt/2)*-0.309017,NA()),NA())</f>
        <v/>
      </c>
      <c r="AL10">
        <f>IF(3&lt;nb_tq,(h_tq-(c_nom+phi_wt+phi_lt/2))+(phi_lt/2)*-0.951057,NA())</f>
        <v/>
      </c>
      <c r="AN10">
        <f>IF(inputs_ok,IF(4&lt;nb_tq,((c_nom+phi_wt+phi_lt/2)+4*(b_tq-2*(c_nom+phi_wt+phi_lt/2))/(nb_tq-1))+(phi_lt/2)*-0.309017,NA()),NA())</f>
        <v/>
      </c>
      <c r="AO10">
        <f>IF(4&lt;nb_tq,((c_nom+phi_wt+phi_lt/2))+(phi_lt/2)*-0.951057,NA())</f>
        <v/>
      </c>
      <c r="AQ10">
        <f>IF(inputs_ok,IF(4&lt;nb_tq,((c_nom+phi_wt+phi_lt/2)+4*(b_tq-2*(c_nom+phi_wt+phi_lt/2))/(nb_tq-1))+(phi_lt/2)*-0.309017,NA()),NA())</f>
        <v/>
      </c>
      <c r="AR10">
        <f>IF(4&lt;nb_tq,(h_tq-(c_nom+phi_wt+phi_lt/2))+(phi_lt/2)*-0.951057,NA())</f>
        <v/>
      </c>
      <c r="AT10">
        <f>IF(inputs_ok,IF(5&lt;nb_tq,((c_nom+phi_wt+phi_lt/2)+5*(b_tq-2*(c_nom+phi_wt+phi_lt/2))/(nb_tq-1))+(phi_lt/2)*-0.309017,NA()),NA())</f>
        <v/>
      </c>
      <c r="AU10">
        <f>IF(5&lt;nb_tq,((c_nom+phi_wt+phi_lt/2))+(phi_lt/2)*-0.951057,NA())</f>
        <v/>
      </c>
      <c r="AW10">
        <f>IF(inputs_ok,IF(5&lt;nb_tq,((c_nom+phi_wt+phi_lt/2)+5*(b_tq-2*(c_nom+phi_wt+phi_lt/2))/(nb_tq-1))+(phi_lt/2)*-0.309017,NA()),NA())</f>
        <v/>
      </c>
      <c r="AX10">
        <f>IF(5&lt;nb_tq,(h_tq-(c_nom+phi_wt+phi_lt/2))+(phi_lt/2)*-0.951057,NA())</f>
        <v/>
      </c>
      <c r="AZ10">
        <f>IF(inputs_ok,IF(6&lt;nb_tq,((c_nom+phi_wt+phi_lt/2)+6*(b_tq-2*(c_nom+phi_wt+phi_lt/2))/(nb_tq-1))+(phi_lt/2)*-0.309017,NA()),NA())</f>
        <v/>
      </c>
      <c r="BA10">
        <f>IF(6&lt;nb_tq,((c_nom+phi_wt+phi_lt/2))+(phi_lt/2)*-0.951057,NA())</f>
        <v/>
      </c>
      <c r="BC10">
        <f>IF(inputs_ok,IF(6&lt;nb_tq,((c_nom+phi_wt+phi_lt/2)+6*(b_tq-2*(c_nom+phi_wt+phi_lt/2))/(nb_tq-1))+(phi_lt/2)*-0.309017,NA()),NA())</f>
        <v/>
      </c>
      <c r="BD10">
        <f>IF(6&lt;nb_tq,(h_tq-(c_nom+phi_wt+phi_lt/2))+(phi_lt/2)*-0.951057,NA())</f>
        <v/>
      </c>
      <c r="BF10">
        <f>IF(inputs_ok,IF(7&lt;nb_tq,((c_nom+phi_wt+phi_lt/2)+7*(b_tq-2*(c_nom+phi_wt+phi_lt/2))/(nb_tq-1))+(phi_lt/2)*-0.309017,NA()),NA())</f>
        <v/>
      </c>
      <c r="BG10">
        <f>IF(7&lt;nb_tq,((c_nom+phi_wt+phi_lt/2))+(phi_lt/2)*-0.951057,NA())</f>
        <v/>
      </c>
      <c r="BI10">
        <f>IF(inputs_ok,IF(7&lt;nb_tq,((c_nom+phi_wt+phi_lt/2)+7*(b_tq-2*(c_nom+phi_wt+phi_lt/2))/(nb_tq-1))+(phi_lt/2)*-0.309017,NA()),NA())</f>
        <v/>
      </c>
      <c r="BJ10">
        <f>IF(7&lt;nb_tq,(h_tq-(c_nom+phi_wt+phi_lt/2))+(phi_lt/2)*-0.951057,NA())</f>
        <v/>
      </c>
      <c r="BL10">
        <f>IF(inputs_ok,IF(1&lt;nh_tq-1,((c_nom+phi_wt+phi_lt/2))+(phi_lt/2)*-0.309017,NA()),NA())</f>
        <v/>
      </c>
      <c r="BM10">
        <f>IF(1&lt;nh_tq-1,((c_nom+phi_wt+phi_lt/2)+1*(h_tq-2*(c_nom+phi_wt+phi_lt/2))/(nh_tq-1))+(phi_lt/2)*-0.951057,NA())</f>
        <v/>
      </c>
      <c r="BO10">
        <f>IF(inputs_ok,IF(1&lt;nh_tq-1,(b_tq-(c_nom+phi_wt+phi_lt/2))+(phi_lt/2)*-0.309017,NA()),NA())</f>
        <v/>
      </c>
      <c r="BP10">
        <f>IF(1&lt;nh_tq-1,((c_nom+phi_wt+phi_lt/2)+1*(h_tq-2*(c_nom+phi_wt+phi_lt/2))/(nh_tq-1))+(phi_lt/2)*-0.951057,NA())</f>
        <v/>
      </c>
      <c r="BR10">
        <f>IF(inputs_ok,IF(2&lt;nh_tq-1,((c_nom+phi_wt+phi_lt/2))+(phi_lt/2)*-0.309017,NA()),NA())</f>
        <v/>
      </c>
      <c r="BS10">
        <f>IF(2&lt;nh_tq-1,((c_nom+phi_wt+phi_lt/2)+2*(h_tq-2*(c_nom+phi_wt+phi_lt/2))/(nh_tq-1))+(phi_lt/2)*-0.951057,NA())</f>
        <v/>
      </c>
      <c r="BU10">
        <f>IF(inputs_ok,IF(2&lt;nh_tq-1,(b_tq-(c_nom+phi_wt+phi_lt/2))+(phi_lt/2)*-0.309017,NA()),NA())</f>
        <v/>
      </c>
      <c r="BV10">
        <f>IF(2&lt;nh_tq-1,((c_nom+phi_wt+phi_lt/2)+2*(h_tq-2*(c_nom+phi_wt+phi_lt/2))/(nh_tq-1))+(phi_lt/2)*-0.951057,NA())</f>
        <v/>
      </c>
      <c r="BX10">
        <f>IF(inputs_ok,IF(3&lt;nh_tq-1,((c_nom+phi_wt+phi_lt/2))+(phi_lt/2)*-0.309017,NA()),NA())</f>
        <v/>
      </c>
      <c r="BY10">
        <f>IF(3&lt;nh_tq-1,((c_nom+phi_wt+phi_lt/2)+3*(h_tq-2*(c_nom+phi_wt+phi_lt/2))/(nh_tq-1))+(phi_lt/2)*-0.951057,NA())</f>
        <v/>
      </c>
      <c r="CA10">
        <f>IF(inputs_ok,IF(3&lt;nh_tq-1,(b_tq-(c_nom+phi_wt+phi_lt/2))+(phi_lt/2)*-0.309017,NA()),NA())</f>
        <v/>
      </c>
      <c r="CB10">
        <f>IF(3&lt;nh_tq-1,((c_nom+phi_wt+phi_lt/2)+3*(h_tq-2*(c_nom+phi_wt+phi_lt/2))/(nh_tq-1))+(phi_lt/2)*-0.951057,NA())</f>
        <v/>
      </c>
      <c r="CD10">
        <f>IF(inputs_ok,IF(4&lt;nh_tq-1,((c_nom+phi_wt+phi_lt/2))+(phi_lt/2)*-0.309017,NA()),NA())</f>
        <v/>
      </c>
      <c r="CE10">
        <f>IF(4&lt;nh_tq-1,((c_nom+phi_wt+phi_lt/2)+4*(h_tq-2*(c_nom+phi_wt+phi_lt/2))/(nh_tq-1))+(phi_lt/2)*-0.951057,NA())</f>
        <v/>
      </c>
      <c r="CG10">
        <f>IF(inputs_ok,IF(4&lt;nh_tq-1,(b_tq-(c_nom+phi_wt+phi_lt/2))+(phi_lt/2)*-0.309017,NA()),NA())</f>
        <v/>
      </c>
      <c r="CH10">
        <f>IF(4&lt;nh_tq-1,((c_nom+phi_wt+phi_lt/2)+4*(h_tq-2*(c_nom+phi_wt+phi_lt/2))/(nh_tq-1))+(phi_lt/2)*-0.951057,NA())</f>
        <v/>
      </c>
      <c r="CJ10">
        <f>IF(inputs_ok,IF(5&lt;nh_tq-1,((c_nom+phi_wt+phi_lt/2))+(phi_lt/2)*-0.309017,NA()),NA())</f>
        <v/>
      </c>
      <c r="CK10">
        <f>IF(5&lt;nh_tq-1,((c_nom+phi_wt+phi_lt/2)+5*(h_tq-2*(c_nom+phi_wt+phi_lt/2))/(nh_tq-1))+(phi_lt/2)*-0.951057,NA())</f>
        <v/>
      </c>
      <c r="CM10">
        <f>IF(inputs_ok,IF(5&lt;nh_tq-1,(b_tq-(c_nom+phi_wt+phi_lt/2))+(phi_lt/2)*-0.309017,NA()),NA())</f>
        <v/>
      </c>
      <c r="CN10">
        <f>IF(5&lt;nh_tq-1,((c_nom+phi_wt+phi_lt/2)+5*(h_tq-2*(c_nom+phi_wt+phi_lt/2))/(nh_tq-1))+(phi_lt/2)*-0.951057,NA())</f>
        <v/>
      </c>
      <c r="CP10">
        <f>IF(inputs_ok,IF(6&lt;nh_tq-1,((c_nom+phi_wt+phi_lt/2))+(phi_lt/2)*-0.309017,NA()),NA())</f>
        <v/>
      </c>
      <c r="CQ10">
        <f>IF(6&lt;nh_tq-1,((c_nom+phi_wt+phi_lt/2)+6*(h_tq-2*(c_nom+phi_wt+phi_lt/2))/(nh_tq-1))+(phi_lt/2)*-0.951057,NA())</f>
        <v/>
      </c>
      <c r="CS10">
        <f>IF(inputs_ok,IF(6&lt;nh_tq-1,(b_tq-(c_nom+phi_wt+phi_lt/2))+(phi_lt/2)*-0.309017,NA()),NA())</f>
        <v/>
      </c>
      <c r="CT10">
        <f>IF(6&lt;nh_tq-1,((c_nom+phi_wt+phi_lt/2)+6*(h_tq-2*(c_nom+phi_wt+phi_lt/2))/(nh_tq-1))+(phi_lt/2)*-0.951057,NA())</f>
        <v/>
      </c>
    </row>
    <row r="11">
      <c r="P11">
        <f>IF(inputs_ok,IF(0&lt;nb_tq,((c_nom+phi_wt+phi_lt/2)+0*(b_tq-2*(c_nom+phi_wt+phi_lt/2))/(nb_tq-1))+(phi_lt/2)*0.309017,NA()),NA())</f>
        <v/>
      </c>
      <c r="Q11">
        <f>IF(0&lt;nb_tq,((c_nom+phi_wt+phi_lt/2))+(phi_lt/2)*-0.951057,NA())</f>
        <v/>
      </c>
      <c r="S11">
        <f>IF(inputs_ok,IF(0&lt;nb_tq,((c_nom+phi_wt+phi_lt/2)+0*(b_tq-2*(c_nom+phi_wt+phi_lt/2))/(nb_tq-1))+(phi_lt/2)*0.309017,NA()),NA())</f>
        <v/>
      </c>
      <c r="T11">
        <f>IF(0&lt;nb_tq,(h_tq-(c_nom+phi_wt+phi_lt/2))+(phi_lt/2)*-0.951057,NA())</f>
        <v/>
      </c>
      <c r="V11">
        <f>IF(inputs_ok,IF(1&lt;nb_tq,((c_nom+phi_wt+phi_lt/2)+1*(b_tq-2*(c_nom+phi_wt+phi_lt/2))/(nb_tq-1))+(phi_lt/2)*0.309017,NA()),NA())</f>
        <v/>
      </c>
      <c r="W11">
        <f>IF(1&lt;nb_tq,((c_nom+phi_wt+phi_lt/2))+(phi_lt/2)*-0.951057,NA())</f>
        <v/>
      </c>
      <c r="Y11">
        <f>IF(inputs_ok,IF(1&lt;nb_tq,((c_nom+phi_wt+phi_lt/2)+1*(b_tq-2*(c_nom+phi_wt+phi_lt/2))/(nb_tq-1))+(phi_lt/2)*0.309017,NA()),NA())</f>
        <v/>
      </c>
      <c r="Z11">
        <f>IF(1&lt;nb_tq,(h_tq-(c_nom+phi_wt+phi_lt/2))+(phi_lt/2)*-0.951057,NA())</f>
        <v/>
      </c>
      <c r="AB11">
        <f>IF(inputs_ok,IF(2&lt;nb_tq,((c_nom+phi_wt+phi_lt/2)+2*(b_tq-2*(c_nom+phi_wt+phi_lt/2))/(nb_tq-1))+(phi_lt/2)*0.309017,NA()),NA())</f>
        <v/>
      </c>
      <c r="AC11">
        <f>IF(2&lt;nb_tq,((c_nom+phi_wt+phi_lt/2))+(phi_lt/2)*-0.951057,NA())</f>
        <v/>
      </c>
      <c r="AE11">
        <f>IF(inputs_ok,IF(2&lt;nb_tq,((c_nom+phi_wt+phi_lt/2)+2*(b_tq-2*(c_nom+phi_wt+phi_lt/2))/(nb_tq-1))+(phi_lt/2)*0.309017,NA()),NA())</f>
        <v/>
      </c>
      <c r="AF11">
        <f>IF(2&lt;nb_tq,(h_tq-(c_nom+phi_wt+phi_lt/2))+(phi_lt/2)*-0.951057,NA())</f>
        <v/>
      </c>
      <c r="AH11">
        <f>IF(inputs_ok,IF(3&lt;nb_tq,((c_nom+phi_wt+phi_lt/2)+3*(b_tq-2*(c_nom+phi_wt+phi_lt/2))/(nb_tq-1))+(phi_lt/2)*0.309017,NA()),NA())</f>
        <v/>
      </c>
      <c r="AI11">
        <f>IF(3&lt;nb_tq,((c_nom+phi_wt+phi_lt/2))+(phi_lt/2)*-0.951057,NA())</f>
        <v/>
      </c>
      <c r="AK11">
        <f>IF(inputs_ok,IF(3&lt;nb_tq,((c_nom+phi_wt+phi_lt/2)+3*(b_tq-2*(c_nom+phi_wt+phi_lt/2))/(nb_tq-1))+(phi_lt/2)*0.309017,NA()),NA())</f>
        <v/>
      </c>
      <c r="AL11">
        <f>IF(3&lt;nb_tq,(h_tq-(c_nom+phi_wt+phi_lt/2))+(phi_lt/2)*-0.951057,NA())</f>
        <v/>
      </c>
      <c r="AN11">
        <f>IF(inputs_ok,IF(4&lt;nb_tq,((c_nom+phi_wt+phi_lt/2)+4*(b_tq-2*(c_nom+phi_wt+phi_lt/2))/(nb_tq-1))+(phi_lt/2)*0.309017,NA()),NA())</f>
        <v/>
      </c>
      <c r="AO11">
        <f>IF(4&lt;nb_tq,((c_nom+phi_wt+phi_lt/2))+(phi_lt/2)*-0.951057,NA())</f>
        <v/>
      </c>
      <c r="AQ11">
        <f>IF(inputs_ok,IF(4&lt;nb_tq,((c_nom+phi_wt+phi_lt/2)+4*(b_tq-2*(c_nom+phi_wt+phi_lt/2))/(nb_tq-1))+(phi_lt/2)*0.309017,NA()),NA())</f>
        <v/>
      </c>
      <c r="AR11">
        <f>IF(4&lt;nb_tq,(h_tq-(c_nom+phi_wt+phi_lt/2))+(phi_lt/2)*-0.951057,NA())</f>
        <v/>
      </c>
      <c r="AT11">
        <f>IF(inputs_ok,IF(5&lt;nb_tq,((c_nom+phi_wt+phi_lt/2)+5*(b_tq-2*(c_nom+phi_wt+phi_lt/2))/(nb_tq-1))+(phi_lt/2)*0.309017,NA()),NA())</f>
        <v/>
      </c>
      <c r="AU11">
        <f>IF(5&lt;nb_tq,((c_nom+phi_wt+phi_lt/2))+(phi_lt/2)*-0.951057,NA())</f>
        <v/>
      </c>
      <c r="AW11">
        <f>IF(inputs_ok,IF(5&lt;nb_tq,((c_nom+phi_wt+phi_lt/2)+5*(b_tq-2*(c_nom+phi_wt+phi_lt/2))/(nb_tq-1))+(phi_lt/2)*0.309017,NA()),NA())</f>
        <v/>
      </c>
      <c r="AX11">
        <f>IF(5&lt;nb_tq,(h_tq-(c_nom+phi_wt+phi_lt/2))+(phi_lt/2)*-0.951057,NA())</f>
        <v/>
      </c>
      <c r="AZ11">
        <f>IF(inputs_ok,IF(6&lt;nb_tq,((c_nom+phi_wt+phi_lt/2)+6*(b_tq-2*(c_nom+phi_wt+phi_lt/2))/(nb_tq-1))+(phi_lt/2)*0.309017,NA()),NA())</f>
        <v/>
      </c>
      <c r="BA11">
        <f>IF(6&lt;nb_tq,((c_nom+phi_wt+phi_lt/2))+(phi_lt/2)*-0.951057,NA())</f>
        <v/>
      </c>
      <c r="BC11">
        <f>IF(inputs_ok,IF(6&lt;nb_tq,((c_nom+phi_wt+phi_lt/2)+6*(b_tq-2*(c_nom+phi_wt+phi_lt/2))/(nb_tq-1))+(phi_lt/2)*0.309017,NA()),NA())</f>
        <v/>
      </c>
      <c r="BD11">
        <f>IF(6&lt;nb_tq,(h_tq-(c_nom+phi_wt+phi_lt/2))+(phi_lt/2)*-0.951057,NA())</f>
        <v/>
      </c>
      <c r="BF11">
        <f>IF(inputs_ok,IF(7&lt;nb_tq,((c_nom+phi_wt+phi_lt/2)+7*(b_tq-2*(c_nom+phi_wt+phi_lt/2))/(nb_tq-1))+(phi_lt/2)*0.309017,NA()),NA())</f>
        <v/>
      </c>
      <c r="BG11">
        <f>IF(7&lt;nb_tq,((c_nom+phi_wt+phi_lt/2))+(phi_lt/2)*-0.951057,NA())</f>
        <v/>
      </c>
      <c r="BI11">
        <f>IF(inputs_ok,IF(7&lt;nb_tq,((c_nom+phi_wt+phi_lt/2)+7*(b_tq-2*(c_nom+phi_wt+phi_lt/2))/(nb_tq-1))+(phi_lt/2)*0.309017,NA()),NA())</f>
        <v/>
      </c>
      <c r="BJ11">
        <f>IF(7&lt;nb_tq,(h_tq-(c_nom+phi_wt+phi_lt/2))+(phi_lt/2)*-0.951057,NA())</f>
        <v/>
      </c>
      <c r="BL11">
        <f>IF(inputs_ok,IF(1&lt;nh_tq-1,((c_nom+phi_wt+phi_lt/2))+(phi_lt/2)*0.309017,NA()),NA())</f>
        <v/>
      </c>
      <c r="BM11">
        <f>IF(1&lt;nh_tq-1,((c_nom+phi_wt+phi_lt/2)+1*(h_tq-2*(c_nom+phi_wt+phi_lt/2))/(nh_tq-1))+(phi_lt/2)*-0.951057,NA())</f>
        <v/>
      </c>
      <c r="BO11">
        <f>IF(inputs_ok,IF(1&lt;nh_tq-1,(b_tq-(c_nom+phi_wt+phi_lt/2))+(phi_lt/2)*0.309017,NA()),NA())</f>
        <v/>
      </c>
      <c r="BP11">
        <f>IF(1&lt;nh_tq-1,((c_nom+phi_wt+phi_lt/2)+1*(h_tq-2*(c_nom+phi_wt+phi_lt/2))/(nh_tq-1))+(phi_lt/2)*-0.951057,NA())</f>
        <v/>
      </c>
      <c r="BR11">
        <f>IF(inputs_ok,IF(2&lt;nh_tq-1,((c_nom+phi_wt+phi_lt/2))+(phi_lt/2)*0.309017,NA()),NA())</f>
        <v/>
      </c>
      <c r="BS11">
        <f>IF(2&lt;nh_tq-1,((c_nom+phi_wt+phi_lt/2)+2*(h_tq-2*(c_nom+phi_wt+phi_lt/2))/(nh_tq-1))+(phi_lt/2)*-0.951057,NA())</f>
        <v/>
      </c>
      <c r="BU11">
        <f>IF(inputs_ok,IF(2&lt;nh_tq-1,(b_tq-(c_nom+phi_wt+phi_lt/2))+(phi_lt/2)*0.309017,NA()),NA())</f>
        <v/>
      </c>
      <c r="BV11">
        <f>IF(2&lt;nh_tq-1,((c_nom+phi_wt+phi_lt/2)+2*(h_tq-2*(c_nom+phi_wt+phi_lt/2))/(nh_tq-1))+(phi_lt/2)*-0.951057,NA())</f>
        <v/>
      </c>
      <c r="BX11">
        <f>IF(inputs_ok,IF(3&lt;nh_tq-1,((c_nom+phi_wt+phi_lt/2))+(phi_lt/2)*0.309017,NA()),NA())</f>
        <v/>
      </c>
      <c r="BY11">
        <f>IF(3&lt;nh_tq-1,((c_nom+phi_wt+phi_lt/2)+3*(h_tq-2*(c_nom+phi_wt+phi_lt/2))/(nh_tq-1))+(phi_lt/2)*-0.951057,NA())</f>
        <v/>
      </c>
      <c r="CA11">
        <f>IF(inputs_ok,IF(3&lt;nh_tq-1,(b_tq-(c_nom+phi_wt+phi_lt/2))+(phi_lt/2)*0.309017,NA()),NA())</f>
        <v/>
      </c>
      <c r="CB11">
        <f>IF(3&lt;nh_tq-1,((c_nom+phi_wt+phi_lt/2)+3*(h_tq-2*(c_nom+phi_wt+phi_lt/2))/(nh_tq-1))+(phi_lt/2)*-0.951057,NA())</f>
        <v/>
      </c>
      <c r="CD11">
        <f>IF(inputs_ok,IF(4&lt;nh_tq-1,((c_nom+phi_wt+phi_lt/2))+(phi_lt/2)*0.309017,NA()),NA())</f>
        <v/>
      </c>
      <c r="CE11">
        <f>IF(4&lt;nh_tq-1,((c_nom+phi_wt+phi_lt/2)+4*(h_tq-2*(c_nom+phi_wt+phi_lt/2))/(nh_tq-1))+(phi_lt/2)*-0.951057,NA())</f>
        <v/>
      </c>
      <c r="CG11">
        <f>IF(inputs_ok,IF(4&lt;nh_tq-1,(b_tq-(c_nom+phi_wt+phi_lt/2))+(phi_lt/2)*0.309017,NA()),NA())</f>
        <v/>
      </c>
      <c r="CH11">
        <f>IF(4&lt;nh_tq-1,((c_nom+phi_wt+phi_lt/2)+4*(h_tq-2*(c_nom+phi_wt+phi_lt/2))/(nh_tq-1))+(phi_lt/2)*-0.951057,NA())</f>
        <v/>
      </c>
      <c r="CJ11">
        <f>IF(inputs_ok,IF(5&lt;nh_tq-1,((c_nom+phi_wt+phi_lt/2))+(phi_lt/2)*0.309017,NA()),NA())</f>
        <v/>
      </c>
      <c r="CK11">
        <f>IF(5&lt;nh_tq-1,((c_nom+phi_wt+phi_lt/2)+5*(h_tq-2*(c_nom+phi_wt+phi_lt/2))/(nh_tq-1))+(phi_lt/2)*-0.951057,NA())</f>
        <v/>
      </c>
      <c r="CM11">
        <f>IF(inputs_ok,IF(5&lt;nh_tq-1,(b_tq-(c_nom+phi_wt+phi_lt/2))+(phi_lt/2)*0.309017,NA()),NA())</f>
        <v/>
      </c>
      <c r="CN11">
        <f>IF(5&lt;nh_tq-1,((c_nom+phi_wt+phi_lt/2)+5*(h_tq-2*(c_nom+phi_wt+phi_lt/2))/(nh_tq-1))+(phi_lt/2)*-0.951057,NA())</f>
        <v/>
      </c>
      <c r="CP11">
        <f>IF(inputs_ok,IF(6&lt;nh_tq-1,((c_nom+phi_wt+phi_lt/2))+(phi_lt/2)*0.309017,NA()),NA())</f>
        <v/>
      </c>
      <c r="CQ11">
        <f>IF(6&lt;nh_tq-1,((c_nom+phi_wt+phi_lt/2)+6*(h_tq-2*(c_nom+phi_wt+phi_lt/2))/(nh_tq-1))+(phi_lt/2)*-0.951057,NA())</f>
        <v/>
      </c>
      <c r="CS11">
        <f>IF(inputs_ok,IF(6&lt;nh_tq-1,(b_tq-(c_nom+phi_wt+phi_lt/2))+(phi_lt/2)*0.309017,NA()),NA())</f>
        <v/>
      </c>
      <c r="CT11">
        <f>IF(6&lt;nh_tq-1,((c_nom+phi_wt+phi_lt/2)+6*(h_tq-2*(c_nom+phi_wt+phi_lt/2))/(nh_tq-1))+(phi_lt/2)*-0.951057,NA())</f>
        <v/>
      </c>
    </row>
    <row r="12">
      <c r="P12">
        <f>IF(inputs_ok,IF(0&lt;nb_tq,((c_nom+phi_wt+phi_lt/2)+0*(b_tq-2*(c_nom+phi_wt+phi_lt/2))/(nb_tq-1))+(phi_lt/2)*0.809017,NA()),NA())</f>
        <v/>
      </c>
      <c r="Q12">
        <f>IF(0&lt;nb_tq,((c_nom+phi_wt+phi_lt/2))+(phi_lt/2)*-0.587785,NA())</f>
        <v/>
      </c>
      <c r="S12">
        <f>IF(inputs_ok,IF(0&lt;nb_tq,((c_nom+phi_wt+phi_lt/2)+0*(b_tq-2*(c_nom+phi_wt+phi_lt/2))/(nb_tq-1))+(phi_lt/2)*0.809017,NA()),NA())</f>
        <v/>
      </c>
      <c r="T12">
        <f>IF(0&lt;nb_tq,(h_tq-(c_nom+phi_wt+phi_lt/2))+(phi_lt/2)*-0.587785,NA())</f>
        <v/>
      </c>
      <c r="V12">
        <f>IF(inputs_ok,IF(1&lt;nb_tq,((c_nom+phi_wt+phi_lt/2)+1*(b_tq-2*(c_nom+phi_wt+phi_lt/2))/(nb_tq-1))+(phi_lt/2)*0.809017,NA()),NA())</f>
        <v/>
      </c>
      <c r="W12">
        <f>IF(1&lt;nb_tq,((c_nom+phi_wt+phi_lt/2))+(phi_lt/2)*-0.587785,NA())</f>
        <v/>
      </c>
      <c r="Y12">
        <f>IF(inputs_ok,IF(1&lt;nb_tq,((c_nom+phi_wt+phi_lt/2)+1*(b_tq-2*(c_nom+phi_wt+phi_lt/2))/(nb_tq-1))+(phi_lt/2)*0.809017,NA()),NA())</f>
        <v/>
      </c>
      <c r="Z12">
        <f>IF(1&lt;nb_tq,(h_tq-(c_nom+phi_wt+phi_lt/2))+(phi_lt/2)*-0.587785,NA())</f>
        <v/>
      </c>
      <c r="AB12">
        <f>IF(inputs_ok,IF(2&lt;nb_tq,((c_nom+phi_wt+phi_lt/2)+2*(b_tq-2*(c_nom+phi_wt+phi_lt/2))/(nb_tq-1))+(phi_lt/2)*0.809017,NA()),NA())</f>
        <v/>
      </c>
      <c r="AC12">
        <f>IF(2&lt;nb_tq,((c_nom+phi_wt+phi_lt/2))+(phi_lt/2)*-0.587785,NA())</f>
        <v/>
      </c>
      <c r="AE12">
        <f>IF(inputs_ok,IF(2&lt;nb_tq,((c_nom+phi_wt+phi_lt/2)+2*(b_tq-2*(c_nom+phi_wt+phi_lt/2))/(nb_tq-1))+(phi_lt/2)*0.809017,NA()),NA())</f>
        <v/>
      </c>
      <c r="AF12">
        <f>IF(2&lt;nb_tq,(h_tq-(c_nom+phi_wt+phi_lt/2))+(phi_lt/2)*-0.587785,NA())</f>
        <v/>
      </c>
      <c r="AH12">
        <f>IF(inputs_ok,IF(3&lt;nb_tq,((c_nom+phi_wt+phi_lt/2)+3*(b_tq-2*(c_nom+phi_wt+phi_lt/2))/(nb_tq-1))+(phi_lt/2)*0.809017,NA()),NA())</f>
        <v/>
      </c>
      <c r="AI12">
        <f>IF(3&lt;nb_tq,((c_nom+phi_wt+phi_lt/2))+(phi_lt/2)*-0.587785,NA())</f>
        <v/>
      </c>
      <c r="AK12">
        <f>IF(inputs_ok,IF(3&lt;nb_tq,((c_nom+phi_wt+phi_lt/2)+3*(b_tq-2*(c_nom+phi_wt+phi_lt/2))/(nb_tq-1))+(phi_lt/2)*0.809017,NA()),NA())</f>
        <v/>
      </c>
      <c r="AL12">
        <f>IF(3&lt;nb_tq,(h_tq-(c_nom+phi_wt+phi_lt/2))+(phi_lt/2)*-0.587785,NA())</f>
        <v/>
      </c>
      <c r="AN12">
        <f>IF(inputs_ok,IF(4&lt;nb_tq,((c_nom+phi_wt+phi_lt/2)+4*(b_tq-2*(c_nom+phi_wt+phi_lt/2))/(nb_tq-1))+(phi_lt/2)*0.809017,NA()),NA())</f>
        <v/>
      </c>
      <c r="AO12">
        <f>IF(4&lt;nb_tq,((c_nom+phi_wt+phi_lt/2))+(phi_lt/2)*-0.587785,NA())</f>
        <v/>
      </c>
      <c r="AQ12">
        <f>IF(inputs_ok,IF(4&lt;nb_tq,((c_nom+phi_wt+phi_lt/2)+4*(b_tq-2*(c_nom+phi_wt+phi_lt/2))/(nb_tq-1))+(phi_lt/2)*0.809017,NA()),NA())</f>
        <v/>
      </c>
      <c r="AR12">
        <f>IF(4&lt;nb_tq,(h_tq-(c_nom+phi_wt+phi_lt/2))+(phi_lt/2)*-0.587785,NA())</f>
        <v/>
      </c>
      <c r="AT12">
        <f>IF(inputs_ok,IF(5&lt;nb_tq,((c_nom+phi_wt+phi_lt/2)+5*(b_tq-2*(c_nom+phi_wt+phi_lt/2))/(nb_tq-1))+(phi_lt/2)*0.809017,NA()),NA())</f>
        <v/>
      </c>
      <c r="AU12">
        <f>IF(5&lt;nb_tq,((c_nom+phi_wt+phi_lt/2))+(phi_lt/2)*-0.587785,NA())</f>
        <v/>
      </c>
      <c r="AW12">
        <f>IF(inputs_ok,IF(5&lt;nb_tq,((c_nom+phi_wt+phi_lt/2)+5*(b_tq-2*(c_nom+phi_wt+phi_lt/2))/(nb_tq-1))+(phi_lt/2)*0.809017,NA()),NA())</f>
        <v/>
      </c>
      <c r="AX12">
        <f>IF(5&lt;nb_tq,(h_tq-(c_nom+phi_wt+phi_lt/2))+(phi_lt/2)*-0.587785,NA())</f>
        <v/>
      </c>
      <c r="AZ12">
        <f>IF(inputs_ok,IF(6&lt;nb_tq,((c_nom+phi_wt+phi_lt/2)+6*(b_tq-2*(c_nom+phi_wt+phi_lt/2))/(nb_tq-1))+(phi_lt/2)*0.809017,NA()),NA())</f>
        <v/>
      </c>
      <c r="BA12">
        <f>IF(6&lt;nb_tq,((c_nom+phi_wt+phi_lt/2))+(phi_lt/2)*-0.587785,NA())</f>
        <v/>
      </c>
      <c r="BC12">
        <f>IF(inputs_ok,IF(6&lt;nb_tq,((c_nom+phi_wt+phi_lt/2)+6*(b_tq-2*(c_nom+phi_wt+phi_lt/2))/(nb_tq-1))+(phi_lt/2)*0.809017,NA()),NA())</f>
        <v/>
      </c>
      <c r="BD12">
        <f>IF(6&lt;nb_tq,(h_tq-(c_nom+phi_wt+phi_lt/2))+(phi_lt/2)*-0.587785,NA())</f>
        <v/>
      </c>
      <c r="BF12">
        <f>IF(inputs_ok,IF(7&lt;nb_tq,((c_nom+phi_wt+phi_lt/2)+7*(b_tq-2*(c_nom+phi_wt+phi_lt/2))/(nb_tq-1))+(phi_lt/2)*0.809017,NA()),NA())</f>
        <v/>
      </c>
      <c r="BG12">
        <f>IF(7&lt;nb_tq,((c_nom+phi_wt+phi_lt/2))+(phi_lt/2)*-0.587785,NA())</f>
        <v/>
      </c>
      <c r="BI12">
        <f>IF(inputs_ok,IF(7&lt;nb_tq,((c_nom+phi_wt+phi_lt/2)+7*(b_tq-2*(c_nom+phi_wt+phi_lt/2))/(nb_tq-1))+(phi_lt/2)*0.809017,NA()),NA())</f>
        <v/>
      </c>
      <c r="BJ12">
        <f>IF(7&lt;nb_tq,(h_tq-(c_nom+phi_wt+phi_lt/2))+(phi_lt/2)*-0.587785,NA())</f>
        <v/>
      </c>
      <c r="BL12">
        <f>IF(inputs_ok,IF(1&lt;nh_tq-1,((c_nom+phi_wt+phi_lt/2))+(phi_lt/2)*0.809017,NA()),NA())</f>
        <v/>
      </c>
      <c r="BM12">
        <f>IF(1&lt;nh_tq-1,((c_nom+phi_wt+phi_lt/2)+1*(h_tq-2*(c_nom+phi_wt+phi_lt/2))/(nh_tq-1))+(phi_lt/2)*-0.587785,NA())</f>
        <v/>
      </c>
      <c r="BO12">
        <f>IF(inputs_ok,IF(1&lt;nh_tq-1,(b_tq-(c_nom+phi_wt+phi_lt/2))+(phi_lt/2)*0.809017,NA()),NA())</f>
        <v/>
      </c>
      <c r="BP12">
        <f>IF(1&lt;nh_tq-1,((c_nom+phi_wt+phi_lt/2)+1*(h_tq-2*(c_nom+phi_wt+phi_lt/2))/(nh_tq-1))+(phi_lt/2)*-0.587785,NA())</f>
        <v/>
      </c>
      <c r="BR12">
        <f>IF(inputs_ok,IF(2&lt;nh_tq-1,((c_nom+phi_wt+phi_lt/2))+(phi_lt/2)*0.809017,NA()),NA())</f>
        <v/>
      </c>
      <c r="BS12">
        <f>IF(2&lt;nh_tq-1,((c_nom+phi_wt+phi_lt/2)+2*(h_tq-2*(c_nom+phi_wt+phi_lt/2))/(nh_tq-1))+(phi_lt/2)*-0.587785,NA())</f>
        <v/>
      </c>
      <c r="BU12">
        <f>IF(inputs_ok,IF(2&lt;nh_tq-1,(b_tq-(c_nom+phi_wt+phi_lt/2))+(phi_lt/2)*0.809017,NA()),NA())</f>
        <v/>
      </c>
      <c r="BV12">
        <f>IF(2&lt;nh_tq-1,((c_nom+phi_wt+phi_lt/2)+2*(h_tq-2*(c_nom+phi_wt+phi_lt/2))/(nh_tq-1))+(phi_lt/2)*-0.587785,NA())</f>
        <v/>
      </c>
      <c r="BX12">
        <f>IF(inputs_ok,IF(3&lt;nh_tq-1,((c_nom+phi_wt+phi_lt/2))+(phi_lt/2)*0.809017,NA()),NA())</f>
        <v/>
      </c>
      <c r="BY12">
        <f>IF(3&lt;nh_tq-1,((c_nom+phi_wt+phi_lt/2)+3*(h_tq-2*(c_nom+phi_wt+phi_lt/2))/(nh_tq-1))+(phi_lt/2)*-0.587785,NA())</f>
        <v/>
      </c>
      <c r="CA12">
        <f>IF(inputs_ok,IF(3&lt;nh_tq-1,(b_tq-(c_nom+phi_wt+phi_lt/2))+(phi_lt/2)*0.809017,NA()),NA())</f>
        <v/>
      </c>
      <c r="CB12">
        <f>IF(3&lt;nh_tq-1,((c_nom+phi_wt+phi_lt/2)+3*(h_tq-2*(c_nom+phi_wt+phi_lt/2))/(nh_tq-1))+(phi_lt/2)*-0.587785,NA())</f>
        <v/>
      </c>
      <c r="CD12">
        <f>IF(inputs_ok,IF(4&lt;nh_tq-1,((c_nom+phi_wt+phi_lt/2))+(phi_lt/2)*0.809017,NA()),NA())</f>
        <v/>
      </c>
      <c r="CE12">
        <f>IF(4&lt;nh_tq-1,((c_nom+phi_wt+phi_lt/2)+4*(h_tq-2*(c_nom+phi_wt+phi_lt/2))/(nh_tq-1))+(phi_lt/2)*-0.587785,NA())</f>
        <v/>
      </c>
      <c r="CG12">
        <f>IF(inputs_ok,IF(4&lt;nh_tq-1,(b_tq-(c_nom+phi_wt+phi_lt/2))+(phi_lt/2)*0.809017,NA()),NA())</f>
        <v/>
      </c>
      <c r="CH12">
        <f>IF(4&lt;nh_tq-1,((c_nom+phi_wt+phi_lt/2)+4*(h_tq-2*(c_nom+phi_wt+phi_lt/2))/(nh_tq-1))+(phi_lt/2)*-0.587785,NA())</f>
        <v/>
      </c>
      <c r="CJ12">
        <f>IF(inputs_ok,IF(5&lt;nh_tq-1,((c_nom+phi_wt+phi_lt/2))+(phi_lt/2)*0.809017,NA()),NA())</f>
        <v/>
      </c>
      <c r="CK12">
        <f>IF(5&lt;nh_tq-1,((c_nom+phi_wt+phi_lt/2)+5*(h_tq-2*(c_nom+phi_wt+phi_lt/2))/(nh_tq-1))+(phi_lt/2)*-0.587785,NA())</f>
        <v/>
      </c>
      <c r="CM12">
        <f>IF(inputs_ok,IF(5&lt;nh_tq-1,(b_tq-(c_nom+phi_wt+phi_lt/2))+(phi_lt/2)*0.809017,NA()),NA())</f>
        <v/>
      </c>
      <c r="CN12">
        <f>IF(5&lt;nh_tq-1,((c_nom+phi_wt+phi_lt/2)+5*(h_tq-2*(c_nom+phi_wt+phi_lt/2))/(nh_tq-1))+(phi_lt/2)*-0.587785,NA())</f>
        <v/>
      </c>
      <c r="CP12">
        <f>IF(inputs_ok,IF(6&lt;nh_tq-1,((c_nom+phi_wt+phi_lt/2))+(phi_lt/2)*0.809017,NA()),NA())</f>
        <v/>
      </c>
      <c r="CQ12">
        <f>IF(6&lt;nh_tq-1,((c_nom+phi_wt+phi_lt/2)+6*(h_tq-2*(c_nom+phi_wt+phi_lt/2))/(nh_tq-1))+(phi_lt/2)*-0.587785,NA())</f>
        <v/>
      </c>
      <c r="CS12">
        <f>IF(inputs_ok,IF(6&lt;nh_tq-1,(b_tq-(c_nom+phi_wt+phi_lt/2))+(phi_lt/2)*0.809017,NA()),NA())</f>
        <v/>
      </c>
      <c r="CT12">
        <f>IF(6&lt;nh_tq-1,((c_nom+phi_wt+phi_lt/2)+6*(h_tq-2*(c_nom+phi_wt+phi_lt/2))/(nh_tq-1))+(phi_lt/2)*-0.587785,NA())</f>
        <v/>
      </c>
    </row>
    <row r="13">
      <c r="P13">
        <f>IF(inputs_ok,IF(0&lt;nb_tq,((c_nom+phi_wt+phi_lt/2)+0*(b_tq-2*(c_nom+phi_wt+phi_lt/2))/(nb_tq-1))+(phi_lt/2)*1.000000,NA()),NA())</f>
        <v/>
      </c>
      <c r="Q13">
        <f>IF(0&lt;nb_tq,((c_nom+phi_wt+phi_lt/2))+(phi_lt/2)*-0.000000,NA())</f>
        <v/>
      </c>
      <c r="S13">
        <f>IF(inputs_ok,IF(0&lt;nb_tq,((c_nom+phi_wt+phi_lt/2)+0*(b_tq-2*(c_nom+phi_wt+phi_lt/2))/(nb_tq-1))+(phi_lt/2)*1.000000,NA()),NA())</f>
        <v/>
      </c>
      <c r="T13">
        <f>IF(0&lt;nb_tq,(h_tq-(c_nom+phi_wt+phi_lt/2))+(phi_lt/2)*-0.000000,NA())</f>
        <v/>
      </c>
      <c r="V13">
        <f>IF(inputs_ok,IF(1&lt;nb_tq,((c_nom+phi_wt+phi_lt/2)+1*(b_tq-2*(c_nom+phi_wt+phi_lt/2))/(nb_tq-1))+(phi_lt/2)*1.000000,NA()),NA())</f>
        <v/>
      </c>
      <c r="W13">
        <f>IF(1&lt;nb_tq,((c_nom+phi_wt+phi_lt/2))+(phi_lt/2)*-0.000000,NA())</f>
        <v/>
      </c>
      <c r="Y13">
        <f>IF(inputs_ok,IF(1&lt;nb_tq,((c_nom+phi_wt+phi_lt/2)+1*(b_tq-2*(c_nom+phi_wt+phi_lt/2))/(nb_tq-1))+(phi_lt/2)*1.000000,NA()),NA())</f>
        <v/>
      </c>
      <c r="Z13">
        <f>IF(1&lt;nb_tq,(h_tq-(c_nom+phi_wt+phi_lt/2))+(phi_lt/2)*-0.000000,NA())</f>
        <v/>
      </c>
      <c r="AB13">
        <f>IF(inputs_ok,IF(2&lt;nb_tq,((c_nom+phi_wt+phi_lt/2)+2*(b_tq-2*(c_nom+phi_wt+phi_lt/2))/(nb_tq-1))+(phi_lt/2)*1.000000,NA()),NA())</f>
        <v/>
      </c>
      <c r="AC13">
        <f>IF(2&lt;nb_tq,((c_nom+phi_wt+phi_lt/2))+(phi_lt/2)*-0.000000,NA())</f>
        <v/>
      </c>
      <c r="AE13">
        <f>IF(inputs_ok,IF(2&lt;nb_tq,((c_nom+phi_wt+phi_lt/2)+2*(b_tq-2*(c_nom+phi_wt+phi_lt/2))/(nb_tq-1))+(phi_lt/2)*1.000000,NA()),NA())</f>
        <v/>
      </c>
      <c r="AF13">
        <f>IF(2&lt;nb_tq,(h_tq-(c_nom+phi_wt+phi_lt/2))+(phi_lt/2)*-0.000000,NA())</f>
        <v/>
      </c>
      <c r="AH13">
        <f>IF(inputs_ok,IF(3&lt;nb_tq,((c_nom+phi_wt+phi_lt/2)+3*(b_tq-2*(c_nom+phi_wt+phi_lt/2))/(nb_tq-1))+(phi_lt/2)*1.000000,NA()),NA())</f>
        <v/>
      </c>
      <c r="AI13">
        <f>IF(3&lt;nb_tq,((c_nom+phi_wt+phi_lt/2))+(phi_lt/2)*-0.000000,NA())</f>
        <v/>
      </c>
      <c r="AK13">
        <f>IF(inputs_ok,IF(3&lt;nb_tq,((c_nom+phi_wt+phi_lt/2)+3*(b_tq-2*(c_nom+phi_wt+phi_lt/2))/(nb_tq-1))+(phi_lt/2)*1.000000,NA()),NA())</f>
        <v/>
      </c>
      <c r="AL13">
        <f>IF(3&lt;nb_tq,(h_tq-(c_nom+phi_wt+phi_lt/2))+(phi_lt/2)*-0.000000,NA())</f>
        <v/>
      </c>
      <c r="AN13">
        <f>IF(inputs_ok,IF(4&lt;nb_tq,((c_nom+phi_wt+phi_lt/2)+4*(b_tq-2*(c_nom+phi_wt+phi_lt/2))/(nb_tq-1))+(phi_lt/2)*1.000000,NA()),NA())</f>
        <v/>
      </c>
      <c r="AO13">
        <f>IF(4&lt;nb_tq,((c_nom+phi_wt+phi_lt/2))+(phi_lt/2)*-0.000000,NA())</f>
        <v/>
      </c>
      <c r="AQ13">
        <f>IF(inputs_ok,IF(4&lt;nb_tq,((c_nom+phi_wt+phi_lt/2)+4*(b_tq-2*(c_nom+phi_wt+phi_lt/2))/(nb_tq-1))+(phi_lt/2)*1.000000,NA()),NA())</f>
        <v/>
      </c>
      <c r="AR13">
        <f>IF(4&lt;nb_tq,(h_tq-(c_nom+phi_wt+phi_lt/2))+(phi_lt/2)*-0.000000,NA())</f>
        <v/>
      </c>
      <c r="AT13">
        <f>IF(inputs_ok,IF(5&lt;nb_tq,((c_nom+phi_wt+phi_lt/2)+5*(b_tq-2*(c_nom+phi_wt+phi_lt/2))/(nb_tq-1))+(phi_lt/2)*1.000000,NA()),NA())</f>
        <v/>
      </c>
      <c r="AU13">
        <f>IF(5&lt;nb_tq,((c_nom+phi_wt+phi_lt/2))+(phi_lt/2)*-0.000000,NA())</f>
        <v/>
      </c>
      <c r="AW13">
        <f>IF(inputs_ok,IF(5&lt;nb_tq,((c_nom+phi_wt+phi_lt/2)+5*(b_tq-2*(c_nom+phi_wt+phi_lt/2))/(nb_tq-1))+(phi_lt/2)*1.000000,NA()),NA())</f>
        <v/>
      </c>
      <c r="AX13">
        <f>IF(5&lt;nb_tq,(h_tq-(c_nom+phi_wt+phi_lt/2))+(phi_lt/2)*-0.000000,NA())</f>
        <v/>
      </c>
      <c r="AZ13">
        <f>IF(inputs_ok,IF(6&lt;nb_tq,((c_nom+phi_wt+phi_lt/2)+6*(b_tq-2*(c_nom+phi_wt+phi_lt/2))/(nb_tq-1))+(phi_lt/2)*1.000000,NA()),NA())</f>
        <v/>
      </c>
      <c r="BA13">
        <f>IF(6&lt;nb_tq,((c_nom+phi_wt+phi_lt/2))+(phi_lt/2)*-0.000000,NA())</f>
        <v/>
      </c>
      <c r="BC13">
        <f>IF(inputs_ok,IF(6&lt;nb_tq,((c_nom+phi_wt+phi_lt/2)+6*(b_tq-2*(c_nom+phi_wt+phi_lt/2))/(nb_tq-1))+(phi_lt/2)*1.000000,NA()),NA())</f>
        <v/>
      </c>
      <c r="BD13">
        <f>IF(6&lt;nb_tq,(h_tq-(c_nom+phi_wt+phi_lt/2))+(phi_lt/2)*-0.000000,NA())</f>
        <v/>
      </c>
      <c r="BF13">
        <f>IF(inputs_ok,IF(7&lt;nb_tq,((c_nom+phi_wt+phi_lt/2)+7*(b_tq-2*(c_nom+phi_wt+phi_lt/2))/(nb_tq-1))+(phi_lt/2)*1.000000,NA()),NA())</f>
        <v/>
      </c>
      <c r="BG13">
        <f>IF(7&lt;nb_tq,((c_nom+phi_wt+phi_lt/2))+(phi_lt/2)*-0.000000,NA())</f>
        <v/>
      </c>
      <c r="BI13">
        <f>IF(inputs_ok,IF(7&lt;nb_tq,((c_nom+phi_wt+phi_lt/2)+7*(b_tq-2*(c_nom+phi_wt+phi_lt/2))/(nb_tq-1))+(phi_lt/2)*1.000000,NA()),NA())</f>
        <v/>
      </c>
      <c r="BJ13">
        <f>IF(7&lt;nb_tq,(h_tq-(c_nom+phi_wt+phi_lt/2))+(phi_lt/2)*-0.000000,NA())</f>
        <v/>
      </c>
      <c r="BL13">
        <f>IF(inputs_ok,IF(1&lt;nh_tq-1,((c_nom+phi_wt+phi_lt/2))+(phi_lt/2)*1.000000,NA()),NA())</f>
        <v/>
      </c>
      <c r="BM13">
        <f>IF(1&lt;nh_tq-1,((c_nom+phi_wt+phi_lt/2)+1*(h_tq-2*(c_nom+phi_wt+phi_lt/2))/(nh_tq-1))+(phi_lt/2)*-0.000000,NA())</f>
        <v/>
      </c>
      <c r="BO13">
        <f>IF(inputs_ok,IF(1&lt;nh_tq-1,(b_tq-(c_nom+phi_wt+phi_lt/2))+(phi_lt/2)*1.000000,NA()),NA())</f>
        <v/>
      </c>
      <c r="BP13">
        <f>IF(1&lt;nh_tq-1,((c_nom+phi_wt+phi_lt/2)+1*(h_tq-2*(c_nom+phi_wt+phi_lt/2))/(nh_tq-1))+(phi_lt/2)*-0.000000,NA())</f>
        <v/>
      </c>
      <c r="BR13">
        <f>IF(inputs_ok,IF(2&lt;nh_tq-1,((c_nom+phi_wt+phi_lt/2))+(phi_lt/2)*1.000000,NA()),NA())</f>
        <v/>
      </c>
      <c r="BS13">
        <f>IF(2&lt;nh_tq-1,((c_nom+phi_wt+phi_lt/2)+2*(h_tq-2*(c_nom+phi_wt+phi_lt/2))/(nh_tq-1))+(phi_lt/2)*-0.000000,NA())</f>
        <v/>
      </c>
      <c r="BU13">
        <f>IF(inputs_ok,IF(2&lt;nh_tq-1,(b_tq-(c_nom+phi_wt+phi_lt/2))+(phi_lt/2)*1.000000,NA()),NA())</f>
        <v/>
      </c>
      <c r="BV13">
        <f>IF(2&lt;nh_tq-1,((c_nom+phi_wt+phi_lt/2)+2*(h_tq-2*(c_nom+phi_wt+phi_lt/2))/(nh_tq-1))+(phi_lt/2)*-0.000000,NA())</f>
        <v/>
      </c>
      <c r="BX13">
        <f>IF(inputs_ok,IF(3&lt;nh_tq-1,((c_nom+phi_wt+phi_lt/2))+(phi_lt/2)*1.000000,NA()),NA())</f>
        <v/>
      </c>
      <c r="BY13">
        <f>IF(3&lt;nh_tq-1,((c_nom+phi_wt+phi_lt/2)+3*(h_tq-2*(c_nom+phi_wt+phi_lt/2))/(nh_tq-1))+(phi_lt/2)*-0.000000,NA())</f>
        <v/>
      </c>
      <c r="CA13">
        <f>IF(inputs_ok,IF(3&lt;nh_tq-1,(b_tq-(c_nom+phi_wt+phi_lt/2))+(phi_lt/2)*1.000000,NA()),NA())</f>
        <v/>
      </c>
      <c r="CB13">
        <f>IF(3&lt;nh_tq-1,((c_nom+phi_wt+phi_lt/2)+3*(h_tq-2*(c_nom+phi_wt+phi_lt/2))/(nh_tq-1))+(phi_lt/2)*-0.000000,NA())</f>
        <v/>
      </c>
      <c r="CD13">
        <f>IF(inputs_ok,IF(4&lt;nh_tq-1,((c_nom+phi_wt+phi_lt/2))+(phi_lt/2)*1.000000,NA()),NA())</f>
        <v/>
      </c>
      <c r="CE13">
        <f>IF(4&lt;nh_tq-1,((c_nom+phi_wt+phi_lt/2)+4*(h_tq-2*(c_nom+phi_wt+phi_lt/2))/(nh_tq-1))+(phi_lt/2)*-0.000000,NA())</f>
        <v/>
      </c>
      <c r="CG13">
        <f>IF(inputs_ok,IF(4&lt;nh_tq-1,(b_tq-(c_nom+phi_wt+phi_lt/2))+(phi_lt/2)*1.000000,NA()),NA())</f>
        <v/>
      </c>
      <c r="CH13">
        <f>IF(4&lt;nh_tq-1,((c_nom+phi_wt+phi_lt/2)+4*(h_tq-2*(c_nom+phi_wt+phi_lt/2))/(nh_tq-1))+(phi_lt/2)*-0.000000,NA())</f>
        <v/>
      </c>
      <c r="CJ13">
        <f>IF(inputs_ok,IF(5&lt;nh_tq-1,((c_nom+phi_wt+phi_lt/2))+(phi_lt/2)*1.000000,NA()),NA())</f>
        <v/>
      </c>
      <c r="CK13">
        <f>IF(5&lt;nh_tq-1,((c_nom+phi_wt+phi_lt/2)+5*(h_tq-2*(c_nom+phi_wt+phi_lt/2))/(nh_tq-1))+(phi_lt/2)*-0.000000,NA())</f>
        <v/>
      </c>
      <c r="CM13">
        <f>IF(inputs_ok,IF(5&lt;nh_tq-1,(b_tq-(c_nom+phi_wt+phi_lt/2))+(phi_lt/2)*1.000000,NA()),NA())</f>
        <v/>
      </c>
      <c r="CN13">
        <f>IF(5&lt;nh_tq-1,((c_nom+phi_wt+phi_lt/2)+5*(h_tq-2*(c_nom+phi_wt+phi_lt/2))/(nh_tq-1))+(phi_lt/2)*-0.000000,NA())</f>
        <v/>
      </c>
      <c r="CP13">
        <f>IF(inputs_ok,IF(6&lt;nh_tq-1,((c_nom+phi_wt+phi_lt/2))+(phi_lt/2)*1.000000,NA()),NA())</f>
        <v/>
      </c>
      <c r="CQ13">
        <f>IF(6&lt;nh_tq-1,((c_nom+phi_wt+phi_lt/2)+6*(h_tq-2*(c_nom+phi_wt+phi_lt/2))/(nh_tq-1))+(phi_lt/2)*-0.000000,NA())</f>
        <v/>
      </c>
      <c r="CS13">
        <f>IF(inputs_ok,IF(6&lt;nh_tq-1,(b_tq-(c_nom+phi_wt+phi_lt/2))+(phi_lt/2)*1.000000,NA()),NA())</f>
        <v/>
      </c>
      <c r="CT13">
        <f>IF(6&lt;nh_tq-1,((c_nom+phi_wt+phi_lt/2)+6*(h_tq-2*(c_nom+phi_wt+phi_lt/2))/(nh_tq-1))+(phi_lt/2)*-0.000000,NA())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4"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5" t="inlineStr">
        <is>
          <t>Parameter</t>
        </is>
      </c>
      <c r="C5" s="45" t="inlineStr">
        <is>
          <t>Clause</t>
        </is>
      </c>
      <c r="D5" s="45" t="inlineStr">
        <is>
          <t>UK NA</t>
        </is>
      </c>
      <c r="E5" s="45" t="inlineStr">
        <is>
          <t>PL NA</t>
        </is>
      </c>
      <c r="F5" s="45" t="inlineStr">
        <is>
          <t>Notes</t>
        </is>
      </c>
    </row>
    <row r="6">
      <c r="B6" s="46" t="inlineStr">
        <is>
          <t>Partial factor, concrete  γc</t>
        </is>
      </c>
      <c r="C6" s="47" t="inlineStr">
        <is>
          <t>2.4.2.4(1)</t>
        </is>
      </c>
      <c r="D6" s="48" t="n">
        <v>1.5</v>
      </c>
      <c r="E6" s="48" t="n">
        <v>1.4</v>
      </c>
      <c r="F6" s="47" t="inlineStr">
        <is>
          <t>Persistent &amp; transient. UK NA: recommended; PL: NA.2, Table NA.2</t>
        </is>
      </c>
    </row>
    <row r="7">
      <c r="B7" s="46" t="inlineStr">
        <is>
          <t>Partial factor, reinforcement  γs</t>
        </is>
      </c>
      <c r="C7" s="47" t="inlineStr">
        <is>
          <t>2.4.2.4(1)</t>
        </is>
      </c>
      <c r="D7" s="48" t="n">
        <v>1.15</v>
      </c>
      <c r="E7" s="48" t="n">
        <v>1.15</v>
      </c>
      <c r="F7" s="47" t="inlineStr">
        <is>
          <t>UK NA: recommended; PL: NA.2, Table NA.2</t>
        </is>
      </c>
    </row>
    <row r="8">
      <c r="B8" s="46" t="inlineStr">
        <is>
          <t>αcc  (compression in flexure / axial)</t>
        </is>
      </c>
      <c r="C8" s="47" t="inlineStr">
        <is>
          <t>3.1.6(1)</t>
        </is>
      </c>
      <c r="D8" s="48" t="n">
        <v>0.85</v>
      </c>
      <c r="E8" s="48" t="n">
        <v>1</v>
      </c>
      <c r="F8" s="47" t="inlineStr">
        <is>
          <t>UK NA: 0.85; PL: recommended (NA.9)</t>
        </is>
      </c>
    </row>
    <row r="9">
      <c r="B9" s="46" t="inlineStr">
        <is>
          <t>αcc,pl  (plain concrete, compression)</t>
        </is>
      </c>
      <c r="C9" s="47" t="inlineStr">
        <is>
          <t>12.3.1(1)</t>
        </is>
      </c>
      <c r="D9" s="48" t="n">
        <v>0.6</v>
      </c>
      <c r="E9" s="48" t="n">
        <v>0.8</v>
      </c>
      <c r="F9" s="47" t="inlineStr">
        <is>
          <t>UK NA Table NA.1: 0.6; PL: recommended (NA.9)</t>
        </is>
      </c>
    </row>
    <row r="10">
      <c r="B10" s="46" t="inlineStr">
        <is>
          <t>αcc  (shear and punching)</t>
        </is>
      </c>
      <c r="C10" s="47" t="inlineStr">
        <is>
          <t>3.1.6(1)</t>
        </is>
      </c>
      <c r="D10" s="48" t="n">
        <v>1</v>
      </c>
      <c r="E10" s="48" t="n">
        <v>1</v>
      </c>
      <c r="F10" s="47" t="inlineStr">
        <is>
          <t>UK NA: 1.0 for other phenomena; PL: recommended (NA.9)</t>
        </is>
      </c>
    </row>
    <row r="11">
      <c r="B11" s="46" t="inlineStr">
        <is>
          <t>αct  (design tensile strength)</t>
        </is>
      </c>
      <c r="C11" s="47" t="inlineStr">
        <is>
          <t>3.1.6(2)</t>
        </is>
      </c>
      <c r="D11" s="48" t="n">
        <v>1</v>
      </c>
      <c r="E11" s="48" t="n">
        <v>1</v>
      </c>
      <c r="F11" s="47" t="inlineStr">
        <is>
          <t>Recommended value in both annexes</t>
        </is>
      </c>
    </row>
    <row r="12">
      <c r="B12" s="46" t="inlineStr">
        <is>
          <t>CRd,c numerator  (CRd,c = value / γc)</t>
        </is>
      </c>
      <c r="C12" s="47" t="inlineStr">
        <is>
          <t>6.2.2(1), 6.4.4(1)</t>
        </is>
      </c>
      <c r="D12" s="48" t="n">
        <v>0.18</v>
      </c>
      <c r="E12" s="48" t="n">
        <v>0.18</v>
      </c>
      <c r="F12" s="47" t="inlineStr">
        <is>
          <t>Recommended value in both annexes</t>
        </is>
      </c>
    </row>
    <row r="13">
      <c r="B13" s="46" t="inlineStr">
        <is>
          <t>k1  (axial stress term, punching)</t>
        </is>
      </c>
      <c r="C13" s="47" t="inlineStr">
        <is>
          <t>6.4.4(1)</t>
        </is>
      </c>
      <c r="D13" s="48" t="n">
        <v>0.1</v>
      </c>
      <c r="E13" s="48" t="n">
        <v>0.1</v>
      </c>
      <c r="F13" s="47" t="inlineStr">
        <is>
          <t>Recommended value in both annexes</t>
        </is>
      </c>
    </row>
    <row r="14">
      <c r="B14" s="46" t="inlineStr">
        <is>
          <t>vRd,max factor  (vRd,max = factor · ν · fcd)</t>
        </is>
      </c>
      <c r="C14" s="47" t="inlineStr">
        <is>
          <t>6.4.5(3)</t>
        </is>
      </c>
      <c r="D14" s="48" t="n">
        <v>0.5</v>
      </c>
      <c r="E14" s="48" t="n">
        <v>0.4</v>
      </c>
      <c r="F14" s="47" t="inlineStr">
        <is>
          <t>UK NA: 0.5 ν fcd; PL: recommended value (NA.9), 0.4 ν fcd since EN 1992-1-1 AC:2010 (PN-EN 1992-1-1:2008/AC:2011)</t>
        </is>
      </c>
    </row>
    <row r="15">
      <c r="B15" s="46" t="inlineStr">
        <is>
          <t>kmax  (vEd ≤ kmax · vRd,c at u1)</t>
        </is>
      </c>
      <c r="C15" s="47" t="inlineStr">
        <is>
          <t>6.4.5</t>
        </is>
      </c>
      <c r="D15" s="48" t="n">
        <v>2</v>
      </c>
      <c r="E15" s="48" t="n">
        <v>1.5</v>
      </c>
      <c r="F15" s="47" t="inlineStr">
        <is>
          <t>UK NA 6.4.5(3): 2 vRd,c. PL: no limit in PN-EN 1992-1-1:2008; 1.5 (A1:2014 recommendation) applied conservatively</t>
        </is>
      </c>
    </row>
    <row r="16">
      <c r="B16" s="46" t="inlineStr">
        <is>
          <t>φlarge  (large bar threshold, mm)</t>
        </is>
      </c>
      <c r="C16" s="47" t="inlineStr">
        <is>
          <t>8.8(1)</t>
        </is>
      </c>
      <c r="D16" s="48" t="n">
        <v>40</v>
      </c>
      <c r="E16" s="48" t="n">
        <v>32</v>
      </c>
      <c r="F16" s="47" t="inlineStr">
        <is>
          <t>UK NA: 40 mm; PL: 32 mm recommended (NA.9)</t>
        </is>
      </c>
    </row>
    <row r="17">
      <c r="B17" s="46" t="inlineStr">
        <is>
          <t>cot θ upper limit  (variable strut)</t>
        </is>
      </c>
      <c r="C17" s="47" t="inlineStr">
        <is>
          <t>6.2.3(2)</t>
        </is>
      </c>
      <c r="D17" s="48" t="n">
        <v>2.5</v>
      </c>
      <c r="E17" s="48" t="n">
        <v>2</v>
      </c>
      <c r="F17" s="47" t="inlineStr">
        <is>
          <t>UK NA: 2.5 (1.25 with axial tension); PL: NA.4, 1 ≤ cot θ ≤ 2.0</t>
        </is>
      </c>
    </row>
    <row r="18">
      <c r="B18" s="46" t="inlineStr">
        <is>
          <t>k1  (x/d limit, δ ≥ k1 + k2 xu/d)</t>
        </is>
      </c>
      <c r="C18" s="47" t="inlineStr">
        <is>
          <t>5.5(4)</t>
        </is>
      </c>
      <c r="D18" s="48" t="n">
        <v>0.4</v>
      </c>
      <c r="E18" s="48" t="n">
        <v>0.44</v>
      </c>
      <c r="F18" s="47" t="inlineStr">
        <is>
          <t>UK NA for fyk ≤ 500 MPa; PL: recommended (NA.9)</t>
        </is>
      </c>
    </row>
    <row r="19">
      <c r="B19" s="46" t="inlineStr">
        <is>
          <t>k2  (x/d limit, εcu2 = 0.0035)</t>
        </is>
      </c>
      <c r="C19" s="47" t="inlineStr">
        <is>
          <t>5.5(4)</t>
        </is>
      </c>
      <c r="D19" s="48" t="n">
        <v>1</v>
      </c>
      <c r="E19" s="48" t="n">
        <v>1.25</v>
      </c>
      <c r="F19" s="47" t="inlineStr">
        <is>
          <t>UK NA: 0.6 + 0.0014/εcu2; PL: 1.25(0.6 + 0.0014/εcu2)</t>
        </is>
      </c>
    </row>
    <row r="20">
      <c r="B20" s="46" t="inlineStr">
        <is>
          <t>Upper limit on the (310/σs) factor  (0 = none)</t>
        </is>
      </c>
      <c r="C20" s="47" t="inlineStr">
        <is>
          <t>7.4.2(2)</t>
        </is>
      </c>
      <c r="D20" s="48" t="n">
        <v>1.5</v>
      </c>
      <c r="E20" s="48" t="n">
        <v>0</v>
      </c>
      <c r="F20" s="47" t="inlineStr">
        <is>
          <t>UK NA Table NA.5 Note 5: (310/σs) or (500/fyk)(As,prov/As,req) ≤ 1.5; PL: none</t>
        </is>
      </c>
    </row>
    <row r="21">
      <c r="B21" s="46" t="inlineStr">
        <is>
          <t>L/d not to exceed 40 K  (1 = applies)</t>
        </is>
      </c>
      <c r="C21" s="47" t="inlineStr">
        <is>
          <t>7.4.2(2)</t>
        </is>
      </c>
      <c r="D21" s="48" t="n">
        <v>1</v>
      </c>
      <c r="E21" s="48" t="n">
        <v>0</v>
      </c>
      <c r="F21" s="47" t="inlineStr">
        <is>
          <t>UK NA Table NA.5 Note 6; not in EN text</t>
        </is>
      </c>
    </row>
    <row r="22">
      <c r="B22" s="46" t="inlineStr">
        <is>
          <t>φmin  (longitudinal bars in columns, mm)</t>
        </is>
      </c>
      <c r="C22" s="47" t="inlineStr">
        <is>
          <t>9.5.2(1)</t>
        </is>
      </c>
      <c r="D22" s="48" t="n">
        <v>12</v>
      </c>
      <c r="E22" s="48" t="n">
        <v>6</v>
      </c>
      <c r="F22" s="47" t="inlineStr">
        <is>
          <t>UK NA: 12 mm; PL: NA.6, 6 mm</t>
        </is>
      </c>
    </row>
    <row r="23">
      <c r="B23" s="46" t="inlineStr">
        <is>
          <t>k3  (crack spacing)</t>
        </is>
      </c>
      <c r="C23" s="47" t="inlineStr">
        <is>
          <t>7.3.4(3)</t>
        </is>
      </c>
      <c r="D23" s="48" t="n">
        <v>3.4</v>
      </c>
      <c r="E23" s="48" t="n">
        <v>3.4</v>
      </c>
      <c r="F23" s="47" t="inlineStr">
        <is>
          <t>Recommended value in both annexes</t>
        </is>
      </c>
    </row>
    <row r="24">
      <c r="B24" s="46" t="inlineStr">
        <is>
          <t>k4  (crack spacing)</t>
        </is>
      </c>
      <c r="C24" s="47" t="inlineStr">
        <is>
          <t>7.3.4(3)</t>
        </is>
      </c>
      <c r="D24" s="48" t="n">
        <v>0.425</v>
      </c>
      <c r="E24" s="48" t="n">
        <v>0.425</v>
      </c>
      <c r="F24" s="47" t="inlineStr">
        <is>
          <t>Recommended value in both annexes</t>
        </is>
      </c>
    </row>
    <row r="25">
      <c r="B25" s="46" t="inlineStr">
        <is>
          <t>k1  (concrete stress, characteristic; XD, XF, XS)</t>
        </is>
      </c>
      <c r="C25" s="47" t="inlineStr">
        <is>
          <t>7.2(2)</t>
        </is>
      </c>
      <c r="D25" s="48" t="n">
        <v>0.6</v>
      </c>
      <c r="E25" s="48" t="n">
        <v>1</v>
      </c>
      <c r="F25" s="47" t="inlineStr">
        <is>
          <t>UK NA: recommended; PL: NA.5, k1 = 1.0</t>
        </is>
      </c>
    </row>
    <row r="26">
      <c r="B26" s="46" t="inlineStr">
        <is>
          <t>k2  (concrete stress, quasi-permanent; linear creep)</t>
        </is>
      </c>
      <c r="C26" s="47" t="inlineStr">
        <is>
          <t>7.2(3)</t>
        </is>
      </c>
      <c r="D26" s="48" t="n">
        <v>0.45</v>
      </c>
      <c r="E26" s="48" t="n">
        <v>0.45</v>
      </c>
      <c r="F26" s="47" t="inlineStr">
        <is>
          <t>Recommended value in both annexes (UK NA; PL NA.9)</t>
        </is>
      </c>
    </row>
    <row r="27">
      <c r="B27" s="46" t="inlineStr">
        <is>
          <t>k3  (steel stress, characteristic)</t>
        </is>
      </c>
      <c r="C27" s="47" t="inlineStr">
        <is>
          <t>7.2(5)</t>
        </is>
      </c>
      <c r="D27" s="48" t="n">
        <v>0.8</v>
      </c>
      <c r="E27" s="48" t="n">
        <v>0.8</v>
      </c>
      <c r="F27" s="47" t="inlineStr">
        <is>
          <t>Recommended value in both annexes (UK NA; PL NA.9)</t>
        </is>
      </c>
    </row>
    <row r="28">
      <c r="B28" s="46" t="inlineStr">
        <is>
          <t>k4  (steel stress, imposed deformation)</t>
        </is>
      </c>
      <c r="C28" s="47" t="inlineStr">
        <is>
          <t>7.2(5)</t>
        </is>
      </c>
      <c r="D28" s="48" t="n">
        <v>1</v>
      </c>
      <c r="E28" s="48" t="n">
        <v>1</v>
      </c>
      <c r="F28" s="47"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&amp;K8A8A8ANAE-RC-026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NAE-RC-026 Beam torsion</dc:title>
  <dc:subject xmlns:dc="http://purl.org/dc/elements/1.1/">Rectangular beam in torsion and shear  ·  EN 1992-1-1 §6.3, §9.2.3  ·  UK NA / PN-EN</dc:subject>
  <dcterms:created xmlns:dcterms="http://purl.org/dc/terms/" xmlns:xsi="http://www.w3.org/2001/XMLSchema-instance" xsi:type="dcterms:W3CDTF">2026-10-30T10:58:43Z</dcterms:created>
  <dcterms:modified xmlns:dcterms="http://purl.org/dc/terms/" xmlns:xsi="http://www.w3.org/2001/XMLSchema-instance" xsi:type="dcterms:W3CDTF">2026-10-30T10:58:43Z</dcterms:modified>
  <cp:lastModifiedBy>NA Engineering sp. z o.o.</cp:lastModifiedBy>
  <cp:keywords>NA Engineering; Eurocode 2; EN 1992-1-1</cp:keywords>
</cp:coreProperties>
</file>