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s>
  <definedNames>
    <definedName name="arr_sf">'Calculation'!$E$11</definedName>
    <definedName name="n_sf">'Calculation'!$E$12</definedName>
    <definedName name="Lsf_1">'Calculation'!$E$13</definedName>
    <definedName name="Lsf_2">'Calculation'!$E$14</definedName>
    <definedName name="Lsf_3">'Calculation'!$E$15</definedName>
    <definedName name="Lsf_4">'Calculation'!$E$16</definedName>
    <definedName name="Lsf_5">'Calculation'!$E$17</definedName>
    <definedName name="bb_sf">'Calculation'!$E$18</definedName>
    <definedName name="hb_sf">'Calculation'!$E$19</definedName>
    <definedName name="up_sf">'Calculation'!$E$20</definedName>
    <definedName name="dn_sf">'Calculation'!$E$21</definedName>
    <definedName name="bc_sf">'Calculation'!$E$22</definedName>
    <definedName name="hc_sf">'Calculation'!$E$23</definedName>
    <definedName name="Hu_sf">'Calculation'!$E$24</definedName>
    <definedName name="Hd_sf">'Calculation'!$E$25</definedName>
    <definedName name="gk_sf">'Calculation'!$E$28</definedName>
    <definedName name="qk_sf">'Calculation'!$E$29</definedName>
    <definedName name="gamma_G">'Calculation'!$E$30</definedName>
    <definedName name="gamma_Q">'Calculation'!$E$31</definedName>
    <definedName name="inputs_ok">IFERROR(AND(OR(arr_sf="UK NA  (all and alternate spans)",arr_sf="EN / PN-EN  (alternate and adjacent spans)"),OR(AND(ISNUMBER(n_sf),n_sf=2),AND(ISNUMBER(n_sf),n_sf=3),AND(ISNUMBER(n_sf),n_sf=4),AND(ISNUMBER(n_sf),n_sf=5)),ISNUMBER(Lsf_1),Lsf_1&gt;0,ISNUMBER(Lsf_2),Lsf_2&gt;0,IF(n_sf&gt;=3,IF(ISNUMBER(Lsf_3),Lsf_3&gt;0,FALSE),TRUE),IF(n_sf&gt;=4,IF(ISNUMBER(Lsf_4),Lsf_4&gt;0,FALSE),TRUE),IF(n_sf&gt;=5,IF(ISNUMBER(Lsf_5),Lsf_5&gt;0,FALSE),TRUE),ISNUMBER(bb_sf),bb_sf&gt;0,ISNUMBER(hb_sf),hb_sf&gt;0,OR(up_sf="Yes",up_sf="No"),OR(dn_sf="Yes",dn_sf="No"),IF(OR(up_sf="Yes",dn_sf="Yes"),IF(ISNUMBER(bc_sf),bc_sf&gt;0,FALSE),TRUE),IF(OR(up_sf="Yes",dn_sf="Yes"),IF(ISNUMBER(hc_sf),hc_sf&gt;0,FALSE),TRUE),IF(up_sf="Yes",IF(ISNUMBER(Hu_sf),Hu_sf&gt;0,FALSE),TRUE),IF(dn_sf="Yes",IF(ISNUMBER(Hd_sf),Hd_sf&gt;0,FALSE),TRUE),ISNUMBER(gk_sf),gk_sf&gt;=0,ISNUMBER(qk_sf),qk_sf&gt;=0,ISNUMBER(gamma_G),gamma_G&gt;0,ISNUMBER(gamma_Q),gamma_Q&gt;0,gamma_G*gk_sf+gamma_Q*qk_sf&gt;0),FALSE)</definedName>
    <definedName name="input_status">'Calculation'!$G$32</definedName>
    <definedName name="sf_on1">1&lt;=n_sf</definedName>
    <definedName name="sf_L1">IF(sf_on1,Lsf_1/1000,1)</definedName>
    <definedName name="sf_k1">IF(sf_on1,sf_Ib/sf_L1,0)</definedName>
    <definedName name="sf_on2">2&lt;=n_sf</definedName>
    <definedName name="sf_L2">IF(sf_on2,Lsf_2/1000,1)</definedName>
    <definedName name="sf_k2">IF(sf_on2,sf_Ib/sf_L2,0)</definedName>
    <definedName name="sf_on3">3&lt;=n_sf</definedName>
    <definedName name="sf_L3">IF(sf_on3,Lsf_3/1000,1)</definedName>
    <definedName name="sf_k3">IF(sf_on3,sf_Ib/sf_L3,0)</definedName>
    <definedName name="sf_on4">4&lt;=n_sf</definedName>
    <definedName name="sf_L4">IF(sf_on4,Lsf_4/1000,1)</definedName>
    <definedName name="sf_k4">IF(sf_on4,sf_Ib/sf_L4,0)</definedName>
    <definedName name="sf_on5">5&lt;=n_sf</definedName>
    <definedName name="sf_L5">IF(sf_on5,Lsf_5/1000,1)</definedName>
    <definedName name="sf_k5">IF(sf_on5,sf_Ib/sf_L5,0)</definedName>
    <definedName name="sf_act1">TRUE</definedName>
    <definedName name="sf_w1_1">IF(sf_on1,sf_wf,0)</definedName>
    <definedName name="sf_w1_2">IF(sf_on2,sf_wf,0)</definedName>
    <definedName name="sf_w1_3">IF(sf_on3,sf_wf,0)</definedName>
    <definedName name="sf_w1_4">IF(sf_on4,sf_wf,0)</definedName>
    <definedName name="sf_w1_5">IF(sf_on5,sf_wf,0)</definedName>
    <definedName name="sf_act2">TRUE</definedName>
    <definedName name="sf_w2_1">IF(sf_on1,sf_wf,0)</definedName>
    <definedName name="sf_w2_2">IF(sf_on2,sf_wp,0)</definedName>
    <definedName name="sf_w2_3">IF(sf_on3,sf_wf,0)</definedName>
    <definedName name="sf_w2_4">IF(sf_on4,sf_wp,0)</definedName>
    <definedName name="sf_w2_5">IF(sf_on5,sf_wf,0)</definedName>
    <definedName name="sf_act3">TRUE</definedName>
    <definedName name="sf_w3_1">IF(sf_on1,sf_wp,0)</definedName>
    <definedName name="sf_w3_2">IF(sf_on2,sf_wf,0)</definedName>
    <definedName name="sf_w3_3">IF(sf_on3,sf_wp,0)</definedName>
    <definedName name="sf_w3_4">IF(sf_on4,sf_wf,0)</definedName>
    <definedName name="sf_w3_5">IF(sf_on5,sf_wp,0)</definedName>
    <definedName name="sf_act4">AND(arr_sf="EN / PN-EN  (alternate and adjacent spans)",1&lt;n_sf)</definedName>
    <definedName name="sf_w4_1">IF(sf_on1,sf_wf,0)</definedName>
    <definedName name="sf_w4_2">IF(sf_on2,sf_wf,0)</definedName>
    <definedName name="sf_w4_3">IF(sf_on3,IF(sf_act4,sf_wp,sf_wf),0)</definedName>
    <definedName name="sf_w4_4">IF(sf_on4,IF(sf_act4,sf_wp,sf_wf),0)</definedName>
    <definedName name="sf_w4_5">IF(sf_on5,IF(sf_act4,sf_wp,sf_wf),0)</definedName>
    <definedName name="sf_act5">AND(arr_sf="EN / PN-EN  (alternate and adjacent spans)",2&lt;n_sf)</definedName>
    <definedName name="sf_w5_1">IF(sf_on1,IF(sf_act5,sf_wp,sf_wf),0)</definedName>
    <definedName name="sf_w5_2">IF(sf_on2,sf_wf,0)</definedName>
    <definedName name="sf_w5_3">IF(sf_on3,sf_wf,0)</definedName>
    <definedName name="sf_w5_4">IF(sf_on4,IF(sf_act5,sf_wp,sf_wf),0)</definedName>
    <definedName name="sf_w5_5">IF(sf_on5,IF(sf_act5,sf_wp,sf_wf),0)</definedName>
    <definedName name="sf_act6">AND(arr_sf="EN / PN-EN  (alternate and adjacent spans)",3&lt;n_sf)</definedName>
    <definedName name="sf_w6_1">IF(sf_on1,IF(sf_act6,sf_wp,sf_wf),0)</definedName>
    <definedName name="sf_w6_2">IF(sf_on2,IF(sf_act6,sf_wp,sf_wf),0)</definedName>
    <definedName name="sf_w6_3">IF(sf_on3,sf_wf,0)</definedName>
    <definedName name="sf_w6_4">IF(sf_on4,sf_wf,0)</definedName>
    <definedName name="sf_w6_5">IF(sf_on5,IF(sf_act6,sf_wp,sf_wf),0)</definedName>
    <definedName name="sf_act7">AND(arr_sf="EN / PN-EN  (alternate and adjacent spans)",4&lt;n_sf)</definedName>
    <definedName name="sf_w7_1">IF(sf_on1,IF(sf_act7,sf_wp,sf_wf),0)</definedName>
    <definedName name="sf_w7_2">IF(sf_on2,IF(sf_act7,sf_wp,sf_wf),0)</definedName>
    <definedName name="sf_w7_3">IF(sf_on3,IF(sf_act7,sf_wp,sf_wf),0)</definedName>
    <definedName name="sf_w7_4">IF(sf_on4,sf_wf,0)</definedName>
    <definedName name="sf_w7_5">IF(sf_on5,sf_wf,0)</definedName>
    <definedName name="sf_b0">IF(0&lt;=n_sf,4*0+4*sf_k1+sf_kc,1)</definedName>
    <definedName name="sf_c0">2*sf_k1</definedName>
    <definedName name="sf_den0">sf_b0</definedName>
    <definedName name="sf_cp0">sf_c0/sf_den0</definedName>
    <definedName name="sf_d1_0">sf_w1_1*sf_L1^2/12</definedName>
    <definedName name="sf_dp1_0">(sf_d1_0)/sf_den0</definedName>
    <definedName name="sf_d2_0">sf_w2_1*sf_L1^2/12</definedName>
    <definedName name="sf_dp2_0">(sf_d2_0)/sf_den0</definedName>
    <definedName name="sf_d3_0">sf_w3_1*sf_L1^2/12</definedName>
    <definedName name="sf_dp3_0">(sf_d3_0)/sf_den0</definedName>
    <definedName name="sf_d4_0">sf_w4_1*sf_L1^2/12</definedName>
    <definedName name="sf_dp4_0">(sf_d4_0)/sf_den0</definedName>
    <definedName name="sf_d5_0">sf_w5_1*sf_L1^2/12</definedName>
    <definedName name="sf_dp5_0">(sf_d5_0)/sf_den0</definedName>
    <definedName name="sf_d6_0">sf_w6_1*sf_L1^2/12</definedName>
    <definedName name="sf_dp6_0">(sf_d6_0)/sf_den0</definedName>
    <definedName name="sf_d7_0">sf_w7_1*sf_L1^2/12</definedName>
    <definedName name="sf_dp7_0">(sf_d7_0)/sf_den0</definedName>
    <definedName name="sf_a1">2*sf_k1</definedName>
    <definedName name="sf_b1">IF(1&lt;=n_sf,4*sf_k1+4*sf_k2+sf_kc,1)</definedName>
    <definedName name="sf_c1">2*sf_k2</definedName>
    <definedName name="sf_den1">sf_b1-sf_a1*sf_cp0</definedName>
    <definedName name="sf_cp1">sf_c1/sf_den1</definedName>
    <definedName name="sf_d1_1">sf_w1_2*sf_L2^2/12-sf_w1_1*sf_L1^2/12</definedName>
    <definedName name="sf_dp1_1">(sf_d1_1-sf_a1*sf_dp1_0)/sf_den1</definedName>
    <definedName name="sf_d2_1">sf_w2_2*sf_L2^2/12-sf_w2_1*sf_L1^2/12</definedName>
    <definedName name="sf_dp2_1">(sf_d2_1-sf_a1*sf_dp2_0)/sf_den1</definedName>
    <definedName name="sf_d3_1">sf_w3_2*sf_L2^2/12-sf_w3_1*sf_L1^2/12</definedName>
    <definedName name="sf_dp3_1">(sf_d3_1-sf_a1*sf_dp3_0)/sf_den1</definedName>
    <definedName name="sf_d4_1">sf_w4_2*sf_L2^2/12-sf_w4_1*sf_L1^2/12</definedName>
    <definedName name="sf_dp4_1">(sf_d4_1-sf_a1*sf_dp4_0)/sf_den1</definedName>
    <definedName name="sf_d5_1">sf_w5_2*sf_L2^2/12-sf_w5_1*sf_L1^2/12</definedName>
    <definedName name="sf_dp5_1">(sf_d5_1-sf_a1*sf_dp5_0)/sf_den1</definedName>
    <definedName name="sf_d6_1">sf_w6_2*sf_L2^2/12-sf_w6_1*sf_L1^2/12</definedName>
    <definedName name="sf_dp6_1">(sf_d6_1-sf_a1*sf_dp6_0)/sf_den1</definedName>
    <definedName name="sf_d7_1">sf_w7_2*sf_L2^2/12-sf_w7_1*sf_L1^2/12</definedName>
    <definedName name="sf_dp7_1">(sf_d7_1-sf_a1*sf_dp7_0)/sf_den1</definedName>
    <definedName name="sf_a2">2*sf_k2</definedName>
    <definedName name="sf_b2">IF(2&lt;=n_sf,4*sf_k2+4*sf_k3+sf_kc,1)</definedName>
    <definedName name="sf_c2">2*sf_k3</definedName>
    <definedName name="sf_den2">sf_b2-sf_a2*sf_cp1</definedName>
    <definedName name="sf_cp2">sf_c2/sf_den2</definedName>
    <definedName name="sf_d1_2">sf_w1_3*sf_L3^2/12-sf_w1_2*sf_L2^2/12</definedName>
    <definedName name="sf_dp1_2">(sf_d1_2-sf_a2*sf_dp1_1)/sf_den2</definedName>
    <definedName name="sf_d2_2">sf_w2_3*sf_L3^2/12-sf_w2_2*sf_L2^2/12</definedName>
    <definedName name="sf_dp2_2">(sf_d2_2-sf_a2*sf_dp2_1)/sf_den2</definedName>
    <definedName name="sf_d3_2">sf_w3_3*sf_L3^2/12-sf_w3_2*sf_L2^2/12</definedName>
    <definedName name="sf_dp3_2">(sf_d3_2-sf_a2*sf_dp3_1)/sf_den2</definedName>
    <definedName name="sf_d4_2">sf_w4_3*sf_L3^2/12-sf_w4_2*sf_L2^2/12</definedName>
    <definedName name="sf_dp4_2">(sf_d4_2-sf_a2*sf_dp4_1)/sf_den2</definedName>
    <definedName name="sf_d5_2">sf_w5_3*sf_L3^2/12-sf_w5_2*sf_L2^2/12</definedName>
    <definedName name="sf_dp5_2">(sf_d5_2-sf_a2*sf_dp5_1)/sf_den2</definedName>
    <definedName name="sf_d6_2">sf_w6_3*sf_L3^2/12-sf_w6_2*sf_L2^2/12</definedName>
    <definedName name="sf_dp6_2">(sf_d6_2-sf_a2*sf_dp6_1)/sf_den2</definedName>
    <definedName name="sf_d7_2">sf_w7_3*sf_L3^2/12-sf_w7_2*sf_L2^2/12</definedName>
    <definedName name="sf_dp7_2">(sf_d7_2-sf_a2*sf_dp7_1)/sf_den2</definedName>
    <definedName name="sf_a3">2*sf_k3</definedName>
    <definedName name="sf_b3">IF(3&lt;=n_sf,4*sf_k3+4*sf_k4+sf_kc,1)</definedName>
    <definedName name="sf_c3">2*sf_k4</definedName>
    <definedName name="sf_den3">sf_b3-sf_a3*sf_cp2</definedName>
    <definedName name="sf_cp3">sf_c3/sf_den3</definedName>
    <definedName name="sf_d1_3">sf_w1_4*sf_L4^2/12-sf_w1_3*sf_L3^2/12</definedName>
    <definedName name="sf_dp1_3">(sf_d1_3-sf_a3*sf_dp1_2)/sf_den3</definedName>
    <definedName name="sf_d2_3">sf_w2_4*sf_L4^2/12-sf_w2_3*sf_L3^2/12</definedName>
    <definedName name="sf_dp2_3">(sf_d2_3-sf_a3*sf_dp2_2)/sf_den3</definedName>
    <definedName name="sf_d3_3">sf_w3_4*sf_L4^2/12-sf_w3_3*sf_L3^2/12</definedName>
    <definedName name="sf_dp3_3">(sf_d3_3-sf_a3*sf_dp3_2)/sf_den3</definedName>
    <definedName name="sf_d4_3">sf_w4_4*sf_L4^2/12-sf_w4_3*sf_L3^2/12</definedName>
    <definedName name="sf_dp4_3">(sf_d4_3-sf_a3*sf_dp4_2)/sf_den3</definedName>
    <definedName name="sf_d5_3">sf_w5_4*sf_L4^2/12-sf_w5_3*sf_L3^2/12</definedName>
    <definedName name="sf_dp5_3">(sf_d5_3-sf_a3*sf_dp5_2)/sf_den3</definedName>
    <definedName name="sf_d6_3">sf_w6_4*sf_L4^2/12-sf_w6_3*sf_L3^2/12</definedName>
    <definedName name="sf_dp6_3">(sf_d6_3-sf_a3*sf_dp6_2)/sf_den3</definedName>
    <definedName name="sf_d7_3">sf_w7_4*sf_L4^2/12-sf_w7_3*sf_L3^2/12</definedName>
    <definedName name="sf_dp7_3">(sf_d7_3-sf_a3*sf_dp7_2)/sf_den3</definedName>
    <definedName name="sf_a4">2*sf_k4</definedName>
    <definedName name="sf_b4">IF(4&lt;=n_sf,4*sf_k4+4*sf_k5+sf_kc,1)</definedName>
    <definedName name="sf_c4">2*sf_k5</definedName>
    <definedName name="sf_den4">sf_b4-sf_a4*sf_cp3</definedName>
    <definedName name="sf_cp4">sf_c4/sf_den4</definedName>
    <definedName name="sf_d1_4">sf_w1_5*sf_L5^2/12-sf_w1_4*sf_L4^2/12</definedName>
    <definedName name="sf_dp1_4">(sf_d1_4-sf_a4*sf_dp1_3)/sf_den4</definedName>
    <definedName name="sf_d2_4">sf_w2_5*sf_L5^2/12-sf_w2_4*sf_L4^2/12</definedName>
    <definedName name="sf_dp2_4">(sf_d2_4-sf_a4*sf_dp2_3)/sf_den4</definedName>
    <definedName name="sf_d3_4">sf_w3_5*sf_L5^2/12-sf_w3_4*sf_L4^2/12</definedName>
    <definedName name="sf_dp3_4">(sf_d3_4-sf_a4*sf_dp3_3)/sf_den4</definedName>
    <definedName name="sf_d4_4">sf_w4_5*sf_L5^2/12-sf_w4_4*sf_L4^2/12</definedName>
    <definedName name="sf_dp4_4">(sf_d4_4-sf_a4*sf_dp4_3)/sf_den4</definedName>
    <definedName name="sf_d5_4">sf_w5_5*sf_L5^2/12-sf_w5_4*sf_L4^2/12</definedName>
    <definedName name="sf_dp5_4">(sf_d5_4-sf_a4*sf_dp5_3)/sf_den4</definedName>
    <definedName name="sf_d6_4">sf_w6_5*sf_L5^2/12-sf_w6_4*sf_L4^2/12</definedName>
    <definedName name="sf_dp6_4">(sf_d6_4-sf_a4*sf_dp6_3)/sf_den4</definedName>
    <definedName name="sf_d7_4">sf_w7_5*sf_L5^2/12-sf_w7_4*sf_L4^2/12</definedName>
    <definedName name="sf_dp7_4">(sf_d7_4-sf_a4*sf_dp7_3)/sf_den4</definedName>
    <definedName name="sf_a5">2*sf_k5</definedName>
    <definedName name="sf_b5">IF(5&lt;=n_sf,4*sf_k5+4*0+sf_kc,1)</definedName>
    <definedName name="sf_den5">sf_b5-sf_a5*sf_cp4</definedName>
    <definedName name="sf_d1_5">0-sf_w1_5*sf_L5^2/12</definedName>
    <definedName name="sf_dp1_5">(sf_d1_5-sf_a5*sf_dp1_4)/sf_den5</definedName>
    <definedName name="sf_d2_5">0-sf_w2_5*sf_L5^2/12</definedName>
    <definedName name="sf_dp2_5">(sf_d2_5-sf_a5*sf_dp2_4)/sf_den5</definedName>
    <definedName name="sf_d3_5">0-sf_w3_5*sf_L5^2/12</definedName>
    <definedName name="sf_dp3_5">(sf_d3_5-sf_a5*sf_dp3_4)/sf_den5</definedName>
    <definedName name="sf_d4_5">0-sf_w4_5*sf_L5^2/12</definedName>
    <definedName name="sf_dp4_5">(sf_d4_5-sf_a5*sf_dp4_4)/sf_den5</definedName>
    <definedName name="sf_d5_5">0-sf_w5_5*sf_L5^2/12</definedName>
    <definedName name="sf_dp5_5">(sf_d5_5-sf_a5*sf_dp5_4)/sf_den5</definedName>
    <definedName name="sf_d6_5">0-sf_w6_5*sf_L5^2/12</definedName>
    <definedName name="sf_dp6_5">(sf_d6_5-sf_a5*sf_dp6_4)/sf_den5</definedName>
    <definedName name="sf_d7_5">0-sf_w7_5*sf_L5^2/12</definedName>
    <definedName name="sf_dp7_5">(sf_d7_5-sf_a5*sf_dp7_4)/sf_den5</definedName>
    <definedName name="sf_t1_5">sf_dp1_5</definedName>
    <definedName name="sf_t1_4">sf_dp1_4-sf_cp4*sf_t1_5</definedName>
    <definedName name="sf_t1_3">sf_dp1_3-sf_cp3*sf_t1_4</definedName>
    <definedName name="sf_t1_2">sf_dp1_2-sf_cp2*sf_t1_3</definedName>
    <definedName name="sf_t1_1">sf_dp1_1-sf_cp1*sf_t1_2</definedName>
    <definedName name="sf_t1_0">sf_dp1_0-sf_cp0*sf_t1_1</definedName>
    <definedName name="sf_ML1_1">-sf_w1_1*sf_L1^2/12+2*sf_k1*(2*sf_t1_0+sf_t1_1)</definedName>
    <definedName name="sf_MR1_1">-(sf_w1_1*sf_L1^2/12+2*sf_k1*(sf_t1_0+2*sf_t1_1))</definedName>
    <definedName name="sf_V1_1">sf_w1_1*sf_L1/2+(sf_MR1_1-sf_ML1_1)/sf_L1</definedName>
    <definedName name="sf_S1_1">IF(AND(sf_w1_1&gt;0,sf_V1_1&gt;0,sf_V1_1&lt;sf_w1_1*sf_L1),sf_ML1_1+sf_V1_1^2/(2*sf_w1_1),MAX(sf_ML1_1,sf_MR1_1))</definedName>
    <definedName name="sf_xs1_1">IF(AND(sf_w1_1&gt;0,sf_V1_1&gt;0,sf_V1_1&lt;sf_w1_1*sf_L1),sf_V1_1/sf_w1_1,IF(sf_ML1_1&gt;=sf_MR1_1,0,sf_L1))</definedName>
    <definedName name="sf_ML1_2">-sf_w1_2*sf_L2^2/12+2*sf_k2*(2*sf_t1_1+sf_t1_2)</definedName>
    <definedName name="sf_MR1_2">-(sf_w1_2*sf_L2^2/12+2*sf_k2*(sf_t1_1+2*sf_t1_2))</definedName>
    <definedName name="sf_V1_2">sf_w1_2*sf_L2/2+(sf_MR1_2-sf_ML1_2)/sf_L2</definedName>
    <definedName name="sf_S1_2">IF(AND(sf_w1_2&gt;0,sf_V1_2&gt;0,sf_V1_2&lt;sf_w1_2*sf_L2),sf_ML1_2+sf_V1_2^2/(2*sf_w1_2),MAX(sf_ML1_2,sf_MR1_2))</definedName>
    <definedName name="sf_xs1_2">IF(AND(sf_w1_2&gt;0,sf_V1_2&gt;0,sf_V1_2&lt;sf_w1_2*sf_L2),sf_V1_2/sf_w1_2,IF(sf_ML1_2&gt;=sf_MR1_2,0,sf_L2))</definedName>
    <definedName name="sf_ML1_3">-sf_w1_3*sf_L3^2/12+2*sf_k3*(2*sf_t1_2+sf_t1_3)</definedName>
    <definedName name="sf_MR1_3">-(sf_w1_3*sf_L3^2/12+2*sf_k3*(sf_t1_2+2*sf_t1_3))</definedName>
    <definedName name="sf_V1_3">sf_w1_3*sf_L3/2+(sf_MR1_3-sf_ML1_3)/sf_L3</definedName>
    <definedName name="sf_S1_3">IF(AND(sf_w1_3&gt;0,sf_V1_3&gt;0,sf_V1_3&lt;sf_w1_3*sf_L3),sf_ML1_3+sf_V1_3^2/(2*sf_w1_3),MAX(sf_ML1_3,sf_MR1_3))</definedName>
    <definedName name="sf_xs1_3">IF(AND(sf_w1_3&gt;0,sf_V1_3&gt;0,sf_V1_3&lt;sf_w1_3*sf_L3),sf_V1_3/sf_w1_3,IF(sf_ML1_3&gt;=sf_MR1_3,0,sf_L3))</definedName>
    <definedName name="sf_ML1_4">-sf_w1_4*sf_L4^2/12+2*sf_k4*(2*sf_t1_3+sf_t1_4)</definedName>
    <definedName name="sf_MR1_4">-(sf_w1_4*sf_L4^2/12+2*sf_k4*(sf_t1_3+2*sf_t1_4))</definedName>
    <definedName name="sf_V1_4">sf_w1_4*sf_L4/2+(sf_MR1_4-sf_ML1_4)/sf_L4</definedName>
    <definedName name="sf_S1_4">IF(AND(sf_w1_4&gt;0,sf_V1_4&gt;0,sf_V1_4&lt;sf_w1_4*sf_L4),sf_ML1_4+sf_V1_4^2/(2*sf_w1_4),MAX(sf_ML1_4,sf_MR1_4))</definedName>
    <definedName name="sf_xs1_4">IF(AND(sf_w1_4&gt;0,sf_V1_4&gt;0,sf_V1_4&lt;sf_w1_4*sf_L4),sf_V1_4/sf_w1_4,IF(sf_ML1_4&gt;=sf_MR1_4,0,sf_L4))</definedName>
    <definedName name="sf_ML1_5">-sf_w1_5*sf_L5^2/12+2*sf_k5*(2*sf_t1_4+sf_t1_5)</definedName>
    <definedName name="sf_MR1_5">-(sf_w1_5*sf_L5^2/12+2*sf_k5*(sf_t1_4+2*sf_t1_5))</definedName>
    <definedName name="sf_V1_5">sf_w1_5*sf_L5/2+(sf_MR1_5-sf_ML1_5)/sf_L5</definedName>
    <definedName name="sf_S1_5">IF(AND(sf_w1_5&gt;0,sf_V1_5&gt;0,sf_V1_5&lt;sf_w1_5*sf_L5),sf_ML1_5+sf_V1_5^2/(2*sf_w1_5),MAX(sf_ML1_5,sf_MR1_5))</definedName>
    <definedName name="sf_xs1_5">IF(AND(sf_w1_5&gt;0,sf_V1_5&gt;0,sf_V1_5&lt;sf_w1_5*sf_L5),sf_V1_5/sf_w1_5,IF(sf_ML1_5&gt;=sf_MR1_5,0,sf_L5))</definedName>
    <definedName name="sf_Mu1_0">sf_ku*sf_t1_0</definedName>
    <definedName name="sf_Md1_0">sf_kd*sf_t1_0</definedName>
    <definedName name="sf_R1_0">sf_V1_1-0</definedName>
    <definedName name="sf_Vk1_0">MAX(ABS(sf_V1_1),ABS(0))</definedName>
    <definedName name="sf_Mu1_1">sf_ku*sf_t1_1</definedName>
    <definedName name="sf_Md1_1">sf_kd*sf_t1_1</definedName>
    <definedName name="sf_R1_1">sf_V1_2-(sf_V1_1-sf_w1_1*sf_L1)</definedName>
    <definedName name="sf_Vk1_1">MAX(ABS(sf_V1_2),ABS((sf_V1_1-sf_w1_1*sf_L1)))</definedName>
    <definedName name="sf_Mu1_2">sf_ku*sf_t1_2</definedName>
    <definedName name="sf_Md1_2">sf_kd*sf_t1_2</definedName>
    <definedName name="sf_R1_2">sf_V1_3-(sf_V1_2-sf_w1_2*sf_L2)</definedName>
    <definedName name="sf_Vk1_2">MAX(ABS(sf_V1_3),ABS((sf_V1_2-sf_w1_2*sf_L2)))</definedName>
    <definedName name="sf_Mu1_3">sf_ku*sf_t1_3</definedName>
    <definedName name="sf_Md1_3">sf_kd*sf_t1_3</definedName>
    <definedName name="sf_R1_3">sf_V1_4-(sf_V1_3-sf_w1_3*sf_L3)</definedName>
    <definedName name="sf_Vk1_3">MAX(ABS(sf_V1_4),ABS((sf_V1_3-sf_w1_3*sf_L3)))</definedName>
    <definedName name="sf_Mu1_4">sf_ku*sf_t1_4</definedName>
    <definedName name="sf_Md1_4">sf_kd*sf_t1_4</definedName>
    <definedName name="sf_R1_4">sf_V1_5-(sf_V1_4-sf_w1_4*sf_L4)</definedName>
    <definedName name="sf_Vk1_4">MAX(ABS(sf_V1_5),ABS((sf_V1_4-sf_w1_4*sf_L4)))</definedName>
    <definedName name="sf_Mu1_5">sf_ku*sf_t1_5</definedName>
    <definedName name="sf_Md1_5">sf_kd*sf_t1_5</definedName>
    <definedName name="sf_R1_5">0-(sf_V1_5-sf_w1_5*sf_L5)</definedName>
    <definedName name="sf_Vk1_5">MAX(ABS(0),ABS((sf_V1_5-sf_w1_5*sf_L5)))</definedName>
    <definedName name="sf_t2_5">sf_dp2_5</definedName>
    <definedName name="sf_t2_4">sf_dp2_4-sf_cp4*sf_t2_5</definedName>
    <definedName name="sf_t2_3">sf_dp2_3-sf_cp3*sf_t2_4</definedName>
    <definedName name="sf_t2_2">sf_dp2_2-sf_cp2*sf_t2_3</definedName>
    <definedName name="sf_t2_1">sf_dp2_1-sf_cp1*sf_t2_2</definedName>
    <definedName name="sf_t2_0">sf_dp2_0-sf_cp0*sf_t2_1</definedName>
    <definedName name="sf_ML2_1">-sf_w2_1*sf_L1^2/12+2*sf_k1*(2*sf_t2_0+sf_t2_1)</definedName>
    <definedName name="sf_MR2_1">-(sf_w2_1*sf_L1^2/12+2*sf_k1*(sf_t2_0+2*sf_t2_1))</definedName>
    <definedName name="sf_V2_1">sf_w2_1*sf_L1/2+(sf_MR2_1-sf_ML2_1)/sf_L1</definedName>
    <definedName name="sf_S2_1">IF(AND(sf_w2_1&gt;0,sf_V2_1&gt;0,sf_V2_1&lt;sf_w2_1*sf_L1),sf_ML2_1+sf_V2_1^2/(2*sf_w2_1),MAX(sf_ML2_1,sf_MR2_1))</definedName>
    <definedName name="sf_xs2_1">IF(AND(sf_w2_1&gt;0,sf_V2_1&gt;0,sf_V2_1&lt;sf_w2_1*sf_L1),sf_V2_1/sf_w2_1,IF(sf_ML2_1&gt;=sf_MR2_1,0,sf_L1))</definedName>
    <definedName name="sf_ML2_2">-sf_w2_2*sf_L2^2/12+2*sf_k2*(2*sf_t2_1+sf_t2_2)</definedName>
    <definedName name="sf_MR2_2">-(sf_w2_2*sf_L2^2/12+2*sf_k2*(sf_t2_1+2*sf_t2_2))</definedName>
    <definedName name="sf_V2_2">sf_w2_2*sf_L2/2+(sf_MR2_2-sf_ML2_2)/sf_L2</definedName>
    <definedName name="sf_S2_2">IF(AND(sf_w2_2&gt;0,sf_V2_2&gt;0,sf_V2_2&lt;sf_w2_2*sf_L2),sf_ML2_2+sf_V2_2^2/(2*sf_w2_2),MAX(sf_ML2_2,sf_MR2_2))</definedName>
    <definedName name="sf_xs2_2">IF(AND(sf_w2_2&gt;0,sf_V2_2&gt;0,sf_V2_2&lt;sf_w2_2*sf_L2),sf_V2_2/sf_w2_2,IF(sf_ML2_2&gt;=sf_MR2_2,0,sf_L2))</definedName>
    <definedName name="sf_ML2_3">-sf_w2_3*sf_L3^2/12+2*sf_k3*(2*sf_t2_2+sf_t2_3)</definedName>
    <definedName name="sf_MR2_3">-(sf_w2_3*sf_L3^2/12+2*sf_k3*(sf_t2_2+2*sf_t2_3))</definedName>
    <definedName name="sf_V2_3">sf_w2_3*sf_L3/2+(sf_MR2_3-sf_ML2_3)/sf_L3</definedName>
    <definedName name="sf_S2_3">IF(AND(sf_w2_3&gt;0,sf_V2_3&gt;0,sf_V2_3&lt;sf_w2_3*sf_L3),sf_ML2_3+sf_V2_3^2/(2*sf_w2_3),MAX(sf_ML2_3,sf_MR2_3))</definedName>
    <definedName name="sf_xs2_3">IF(AND(sf_w2_3&gt;0,sf_V2_3&gt;0,sf_V2_3&lt;sf_w2_3*sf_L3),sf_V2_3/sf_w2_3,IF(sf_ML2_3&gt;=sf_MR2_3,0,sf_L3))</definedName>
    <definedName name="sf_ML2_4">-sf_w2_4*sf_L4^2/12+2*sf_k4*(2*sf_t2_3+sf_t2_4)</definedName>
    <definedName name="sf_MR2_4">-(sf_w2_4*sf_L4^2/12+2*sf_k4*(sf_t2_3+2*sf_t2_4))</definedName>
    <definedName name="sf_V2_4">sf_w2_4*sf_L4/2+(sf_MR2_4-sf_ML2_4)/sf_L4</definedName>
    <definedName name="sf_S2_4">IF(AND(sf_w2_4&gt;0,sf_V2_4&gt;0,sf_V2_4&lt;sf_w2_4*sf_L4),sf_ML2_4+sf_V2_4^2/(2*sf_w2_4),MAX(sf_ML2_4,sf_MR2_4))</definedName>
    <definedName name="sf_xs2_4">IF(AND(sf_w2_4&gt;0,sf_V2_4&gt;0,sf_V2_4&lt;sf_w2_4*sf_L4),sf_V2_4/sf_w2_4,IF(sf_ML2_4&gt;=sf_MR2_4,0,sf_L4))</definedName>
    <definedName name="sf_ML2_5">-sf_w2_5*sf_L5^2/12+2*sf_k5*(2*sf_t2_4+sf_t2_5)</definedName>
    <definedName name="sf_MR2_5">-(sf_w2_5*sf_L5^2/12+2*sf_k5*(sf_t2_4+2*sf_t2_5))</definedName>
    <definedName name="sf_V2_5">sf_w2_5*sf_L5/2+(sf_MR2_5-sf_ML2_5)/sf_L5</definedName>
    <definedName name="sf_S2_5">IF(AND(sf_w2_5&gt;0,sf_V2_5&gt;0,sf_V2_5&lt;sf_w2_5*sf_L5),sf_ML2_5+sf_V2_5^2/(2*sf_w2_5),MAX(sf_ML2_5,sf_MR2_5))</definedName>
    <definedName name="sf_xs2_5">IF(AND(sf_w2_5&gt;0,sf_V2_5&gt;0,sf_V2_5&lt;sf_w2_5*sf_L5),sf_V2_5/sf_w2_5,IF(sf_ML2_5&gt;=sf_MR2_5,0,sf_L5))</definedName>
    <definedName name="sf_Mu2_0">sf_ku*sf_t2_0</definedName>
    <definedName name="sf_Md2_0">sf_kd*sf_t2_0</definedName>
    <definedName name="sf_R2_0">sf_V2_1-0</definedName>
    <definedName name="sf_Vk2_0">MAX(ABS(sf_V2_1),ABS(0))</definedName>
    <definedName name="sf_Mu2_1">sf_ku*sf_t2_1</definedName>
    <definedName name="sf_Md2_1">sf_kd*sf_t2_1</definedName>
    <definedName name="sf_R2_1">sf_V2_2-(sf_V2_1-sf_w2_1*sf_L1)</definedName>
    <definedName name="sf_Vk2_1">MAX(ABS(sf_V2_2),ABS((sf_V2_1-sf_w2_1*sf_L1)))</definedName>
    <definedName name="sf_Mu2_2">sf_ku*sf_t2_2</definedName>
    <definedName name="sf_Md2_2">sf_kd*sf_t2_2</definedName>
    <definedName name="sf_R2_2">sf_V2_3-(sf_V2_2-sf_w2_2*sf_L2)</definedName>
    <definedName name="sf_Vk2_2">MAX(ABS(sf_V2_3),ABS((sf_V2_2-sf_w2_2*sf_L2)))</definedName>
    <definedName name="sf_Mu2_3">sf_ku*sf_t2_3</definedName>
    <definedName name="sf_Md2_3">sf_kd*sf_t2_3</definedName>
    <definedName name="sf_R2_3">sf_V2_4-(sf_V2_3-sf_w2_3*sf_L3)</definedName>
    <definedName name="sf_Vk2_3">MAX(ABS(sf_V2_4),ABS((sf_V2_3-sf_w2_3*sf_L3)))</definedName>
    <definedName name="sf_Mu2_4">sf_ku*sf_t2_4</definedName>
    <definedName name="sf_Md2_4">sf_kd*sf_t2_4</definedName>
    <definedName name="sf_R2_4">sf_V2_5-(sf_V2_4-sf_w2_4*sf_L4)</definedName>
    <definedName name="sf_Vk2_4">MAX(ABS(sf_V2_5),ABS((sf_V2_4-sf_w2_4*sf_L4)))</definedName>
    <definedName name="sf_Mu2_5">sf_ku*sf_t2_5</definedName>
    <definedName name="sf_Md2_5">sf_kd*sf_t2_5</definedName>
    <definedName name="sf_R2_5">0-(sf_V2_5-sf_w2_5*sf_L5)</definedName>
    <definedName name="sf_Vk2_5">MAX(ABS(0),ABS((sf_V2_5-sf_w2_5*sf_L5)))</definedName>
    <definedName name="sf_t3_5">sf_dp3_5</definedName>
    <definedName name="sf_t3_4">sf_dp3_4-sf_cp4*sf_t3_5</definedName>
    <definedName name="sf_t3_3">sf_dp3_3-sf_cp3*sf_t3_4</definedName>
    <definedName name="sf_t3_2">sf_dp3_2-sf_cp2*sf_t3_3</definedName>
    <definedName name="sf_t3_1">sf_dp3_1-sf_cp1*sf_t3_2</definedName>
    <definedName name="sf_t3_0">sf_dp3_0-sf_cp0*sf_t3_1</definedName>
    <definedName name="sf_ML3_1">-sf_w3_1*sf_L1^2/12+2*sf_k1*(2*sf_t3_0+sf_t3_1)</definedName>
    <definedName name="sf_MR3_1">-(sf_w3_1*sf_L1^2/12+2*sf_k1*(sf_t3_0+2*sf_t3_1))</definedName>
    <definedName name="sf_V3_1">sf_w3_1*sf_L1/2+(sf_MR3_1-sf_ML3_1)/sf_L1</definedName>
    <definedName name="sf_S3_1">IF(AND(sf_w3_1&gt;0,sf_V3_1&gt;0,sf_V3_1&lt;sf_w3_1*sf_L1),sf_ML3_1+sf_V3_1^2/(2*sf_w3_1),MAX(sf_ML3_1,sf_MR3_1))</definedName>
    <definedName name="sf_xs3_1">IF(AND(sf_w3_1&gt;0,sf_V3_1&gt;0,sf_V3_1&lt;sf_w3_1*sf_L1),sf_V3_1/sf_w3_1,IF(sf_ML3_1&gt;=sf_MR3_1,0,sf_L1))</definedName>
    <definedName name="sf_ML3_2">-sf_w3_2*sf_L2^2/12+2*sf_k2*(2*sf_t3_1+sf_t3_2)</definedName>
    <definedName name="sf_MR3_2">-(sf_w3_2*sf_L2^2/12+2*sf_k2*(sf_t3_1+2*sf_t3_2))</definedName>
    <definedName name="sf_V3_2">sf_w3_2*sf_L2/2+(sf_MR3_2-sf_ML3_2)/sf_L2</definedName>
    <definedName name="sf_S3_2">IF(AND(sf_w3_2&gt;0,sf_V3_2&gt;0,sf_V3_2&lt;sf_w3_2*sf_L2),sf_ML3_2+sf_V3_2^2/(2*sf_w3_2),MAX(sf_ML3_2,sf_MR3_2))</definedName>
    <definedName name="sf_xs3_2">IF(AND(sf_w3_2&gt;0,sf_V3_2&gt;0,sf_V3_2&lt;sf_w3_2*sf_L2),sf_V3_2/sf_w3_2,IF(sf_ML3_2&gt;=sf_MR3_2,0,sf_L2))</definedName>
    <definedName name="sf_ML3_3">-sf_w3_3*sf_L3^2/12+2*sf_k3*(2*sf_t3_2+sf_t3_3)</definedName>
    <definedName name="sf_MR3_3">-(sf_w3_3*sf_L3^2/12+2*sf_k3*(sf_t3_2+2*sf_t3_3))</definedName>
    <definedName name="sf_V3_3">sf_w3_3*sf_L3/2+(sf_MR3_3-sf_ML3_3)/sf_L3</definedName>
    <definedName name="sf_S3_3">IF(AND(sf_w3_3&gt;0,sf_V3_3&gt;0,sf_V3_3&lt;sf_w3_3*sf_L3),sf_ML3_3+sf_V3_3^2/(2*sf_w3_3),MAX(sf_ML3_3,sf_MR3_3))</definedName>
    <definedName name="sf_xs3_3">IF(AND(sf_w3_3&gt;0,sf_V3_3&gt;0,sf_V3_3&lt;sf_w3_3*sf_L3),sf_V3_3/sf_w3_3,IF(sf_ML3_3&gt;=sf_MR3_3,0,sf_L3))</definedName>
    <definedName name="sf_ML3_4">-sf_w3_4*sf_L4^2/12+2*sf_k4*(2*sf_t3_3+sf_t3_4)</definedName>
    <definedName name="sf_MR3_4">-(sf_w3_4*sf_L4^2/12+2*sf_k4*(sf_t3_3+2*sf_t3_4))</definedName>
    <definedName name="sf_V3_4">sf_w3_4*sf_L4/2+(sf_MR3_4-sf_ML3_4)/sf_L4</definedName>
    <definedName name="sf_S3_4">IF(AND(sf_w3_4&gt;0,sf_V3_4&gt;0,sf_V3_4&lt;sf_w3_4*sf_L4),sf_ML3_4+sf_V3_4^2/(2*sf_w3_4),MAX(sf_ML3_4,sf_MR3_4))</definedName>
    <definedName name="sf_xs3_4">IF(AND(sf_w3_4&gt;0,sf_V3_4&gt;0,sf_V3_4&lt;sf_w3_4*sf_L4),sf_V3_4/sf_w3_4,IF(sf_ML3_4&gt;=sf_MR3_4,0,sf_L4))</definedName>
    <definedName name="sf_ML3_5">-sf_w3_5*sf_L5^2/12+2*sf_k5*(2*sf_t3_4+sf_t3_5)</definedName>
    <definedName name="sf_MR3_5">-(sf_w3_5*sf_L5^2/12+2*sf_k5*(sf_t3_4+2*sf_t3_5))</definedName>
    <definedName name="sf_V3_5">sf_w3_5*sf_L5/2+(sf_MR3_5-sf_ML3_5)/sf_L5</definedName>
    <definedName name="sf_S3_5">IF(AND(sf_w3_5&gt;0,sf_V3_5&gt;0,sf_V3_5&lt;sf_w3_5*sf_L5),sf_ML3_5+sf_V3_5^2/(2*sf_w3_5),MAX(sf_ML3_5,sf_MR3_5))</definedName>
    <definedName name="sf_xs3_5">IF(AND(sf_w3_5&gt;0,sf_V3_5&gt;0,sf_V3_5&lt;sf_w3_5*sf_L5),sf_V3_5/sf_w3_5,IF(sf_ML3_5&gt;=sf_MR3_5,0,sf_L5))</definedName>
    <definedName name="sf_Mu3_0">sf_ku*sf_t3_0</definedName>
    <definedName name="sf_Md3_0">sf_kd*sf_t3_0</definedName>
    <definedName name="sf_R3_0">sf_V3_1-0</definedName>
    <definedName name="sf_Vk3_0">MAX(ABS(sf_V3_1),ABS(0))</definedName>
    <definedName name="sf_Mu3_1">sf_ku*sf_t3_1</definedName>
    <definedName name="sf_Md3_1">sf_kd*sf_t3_1</definedName>
    <definedName name="sf_R3_1">sf_V3_2-(sf_V3_1-sf_w3_1*sf_L1)</definedName>
    <definedName name="sf_Vk3_1">MAX(ABS(sf_V3_2),ABS((sf_V3_1-sf_w3_1*sf_L1)))</definedName>
    <definedName name="sf_Mu3_2">sf_ku*sf_t3_2</definedName>
    <definedName name="sf_Md3_2">sf_kd*sf_t3_2</definedName>
    <definedName name="sf_R3_2">sf_V3_3-(sf_V3_2-sf_w3_2*sf_L2)</definedName>
    <definedName name="sf_Vk3_2">MAX(ABS(sf_V3_3),ABS((sf_V3_2-sf_w3_2*sf_L2)))</definedName>
    <definedName name="sf_Mu3_3">sf_ku*sf_t3_3</definedName>
    <definedName name="sf_Md3_3">sf_kd*sf_t3_3</definedName>
    <definedName name="sf_R3_3">sf_V3_4-(sf_V3_3-sf_w3_3*sf_L3)</definedName>
    <definedName name="sf_Vk3_3">MAX(ABS(sf_V3_4),ABS((sf_V3_3-sf_w3_3*sf_L3)))</definedName>
    <definedName name="sf_Mu3_4">sf_ku*sf_t3_4</definedName>
    <definedName name="sf_Md3_4">sf_kd*sf_t3_4</definedName>
    <definedName name="sf_R3_4">sf_V3_5-(sf_V3_4-sf_w3_4*sf_L4)</definedName>
    <definedName name="sf_Vk3_4">MAX(ABS(sf_V3_5),ABS((sf_V3_4-sf_w3_4*sf_L4)))</definedName>
    <definedName name="sf_Mu3_5">sf_ku*sf_t3_5</definedName>
    <definedName name="sf_Md3_5">sf_kd*sf_t3_5</definedName>
    <definedName name="sf_R3_5">0-(sf_V3_5-sf_w3_5*sf_L5)</definedName>
    <definedName name="sf_Vk3_5">MAX(ABS(0),ABS((sf_V3_5-sf_w3_5*sf_L5)))</definedName>
    <definedName name="sf_t4_5">sf_dp4_5</definedName>
    <definedName name="sf_t4_4">sf_dp4_4-sf_cp4*sf_t4_5</definedName>
    <definedName name="sf_t4_3">sf_dp4_3-sf_cp3*sf_t4_4</definedName>
    <definedName name="sf_t4_2">sf_dp4_2-sf_cp2*sf_t4_3</definedName>
    <definedName name="sf_t4_1">sf_dp4_1-sf_cp1*sf_t4_2</definedName>
    <definedName name="sf_t4_0">sf_dp4_0-sf_cp0*sf_t4_1</definedName>
    <definedName name="sf_ML4_1">-sf_w4_1*sf_L1^2/12+2*sf_k1*(2*sf_t4_0+sf_t4_1)</definedName>
    <definedName name="sf_MR4_1">-(sf_w4_1*sf_L1^2/12+2*sf_k1*(sf_t4_0+2*sf_t4_1))</definedName>
    <definedName name="sf_V4_1">sf_w4_1*sf_L1/2+(sf_MR4_1-sf_ML4_1)/sf_L1</definedName>
    <definedName name="sf_S4_1">IF(AND(sf_w4_1&gt;0,sf_V4_1&gt;0,sf_V4_1&lt;sf_w4_1*sf_L1),sf_ML4_1+sf_V4_1^2/(2*sf_w4_1),MAX(sf_ML4_1,sf_MR4_1))</definedName>
    <definedName name="sf_xs4_1">IF(AND(sf_w4_1&gt;0,sf_V4_1&gt;0,sf_V4_1&lt;sf_w4_1*sf_L1),sf_V4_1/sf_w4_1,IF(sf_ML4_1&gt;=sf_MR4_1,0,sf_L1))</definedName>
    <definedName name="sf_ML4_2">-sf_w4_2*sf_L2^2/12+2*sf_k2*(2*sf_t4_1+sf_t4_2)</definedName>
    <definedName name="sf_MR4_2">-(sf_w4_2*sf_L2^2/12+2*sf_k2*(sf_t4_1+2*sf_t4_2))</definedName>
    <definedName name="sf_V4_2">sf_w4_2*sf_L2/2+(sf_MR4_2-sf_ML4_2)/sf_L2</definedName>
    <definedName name="sf_S4_2">IF(AND(sf_w4_2&gt;0,sf_V4_2&gt;0,sf_V4_2&lt;sf_w4_2*sf_L2),sf_ML4_2+sf_V4_2^2/(2*sf_w4_2),MAX(sf_ML4_2,sf_MR4_2))</definedName>
    <definedName name="sf_xs4_2">IF(AND(sf_w4_2&gt;0,sf_V4_2&gt;0,sf_V4_2&lt;sf_w4_2*sf_L2),sf_V4_2/sf_w4_2,IF(sf_ML4_2&gt;=sf_MR4_2,0,sf_L2))</definedName>
    <definedName name="sf_ML4_3">-sf_w4_3*sf_L3^2/12+2*sf_k3*(2*sf_t4_2+sf_t4_3)</definedName>
    <definedName name="sf_MR4_3">-(sf_w4_3*sf_L3^2/12+2*sf_k3*(sf_t4_2+2*sf_t4_3))</definedName>
    <definedName name="sf_V4_3">sf_w4_3*sf_L3/2+(sf_MR4_3-sf_ML4_3)/sf_L3</definedName>
    <definedName name="sf_S4_3">IF(AND(sf_w4_3&gt;0,sf_V4_3&gt;0,sf_V4_3&lt;sf_w4_3*sf_L3),sf_ML4_3+sf_V4_3^2/(2*sf_w4_3),MAX(sf_ML4_3,sf_MR4_3))</definedName>
    <definedName name="sf_xs4_3">IF(AND(sf_w4_3&gt;0,sf_V4_3&gt;0,sf_V4_3&lt;sf_w4_3*sf_L3),sf_V4_3/sf_w4_3,IF(sf_ML4_3&gt;=sf_MR4_3,0,sf_L3))</definedName>
    <definedName name="sf_ML4_4">-sf_w4_4*sf_L4^2/12+2*sf_k4*(2*sf_t4_3+sf_t4_4)</definedName>
    <definedName name="sf_MR4_4">-(sf_w4_4*sf_L4^2/12+2*sf_k4*(sf_t4_3+2*sf_t4_4))</definedName>
    <definedName name="sf_V4_4">sf_w4_4*sf_L4/2+(sf_MR4_4-sf_ML4_4)/sf_L4</definedName>
    <definedName name="sf_S4_4">IF(AND(sf_w4_4&gt;0,sf_V4_4&gt;0,sf_V4_4&lt;sf_w4_4*sf_L4),sf_ML4_4+sf_V4_4^2/(2*sf_w4_4),MAX(sf_ML4_4,sf_MR4_4))</definedName>
    <definedName name="sf_xs4_4">IF(AND(sf_w4_4&gt;0,sf_V4_4&gt;0,sf_V4_4&lt;sf_w4_4*sf_L4),sf_V4_4/sf_w4_4,IF(sf_ML4_4&gt;=sf_MR4_4,0,sf_L4))</definedName>
    <definedName name="sf_ML4_5">-sf_w4_5*sf_L5^2/12+2*sf_k5*(2*sf_t4_4+sf_t4_5)</definedName>
    <definedName name="sf_MR4_5">-(sf_w4_5*sf_L5^2/12+2*sf_k5*(sf_t4_4+2*sf_t4_5))</definedName>
    <definedName name="sf_V4_5">sf_w4_5*sf_L5/2+(sf_MR4_5-sf_ML4_5)/sf_L5</definedName>
    <definedName name="sf_S4_5">IF(AND(sf_w4_5&gt;0,sf_V4_5&gt;0,sf_V4_5&lt;sf_w4_5*sf_L5),sf_ML4_5+sf_V4_5^2/(2*sf_w4_5),MAX(sf_ML4_5,sf_MR4_5))</definedName>
    <definedName name="sf_xs4_5">IF(AND(sf_w4_5&gt;0,sf_V4_5&gt;0,sf_V4_5&lt;sf_w4_5*sf_L5),sf_V4_5/sf_w4_5,IF(sf_ML4_5&gt;=sf_MR4_5,0,sf_L5))</definedName>
    <definedName name="sf_Mu4_0">sf_ku*sf_t4_0</definedName>
    <definedName name="sf_Md4_0">sf_kd*sf_t4_0</definedName>
    <definedName name="sf_R4_0">sf_V4_1-0</definedName>
    <definedName name="sf_Vk4_0">MAX(ABS(sf_V4_1),ABS(0))</definedName>
    <definedName name="sf_Mu4_1">sf_ku*sf_t4_1</definedName>
    <definedName name="sf_Md4_1">sf_kd*sf_t4_1</definedName>
    <definedName name="sf_R4_1">sf_V4_2-(sf_V4_1-sf_w4_1*sf_L1)</definedName>
    <definedName name="sf_Vk4_1">MAX(ABS(sf_V4_2),ABS((sf_V4_1-sf_w4_1*sf_L1)))</definedName>
    <definedName name="sf_Mu4_2">sf_ku*sf_t4_2</definedName>
    <definedName name="sf_Md4_2">sf_kd*sf_t4_2</definedName>
    <definedName name="sf_R4_2">sf_V4_3-(sf_V4_2-sf_w4_2*sf_L2)</definedName>
    <definedName name="sf_Vk4_2">MAX(ABS(sf_V4_3),ABS((sf_V4_2-sf_w4_2*sf_L2)))</definedName>
    <definedName name="sf_Mu4_3">sf_ku*sf_t4_3</definedName>
    <definedName name="sf_Md4_3">sf_kd*sf_t4_3</definedName>
    <definedName name="sf_R4_3">sf_V4_4-(sf_V4_3-sf_w4_3*sf_L3)</definedName>
    <definedName name="sf_Vk4_3">MAX(ABS(sf_V4_4),ABS((sf_V4_3-sf_w4_3*sf_L3)))</definedName>
    <definedName name="sf_Mu4_4">sf_ku*sf_t4_4</definedName>
    <definedName name="sf_Md4_4">sf_kd*sf_t4_4</definedName>
    <definedName name="sf_R4_4">sf_V4_5-(sf_V4_4-sf_w4_4*sf_L4)</definedName>
    <definedName name="sf_Vk4_4">MAX(ABS(sf_V4_5),ABS((sf_V4_4-sf_w4_4*sf_L4)))</definedName>
    <definedName name="sf_Mu4_5">sf_ku*sf_t4_5</definedName>
    <definedName name="sf_Md4_5">sf_kd*sf_t4_5</definedName>
    <definedName name="sf_R4_5">0-(sf_V4_5-sf_w4_5*sf_L5)</definedName>
    <definedName name="sf_Vk4_5">MAX(ABS(0),ABS((sf_V4_5-sf_w4_5*sf_L5)))</definedName>
    <definedName name="sf_t5_5">sf_dp5_5</definedName>
    <definedName name="sf_t5_4">sf_dp5_4-sf_cp4*sf_t5_5</definedName>
    <definedName name="sf_t5_3">sf_dp5_3-sf_cp3*sf_t5_4</definedName>
    <definedName name="sf_t5_2">sf_dp5_2-sf_cp2*sf_t5_3</definedName>
    <definedName name="sf_t5_1">sf_dp5_1-sf_cp1*sf_t5_2</definedName>
    <definedName name="sf_t5_0">sf_dp5_0-sf_cp0*sf_t5_1</definedName>
    <definedName name="sf_ML5_1">-sf_w5_1*sf_L1^2/12+2*sf_k1*(2*sf_t5_0+sf_t5_1)</definedName>
    <definedName name="sf_MR5_1">-(sf_w5_1*sf_L1^2/12+2*sf_k1*(sf_t5_0+2*sf_t5_1))</definedName>
    <definedName name="sf_V5_1">sf_w5_1*sf_L1/2+(sf_MR5_1-sf_ML5_1)/sf_L1</definedName>
    <definedName name="sf_S5_1">IF(AND(sf_w5_1&gt;0,sf_V5_1&gt;0,sf_V5_1&lt;sf_w5_1*sf_L1),sf_ML5_1+sf_V5_1^2/(2*sf_w5_1),MAX(sf_ML5_1,sf_MR5_1))</definedName>
    <definedName name="sf_xs5_1">IF(AND(sf_w5_1&gt;0,sf_V5_1&gt;0,sf_V5_1&lt;sf_w5_1*sf_L1),sf_V5_1/sf_w5_1,IF(sf_ML5_1&gt;=sf_MR5_1,0,sf_L1))</definedName>
    <definedName name="sf_ML5_2">-sf_w5_2*sf_L2^2/12+2*sf_k2*(2*sf_t5_1+sf_t5_2)</definedName>
    <definedName name="sf_MR5_2">-(sf_w5_2*sf_L2^2/12+2*sf_k2*(sf_t5_1+2*sf_t5_2))</definedName>
    <definedName name="sf_V5_2">sf_w5_2*sf_L2/2+(sf_MR5_2-sf_ML5_2)/sf_L2</definedName>
    <definedName name="sf_S5_2">IF(AND(sf_w5_2&gt;0,sf_V5_2&gt;0,sf_V5_2&lt;sf_w5_2*sf_L2),sf_ML5_2+sf_V5_2^2/(2*sf_w5_2),MAX(sf_ML5_2,sf_MR5_2))</definedName>
    <definedName name="sf_xs5_2">IF(AND(sf_w5_2&gt;0,sf_V5_2&gt;0,sf_V5_2&lt;sf_w5_2*sf_L2),sf_V5_2/sf_w5_2,IF(sf_ML5_2&gt;=sf_MR5_2,0,sf_L2))</definedName>
    <definedName name="sf_ML5_3">-sf_w5_3*sf_L3^2/12+2*sf_k3*(2*sf_t5_2+sf_t5_3)</definedName>
    <definedName name="sf_MR5_3">-(sf_w5_3*sf_L3^2/12+2*sf_k3*(sf_t5_2+2*sf_t5_3))</definedName>
    <definedName name="sf_V5_3">sf_w5_3*sf_L3/2+(sf_MR5_3-sf_ML5_3)/sf_L3</definedName>
    <definedName name="sf_S5_3">IF(AND(sf_w5_3&gt;0,sf_V5_3&gt;0,sf_V5_3&lt;sf_w5_3*sf_L3),sf_ML5_3+sf_V5_3^2/(2*sf_w5_3),MAX(sf_ML5_3,sf_MR5_3))</definedName>
    <definedName name="sf_xs5_3">IF(AND(sf_w5_3&gt;0,sf_V5_3&gt;0,sf_V5_3&lt;sf_w5_3*sf_L3),sf_V5_3/sf_w5_3,IF(sf_ML5_3&gt;=sf_MR5_3,0,sf_L3))</definedName>
    <definedName name="sf_ML5_4">-sf_w5_4*sf_L4^2/12+2*sf_k4*(2*sf_t5_3+sf_t5_4)</definedName>
    <definedName name="sf_MR5_4">-(sf_w5_4*sf_L4^2/12+2*sf_k4*(sf_t5_3+2*sf_t5_4))</definedName>
    <definedName name="sf_V5_4">sf_w5_4*sf_L4/2+(sf_MR5_4-sf_ML5_4)/sf_L4</definedName>
    <definedName name="sf_S5_4">IF(AND(sf_w5_4&gt;0,sf_V5_4&gt;0,sf_V5_4&lt;sf_w5_4*sf_L4),sf_ML5_4+sf_V5_4^2/(2*sf_w5_4),MAX(sf_ML5_4,sf_MR5_4))</definedName>
    <definedName name="sf_xs5_4">IF(AND(sf_w5_4&gt;0,sf_V5_4&gt;0,sf_V5_4&lt;sf_w5_4*sf_L4),sf_V5_4/sf_w5_4,IF(sf_ML5_4&gt;=sf_MR5_4,0,sf_L4))</definedName>
    <definedName name="sf_ML5_5">-sf_w5_5*sf_L5^2/12+2*sf_k5*(2*sf_t5_4+sf_t5_5)</definedName>
    <definedName name="sf_MR5_5">-(sf_w5_5*sf_L5^2/12+2*sf_k5*(sf_t5_4+2*sf_t5_5))</definedName>
    <definedName name="sf_V5_5">sf_w5_5*sf_L5/2+(sf_MR5_5-sf_ML5_5)/sf_L5</definedName>
    <definedName name="sf_S5_5">IF(AND(sf_w5_5&gt;0,sf_V5_5&gt;0,sf_V5_5&lt;sf_w5_5*sf_L5),sf_ML5_5+sf_V5_5^2/(2*sf_w5_5),MAX(sf_ML5_5,sf_MR5_5))</definedName>
    <definedName name="sf_xs5_5">IF(AND(sf_w5_5&gt;0,sf_V5_5&gt;0,sf_V5_5&lt;sf_w5_5*sf_L5),sf_V5_5/sf_w5_5,IF(sf_ML5_5&gt;=sf_MR5_5,0,sf_L5))</definedName>
    <definedName name="sf_Mu5_0">sf_ku*sf_t5_0</definedName>
    <definedName name="sf_Md5_0">sf_kd*sf_t5_0</definedName>
    <definedName name="sf_R5_0">sf_V5_1-0</definedName>
    <definedName name="sf_Vk5_0">MAX(ABS(sf_V5_1),ABS(0))</definedName>
    <definedName name="sf_Mu5_1">sf_ku*sf_t5_1</definedName>
    <definedName name="sf_Md5_1">sf_kd*sf_t5_1</definedName>
    <definedName name="sf_R5_1">sf_V5_2-(sf_V5_1-sf_w5_1*sf_L1)</definedName>
    <definedName name="sf_Vk5_1">MAX(ABS(sf_V5_2),ABS((sf_V5_1-sf_w5_1*sf_L1)))</definedName>
    <definedName name="sf_Mu5_2">sf_ku*sf_t5_2</definedName>
    <definedName name="sf_Md5_2">sf_kd*sf_t5_2</definedName>
    <definedName name="sf_R5_2">sf_V5_3-(sf_V5_2-sf_w5_2*sf_L2)</definedName>
    <definedName name="sf_Vk5_2">MAX(ABS(sf_V5_3),ABS((sf_V5_2-sf_w5_2*sf_L2)))</definedName>
    <definedName name="sf_Mu5_3">sf_ku*sf_t5_3</definedName>
    <definedName name="sf_Md5_3">sf_kd*sf_t5_3</definedName>
    <definedName name="sf_R5_3">sf_V5_4-(sf_V5_3-sf_w5_3*sf_L3)</definedName>
    <definedName name="sf_Vk5_3">MAX(ABS(sf_V5_4),ABS((sf_V5_3-sf_w5_3*sf_L3)))</definedName>
    <definedName name="sf_Mu5_4">sf_ku*sf_t5_4</definedName>
    <definedName name="sf_Md5_4">sf_kd*sf_t5_4</definedName>
    <definedName name="sf_R5_4">sf_V5_5-(sf_V5_4-sf_w5_4*sf_L4)</definedName>
    <definedName name="sf_Vk5_4">MAX(ABS(sf_V5_5),ABS((sf_V5_4-sf_w5_4*sf_L4)))</definedName>
    <definedName name="sf_Mu5_5">sf_ku*sf_t5_5</definedName>
    <definedName name="sf_Md5_5">sf_kd*sf_t5_5</definedName>
    <definedName name="sf_R5_5">0-(sf_V5_5-sf_w5_5*sf_L5)</definedName>
    <definedName name="sf_Vk5_5">MAX(ABS(0),ABS((sf_V5_5-sf_w5_5*sf_L5)))</definedName>
    <definedName name="sf_t6_5">sf_dp6_5</definedName>
    <definedName name="sf_t6_4">sf_dp6_4-sf_cp4*sf_t6_5</definedName>
    <definedName name="sf_t6_3">sf_dp6_3-sf_cp3*sf_t6_4</definedName>
    <definedName name="sf_t6_2">sf_dp6_2-sf_cp2*sf_t6_3</definedName>
    <definedName name="sf_t6_1">sf_dp6_1-sf_cp1*sf_t6_2</definedName>
    <definedName name="sf_t6_0">sf_dp6_0-sf_cp0*sf_t6_1</definedName>
    <definedName name="sf_ML6_1">-sf_w6_1*sf_L1^2/12+2*sf_k1*(2*sf_t6_0+sf_t6_1)</definedName>
    <definedName name="sf_MR6_1">-(sf_w6_1*sf_L1^2/12+2*sf_k1*(sf_t6_0+2*sf_t6_1))</definedName>
    <definedName name="sf_V6_1">sf_w6_1*sf_L1/2+(sf_MR6_1-sf_ML6_1)/sf_L1</definedName>
    <definedName name="sf_S6_1">IF(AND(sf_w6_1&gt;0,sf_V6_1&gt;0,sf_V6_1&lt;sf_w6_1*sf_L1),sf_ML6_1+sf_V6_1^2/(2*sf_w6_1),MAX(sf_ML6_1,sf_MR6_1))</definedName>
    <definedName name="sf_xs6_1">IF(AND(sf_w6_1&gt;0,sf_V6_1&gt;0,sf_V6_1&lt;sf_w6_1*sf_L1),sf_V6_1/sf_w6_1,IF(sf_ML6_1&gt;=sf_MR6_1,0,sf_L1))</definedName>
    <definedName name="sf_ML6_2">-sf_w6_2*sf_L2^2/12+2*sf_k2*(2*sf_t6_1+sf_t6_2)</definedName>
    <definedName name="sf_MR6_2">-(sf_w6_2*sf_L2^2/12+2*sf_k2*(sf_t6_1+2*sf_t6_2))</definedName>
    <definedName name="sf_V6_2">sf_w6_2*sf_L2/2+(sf_MR6_2-sf_ML6_2)/sf_L2</definedName>
    <definedName name="sf_S6_2">IF(AND(sf_w6_2&gt;0,sf_V6_2&gt;0,sf_V6_2&lt;sf_w6_2*sf_L2),sf_ML6_2+sf_V6_2^2/(2*sf_w6_2),MAX(sf_ML6_2,sf_MR6_2))</definedName>
    <definedName name="sf_xs6_2">IF(AND(sf_w6_2&gt;0,sf_V6_2&gt;0,sf_V6_2&lt;sf_w6_2*sf_L2),sf_V6_2/sf_w6_2,IF(sf_ML6_2&gt;=sf_MR6_2,0,sf_L2))</definedName>
    <definedName name="sf_ML6_3">-sf_w6_3*sf_L3^2/12+2*sf_k3*(2*sf_t6_2+sf_t6_3)</definedName>
    <definedName name="sf_MR6_3">-(sf_w6_3*sf_L3^2/12+2*sf_k3*(sf_t6_2+2*sf_t6_3))</definedName>
    <definedName name="sf_V6_3">sf_w6_3*sf_L3/2+(sf_MR6_3-sf_ML6_3)/sf_L3</definedName>
    <definedName name="sf_S6_3">IF(AND(sf_w6_3&gt;0,sf_V6_3&gt;0,sf_V6_3&lt;sf_w6_3*sf_L3),sf_ML6_3+sf_V6_3^2/(2*sf_w6_3),MAX(sf_ML6_3,sf_MR6_3))</definedName>
    <definedName name="sf_xs6_3">IF(AND(sf_w6_3&gt;0,sf_V6_3&gt;0,sf_V6_3&lt;sf_w6_3*sf_L3),sf_V6_3/sf_w6_3,IF(sf_ML6_3&gt;=sf_MR6_3,0,sf_L3))</definedName>
    <definedName name="sf_ML6_4">-sf_w6_4*sf_L4^2/12+2*sf_k4*(2*sf_t6_3+sf_t6_4)</definedName>
    <definedName name="sf_MR6_4">-(sf_w6_4*sf_L4^2/12+2*sf_k4*(sf_t6_3+2*sf_t6_4))</definedName>
    <definedName name="sf_V6_4">sf_w6_4*sf_L4/2+(sf_MR6_4-sf_ML6_4)/sf_L4</definedName>
    <definedName name="sf_S6_4">IF(AND(sf_w6_4&gt;0,sf_V6_4&gt;0,sf_V6_4&lt;sf_w6_4*sf_L4),sf_ML6_4+sf_V6_4^2/(2*sf_w6_4),MAX(sf_ML6_4,sf_MR6_4))</definedName>
    <definedName name="sf_xs6_4">IF(AND(sf_w6_4&gt;0,sf_V6_4&gt;0,sf_V6_4&lt;sf_w6_4*sf_L4),sf_V6_4/sf_w6_4,IF(sf_ML6_4&gt;=sf_MR6_4,0,sf_L4))</definedName>
    <definedName name="sf_ML6_5">-sf_w6_5*sf_L5^2/12+2*sf_k5*(2*sf_t6_4+sf_t6_5)</definedName>
    <definedName name="sf_MR6_5">-(sf_w6_5*sf_L5^2/12+2*sf_k5*(sf_t6_4+2*sf_t6_5))</definedName>
    <definedName name="sf_V6_5">sf_w6_5*sf_L5/2+(sf_MR6_5-sf_ML6_5)/sf_L5</definedName>
    <definedName name="sf_S6_5">IF(AND(sf_w6_5&gt;0,sf_V6_5&gt;0,sf_V6_5&lt;sf_w6_5*sf_L5),sf_ML6_5+sf_V6_5^2/(2*sf_w6_5),MAX(sf_ML6_5,sf_MR6_5))</definedName>
    <definedName name="sf_xs6_5">IF(AND(sf_w6_5&gt;0,sf_V6_5&gt;0,sf_V6_5&lt;sf_w6_5*sf_L5),sf_V6_5/sf_w6_5,IF(sf_ML6_5&gt;=sf_MR6_5,0,sf_L5))</definedName>
    <definedName name="sf_Mu6_0">sf_ku*sf_t6_0</definedName>
    <definedName name="sf_Md6_0">sf_kd*sf_t6_0</definedName>
    <definedName name="sf_R6_0">sf_V6_1-0</definedName>
    <definedName name="sf_Vk6_0">MAX(ABS(sf_V6_1),ABS(0))</definedName>
    <definedName name="sf_Mu6_1">sf_ku*sf_t6_1</definedName>
    <definedName name="sf_Md6_1">sf_kd*sf_t6_1</definedName>
    <definedName name="sf_R6_1">sf_V6_2-(sf_V6_1-sf_w6_1*sf_L1)</definedName>
    <definedName name="sf_Vk6_1">MAX(ABS(sf_V6_2),ABS((sf_V6_1-sf_w6_1*sf_L1)))</definedName>
    <definedName name="sf_Mu6_2">sf_ku*sf_t6_2</definedName>
    <definedName name="sf_Md6_2">sf_kd*sf_t6_2</definedName>
    <definedName name="sf_R6_2">sf_V6_3-(sf_V6_2-sf_w6_2*sf_L2)</definedName>
    <definedName name="sf_Vk6_2">MAX(ABS(sf_V6_3),ABS((sf_V6_2-sf_w6_2*sf_L2)))</definedName>
    <definedName name="sf_Mu6_3">sf_ku*sf_t6_3</definedName>
    <definedName name="sf_Md6_3">sf_kd*sf_t6_3</definedName>
    <definedName name="sf_R6_3">sf_V6_4-(sf_V6_3-sf_w6_3*sf_L3)</definedName>
    <definedName name="sf_Vk6_3">MAX(ABS(sf_V6_4),ABS((sf_V6_3-sf_w6_3*sf_L3)))</definedName>
    <definedName name="sf_Mu6_4">sf_ku*sf_t6_4</definedName>
    <definedName name="sf_Md6_4">sf_kd*sf_t6_4</definedName>
    <definedName name="sf_R6_4">sf_V6_5-(sf_V6_4-sf_w6_4*sf_L4)</definedName>
    <definedName name="sf_Vk6_4">MAX(ABS(sf_V6_5),ABS((sf_V6_4-sf_w6_4*sf_L4)))</definedName>
    <definedName name="sf_Mu6_5">sf_ku*sf_t6_5</definedName>
    <definedName name="sf_Md6_5">sf_kd*sf_t6_5</definedName>
    <definedName name="sf_R6_5">0-(sf_V6_5-sf_w6_5*sf_L5)</definedName>
    <definedName name="sf_Vk6_5">MAX(ABS(0),ABS((sf_V6_5-sf_w6_5*sf_L5)))</definedName>
    <definedName name="sf_t7_5">sf_dp7_5</definedName>
    <definedName name="sf_t7_4">sf_dp7_4-sf_cp4*sf_t7_5</definedName>
    <definedName name="sf_t7_3">sf_dp7_3-sf_cp3*sf_t7_4</definedName>
    <definedName name="sf_t7_2">sf_dp7_2-sf_cp2*sf_t7_3</definedName>
    <definedName name="sf_t7_1">sf_dp7_1-sf_cp1*sf_t7_2</definedName>
    <definedName name="sf_t7_0">sf_dp7_0-sf_cp0*sf_t7_1</definedName>
    <definedName name="sf_ML7_1">-sf_w7_1*sf_L1^2/12+2*sf_k1*(2*sf_t7_0+sf_t7_1)</definedName>
    <definedName name="sf_MR7_1">-(sf_w7_1*sf_L1^2/12+2*sf_k1*(sf_t7_0+2*sf_t7_1))</definedName>
    <definedName name="sf_V7_1">sf_w7_1*sf_L1/2+(sf_MR7_1-sf_ML7_1)/sf_L1</definedName>
    <definedName name="sf_S7_1">IF(AND(sf_w7_1&gt;0,sf_V7_1&gt;0,sf_V7_1&lt;sf_w7_1*sf_L1),sf_ML7_1+sf_V7_1^2/(2*sf_w7_1),MAX(sf_ML7_1,sf_MR7_1))</definedName>
    <definedName name="sf_xs7_1">IF(AND(sf_w7_1&gt;0,sf_V7_1&gt;0,sf_V7_1&lt;sf_w7_1*sf_L1),sf_V7_1/sf_w7_1,IF(sf_ML7_1&gt;=sf_MR7_1,0,sf_L1))</definedName>
    <definedName name="sf_ML7_2">-sf_w7_2*sf_L2^2/12+2*sf_k2*(2*sf_t7_1+sf_t7_2)</definedName>
    <definedName name="sf_MR7_2">-(sf_w7_2*sf_L2^2/12+2*sf_k2*(sf_t7_1+2*sf_t7_2))</definedName>
    <definedName name="sf_V7_2">sf_w7_2*sf_L2/2+(sf_MR7_2-sf_ML7_2)/sf_L2</definedName>
    <definedName name="sf_S7_2">IF(AND(sf_w7_2&gt;0,sf_V7_2&gt;0,sf_V7_2&lt;sf_w7_2*sf_L2),sf_ML7_2+sf_V7_2^2/(2*sf_w7_2),MAX(sf_ML7_2,sf_MR7_2))</definedName>
    <definedName name="sf_xs7_2">IF(AND(sf_w7_2&gt;0,sf_V7_2&gt;0,sf_V7_2&lt;sf_w7_2*sf_L2),sf_V7_2/sf_w7_2,IF(sf_ML7_2&gt;=sf_MR7_2,0,sf_L2))</definedName>
    <definedName name="sf_ML7_3">-sf_w7_3*sf_L3^2/12+2*sf_k3*(2*sf_t7_2+sf_t7_3)</definedName>
    <definedName name="sf_MR7_3">-(sf_w7_3*sf_L3^2/12+2*sf_k3*(sf_t7_2+2*sf_t7_3))</definedName>
    <definedName name="sf_V7_3">sf_w7_3*sf_L3/2+(sf_MR7_3-sf_ML7_3)/sf_L3</definedName>
    <definedName name="sf_S7_3">IF(AND(sf_w7_3&gt;0,sf_V7_3&gt;0,sf_V7_3&lt;sf_w7_3*sf_L3),sf_ML7_3+sf_V7_3^2/(2*sf_w7_3),MAX(sf_ML7_3,sf_MR7_3))</definedName>
    <definedName name="sf_xs7_3">IF(AND(sf_w7_3&gt;0,sf_V7_3&gt;0,sf_V7_3&lt;sf_w7_3*sf_L3),sf_V7_3/sf_w7_3,IF(sf_ML7_3&gt;=sf_MR7_3,0,sf_L3))</definedName>
    <definedName name="sf_ML7_4">-sf_w7_4*sf_L4^2/12+2*sf_k4*(2*sf_t7_3+sf_t7_4)</definedName>
    <definedName name="sf_MR7_4">-(sf_w7_4*sf_L4^2/12+2*sf_k4*(sf_t7_3+2*sf_t7_4))</definedName>
    <definedName name="sf_V7_4">sf_w7_4*sf_L4/2+(sf_MR7_4-sf_ML7_4)/sf_L4</definedName>
    <definedName name="sf_S7_4">IF(AND(sf_w7_4&gt;0,sf_V7_4&gt;0,sf_V7_4&lt;sf_w7_4*sf_L4),sf_ML7_4+sf_V7_4^2/(2*sf_w7_4),MAX(sf_ML7_4,sf_MR7_4))</definedName>
    <definedName name="sf_xs7_4">IF(AND(sf_w7_4&gt;0,sf_V7_4&gt;0,sf_V7_4&lt;sf_w7_4*sf_L4),sf_V7_4/sf_w7_4,IF(sf_ML7_4&gt;=sf_MR7_4,0,sf_L4))</definedName>
    <definedName name="sf_ML7_5">-sf_w7_5*sf_L5^2/12+2*sf_k5*(2*sf_t7_4+sf_t7_5)</definedName>
    <definedName name="sf_MR7_5">-(sf_w7_5*sf_L5^2/12+2*sf_k5*(sf_t7_4+2*sf_t7_5))</definedName>
    <definedName name="sf_V7_5">sf_w7_5*sf_L5/2+(sf_MR7_5-sf_ML7_5)/sf_L5</definedName>
    <definedName name="sf_S7_5">IF(AND(sf_w7_5&gt;0,sf_V7_5&gt;0,sf_V7_5&lt;sf_w7_5*sf_L5),sf_ML7_5+sf_V7_5^2/(2*sf_w7_5),MAX(sf_ML7_5,sf_MR7_5))</definedName>
    <definedName name="sf_xs7_5">IF(AND(sf_w7_5&gt;0,sf_V7_5&gt;0,sf_V7_5&lt;sf_w7_5*sf_L5),sf_V7_5/sf_w7_5,IF(sf_ML7_5&gt;=sf_MR7_5,0,sf_L5))</definedName>
    <definedName name="sf_Mu7_0">sf_ku*sf_t7_0</definedName>
    <definedName name="sf_Md7_0">sf_kd*sf_t7_0</definedName>
    <definedName name="sf_R7_0">sf_V7_1-0</definedName>
    <definedName name="sf_Vk7_0">MAX(ABS(sf_V7_1),ABS(0))</definedName>
    <definedName name="sf_Mu7_1">sf_ku*sf_t7_1</definedName>
    <definedName name="sf_Md7_1">sf_kd*sf_t7_1</definedName>
    <definedName name="sf_R7_1">sf_V7_2-(sf_V7_1-sf_w7_1*sf_L1)</definedName>
    <definedName name="sf_Vk7_1">MAX(ABS(sf_V7_2),ABS((sf_V7_1-sf_w7_1*sf_L1)))</definedName>
    <definedName name="sf_Mu7_2">sf_ku*sf_t7_2</definedName>
    <definedName name="sf_Md7_2">sf_kd*sf_t7_2</definedName>
    <definedName name="sf_R7_2">sf_V7_3-(sf_V7_2-sf_w7_2*sf_L2)</definedName>
    <definedName name="sf_Vk7_2">MAX(ABS(sf_V7_3),ABS((sf_V7_2-sf_w7_2*sf_L2)))</definedName>
    <definedName name="sf_Mu7_3">sf_ku*sf_t7_3</definedName>
    <definedName name="sf_Md7_3">sf_kd*sf_t7_3</definedName>
    <definedName name="sf_R7_3">sf_V7_4-(sf_V7_3-sf_w7_3*sf_L3)</definedName>
    <definedName name="sf_Vk7_3">MAX(ABS(sf_V7_4),ABS((sf_V7_3-sf_w7_3*sf_L3)))</definedName>
    <definedName name="sf_Mu7_4">sf_ku*sf_t7_4</definedName>
    <definedName name="sf_Md7_4">sf_kd*sf_t7_4</definedName>
    <definedName name="sf_R7_4">sf_V7_5-(sf_V7_4-sf_w7_4*sf_L4)</definedName>
    <definedName name="sf_Vk7_4">MAX(ABS(sf_V7_5),ABS((sf_V7_4-sf_w7_4*sf_L4)))</definedName>
    <definedName name="sf_Mu7_5">sf_ku*sf_t7_5</definedName>
    <definedName name="sf_Md7_5">sf_kd*sf_t7_5</definedName>
    <definedName name="sf_R7_5">0-(sf_V7_5-sf_w7_5*sf_L5)</definedName>
    <definedName name="sf_Vk7_5">MAX(ABS(0),ABS((sf_V7_5-sf_w7_5*sf_L5)))</definedName>
    <definedName name="sf_sag1">IF(sf_on1,MAX(sf_S1_1,sf_S2_1,sf_S3_1,sf_S4_1,sf_S5_1,sf_S6_1,sf_S7_1),-1E9)</definedName>
    <definedName name="sf_xsag1">CHOOSE(MATCH(sf_sag1,CHOOSE({1,2,3,4,5,6,7},sf_S1_1,sf_S2_1,sf_S3_1,sf_S4_1,sf_S5_1,sf_S6_1,sf_S7_1),0),sf_xs1_1,sf_xs2_1,sf_xs3_1,sf_xs4_1,sf_xs5_1,sf_xs6_1,sf_xs7_1)</definedName>
    <definedName name="sf_MLmin1">MIN(sf_ML1_1,sf_ML2_1,sf_ML3_1,sf_ML4_1,sf_ML5_1,sf_ML6_1,sf_ML7_1)</definedName>
    <definedName name="sf_MLmax1">MAX(sf_ML1_1,sf_ML2_1,sf_ML3_1,sf_ML4_1,sf_ML5_1,sf_ML6_1,sf_ML7_1)</definedName>
    <definedName name="sf_MRmin1">MIN(sf_MR1_1,sf_MR2_1,sf_MR3_1,sf_MR4_1,sf_MR5_1,sf_MR6_1,sf_MR7_1)</definedName>
    <definedName name="sf_MRmax1">MAX(sf_MR1_1,sf_MR2_1,sf_MR3_1,sf_MR4_1,sf_MR5_1,sf_MR6_1,sf_MR7_1)</definedName>
    <definedName name="sf_sag2">IF(sf_on2,MAX(sf_S1_2,sf_S2_2,sf_S3_2,sf_S4_2,sf_S5_2,sf_S6_2,sf_S7_2),-1E9)</definedName>
    <definedName name="sf_xsag2">CHOOSE(MATCH(sf_sag2,CHOOSE({1,2,3,4,5,6,7},sf_S1_2,sf_S2_2,sf_S3_2,sf_S4_2,sf_S5_2,sf_S6_2,sf_S7_2),0),sf_xs1_2,sf_xs2_2,sf_xs3_2,sf_xs4_2,sf_xs5_2,sf_xs6_2,sf_xs7_2)</definedName>
    <definedName name="sf_MLmin2">MIN(sf_ML1_2,sf_ML2_2,sf_ML3_2,sf_ML4_2,sf_ML5_2,sf_ML6_2,sf_ML7_2)</definedName>
    <definedName name="sf_MLmax2">MAX(sf_ML1_2,sf_ML2_2,sf_ML3_2,sf_ML4_2,sf_ML5_2,sf_ML6_2,sf_ML7_2)</definedName>
    <definedName name="sf_MRmin2">MIN(sf_MR1_2,sf_MR2_2,sf_MR3_2,sf_MR4_2,sf_MR5_2,sf_MR6_2,sf_MR7_2)</definedName>
    <definedName name="sf_MRmax2">MAX(sf_MR1_2,sf_MR2_2,sf_MR3_2,sf_MR4_2,sf_MR5_2,sf_MR6_2,sf_MR7_2)</definedName>
    <definedName name="sf_sag3">IF(sf_on3,MAX(sf_S1_3,sf_S2_3,sf_S3_3,sf_S4_3,sf_S5_3,sf_S6_3,sf_S7_3),-1E9)</definedName>
    <definedName name="sf_xsag3">CHOOSE(MATCH(sf_sag3,CHOOSE({1,2,3,4,5,6,7},sf_S1_3,sf_S2_3,sf_S3_3,sf_S4_3,sf_S5_3,sf_S6_3,sf_S7_3),0),sf_xs1_3,sf_xs2_3,sf_xs3_3,sf_xs4_3,sf_xs5_3,sf_xs6_3,sf_xs7_3)</definedName>
    <definedName name="sf_MLmin3">MIN(sf_ML1_3,sf_ML2_3,sf_ML3_3,sf_ML4_3,sf_ML5_3,sf_ML6_3,sf_ML7_3)</definedName>
    <definedName name="sf_MLmax3">MAX(sf_ML1_3,sf_ML2_3,sf_ML3_3,sf_ML4_3,sf_ML5_3,sf_ML6_3,sf_ML7_3)</definedName>
    <definedName name="sf_MRmin3">MIN(sf_MR1_3,sf_MR2_3,sf_MR3_3,sf_MR4_3,sf_MR5_3,sf_MR6_3,sf_MR7_3)</definedName>
    <definedName name="sf_MRmax3">MAX(sf_MR1_3,sf_MR2_3,sf_MR3_3,sf_MR4_3,sf_MR5_3,sf_MR6_3,sf_MR7_3)</definedName>
    <definedName name="sf_sag4">IF(sf_on4,MAX(sf_S1_4,sf_S2_4,sf_S3_4,sf_S4_4,sf_S5_4,sf_S6_4,sf_S7_4),-1E9)</definedName>
    <definedName name="sf_xsag4">CHOOSE(MATCH(sf_sag4,CHOOSE({1,2,3,4,5,6,7},sf_S1_4,sf_S2_4,sf_S3_4,sf_S4_4,sf_S5_4,sf_S6_4,sf_S7_4),0),sf_xs1_4,sf_xs2_4,sf_xs3_4,sf_xs4_4,sf_xs5_4,sf_xs6_4,sf_xs7_4)</definedName>
    <definedName name="sf_MLmin4">MIN(sf_ML1_4,sf_ML2_4,sf_ML3_4,sf_ML4_4,sf_ML5_4,sf_ML6_4,sf_ML7_4)</definedName>
    <definedName name="sf_MLmax4">MAX(sf_ML1_4,sf_ML2_4,sf_ML3_4,sf_ML4_4,sf_ML5_4,sf_ML6_4,sf_ML7_4)</definedName>
    <definedName name="sf_MRmin4">MIN(sf_MR1_4,sf_MR2_4,sf_MR3_4,sf_MR4_4,sf_MR5_4,sf_MR6_4,sf_MR7_4)</definedName>
    <definedName name="sf_MRmax4">MAX(sf_MR1_4,sf_MR2_4,sf_MR3_4,sf_MR4_4,sf_MR5_4,sf_MR6_4,sf_MR7_4)</definedName>
    <definedName name="sf_sag5">IF(sf_on5,MAX(sf_S1_5,sf_S2_5,sf_S3_5,sf_S4_5,sf_S5_5,sf_S6_5,sf_S7_5),-1E9)</definedName>
    <definedName name="sf_xsag5">CHOOSE(MATCH(sf_sag5,CHOOSE({1,2,3,4,5,6,7},sf_S1_5,sf_S2_5,sf_S3_5,sf_S4_5,sf_S5_5,sf_S6_5,sf_S7_5),0),sf_xs1_5,sf_xs2_5,sf_xs3_5,sf_xs4_5,sf_xs5_5,sf_xs6_5,sf_xs7_5)</definedName>
    <definedName name="sf_MLmin5">MIN(sf_ML1_5,sf_ML2_5,sf_ML3_5,sf_ML4_5,sf_ML5_5,sf_ML6_5,sf_ML7_5)</definedName>
    <definedName name="sf_MLmax5">MAX(sf_ML1_5,sf_ML2_5,sf_ML3_5,sf_ML4_5,sf_ML5_5,sf_ML6_5,sf_ML7_5)</definedName>
    <definedName name="sf_MRmin5">MIN(sf_MR1_5,sf_MR2_5,sf_MR3_5,sf_MR4_5,sf_MR5_5,sf_MR6_5,sf_MR7_5)</definedName>
    <definedName name="sf_MRmax5">MAX(sf_MR1_5,sf_MR2_5,sf_MR3_5,sf_MR4_5,sf_MR5_5,sf_MR6_5,sf_MR7_5)</definedName>
    <definedName name="sf_Mua0">MAX(ABS(sf_Mu1_0),ABS(sf_Mu2_0),ABS(sf_Mu3_0),ABS(sf_Mu4_0),ABS(sf_Mu5_0),ABS(sf_Mu6_0),ABS(sf_Mu7_0))</definedName>
    <definedName name="sf_Mda0">MAX(ABS(sf_Md1_0),ABS(sf_Md2_0),ABS(sf_Md3_0),ABS(sf_Md4_0),ABS(sf_Md5_0),ABS(sf_Md6_0),ABS(sf_Md7_0))</definedName>
    <definedName name="sf_Rmax0">MAX(sf_R1_0,sf_R2_0,sf_R3_0,sf_R4_0,sf_R5_0,sf_R6_0,sf_R7_0)</definedName>
    <definedName name="sf_Rmin0">MIN(sf_R1_0,sf_R2_0,sf_R3_0,sf_R4_0,sf_R5_0,sf_R6_0,sf_R7_0)</definedName>
    <definedName name="sf_Vs0">MAX(sf_Vk1_0,sf_Vk2_0,sf_Vk3_0,sf_Vk4_0,sf_Vk5_0,sf_Vk6_0,sf_Vk7_0)</definedName>
    <definedName name="sf_xn0">0</definedName>
    <definedName name="sf_Mua1">MAX(ABS(sf_Mu1_1),ABS(sf_Mu2_1),ABS(sf_Mu3_1),ABS(sf_Mu4_1),ABS(sf_Mu5_1),ABS(sf_Mu6_1),ABS(sf_Mu7_1))</definedName>
    <definedName name="sf_Mda1">MAX(ABS(sf_Md1_1),ABS(sf_Md2_1),ABS(sf_Md3_1),ABS(sf_Md4_1),ABS(sf_Md5_1),ABS(sf_Md6_1),ABS(sf_Md7_1))</definedName>
    <definedName name="sf_Rmax1">MAX(sf_R1_1,sf_R2_1,sf_R3_1,sf_R4_1,sf_R5_1,sf_R6_1,sf_R7_1)</definedName>
    <definedName name="sf_Rmin1">MIN(sf_R1_1,sf_R2_1,sf_R3_1,sf_R4_1,sf_R5_1,sf_R6_1,sf_R7_1)</definedName>
    <definedName name="sf_Vs1">MAX(sf_Vk1_1,sf_Vk2_1,sf_Vk3_1,sf_Vk4_1,sf_Vk5_1,sf_Vk6_1,sf_Vk7_1)</definedName>
    <definedName name="sf_xn1">sf_xn0+IF(sf_on1,Lsf_1,0)</definedName>
    <definedName name="sf_Mua2">MAX(ABS(sf_Mu1_2),ABS(sf_Mu2_2),ABS(sf_Mu3_2),ABS(sf_Mu4_2),ABS(sf_Mu5_2),ABS(sf_Mu6_2),ABS(sf_Mu7_2))</definedName>
    <definedName name="sf_Mda2">MAX(ABS(sf_Md1_2),ABS(sf_Md2_2),ABS(sf_Md3_2),ABS(sf_Md4_2),ABS(sf_Md5_2),ABS(sf_Md6_2),ABS(sf_Md7_2))</definedName>
    <definedName name="sf_Rmax2">MAX(sf_R1_2,sf_R2_2,sf_R3_2,sf_R4_2,sf_R5_2,sf_R6_2,sf_R7_2)</definedName>
    <definedName name="sf_Rmin2">MIN(sf_R1_2,sf_R2_2,sf_R3_2,sf_R4_2,sf_R5_2,sf_R6_2,sf_R7_2)</definedName>
    <definedName name="sf_Vs2">MAX(sf_Vk1_2,sf_Vk2_2,sf_Vk3_2,sf_Vk4_2,sf_Vk5_2,sf_Vk6_2,sf_Vk7_2)</definedName>
    <definedName name="sf_xn2">sf_xn1+IF(sf_on2,Lsf_2,0)</definedName>
    <definedName name="sf_Mua3">MAX(ABS(sf_Mu1_3),ABS(sf_Mu2_3),ABS(sf_Mu3_3),ABS(sf_Mu4_3),ABS(sf_Mu5_3),ABS(sf_Mu6_3),ABS(sf_Mu7_3))</definedName>
    <definedName name="sf_Mda3">MAX(ABS(sf_Md1_3),ABS(sf_Md2_3),ABS(sf_Md3_3),ABS(sf_Md4_3),ABS(sf_Md5_3),ABS(sf_Md6_3),ABS(sf_Md7_3))</definedName>
    <definedName name="sf_Rmax3">MAX(sf_R1_3,sf_R2_3,sf_R3_3,sf_R4_3,sf_R5_3,sf_R6_3,sf_R7_3)</definedName>
    <definedName name="sf_Rmin3">MIN(sf_R1_3,sf_R2_3,sf_R3_3,sf_R4_3,sf_R5_3,sf_R6_3,sf_R7_3)</definedName>
    <definedName name="sf_Vs3">MAX(sf_Vk1_3,sf_Vk2_3,sf_Vk3_3,sf_Vk4_3,sf_Vk5_3,sf_Vk6_3,sf_Vk7_3)</definedName>
    <definedName name="sf_xn3">sf_xn2+IF(sf_on3,Lsf_3,0)</definedName>
    <definedName name="sf_Mua4">MAX(ABS(sf_Mu1_4),ABS(sf_Mu2_4),ABS(sf_Mu3_4),ABS(sf_Mu4_4),ABS(sf_Mu5_4),ABS(sf_Mu6_4),ABS(sf_Mu7_4))</definedName>
    <definedName name="sf_Mda4">MAX(ABS(sf_Md1_4),ABS(sf_Md2_4),ABS(sf_Md3_4),ABS(sf_Md4_4),ABS(sf_Md5_4),ABS(sf_Md6_4),ABS(sf_Md7_4))</definedName>
    <definedName name="sf_Rmax4">MAX(sf_R1_4,sf_R2_4,sf_R3_4,sf_R4_4,sf_R5_4,sf_R6_4,sf_R7_4)</definedName>
    <definedName name="sf_Rmin4">MIN(sf_R1_4,sf_R2_4,sf_R3_4,sf_R4_4,sf_R5_4,sf_R6_4,sf_R7_4)</definedName>
    <definedName name="sf_Vs4">MAX(sf_Vk1_4,sf_Vk2_4,sf_Vk3_4,sf_Vk4_4,sf_Vk5_4,sf_Vk6_4,sf_Vk7_4)</definedName>
    <definedName name="sf_xn4">sf_xn3+IF(sf_on4,Lsf_4,0)</definedName>
    <definedName name="sf_Mua5">MAX(ABS(sf_Mu1_5),ABS(sf_Mu2_5),ABS(sf_Mu3_5),ABS(sf_Mu4_5),ABS(sf_Mu5_5),ABS(sf_Mu6_5),ABS(sf_Mu7_5))</definedName>
    <definedName name="sf_Mda5">MAX(ABS(sf_Md1_5),ABS(sf_Md2_5),ABS(sf_Md3_5),ABS(sf_Md4_5),ABS(sf_Md5_5),ABS(sf_Md6_5),ABS(sf_Md7_5))</definedName>
    <definedName name="sf_Rmax5">MAX(sf_R1_5,sf_R2_5,sf_R3_5,sf_R4_5,sf_R5_5,sf_R6_5,sf_R7_5)</definedName>
    <definedName name="sf_Rmin5">MIN(sf_R1_5,sf_R2_5,sf_R3_5,sf_R4_5,sf_R5_5,sf_R6_5,sf_R7_5)</definedName>
    <definedName name="sf_Vs5">MAX(sf_Vk1_5,sf_Vk2_5,sf_Vk3_5,sf_Vk4_5,sf_Vk5_5,sf_Vk6_5,sf_Vk7_5)</definedName>
    <definedName name="sf_xn5">sf_xn4+IF(sf_on5,Lsf_5,0)</definedName>
    <definedName name="sf_Ltot">sf_xn5</definedName>
    <definedName name="sf_Hud">IF(up_sf="Yes",Hu_sf,0)</definedName>
    <definedName name="sf_Hdd">IF(dn_sf="Yes",Hd_sf,0)</definedName>
    <definedName name="sf_D">MAX(sf_Ltot,1.5*(sf_Hud+sf_Hdd))</definedName>
    <definedName name="sf_Mabs">MAX(sf_Msag,sf_Mhog,sf_Mend,0.001)</definedName>
    <definedName name="uplift_status">'Calculation'!$G$42</definedName>
    <definedName name="sf_wf">'Calculation'!$E$71</definedName>
    <definedName name="sf_wp">'Calculation'!$E$72</definedName>
    <definedName name="sf_Ib">'Calculation'!$E$73</definedName>
    <definedName name="sf_Ic">'Calculation'!$E$74</definedName>
    <definedName name="sf_ku">'Calculation'!$E$75</definedName>
    <definedName name="sf_kd">'Calculation'!$E$76</definedName>
    <definedName name="sf_kc">'Calculation'!$E$77</definedName>
    <definedName name="sf_dfe">'Calculation'!$E$78</definedName>
    <definedName name="sf_ncase">'Calculation'!$E$79</definedName>
    <definedName name="sf_Msag">'Calculation'!$E$130</definedName>
    <definedName name="sf_Mhog">'Calculation'!$E$131</definedName>
    <definedName name="sf_Mend">'Calculation'!$E$132</definedName>
    <definedName name="sf_Mce">'Calculation'!$E$133</definedName>
    <definedName name="sf_Mci">'Calculation'!$E$134</definedName>
    <definedName name="sf_Vmax">'Calculation'!$E$135</definedName>
    <definedName name="sf_Rmax">'Calculation'!$E$136</definedName>
    <definedName name="sf_Rmin">'Calculation'!$E$137</definedName>
    <definedName name="_xlnm.Print_Area" localSheetId="0">'About'!$A$1:$D$39</definedName>
    <definedName name="_xlnm.Print_Area" localSheetId="1">'Calculation'!$A$1:$H$141</definedName>
  </definedNames>
  <calcPr calcId="124519" fullCalcOnLoad="1"/>
</workbook>
</file>

<file path=xl/styles.xml><?xml version="1.0" encoding="utf-8"?>
<styleSheet xmlns="http://schemas.openxmlformats.org/spreadsheetml/2006/main">
  <numFmts count="2">
    <numFmt numFmtId="164" formatCode="dd mmm yyyy"/>
    <numFmt numFmtId="165" formatCode="0.0"/>
  </numFmts>
  <fonts count="19">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4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165"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0" fontId="18" fillId="0" borderId="0" applyAlignment="1" pivotButton="0" quotePrefix="0" xfId="0">
      <alignment vertical="top" wrapText="1"/>
    </xf>
    <xf numFmtId="49" fontId="5" fillId="0" borderId="1" applyAlignment="1" pivotButton="0" quotePrefix="0" xfId="0">
      <alignment horizontal="center" vertical="center"/>
    </xf>
    <xf numFmtId="2" fontId="12" fillId="0" borderId="1" applyAlignment="1" pivotButton="0" quotePrefix="0" xfId="0">
      <alignment horizontal="center" vertic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beam</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column above A</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fixed end above A</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'Geometry'!$J$3:$J$15</f>
            </numRef>
          </xVal>
          <yVal>
            <numRef>
              <f>'Geometry'!$K$3:$K$15</f>
            </numRef>
          </yVal>
          <smooth val="0"/>
        </ser>
        <ser>
          <idx val="4"/>
          <order val="4"/>
          <tx>
            <v>column below A</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fixed end below A</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'Geometry'!$P$3:$P$15</f>
            </numRef>
          </xVal>
          <yVal>
            <numRef>
              <f>'Geometry'!$Q$3:$Q$15</f>
            </numRef>
          </yVal>
          <smooth val="0"/>
        </ser>
        <ser>
          <idx val="6"/>
          <order val="6"/>
          <tx>
            <v>support A</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'Geometry'!$S$3:$S$6</f>
            </numRef>
          </xVal>
          <yVal>
            <numRef>
              <f>'Geometry'!$T$3:$T$6</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'Geometry'!$V$3</f>
            </numRef>
          </xVal>
          <yVal>
            <numRef>
              <f>'Geometry'!$W$3</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'Geometry'!$Y$3</f>
            </numRef>
          </xVal>
          <yVal>
            <numRef>
              <f>'Geometry'!$Z$3</f>
            </numRef>
          </yVal>
          <smooth val="0"/>
        </ser>
        <ser>
          <idx val="9"/>
          <order val="9"/>
          <tx>
            <v>column above B</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v>fixed end above B</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'Geometry'!$AE$3:$AE$15</f>
            </numRef>
          </xVal>
          <yVal>
            <numRef>
              <f>'Geometry'!$AF$3:$AF$15</f>
            </numRef>
          </yVal>
          <smooth val="0"/>
        </ser>
        <ser>
          <idx val="11"/>
          <order val="11"/>
          <tx>
            <v>column below B</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fixed end below B</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'Geometry'!$AK$3:$AK$15</f>
            </numRef>
          </xVal>
          <yVal>
            <numRef>
              <f>'Geometry'!$AL$3:$AL$15</f>
            </numRef>
          </yVal>
          <smooth val="0"/>
        </ser>
        <ser>
          <idx val="13"/>
          <order val="13"/>
          <tx>
            <v>support B</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'Geometry'!$AN$3:$AN$6</f>
            </numRef>
          </xVal>
          <yVal>
            <numRef>
              <f>'Geometry'!$AO$3:$AO$6</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'Geometry'!$AQ$3</f>
            </numRef>
          </xVal>
          <yVal>
            <numRef>
              <f>'Geometry'!$AR$3</f>
            </numRef>
          </yVal>
          <smooth val="0"/>
        </ser>
        <ser>
          <idx val="15"/>
          <order val="15"/>
          <tx>
            <strRef>
              <f>'Geometry'!$AT$2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'Geometry'!$AT$3</f>
            </numRef>
          </xVal>
          <yVal>
            <numRef>
              <f>'Geometry'!$AU$3</f>
            </numRef>
          </yVal>
          <smooth val="0"/>
        </ser>
        <ser>
          <idx val="16"/>
          <order val="16"/>
          <tx>
            <v>column above C</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fixed end above C</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'Geometry'!$AZ$3:$AZ$15</f>
            </numRef>
          </xVal>
          <yVal>
            <numRef>
              <f>'Geometry'!$BA$3:$BA$15</f>
            </numRef>
          </yVal>
          <smooth val="0"/>
        </ser>
        <ser>
          <idx val="18"/>
          <order val="18"/>
          <tx>
            <v>column below C</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'Geometry'!$BC$3:$BC$4</f>
            </numRef>
          </xVal>
          <yVal>
            <numRef>
              <f>'Geometry'!$BD$3:$BD$4</f>
            </numRef>
          </yVal>
          <smooth val="0"/>
        </ser>
        <ser>
          <idx val="19"/>
          <order val="19"/>
          <tx>
            <v>fixed end below C</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'Geometry'!$BF$3:$BF$15</f>
            </numRef>
          </xVal>
          <yVal>
            <numRef>
              <f>'Geometry'!$BG$3:$BG$15</f>
            </numRef>
          </yVal>
          <smooth val="0"/>
        </ser>
        <ser>
          <idx val="20"/>
          <order val="20"/>
          <tx>
            <v>support C</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'Geometry'!$BI$3:$BI$6</f>
            </numRef>
          </xVal>
          <yVal>
            <numRef>
              <f>'Geometry'!$BJ$3:$BJ$6</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'Geometry'!$BL$3</f>
            </numRef>
          </xVal>
          <yVal>
            <numRef>
              <f>'Geometry'!$BM$3</f>
            </numRef>
          </yVal>
          <smooth val="0"/>
        </ser>
        <ser>
          <idx val="22"/>
          <order val="22"/>
          <tx>
            <strRef>
              <f>'Geometry'!$BO$2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'Geometry'!$BO$3</f>
            </numRef>
          </xVal>
          <yVal>
            <numRef>
              <f>'Geometry'!$BP$3</f>
            </numRef>
          </yVal>
          <smooth val="0"/>
        </ser>
        <ser>
          <idx val="23"/>
          <order val="23"/>
          <tx>
            <v>column above D</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'Geometry'!$BR$3:$BR$4</f>
            </numRef>
          </xVal>
          <yVal>
            <numRef>
              <f>'Geometry'!$BS$3:$BS$4</f>
            </numRef>
          </yVal>
          <smooth val="0"/>
        </ser>
        <ser>
          <idx val="24"/>
          <order val="24"/>
          <tx>
            <v>fixed end above D</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'Geometry'!$BU$3:$BU$15</f>
            </numRef>
          </xVal>
          <yVal>
            <numRef>
              <f>'Geometry'!$BV$3:$BV$15</f>
            </numRef>
          </yVal>
          <smooth val="0"/>
        </ser>
        <ser>
          <idx val="25"/>
          <order val="25"/>
          <tx>
            <v>column below D</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'Geometry'!$BX$3:$BX$4</f>
            </numRef>
          </xVal>
          <yVal>
            <numRef>
              <f>'Geometry'!$BY$3:$BY$4</f>
            </numRef>
          </yVal>
          <smooth val="0"/>
        </ser>
        <ser>
          <idx val="26"/>
          <order val="26"/>
          <tx>
            <v>fixed end below D</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'Geometry'!$CA$3:$CA$15</f>
            </numRef>
          </xVal>
          <yVal>
            <numRef>
              <f>'Geometry'!$CB$3:$CB$15</f>
            </numRef>
          </yVal>
          <smooth val="0"/>
        </ser>
        <ser>
          <idx val="27"/>
          <order val="27"/>
          <tx>
            <v>support D</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'Geometry'!$CD$3:$CD$6</f>
            </numRef>
          </xVal>
          <yVal>
            <numRef>
              <f>'Geometry'!$CE$3:$CE$6</f>
            </numRef>
          </yVal>
          <smooth val="0"/>
        </ser>
        <ser>
          <idx val="28"/>
          <order val="28"/>
          <tx>
            <strRef>
              <f>'Geometry'!$CG$2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'Geometry'!$CG$3</f>
            </numRef>
          </xVal>
          <yVal>
            <numRef>
              <f>'Geometry'!$CH$3</f>
            </numRef>
          </yVal>
          <smooth val="0"/>
        </ser>
        <ser>
          <idx val="29"/>
          <order val="29"/>
          <tx>
            <strRef>
              <f>'Geometry'!$CJ$2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'Geometry'!$CJ$3</f>
            </numRef>
          </xVal>
          <yVal>
            <numRef>
              <f>'Geometry'!$CK$3</f>
            </numRef>
          </yVal>
          <smooth val="0"/>
        </ser>
        <ser>
          <idx val="30"/>
          <order val="30"/>
          <tx>
            <v>column above 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'Geometry'!$CM$3:$CM$4</f>
            </numRef>
          </xVal>
          <yVal>
            <numRef>
              <f>'Geometry'!$CN$3:$CN$4</f>
            </numRef>
          </yVal>
          <smooth val="0"/>
        </ser>
        <ser>
          <idx val="31"/>
          <order val="31"/>
          <tx>
            <v>fixed end above E</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'Geometry'!$CP$3:$CP$15</f>
            </numRef>
          </xVal>
          <yVal>
            <numRef>
              <f>'Geometry'!$CQ$3:$CQ$15</f>
            </numRef>
          </yVal>
          <smooth val="0"/>
        </ser>
        <ser>
          <idx val="32"/>
          <order val="32"/>
          <tx>
            <v>column below 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'Geometry'!$CS$3:$CS$4</f>
            </numRef>
          </xVal>
          <yVal>
            <numRef>
              <f>'Geometry'!$CT$3:$CT$4</f>
            </numRef>
          </yVal>
          <smooth val="0"/>
        </ser>
        <ser>
          <idx val="33"/>
          <order val="33"/>
          <tx>
            <v>fixed end below E</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'Geometry'!$CV$3:$CV$15</f>
            </numRef>
          </xVal>
          <yVal>
            <numRef>
              <f>'Geometry'!$CW$3:$CW$15</f>
            </numRef>
          </yVal>
          <smooth val="0"/>
        </ser>
        <ser>
          <idx val="34"/>
          <order val="34"/>
          <tx>
            <v>support E</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'Geometry'!$CY$3:$CY$6</f>
            </numRef>
          </xVal>
          <yVal>
            <numRef>
              <f>'Geometry'!$CZ$3:$CZ$6</f>
            </numRef>
          </yVal>
          <smooth val="0"/>
        </ser>
        <ser>
          <idx val="35"/>
          <order val="35"/>
          <tx>
            <strRef>
              <f>'Geometry'!$DB$2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'Geometry'!$DB$3</f>
            </numRef>
          </xVal>
          <yVal>
            <numRef>
              <f>'Geometry'!$DC$3</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'Geometry'!$DE$3</f>
            </numRef>
          </xVal>
          <yVal>
            <numRef>
              <f>'Geometry'!$DF$3</f>
            </numRef>
          </yVal>
          <smooth val="0"/>
        </ser>
        <ser>
          <idx val="37"/>
          <order val="37"/>
          <tx>
            <v>column above F</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'Geometry'!$DH$3:$DH$4</f>
            </numRef>
          </xVal>
          <yVal>
            <numRef>
              <f>'Geometry'!$DI$3:$DI$4</f>
            </numRef>
          </yVal>
          <smooth val="0"/>
        </ser>
        <ser>
          <idx val="38"/>
          <order val="38"/>
          <tx>
            <v>fixed end above F</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'Geometry'!$DK$3:$DK$15</f>
            </numRef>
          </xVal>
          <yVal>
            <numRef>
              <f>'Geometry'!$DL$3:$DL$15</f>
            </numRef>
          </yVal>
          <smooth val="0"/>
        </ser>
        <ser>
          <idx val="39"/>
          <order val="39"/>
          <tx>
            <v>column below F</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'Geometry'!$DN$3:$DN$4</f>
            </numRef>
          </xVal>
          <yVal>
            <numRef>
              <f>'Geometry'!$DO$3:$DO$4</f>
            </numRef>
          </yVal>
          <smooth val="0"/>
        </ser>
        <ser>
          <idx val="40"/>
          <order val="40"/>
          <tx>
            <v>fixed end below F</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'Geometry'!$DQ$3:$DQ$15</f>
            </numRef>
          </xVal>
          <yVal>
            <numRef>
              <f>'Geometry'!$DR$3:$DR$15</f>
            </numRef>
          </yVal>
          <smooth val="0"/>
        </ser>
        <ser>
          <idx val="41"/>
          <order val="41"/>
          <tx>
            <v>support F</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'Geometry'!$DT$3:$DT$6</f>
            </numRef>
          </xVal>
          <yVal>
            <numRef>
              <f>'Geometry'!$DU$3:$DU$6</f>
            </numRef>
          </yVal>
          <smooth val="0"/>
        </ser>
        <ser>
          <idx val="42"/>
          <order val="42"/>
          <tx>
            <strRef>
              <f>'Geometry'!$DW$2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'Geometry'!$DW$3</f>
            </numRef>
          </xVal>
          <yVal>
            <numRef>
              <f>'Geometry'!$DX$3</f>
            </numRef>
          </yVal>
          <smooth val="0"/>
        </ser>
        <ser>
          <idx val="43"/>
          <order val="43"/>
          <tx>
            <strRef>
              <f>'Geometry'!$DZ$2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'Geometry'!$DZ$3</f>
            </numRef>
          </xVal>
          <yVal>
            <numRef>
              <f>'Geometry'!$EA$3</f>
            </numRef>
          </yVal>
          <smooth val="0"/>
        </ser>
        <ser>
          <idx val="44"/>
          <order val="44"/>
          <tx>
            <strRef>
              <f>'Geometry'!$EC$2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'Geometry'!$EC$3</f>
            </numRef>
          </xVal>
          <yVal>
            <numRef>
              <f>'Geometry'!$ED$3</f>
            </numRef>
          </yVal>
          <smooth val="0"/>
        </ser>
        <ser>
          <idx val="45"/>
          <order val="4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'Geometry'!$EF$3:$EF$4</f>
            </numRef>
          </xVal>
          <yVal>
            <numRef>
              <f>'Geometry'!$EG$3:$EG$4</f>
            </numRef>
          </yVal>
          <smooth val="0"/>
        </ser>
        <ser>
          <idx val="46"/>
          <order val="46"/>
          <tx>
            <strRef>
              <f>'Geometry'!$EI$2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'Geometry'!$EI$3</f>
            </numRef>
          </xVal>
          <yVal>
            <numRef>
              <f>'Geometry'!$EJ$3</f>
            </numRef>
          </yVal>
          <smooth val="0"/>
        </ser>
        <ser>
          <idx val="47"/>
          <order val="4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'Geometry'!$EL$3:$EL$4</f>
            </numRef>
          </xVal>
          <yVal>
            <numRef>
              <f>'Geometry'!$EM$3:$EM$4</f>
            </numRef>
          </yVal>
          <smooth val="0"/>
        </ser>
        <ser>
          <idx val="48"/>
          <order val="48"/>
          <tx>
            <strRef>
              <f>'Geometry'!$EO$2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'Geometry'!$EO$3</f>
            </numRef>
          </xVal>
          <yVal>
            <numRef>
              <f>'Geometry'!$EP$3</f>
            </numRef>
          </yVal>
          <smooth val="0"/>
        </ser>
        <ser>
          <idx val="49"/>
          <order val="49"/>
          <tx>
            <v>BMD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'Geometry'!$ER$3:$ER$4</f>
            </numRef>
          </xVal>
          <yVal>
            <numRef>
              <f>'Geometry'!$ES$3:$ES$4</f>
            </numRef>
          </yVal>
          <smooth val="0"/>
        </ser>
        <ser>
          <idx val="50"/>
          <order val="50"/>
          <tx>
            <v>Mmax</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'Geometry'!$EU$3:$EU$107</f>
            </numRef>
          </xVal>
          <yVal>
            <numRef>
              <f>'Geometry'!$EV$3:$EV$107</f>
            </numRef>
          </yVal>
          <smooth val="0"/>
        </ser>
        <ser>
          <idx val="51"/>
          <order val="51"/>
          <tx>
            <v>Mmin</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'Geometry'!$EX$3:$EX$107</f>
            </numRef>
          </xVal>
          <yVal>
            <numRef>
              <f>'Geometry'!$EY$3:$EY$107</f>
            </numRef>
          </yVal>
          <smooth val="0"/>
        </ser>
        <ser>
          <idx val="52"/>
          <order val="52"/>
          <tx>
            <v>peak 1</v>
          </tx>
          <spPr>
            <a:ln xmlns:a="http://schemas.openxmlformats.org/drawingml/2006/main">
              <a:noFill/>
              <a:prstDash val="solid"/>
            </a:ln>
          </spPr>
          <marker>
            <symbol val="circle"/>
            <size val="4"/>
            <spPr>
              <a:solidFill xmlns:a="http://schemas.openxmlformats.org/drawingml/2006/main">
                <a:srgbClr val="5B7F8A"/>
              </a:solidFill>
              <a:ln xmlns:a="http://schemas.openxmlformats.org/drawingml/2006/main">
                <a:solidFill>
                  <a:srgbClr val="5B7F8A"/>
                </a:solidFill>
                <a:prstDash val="solid"/>
              </a:ln>
            </spPr>
          </marker>
          <xVal>
            <numRef>
              <f>'Geometry'!$FA$3</f>
            </numRef>
          </xVal>
          <yVal>
            <numRef>
              <f>'Geometry'!$FB$3</f>
            </numRef>
          </yVal>
          <smooth val="0"/>
        </ser>
        <ser>
          <idx val="53"/>
          <order val="53"/>
          <tx>
            <strRef>
              <f>'Geometry'!$FD$2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'Geometry'!$FD$3</f>
            </numRef>
          </xVal>
          <yVal>
            <numRef>
              <f>'Geometry'!$FE$3</f>
            </numRef>
          </yVal>
          <smooth val="0"/>
        </ser>
        <ser>
          <idx val="54"/>
          <order val="54"/>
          <tx>
            <v>peak 2</v>
          </tx>
          <spPr>
            <a:ln xmlns:a="http://schemas.openxmlformats.org/drawingml/2006/main">
              <a:noFill/>
              <a:prstDash val="solid"/>
            </a:ln>
          </spPr>
          <marker>
            <symbol val="circle"/>
            <size val="4"/>
            <spPr>
              <a:solidFill xmlns:a="http://schemas.openxmlformats.org/drawingml/2006/main">
                <a:srgbClr val="5B7F8A"/>
              </a:solidFill>
              <a:ln xmlns:a="http://schemas.openxmlformats.org/drawingml/2006/main">
                <a:solidFill>
                  <a:srgbClr val="5B7F8A"/>
                </a:solidFill>
                <a:prstDash val="solid"/>
              </a:ln>
            </spPr>
          </marker>
          <xVal>
            <numRef>
              <f>'Geometry'!$FG$3</f>
            </numRef>
          </xVal>
          <yVal>
            <numRef>
              <f>'Geometry'!$FH$3</f>
            </numRef>
          </yVal>
          <smooth val="0"/>
        </ser>
        <ser>
          <idx val="55"/>
          <order val="55"/>
          <tx>
            <strRef>
              <f>'Geometry'!$FJ$2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'Geometry'!$FJ$3</f>
            </numRef>
          </xVal>
          <yVal>
            <numRef>
              <f>'Geometry'!$FK$3</f>
            </numRef>
          </yVal>
          <smooth val="0"/>
        </ser>
        <ser>
          <idx val="56"/>
          <order val="56"/>
          <tx>
            <v>peak 3</v>
          </tx>
          <spPr>
            <a:ln xmlns:a="http://schemas.openxmlformats.org/drawingml/2006/main">
              <a:noFill/>
              <a:prstDash val="solid"/>
            </a:ln>
          </spPr>
          <marker>
            <symbol val="circle"/>
            <size val="4"/>
            <spPr>
              <a:solidFill xmlns:a="http://schemas.openxmlformats.org/drawingml/2006/main">
                <a:srgbClr val="5B7F8A"/>
              </a:solidFill>
              <a:ln xmlns:a="http://schemas.openxmlformats.org/drawingml/2006/main">
                <a:solidFill>
                  <a:srgbClr val="5B7F8A"/>
                </a:solidFill>
                <a:prstDash val="solid"/>
              </a:ln>
            </spPr>
          </marker>
          <xVal>
            <numRef>
              <f>'Geometry'!$FM$3</f>
            </numRef>
          </xVal>
          <yVal>
            <numRef>
              <f>'Geometry'!$FN$3</f>
            </numRef>
          </yVal>
          <smooth val="0"/>
        </ser>
        <ser>
          <idx val="57"/>
          <order val="57"/>
          <tx>
            <strRef>
              <f>'Geometry'!$FP$2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'Geometry'!$FP$3</f>
            </numRef>
          </xVal>
          <yVal>
            <numRef>
              <f>'Geometry'!$FQ$3</f>
            </numRef>
          </yVal>
          <smooth val="0"/>
        </ser>
        <ser>
          <idx val="58"/>
          <order val="58"/>
          <tx>
            <v>peak 4</v>
          </tx>
          <spPr>
            <a:ln xmlns:a="http://schemas.openxmlformats.org/drawingml/2006/main">
              <a:noFill/>
              <a:prstDash val="solid"/>
            </a:ln>
          </spPr>
          <marker>
            <symbol val="circle"/>
            <size val="4"/>
            <spPr>
              <a:solidFill xmlns:a="http://schemas.openxmlformats.org/drawingml/2006/main">
                <a:srgbClr val="5B7F8A"/>
              </a:solidFill>
              <a:ln xmlns:a="http://schemas.openxmlformats.org/drawingml/2006/main">
                <a:solidFill>
                  <a:srgbClr val="5B7F8A"/>
                </a:solidFill>
                <a:prstDash val="solid"/>
              </a:ln>
            </spPr>
          </marker>
          <xVal>
            <numRef>
              <f>'Geometry'!$FS$3</f>
            </numRef>
          </xVal>
          <yVal>
            <numRef>
              <f>'Geometry'!$FT$3</f>
            </numRef>
          </yVal>
          <smooth val="0"/>
        </ser>
        <ser>
          <idx val="59"/>
          <order val="59"/>
          <tx>
            <strRef>
              <f>'Geometry'!$FV$2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'Geometry'!$FV$3</f>
            </numRef>
          </xVal>
          <yVal>
            <numRef>
              <f>'Geometry'!$FW$3</f>
            </numRef>
          </yVal>
          <smooth val="0"/>
        </ser>
        <ser>
          <idx val="60"/>
          <order val="60"/>
          <tx>
            <v>peak 5</v>
          </tx>
          <spPr>
            <a:ln xmlns:a="http://schemas.openxmlformats.org/drawingml/2006/main">
              <a:noFill/>
              <a:prstDash val="solid"/>
            </a:ln>
          </spPr>
          <marker>
            <symbol val="circle"/>
            <size val="4"/>
            <spPr>
              <a:solidFill xmlns:a="http://schemas.openxmlformats.org/drawingml/2006/main">
                <a:srgbClr val="5B7F8A"/>
              </a:solidFill>
              <a:ln xmlns:a="http://schemas.openxmlformats.org/drawingml/2006/main">
                <a:solidFill>
                  <a:srgbClr val="5B7F8A"/>
                </a:solidFill>
                <a:prstDash val="solid"/>
              </a:ln>
            </spPr>
          </marker>
          <xVal>
            <numRef>
              <f>'Geometry'!$FY$3</f>
            </numRef>
          </xVal>
          <yVal>
            <numRef>
              <f>'Geometry'!$FZ$3</f>
            </numRef>
          </yVal>
          <smooth val="0"/>
        </ser>
        <ser>
          <idx val="61"/>
          <order val="61"/>
          <tx>
            <strRef>
              <f>'Geometry'!$GB$2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'Geometry'!$GB$3</f>
            </numRef>
          </xVal>
          <yVal>
            <numRef>
              <f>'Geometry'!$GC$3</f>
            </numRef>
          </yVal>
          <smooth val="0"/>
        </ser>
        <ser>
          <idx val="62"/>
          <order val="62"/>
          <tx>
            <strRef>
              <f>'Geometry'!$GE$2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'Geometry'!$GE$3</f>
            </numRef>
          </xVal>
          <yVal>
            <numRef>
              <f>'Geometry'!$GF$3</f>
            </numRef>
          </yVal>
          <smooth val="0"/>
        </ser>
        <ser>
          <idx val="63"/>
          <order val="63"/>
          <tx>
            <strRef>
              <f>'Geometry'!$GH$2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'Geometry'!$GH$3</f>
            </numRef>
          </xVal>
          <yVal>
            <numRef>
              <f>'Geometry'!$GI$3</f>
            </numRef>
          </yVal>
          <smooth val="0"/>
        </ser>
        <ser>
          <idx val="64"/>
          <order val="64"/>
          <tx>
            <strRef>
              <f>'Geometry'!$GK$2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'Geometry'!$GK$3</f>
            </numRef>
          </xVal>
          <yVal>
            <numRef>
              <f>'Geometry'!$GL$3</f>
            </numRef>
          </yVal>
          <smooth val="0"/>
        </ser>
        <ser>
          <idx val="65"/>
          <order val="65"/>
          <tx>
            <strRef>
              <f>'Geometry'!$GN$2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'Geometry'!$GN$3</f>
            </numRef>
          </xVal>
          <yVal>
            <numRef>
              <f>'Geometry'!$GO$3</f>
            </numRef>
          </yVal>
          <smooth val="0"/>
        </ser>
        <ser>
          <idx val="66"/>
          <order val="66"/>
          <tx>
            <strRef>
              <f>'Geometry'!$GQ$2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'Geometry'!$GQ$3</f>
            </numRef>
          </xVal>
          <yVal>
            <numRef>
              <f>'Geometry'!$GR$3</f>
            </numRef>
          </yVal>
          <smooth val="0"/>
        </ser>
        <ser>
          <idx val="67"/>
          <order val="67"/>
          <tx>
            <strRef>
              <f>'Geometry'!$GT$2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'Geometry'!$GT$3</f>
            </numRef>
          </xVal>
          <yVal>
            <numRef>
              <f>'Geometry'!$GU$3</f>
            </numRef>
          </yVal>
          <smooth val="0"/>
        </ser>
        <ser>
          <idx val="68"/>
          <order val="68"/>
          <tx>
            <strRef>
              <f>'Geometry'!$GW$2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'Geometry'!$GW$3</f>
            </numRef>
          </xVal>
          <yVal>
            <numRef>
              <f>'Geometry'!$GX$3</f>
            </numRef>
          </yVal>
          <smooth val="0"/>
        </ser>
        <ser>
          <idx val="69"/>
          <order val="69"/>
          <tx>
            <strRef>
              <f>'Geometry'!$GZ$2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'Geometry'!$GZ$3</f>
            </numRef>
          </xVal>
          <yVal>
            <numRef>
              <f>'Geometry'!$HA$3</f>
            </numRef>
          </yVal>
          <smooth val="0"/>
        </ser>
        <ser>
          <idx val="70"/>
          <order val="70"/>
          <tx>
            <strRef>
              <f>'Geometry'!$HC$2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'Geometry'!$HC$3</f>
            </numRef>
          </xVal>
          <yVal>
            <numRef>
              <f>'Geometry'!$HD$3</f>
            </numRef>
          </yVal>
          <smooth val="0"/>
        </ser>
        <ser>
          <idx val="71"/>
          <order val="71"/>
          <tx>
            <strRef>
              <f>'Geometry'!$HF$2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'Geometry'!$HF$3</f>
            </numRef>
          </xVal>
          <yVal>
            <numRef>
              <f>'Geometry'!$HG$3</f>
            </numRef>
          </yVal>
          <smooth val="0"/>
        </ser>
        <ser>
          <idx val="72"/>
          <order val="7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'Geometry'!$HI$3:$HI$4</f>
            </numRef>
          </xVal>
          <yVal>
            <numRef>
              <f>'Geometry'!$HJ$3:$HJ$4</f>
            </numRef>
          </yVal>
          <smooth val="0"/>
        </ser>
        <ser>
          <idx val="73"/>
          <order val="73"/>
          <tx>
            <strRef>
              <f>'Geometry'!$HL$2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'Geometry'!$HL$3</f>
            </numRef>
          </xVal>
          <yVal>
            <numRef>
              <f>'Geometry'!$HM$3</f>
            </numRef>
          </yVal>
          <smooth val="0"/>
        </ser>
        <ser>
          <idx val="74"/>
          <order val="7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'Geometry'!$HO$3:$HO$4</f>
            </numRef>
          </xVal>
          <yVal>
            <numRef>
              <f>'Geometry'!$HP$3:$HP$4</f>
            </numRef>
          </yVal>
          <smooth val="0"/>
        </ser>
        <ser>
          <idx val="75"/>
          <order val="75"/>
          <tx>
            <strRef>
              <f>'Geometry'!$HR$2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'Geometry'!$HR$3</f>
            </numRef>
          </xVal>
          <yVal>
            <numRef>
              <f>'Geometry'!$HS$3</f>
            </numRef>
          </yVal>
          <smooth val="0"/>
        </ser>
        <ser>
          <idx val="76"/>
          <order val="7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'Geometry'!$HU$3:$HU$4</f>
            </numRef>
          </xVal>
          <yVal>
            <numRef>
              <f>'Geometry'!$HV$3:$HV$4</f>
            </numRef>
          </yVal>
          <smooth val="0"/>
        </ser>
        <ser>
          <idx val="77"/>
          <order val="77"/>
          <tx>
            <strRef>
              <f>'Geometry'!$HX$2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'Geometry'!$HX$3</f>
            </numRef>
          </xVal>
          <yVal>
            <numRef>
              <f>'Geometry'!$HY$3</f>
            </numRef>
          </yVal>
          <smooth val="0"/>
        </ser>
        <ser>
          <idx val="78"/>
          <order val="7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'Geometry'!$IA$3:$IA$4</f>
            </numRef>
          </xVal>
          <yVal>
            <numRef>
              <f>'Geometry'!$IB$3:$IB$4</f>
            </numRef>
          </yVal>
          <smooth val="0"/>
        </ser>
        <ser>
          <idx val="79"/>
          <order val="79"/>
          <tx>
            <strRef>
              <f>'Geometry'!$ID$2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'Geometry'!$ID$3</f>
            </numRef>
          </xVal>
          <yVal>
            <numRef>
              <f>'Geometry'!$IE$3</f>
            </numRef>
          </yVal>
          <smooth val="0"/>
        </ser>
        <ser>
          <idx val="80"/>
          <order val="8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'Geometry'!$IG$3:$IG$4</f>
            </numRef>
          </xVal>
          <yVal>
            <numRef>
              <f>'Geometry'!$IH$3:$IH$4</f>
            </numRef>
          </yVal>
          <smooth val="0"/>
        </ser>
        <ser>
          <idx val="81"/>
          <order val="81"/>
          <tx>
            <strRef>
              <f>'Geometry'!$IJ$2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'Geometry'!$IJ$3</f>
            </numRef>
          </xVal>
          <yVal>
            <numRef>
              <f>'Geometry'!$IK$3</f>
            </numRef>
          </yVal>
          <smooth val="0"/>
        </ser>
        <ser>
          <idx val="82"/>
          <order val="82"/>
          <tx>
            <strRef>
              <f>'Geometry'!$IM$2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'Geometry'!$IM$3</f>
            </numRef>
          </xVal>
          <yVal>
            <numRef>
              <f>'Geometry'!$IN$3</f>
            </numRef>
          </yVal>
          <smooth val="0"/>
        </ser>
        <ser>
          <idx val="83"/>
          <order val="83"/>
          <tx>
            <strRef>
              <f>'Geometry'!$IP$2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'Geometry'!$IP$3</f>
            </numRef>
          </xVal>
          <yVal>
            <numRef>
              <f>'Geometry'!$IQ$3</f>
            </numRef>
          </yVal>
          <smooth val="0"/>
        </ser>
        <ser>
          <idx val="84"/>
          <order val="84"/>
          <tx>
            <strRef>
              <f>'Geometry'!$IS$2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'Geometry'!$IS$3</f>
            </numRef>
          </xVal>
          <yVal>
            <numRef>
              <f>'Geometry'!$IT$3</f>
            </numRef>
          </yVal>
          <smooth val="0"/>
        </ser>
        <ser>
          <idx val="85"/>
          <order val="85"/>
          <tx>
            <strRef>
              <f>'Geometry'!$IV$2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'Geometry'!$IV$3</f>
            </numRef>
          </xVal>
          <yVal>
            <numRef>
              <f>'Geometry'!$IW$3</f>
            </numRef>
          </yVal>
          <smooth val="0"/>
        </ser>
        <ser>
          <idx val="86"/>
          <order val="86"/>
          <tx>
            <strRef>
              <f>'Geometry'!$IY$2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'Geometry'!$IY$3</f>
            </numRef>
          </xVal>
          <yVal>
            <numRef>
              <f>'Geometry'!$IZ$3</f>
            </numRef>
          </yVal>
          <smooth val="0"/>
        </ser>
        <ser>
          <idx val="87"/>
          <order val="87"/>
          <tx>
            <strRef>
              <f>'Geometry'!$JB$2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'Geometry'!$JB$3</f>
            </numRef>
          </xVal>
          <yVal>
            <numRef>
              <f>'Geometry'!$JC$3</f>
            </numRef>
          </yVal>
          <smooth val="0"/>
        </ser>
        <ser>
          <idx val="88"/>
          <order val="88"/>
          <tx>
            <strRef>
              <f>'Geometry'!$JE$2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'Geometry'!$JE$3</f>
            </numRef>
          </xVal>
          <yVal>
            <numRef>
              <f>'Geometry'!$JF$3</f>
            </numRef>
          </yVal>
          <smooth val="0"/>
        </ser>
        <ser>
          <idx val="89"/>
          <order val="89"/>
          <tx>
            <v>frame</v>
          </tx>
          <spPr>
            <a:ln xmlns:a="http://schemas.openxmlformats.org/drawingml/2006/main">
              <a:noFill/>
              <a:prstDash val="solid"/>
            </a:ln>
          </spPr>
          <marker>
            <symbol val="none"/>
            <spPr>
              <a:ln xmlns:a="http://schemas.openxmlformats.org/drawingml/2006/main">
                <a:prstDash val="solid"/>
              </a:ln>
            </spPr>
          </marker>
          <xVal>
            <numRef>
              <f>'Geometry'!$JH$3:$JH$4</f>
            </numRef>
          </xVal>
          <yVal>
            <numRef>
              <f>'Geometry'!$JI$3:$JI$4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44</row>
      <rowOff>0</rowOff>
    </from>
    <ext cx="6975000" cy="45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Subframe analysis</t>
        </is>
      </c>
    </row>
    <row r="8" ht="20" customHeight="1">
      <c r="B8" s="4" t="inlineStr">
        <is>
          <t>Floor beam of two to five spans with the columns above and below  ·  EN 1992-1-1 §5.1.3, §5.4  ·  UK NA / PN-EN</t>
        </is>
      </c>
    </row>
    <row r="10">
      <c r="B10" s="5" t="inlineStr">
        <is>
          <t>Reference</t>
        </is>
      </c>
      <c r="C10" s="6" t="inlineStr">
        <is>
          <t>NAE-RC-025  ·  version 1.0</t>
        </is>
      </c>
    </row>
    <row r="11" ht="31" customHeight="1">
      <c r="B11" s="5" t="inlineStr">
        <is>
          <t>Standards</t>
        </is>
      </c>
      <c r="C11" s="7" t="inlineStr">
        <is>
          <t>BS EN 1992-1-1:2004+A1:2014 / PN-EN 1992-1-1:2008, 5.1.3 and 5.4 (linear elastic analysis)  ·  BS EN 1990 / PN-EN 1990 (6.10)</t>
        </is>
      </c>
    </row>
    <row r="12" ht="89" customHeight="1">
      <c r="B12" s="5" t="inlineStr">
        <is>
          <t>National Annex</t>
        </is>
      </c>
      <c r="C12" s="7" t="inlineStr">
        <is>
          <t>Selectable load arrangement: UK NA to BS EN 1992-1-1, NA.2 5.1.3(1)P (all spans and alternate spans loaded) or the recommended arrangements of the note to 5.1.3(1)P (alternate spans and any two adjacent spans loaded), used for PN-EN: the National Annex of PN-EN 1992-1-1:2008 makes no choice for 5.1.3(1)P and keeps the recommended provisions (NA.9); confirm this against the annex edition and amendments adopted for the project (e.g. NA:2018-11)</t>
        </is>
      </c>
    </row>
    <row r="13">
      <c r="B13" s="5" t="inlineStr">
        <is>
          <t>Issued</t>
        </is>
      </c>
      <c r="C13" s="6" t="inlineStr">
        <is>
          <t>30 October 2026</t>
        </is>
      </c>
    </row>
    <row r="15" ht="20" customHeight="1">
      <c r="B15" s="8" t="inlineStr">
        <is>
          <t>What it does</t>
        </is>
      </c>
      <c r="C15" s="9" t="n"/>
    </row>
    <row r="16" ht="91" customHeight="1">
      <c r="B16" s="7" t="inlineStr">
        <is>
          <t>Linear elastic analysis of a floor beam of two to five spans built into the columns above and below every support, the far ends of the columns fixed and no sway: the subframe of the usual building design practice (IStructE Manual, BS 8110-1 3.2.1.2). The sheet gives the envelope of the beam span and support moments, the hogging at the end supports from the frame action, the moments in the columns at every node, the largest shears and the reactions, with the frame and the moment envelope drawn. Use the beam moments and shears in NAE-RC-004 Beam bending and shear and the column moments in NAE-RC-008 Column design as one input to the column design, not the column design itself.</t>
        </is>
      </c>
    </row>
    <row r="18" ht="20" customHeight="1">
      <c r="B18" s="8" t="inlineStr">
        <is>
          <t>How to use</t>
        </is>
      </c>
      <c r="C18" s="9" t="n"/>
    </row>
    <row r="19" ht="91" customHeight="1">
      <c r="B19" s="7" t="inlineStr">
        <is>
          <t>1.  Open the Calculation sheet and choose the load arrangement and the number of spans.
2.  Enter the span lengths, the beam and column sections, the storey heights and whether there are columns above and below. Spans beyond the number chosen, and the column data when there are no columns, are ignored and may be left blank.
3.  Enter one permanent and one variable UDL, common to every span, and the partial factors. Read the Results block, the moments at every node and the drawing.</t>
        </is>
      </c>
    </row>
    <row r="21" ht="20" customHeight="1">
      <c r="B21" s="8" t="inlineStr">
        <is>
          <t>Scope and limitations</t>
        </is>
      </c>
      <c r="C21" s="9" t="n"/>
    </row>
    <row r="22" ht="236" customHeight="1">
      <c r="B22" s="7" t="inlineStr">
        <is>
          <t>No sway: the frame is braced and the horizontal loads are carried elsewhere. Prismatic members with gross uncracked rectangular sections and one modulus of elasticity (5.4(2)); the same column section and storey heights at every node; the far ends of the columns fixed; a knife-edge support where there is no column below; axial shortening ignored. Uniform loads over every span, one γG for every span. Load arrangements: UK NA option of all spans and alternate spans loaded (cases 1 – 3), or EN / PN-EN alternate spans and any two adjacent spans (cases 2 – 3 and 4 onwards); case 1, all spans loaded, is kept in the EN set too, which can only enlarge the envelopes of this model. The slope-deflection equations are solved exactly. Moments are at the centre lines of the members; the beam may be designed for the moment at the face of the column, not less than 0.65 of the fixed-end moment (5.3.2.2(3)): face moments and that minimum are not calculated here. Moment redistribution (5.5) is not applied. The column moments are the largest magnitudes |M| over the cases, first order and from this floor only; in this model the fixed far end carries half the moment at the node, in double curvature, but that is not the moment diagram of the real column: its end moments come from the subframes of the floors at both of its ends. The column design (NAE-RC-008 or a frame analysis) must establish the end moments of each storey, the axial load (NAE-RC-019), the imperfections (5.2), the slenderness and second-order effects (5.8) and the minimum eccentricity (6.1(4)). A negative reaction (uplift) is flagged; it is not an EQU verification. A flanged beam may be entered with an equivalent rectangular depth: only the ratio of the beam and column stiffnesses matters.
The second-generation EN 1992-1-1:2023 is not yet implemented.</t>
        </is>
      </c>
    </row>
    <row r="24" ht="20" customHeight="1">
      <c r="B24" s="8" t="inlineStr">
        <is>
          <t>Further reading and independent cross-check</t>
        </is>
      </c>
      <c r="C24" s="9" t="n"/>
    </row>
    <row r="25" ht="105.5" customHeight="1">
      <c r="B25" s="10" t="inlineStr">
        <is>
          <t>•  IStructE, Manual for the design of concrete building structures to Eurocode 2: subframe analysis of beams and columns.
•  The Concrete Centre, How to design concrete structures using Eurocode 2: Beams.
•  UK NA to BS EN 1992-1-1, NA.2 5.1.3(1)P: load arrangements.
•  NAE-RC-018 Continuous beam gives the same beam on knife-edge supports: with no columns this sheet reproduces it.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&amp;K8A8A8ANAE-RC-025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40"/>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Subframe analysis</t>
        </is>
      </c>
      <c r="H2" s="1" t="n"/>
    </row>
    <row r="3" ht="16" customHeight="1">
      <c r="A3" s="1" t="n"/>
      <c r="B3" s="1" t="n"/>
      <c r="C3" s="15" t="inlineStr">
        <is>
          <t>NAE-RC-025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frame</t>
        </is>
      </c>
      <c r="C10" s="21" t="n"/>
      <c r="D10" s="21" t="n"/>
      <c r="E10" s="21" t="n"/>
      <c r="F10" s="21" t="n"/>
      <c r="G10" s="22" t="inlineStr">
        <is>
          <t>Shaded cells only</t>
        </is>
      </c>
    </row>
    <row r="11" ht="17" customHeight="1">
      <c r="B11" s="23" t="n"/>
      <c r="C11" s="24" t="inlineStr">
        <is>
          <t>Load arrangement  (5.1.3(1)P)</t>
        </is>
      </c>
      <c r="D11" s="23" t="n"/>
      <c r="E11" s="25" t="inlineStr">
        <is>
          <t>UK NA  (all and alternate spans)</t>
        </is>
      </c>
      <c r="F11" s="23" t="n"/>
      <c r="G11" s="23" t="n"/>
    </row>
    <row r="12" ht="17" customHeight="1">
      <c r="B12" s="23" t="n"/>
      <c r="C12" s="24" t="inlineStr">
        <is>
          <t>Number of spans</t>
        </is>
      </c>
      <c r="D12" s="26" t="inlineStr">
        <is>
          <r>
            <rPr>
              <rFont val="Calibri"/>
              <i val="1"/>
              <color rgb="002B2B2B"/>
              <sz val="10"/>
            </rPr>
            <t>n</t>
          </r>
        </is>
      </c>
      <c r="E12" s="25" t="n">
        <v>3</v>
      </c>
      <c r="F12" s="23" t="n"/>
      <c r="G12" s="23" t="n"/>
    </row>
    <row r="13" ht="17" customHeight="1">
      <c r="B13" s="23" t="n"/>
      <c r="C13" s="24" t="inlineStr">
        <is>
          <t>Span 1, centres of columns</t>
        </is>
      </c>
      <c r="D13" s="26" t="inlineStr">
        <is>
          <r>
            <rPr>
              <rFont val="Calibri"/>
              <i val="1"/>
              <color rgb="002B2B2B"/>
              <sz val="10"/>
            </rPr>
            <t>L</t>
          </r>
          <r>
            <rPr>
              <rFont val="Calibri"/>
              <i val="1"/>
              <color rgb="002B2B2B"/>
              <sz val="10"/>
              <vertAlign val="subscript"/>
            </rPr>
            <t>1</t>
          </r>
        </is>
      </c>
      <c r="E13" s="25" t="n">
        <v>6000</v>
      </c>
      <c r="F13" s="27" t="inlineStr">
        <is>
          <t>mm</t>
        </is>
      </c>
      <c r="G13" s="23" t="n"/>
    </row>
    <row r="14" ht="17" customHeight="1">
      <c r="B14" s="23" t="n"/>
      <c r="C14" s="24" t="inlineStr">
        <is>
          <t>Span 2, centres of columns</t>
        </is>
      </c>
      <c r="D14" s="26" t="inlineStr">
        <is>
          <r>
            <rPr>
              <rFont val="Calibri"/>
              <i val="1"/>
              <color rgb="002B2B2B"/>
              <sz val="10"/>
            </rPr>
            <t>L</t>
          </r>
          <r>
            <rPr>
              <rFont val="Calibri"/>
              <i val="1"/>
              <color rgb="002B2B2B"/>
              <sz val="10"/>
              <vertAlign val="subscript"/>
            </rPr>
            <t>2</t>
          </r>
        </is>
      </c>
      <c r="E14" s="25" t="n">
        <v>5000</v>
      </c>
      <c r="F14" s="27" t="inlineStr">
        <is>
          <t>mm</t>
        </is>
      </c>
      <c r="G14" s="23" t="n"/>
    </row>
    <row r="15" ht="17" customHeight="1">
      <c r="B15" s="23" t="n"/>
      <c r="C15" s="24" t="inlineStr">
        <is>
          <t>Span 3, centres of columns  (used when n ≥ 3)</t>
        </is>
      </c>
      <c r="D15" s="26" t="inlineStr">
        <is>
          <r>
            <rPr>
              <rFont val="Calibri"/>
              <i val="1"/>
              <color rgb="002B2B2B"/>
              <sz val="10"/>
            </rPr>
            <t>L</t>
          </r>
          <r>
            <rPr>
              <rFont val="Calibri"/>
              <i val="1"/>
              <color rgb="002B2B2B"/>
              <sz val="10"/>
              <vertAlign val="subscript"/>
            </rPr>
            <t>3</t>
          </r>
        </is>
      </c>
      <c r="E15" s="25" t="n">
        <v>6000</v>
      </c>
      <c r="F15" s="27" t="inlineStr">
        <is>
          <t>mm</t>
        </is>
      </c>
      <c r="G15" s="23" t="n"/>
    </row>
    <row r="16" ht="17" customHeight="1">
      <c r="B16" s="23" t="n"/>
      <c r="C16" s="24" t="inlineStr">
        <is>
          <t>Span 4, centres of columns  (used when n ≥ 4)</t>
        </is>
      </c>
      <c r="D16" s="26" t="inlineStr">
        <is>
          <r>
            <rPr>
              <rFont val="Calibri"/>
              <i val="1"/>
              <color rgb="002B2B2B"/>
              <sz val="10"/>
            </rPr>
            <t>L</t>
          </r>
          <r>
            <rPr>
              <rFont val="Calibri"/>
              <i val="1"/>
              <color rgb="002B2B2B"/>
              <sz val="10"/>
              <vertAlign val="subscript"/>
            </rPr>
            <t>4</t>
          </r>
        </is>
      </c>
      <c r="E16" s="25" t="n">
        <v>5000</v>
      </c>
      <c r="F16" s="27" t="inlineStr">
        <is>
          <t>mm</t>
        </is>
      </c>
      <c r="G16" s="23" t="n"/>
    </row>
    <row r="17" ht="17" customHeight="1">
      <c r="B17" s="23" t="n"/>
      <c r="C17" s="24" t="inlineStr">
        <is>
          <t>Span 5, centres of columns  (used when n ≥ 5)</t>
        </is>
      </c>
      <c r="D17" s="26" t="inlineStr">
        <is>
          <r>
            <rPr>
              <rFont val="Calibri"/>
              <i val="1"/>
              <color rgb="002B2B2B"/>
              <sz val="10"/>
            </rPr>
            <t>L</t>
          </r>
          <r>
            <rPr>
              <rFont val="Calibri"/>
              <i val="1"/>
              <color rgb="002B2B2B"/>
              <sz val="10"/>
              <vertAlign val="subscript"/>
            </rPr>
            <t>5</t>
          </r>
        </is>
      </c>
      <c r="E17" s="25" t="n">
        <v>6000</v>
      </c>
      <c r="F17" s="27" t="inlineStr">
        <is>
          <t>mm</t>
        </is>
      </c>
      <c r="G17" s="23" t="n"/>
    </row>
    <row r="18" ht="17" customHeight="1">
      <c r="B18" s="23" t="n"/>
      <c r="C18" s="24" t="inlineStr">
        <is>
          <t>Beam width</t>
        </is>
      </c>
      <c r="D18" s="26" t="inlineStr">
        <is>
          <r>
            <rPr>
              <rFont val="Calibri"/>
              <i val="1"/>
              <color rgb="002B2B2B"/>
              <sz val="10"/>
            </rPr>
            <t>b</t>
          </r>
        </is>
      </c>
      <c r="E18" s="25" t="n">
        <v>300</v>
      </c>
      <c r="F18" s="27" t="inlineStr">
        <is>
          <t>mm</t>
        </is>
      </c>
      <c r="G18" s="23" t="n"/>
    </row>
    <row r="19" ht="17" customHeight="1">
      <c r="B19" s="23" t="n"/>
      <c r="C19" s="24" t="inlineStr">
        <is>
          <t>Beam overall depth  (gross section)</t>
        </is>
      </c>
      <c r="D19" s="26" t="inlineStr">
        <is>
          <r>
            <rPr>
              <rFont val="Calibri"/>
              <i val="1"/>
              <color rgb="002B2B2B"/>
              <sz val="10"/>
            </rPr>
            <t>h</t>
          </r>
        </is>
      </c>
      <c r="E19" s="25" t="n">
        <v>600</v>
      </c>
      <c r="F19" s="27" t="inlineStr">
        <is>
          <t>mm</t>
        </is>
      </c>
      <c r="G19" s="23" t="n"/>
    </row>
    <row r="20" ht="17" customHeight="1">
      <c r="B20" s="23" t="n"/>
      <c r="C20" s="24" t="inlineStr">
        <is>
          <t>Columns above every node?</t>
        </is>
      </c>
      <c r="D20" s="23" t="n"/>
      <c r="E20" s="25" t="inlineStr">
        <is>
          <t>Yes</t>
        </is>
      </c>
      <c r="F20" s="23" t="n"/>
      <c r="G20" s="23" t="n"/>
    </row>
    <row r="21" ht="17" customHeight="1">
      <c r="B21" s="23" t="n"/>
      <c r="C21" s="24" t="inlineStr">
        <is>
          <t>Columns below every node?</t>
        </is>
      </c>
      <c r="D21" s="23" t="n"/>
      <c r="E21" s="25" t="inlineStr">
        <is>
          <t>Yes</t>
        </is>
      </c>
      <c r="F21" s="23" t="n"/>
      <c r="G21" s="23" t="n"/>
    </row>
    <row r="22" ht="17" customHeight="1">
      <c r="B22" s="23" t="n"/>
      <c r="C22" s="24" t="inlineStr">
        <is>
          <t>Column width  (at right angles to the frame)</t>
        </is>
      </c>
      <c r="D22" s="26" t="inlineStr">
        <is>
          <r>
            <rPr>
              <rFont val="Calibri"/>
              <i val="1"/>
              <color rgb="002B2B2B"/>
              <sz val="10"/>
            </rPr>
            <t>b</t>
          </r>
          <r>
            <rPr>
              <rFont val="Calibri"/>
              <i val="1"/>
              <color rgb="002B2B2B"/>
              <sz val="10"/>
              <vertAlign val="subscript"/>
            </rPr>
            <t>c</t>
          </r>
        </is>
      </c>
      <c r="E22" s="25" t="n">
        <v>400</v>
      </c>
      <c r="F22" s="27" t="inlineStr">
        <is>
          <t>mm</t>
        </is>
      </c>
      <c r="G22" s="23" t="n"/>
    </row>
    <row r="23" ht="17" customHeight="1">
      <c r="B23" s="23" t="n"/>
      <c r="C23" s="24" t="inlineStr">
        <is>
          <t>Column depth  (in the plane of the frame)</t>
        </is>
      </c>
      <c r="D23" s="26" t="inlineStr">
        <is>
          <r>
            <rPr>
              <rFont val="Calibri"/>
              <i val="1"/>
              <color rgb="002B2B2B"/>
              <sz val="10"/>
            </rPr>
            <t>h</t>
          </r>
          <r>
            <rPr>
              <rFont val="Calibri"/>
              <i val="1"/>
              <color rgb="002B2B2B"/>
              <sz val="10"/>
              <vertAlign val="subscript"/>
            </rPr>
            <t>c</t>
          </r>
        </is>
      </c>
      <c r="E23" s="25" t="n">
        <v>400</v>
      </c>
      <c r="F23" s="27" t="inlineStr">
        <is>
          <t>mm</t>
        </is>
      </c>
      <c r="G23" s="23" t="n"/>
    </row>
    <row r="24" ht="17" customHeight="1">
      <c r="B24" s="23" t="n"/>
      <c r="C24" s="24" t="inlineStr">
        <is>
          <t>Storey height above, floor to floor  (with columns above)</t>
        </is>
      </c>
      <c r="D24" s="26" t="inlineStr">
        <is>
          <r>
            <rPr>
              <rFont val="Calibri"/>
              <i val="1"/>
              <color rgb="002B2B2B"/>
              <sz val="10"/>
            </rPr>
            <t>H</t>
          </r>
          <r>
            <rPr>
              <rFont val="Calibri"/>
              <i val="1"/>
              <color rgb="002B2B2B"/>
              <sz val="10"/>
              <vertAlign val="subscript"/>
            </rPr>
            <t>up</t>
          </r>
        </is>
      </c>
      <c r="E24" s="25" t="n">
        <v>3500</v>
      </c>
      <c r="F24" s="27" t="inlineStr">
        <is>
          <t>mm</t>
        </is>
      </c>
      <c r="G24" s="23" t="n"/>
    </row>
    <row r="25" ht="17" customHeight="1">
      <c r="B25" s="23" t="n"/>
      <c r="C25" s="24" t="inlineStr">
        <is>
          <t>Storey height below, floor to floor  (with columns below)</t>
        </is>
      </c>
      <c r="D25" s="26" t="inlineStr">
        <is>
          <r>
            <rPr>
              <rFont val="Calibri"/>
              <i val="1"/>
              <color rgb="002B2B2B"/>
              <sz val="10"/>
            </rPr>
            <t>H</t>
          </r>
          <r>
            <rPr>
              <rFont val="Calibri"/>
              <i val="1"/>
              <color rgb="002B2B2B"/>
              <sz val="10"/>
              <vertAlign val="subscript"/>
            </rPr>
            <t>dn</t>
          </r>
        </is>
      </c>
      <c r="E25" s="25" t="n">
        <v>3500</v>
      </c>
      <c r="F25" s="27" t="inlineStr">
        <is>
          <t>mm</t>
        </is>
      </c>
      <c r="G25" s="23" t="n"/>
    </row>
    <row r="27" ht="22" customHeight="1">
      <c r="B27" s="20" t="inlineStr">
        <is>
          <t>Inputs  ·  loads</t>
        </is>
      </c>
      <c r="C27" s="21" t="n"/>
      <c r="D27" s="21" t="n"/>
      <c r="E27" s="21" t="n"/>
      <c r="F27" s="21" t="n"/>
      <c r="G27" s="22" t="inlineStr">
        <is>
          <t>Characteristic values</t>
        </is>
      </c>
    </row>
    <row r="28" ht="17" customHeight="1">
      <c r="B28" s="23" t="n"/>
      <c r="C28" s="24" t="inlineStr">
        <is>
          <t>UDL, permanent  (include the self weight)</t>
        </is>
      </c>
      <c r="D28" s="26" t="inlineStr">
        <is>
          <r>
            <rPr>
              <rFont val="Calibri"/>
              <i val="1"/>
              <color rgb="002B2B2B"/>
              <sz val="10"/>
            </rPr>
            <t>g</t>
          </r>
          <r>
            <rPr>
              <rFont val="Calibri"/>
              <i val="1"/>
              <color rgb="002B2B2B"/>
              <sz val="10"/>
              <vertAlign val="subscript"/>
            </rPr>
            <t>k</t>
          </r>
        </is>
      </c>
      <c r="E28" s="28" t="n">
        <v>25</v>
      </c>
      <c r="F28" s="27" t="inlineStr">
        <is>
          <t>kN/m</t>
        </is>
      </c>
      <c r="G28" s="23" t="n"/>
    </row>
    <row r="29" ht="17" customHeight="1">
      <c r="B29" s="23" t="n"/>
      <c r="C29" s="24" t="inlineStr">
        <is>
          <t>UDL, variable</t>
        </is>
      </c>
      <c r="D29" s="26" t="inlineStr">
        <is>
          <r>
            <rPr>
              <rFont val="Calibri"/>
              <i val="1"/>
              <color rgb="002B2B2B"/>
              <sz val="10"/>
            </rPr>
            <t>q</t>
          </r>
          <r>
            <rPr>
              <rFont val="Calibri"/>
              <i val="1"/>
              <color rgb="002B2B2B"/>
              <sz val="10"/>
              <vertAlign val="subscript"/>
            </rPr>
            <t>k</t>
          </r>
        </is>
      </c>
      <c r="E29" s="28" t="n">
        <v>10</v>
      </c>
      <c r="F29" s="27" t="inlineStr">
        <is>
          <t>kN/m</t>
        </is>
      </c>
      <c r="G29" s="23" t="n"/>
    </row>
    <row r="30" ht="17" customHeight="1">
      <c r="B30" s="29" t="inlineStr">
        <is>
          <t>EN 1990 A1.2(B)</t>
        </is>
      </c>
      <c r="C30" s="24" t="inlineStr">
        <is>
          <t>Partial factor, permanent</t>
        </is>
      </c>
      <c r="D30" s="26" t="inlineStr">
        <is>
          <r>
            <rPr>
              <rFont val="Calibri"/>
              <i val="1"/>
              <color rgb="002B2B2B"/>
              <sz val="10"/>
            </rPr>
            <t>γ</t>
          </r>
          <r>
            <rPr>
              <rFont val="Calibri"/>
              <i val="1"/>
              <color rgb="002B2B2B"/>
              <sz val="10"/>
              <vertAlign val="subscript"/>
            </rPr>
            <t>G</t>
          </r>
        </is>
      </c>
      <c r="E30" s="28" t="n">
        <v>1.35</v>
      </c>
      <c r="F30" s="23" t="n"/>
      <c r="G30" s="23" t="n"/>
    </row>
    <row r="31" ht="17" customHeight="1">
      <c r="B31" s="29" t="inlineStr">
        <is>
          <t>EN 1990 A1.2(B)</t>
        </is>
      </c>
      <c r="C31" s="24" t="inlineStr">
        <is>
          <t>Partial factor, variable</t>
        </is>
      </c>
      <c r="D31" s="26" t="inlineStr">
        <is>
          <r>
            <rPr>
              <rFont val="Calibri"/>
              <i val="1"/>
              <color rgb="002B2B2B"/>
              <sz val="10"/>
            </rPr>
            <t>γ</t>
          </r>
          <r>
            <rPr>
              <rFont val="Calibri"/>
              <i val="1"/>
              <color rgb="002B2B2B"/>
              <sz val="10"/>
              <vertAlign val="subscript"/>
            </rPr>
            <t>Q</t>
          </r>
        </is>
      </c>
      <c r="E31" s="28" t="n">
        <v>1.5</v>
      </c>
      <c r="F31" s="23" t="n"/>
      <c r="G31" s="23" t="n"/>
    </row>
    <row r="32" ht="17" customHeight="1">
      <c r="B32" s="23" t="n"/>
      <c r="C32" s="24" t="inlineStr">
        <is>
          <t>Inputs valid and consistent</t>
        </is>
      </c>
      <c r="D32" s="23" t="n"/>
      <c r="E32" s="9" t="n"/>
      <c r="F32" s="23" t="n"/>
      <c r="G32" s="30">
        <f>IF(inputs_ok,"OK","FAIL")</f>
        <v/>
      </c>
    </row>
    <row r="34" ht="22" customHeight="1">
      <c r="B34" s="20" t="inlineStr">
        <is>
          <t>Results</t>
        </is>
      </c>
      <c r="C34" s="21" t="n"/>
      <c r="D34" s="21" t="n"/>
      <c r="E34" s="21" t="n"/>
      <c r="F34" s="21" t="n"/>
      <c r="G34" s="21" t="n"/>
    </row>
    <row r="35" ht="26" customHeight="1">
      <c r="B35" s="31" t="n"/>
      <c r="C35" s="32" t="inlineStr">
        <is>
          <t>Largest sagging moment  (span)</t>
        </is>
      </c>
      <c r="D35" s="33" t="inlineStr">
        <is>
          <r>
            <rPr>
              <rFont val="Calibri"/>
              <i val="1"/>
              <color rgb="002B2B2B"/>
              <sz val="11"/>
            </rPr>
            <t>M</t>
          </r>
          <r>
            <rPr>
              <rFont val="Calibri"/>
              <i val="1"/>
              <color rgb="002B2B2B"/>
              <sz val="11"/>
              <vertAlign val="subscript"/>
            </rPr>
            <t>Ed,span</t>
          </r>
        </is>
      </c>
      <c r="E35" s="34">
        <f>IF(inputs_ok,sf_Msag,"–")</f>
        <v/>
      </c>
      <c r="F35" s="35" t="inlineStr">
        <is>
          <t>kNm</t>
        </is>
      </c>
      <c r="G35" s="31" t="n"/>
    </row>
    <row r="36" ht="26" customHeight="1">
      <c r="B36" s="31" t="n"/>
      <c r="C36" s="32" t="inlineStr">
        <is>
          <t>Largest hogging moment  (interior nodes)</t>
        </is>
      </c>
      <c r="D36" s="33" t="inlineStr">
        <is>
          <r>
            <rPr>
              <rFont val="Calibri"/>
              <i val="1"/>
              <color rgb="002B2B2B"/>
              <sz val="11"/>
            </rPr>
            <t>M</t>
          </r>
          <r>
            <rPr>
              <rFont val="Calibri"/>
              <i val="1"/>
              <color rgb="002B2B2B"/>
              <sz val="11"/>
              <vertAlign val="subscript"/>
            </rPr>
            <t>Ed,sup</t>
          </r>
        </is>
      </c>
      <c r="E36" s="34">
        <f>IF(inputs_ok,sf_Mhog,"–")</f>
        <v/>
      </c>
      <c r="F36" s="35" t="inlineStr">
        <is>
          <t>kNm</t>
        </is>
      </c>
      <c r="G36" s="31" t="n"/>
    </row>
    <row r="37" ht="26" customHeight="1">
      <c r="B37" s="31" t="n"/>
      <c r="C37" s="32" t="inlineStr">
        <is>
          <t>Largest hogging moment  (end nodes, frame action)</t>
        </is>
      </c>
      <c r="D37" s="33" t="inlineStr">
        <is>
          <r>
            <rPr>
              <rFont val="Calibri"/>
              <i val="1"/>
              <color rgb="002B2B2B"/>
              <sz val="11"/>
            </rPr>
            <t>M</t>
          </r>
          <r>
            <rPr>
              <rFont val="Calibri"/>
              <i val="1"/>
              <color rgb="002B2B2B"/>
              <sz val="11"/>
              <vertAlign val="subscript"/>
            </rPr>
            <t>Ed,end</t>
          </r>
        </is>
      </c>
      <c r="E37" s="34">
        <f>IF(inputs_ok,sf_Mend,"–")</f>
        <v/>
      </c>
      <c r="F37" s="35" t="inlineStr">
        <is>
          <t>kNm</t>
        </is>
      </c>
      <c r="G37" s="31" t="n"/>
    </row>
    <row r="38" ht="26" customHeight="1">
      <c r="B38" s="31" t="n"/>
      <c r="C38" s="32" t="inlineStr">
        <is>
          <t>Largest column |M|  (edge columns)</t>
        </is>
      </c>
      <c r="D38" s="33" t="inlineStr">
        <is>
          <r>
            <rPr>
              <rFont val="Calibri"/>
              <i val="1"/>
              <color rgb="002B2B2B"/>
              <sz val="11"/>
            </rPr>
            <t>M</t>
          </r>
          <r>
            <rPr>
              <rFont val="Calibri"/>
              <i val="1"/>
              <color rgb="002B2B2B"/>
              <sz val="11"/>
              <vertAlign val="subscript"/>
            </rPr>
            <t>c,edge</t>
          </r>
        </is>
      </c>
      <c r="E38" s="34">
        <f>IF(inputs_ok,sf_Mce,"–")</f>
        <v/>
      </c>
      <c r="F38" s="35" t="inlineStr">
        <is>
          <t>kNm</t>
        </is>
      </c>
      <c r="G38" s="31" t="n"/>
    </row>
    <row r="39" ht="26" customHeight="1">
      <c r="B39" s="31" t="n"/>
      <c r="C39" s="32" t="inlineStr">
        <is>
          <t>Largest column |M|  (interior columns)</t>
        </is>
      </c>
      <c r="D39" s="33" t="inlineStr">
        <is>
          <r>
            <rPr>
              <rFont val="Calibri"/>
              <i val="1"/>
              <color rgb="002B2B2B"/>
              <sz val="11"/>
            </rPr>
            <t>M</t>
          </r>
          <r>
            <rPr>
              <rFont val="Calibri"/>
              <i val="1"/>
              <color rgb="002B2B2B"/>
              <sz val="11"/>
              <vertAlign val="subscript"/>
            </rPr>
            <t>c,int</t>
          </r>
        </is>
      </c>
      <c r="E39" s="34">
        <f>IF(inputs_ok,sf_Mci,"–")</f>
        <v/>
      </c>
      <c r="F39" s="35" t="inlineStr">
        <is>
          <t>kNm</t>
        </is>
      </c>
      <c r="G39" s="31" t="n"/>
    </row>
    <row r="40" ht="26" customHeight="1">
      <c r="B40" s="31" t="n"/>
      <c r="C40" s="32" t="inlineStr">
        <is>
          <t>Largest shear force  (at a node)</t>
        </is>
      </c>
      <c r="D40" s="33" t="inlineStr">
        <is>
          <r>
            <rPr>
              <rFont val="Calibri"/>
              <i val="1"/>
              <color rgb="002B2B2B"/>
              <sz val="11"/>
            </rPr>
            <t>V</t>
          </r>
          <r>
            <rPr>
              <rFont val="Calibri"/>
              <i val="1"/>
              <color rgb="002B2B2B"/>
              <sz val="11"/>
              <vertAlign val="subscript"/>
            </rPr>
            <t>Ed,max</t>
          </r>
        </is>
      </c>
      <c r="E40" s="34">
        <f>IF(inputs_ok,sf_Vmax,"–")</f>
        <v/>
      </c>
      <c r="F40" s="35" t="inlineStr">
        <is>
          <t>kN</t>
        </is>
      </c>
      <c r="G40" s="31" t="n"/>
    </row>
    <row r="41" ht="26" customHeight="1">
      <c r="B41" s="31" t="n"/>
      <c r="C41" s="32" t="inlineStr">
        <is>
          <t>Largest reaction</t>
        </is>
      </c>
      <c r="D41" s="33" t="inlineStr">
        <is>
          <r>
            <rPr>
              <rFont val="Calibri"/>
              <i val="1"/>
              <color rgb="002B2B2B"/>
              <sz val="11"/>
            </rPr>
            <t>R</t>
          </r>
          <r>
            <rPr>
              <rFont val="Calibri"/>
              <i val="1"/>
              <color rgb="002B2B2B"/>
              <sz val="11"/>
              <vertAlign val="subscript"/>
            </rPr>
            <t>max</t>
          </r>
        </is>
      </c>
      <c r="E41" s="34">
        <f>IF(inputs_ok,sf_Rmax,"–")</f>
        <v/>
      </c>
      <c r="F41" s="35" t="inlineStr">
        <is>
          <t>kN</t>
        </is>
      </c>
      <c r="G41" s="31" t="n"/>
    </row>
    <row r="42" ht="26" customHeight="1">
      <c r="B42" s="31" t="n"/>
      <c r="C42" s="32" t="inlineStr">
        <is>
          <t>Smallest reaction</t>
        </is>
      </c>
      <c r="D42" s="33" t="inlineStr">
        <is>
          <r>
            <rPr>
              <rFont val="Calibri"/>
              <i val="1"/>
              <color rgb="002B2B2B"/>
              <sz val="11"/>
            </rPr>
            <t>R</t>
          </r>
          <r>
            <rPr>
              <rFont val="Calibri"/>
              <i val="1"/>
              <color rgb="002B2B2B"/>
              <sz val="11"/>
              <vertAlign val="subscript"/>
            </rPr>
            <t>min</t>
          </r>
        </is>
      </c>
      <c r="E42" s="34">
        <f>IF(inputs_ok,sf_Rmin,"–")</f>
        <v/>
      </c>
      <c r="F42" s="35" t="inlineStr">
        <is>
          <t>kN</t>
        </is>
      </c>
      <c r="G42" s="36">
        <f>IF(NOT(inputs_ok),"FAIL",IF(sf_Rmin&lt;0,"! Uplift: check EQU","OK"))</f>
        <v/>
      </c>
    </row>
    <row r="43"/>
    <row r="44">
      <c r="B44" s="37" t="inlineStr">
        <is>
          <t>Your subframe  ·  largest column |M| at the nodes over the cases (kNm, red)  ·  beam moment envelope below (kNm, sagging down)</t>
        </is>
      </c>
    </row>
    <row r="45"/>
    <row r="46"/>
    <row r="47"/>
    <row r="48"/>
    <row r="49"/>
    <row r="50"/>
    <row r="51"/>
    <row r="52"/>
    <row r="53"/>
    <row r="54"/>
    <row r="55"/>
    <row r="56"/>
    <row r="57"/>
    <row r="58"/>
    <row r="59"/>
    <row r="60"/>
    <row r="61"/>
    <row r="62"/>
    <row r="63"/>
    <row r="64"/>
    <row r="65"/>
    <row r="66"/>
    <row r="67"/>
    <row r="68"/>
    <row r="69"/>
    <row r="70" ht="22" customHeight="1">
      <c r="B70" s="20" t="inlineStr">
        <is>
          <t>Calculation  ·  loads and stiffness</t>
        </is>
      </c>
      <c r="C70" s="21" t="n"/>
      <c r="D70" s="21" t="n"/>
      <c r="E70" s="21" t="n"/>
      <c r="F70" s="21" t="n"/>
      <c r="G70" s="21" t="n"/>
    </row>
    <row r="71" ht="17" customHeight="1">
      <c r="B71" s="29" t="inlineStr">
        <is>
          <t>(6.10)</t>
        </is>
      </c>
      <c r="C71" s="24" t="inlineStr">
        <is>
          <t>Design load, loaded span  γG gk + γQ qk</t>
        </is>
      </c>
      <c r="D71" s="26" t="inlineStr">
        <is>
          <r>
            <rPr>
              <rFont val="Calibri"/>
              <i val="1"/>
              <color rgb="002B2B2B"/>
              <sz val="10"/>
            </rPr>
            <t>w</t>
          </r>
          <r>
            <rPr>
              <rFont val="Calibri"/>
              <i val="1"/>
              <color rgb="002B2B2B"/>
              <sz val="10"/>
              <vertAlign val="subscript"/>
            </rPr>
            <t>1</t>
          </r>
        </is>
      </c>
      <c r="E71" s="38">
        <f>IF(inputs_ok,gamma_G*gk_sf+gamma_Q*qk_sf,NA())</f>
        <v/>
      </c>
      <c r="F71" s="27" t="inlineStr">
        <is>
          <t>kN/m</t>
        </is>
      </c>
      <c r="G71" s="23" t="n"/>
    </row>
    <row r="72" ht="17" customHeight="1">
      <c r="B72" s="29" t="inlineStr">
        <is>
          <t>5.1.3</t>
        </is>
      </c>
      <c r="C72" s="24" t="inlineStr">
        <is>
          <t>Design load, unloaded span  γG gk</t>
        </is>
      </c>
      <c r="D72" s="26" t="inlineStr">
        <is>
          <r>
            <rPr>
              <rFont val="Calibri"/>
              <i val="1"/>
              <color rgb="002B2B2B"/>
              <sz val="10"/>
            </rPr>
            <t>w</t>
          </r>
          <r>
            <rPr>
              <rFont val="Calibri"/>
              <i val="1"/>
              <color rgb="002B2B2B"/>
              <sz val="10"/>
              <vertAlign val="subscript"/>
            </rPr>
            <t>2</t>
          </r>
        </is>
      </c>
      <c r="E72" s="38">
        <f>IF(inputs_ok,gamma_G*gk_sf,NA())</f>
        <v/>
      </c>
      <c r="F72" s="27" t="inlineStr">
        <is>
          <t>kN/m</t>
        </is>
      </c>
      <c r="G72" s="23" t="n"/>
    </row>
    <row r="73" ht="17" customHeight="1">
      <c r="B73" s="29" t="inlineStr">
        <is>
          <t>5.4(2)</t>
        </is>
      </c>
      <c r="C73" s="24" t="inlineStr">
        <is>
          <t>Beam, gross section  I_b = b h³ / 12</t>
        </is>
      </c>
      <c r="D73" s="26" t="inlineStr">
        <is>
          <r>
            <rPr>
              <rFont val="Calibri"/>
              <i val="1"/>
              <color rgb="002B2B2B"/>
              <sz val="10"/>
            </rPr>
            <t>I</t>
          </r>
          <r>
            <rPr>
              <rFont val="Calibri"/>
              <i val="1"/>
              <color rgb="002B2B2B"/>
              <sz val="10"/>
              <vertAlign val="subscript"/>
            </rPr>
            <t>b</t>
          </r>
        </is>
      </c>
      <c r="E73" s="39">
        <f>IF(inputs_ok,bb_sf*hb_sf^3/12/1E6,NA())</f>
        <v/>
      </c>
      <c r="F73" s="27" t="inlineStr">
        <is>
          <t>10⁶mm⁴</t>
        </is>
      </c>
      <c r="G73" s="23" t="n"/>
    </row>
    <row r="74" ht="17" customHeight="1">
      <c r="B74" s="29" t="inlineStr">
        <is>
          <t>5.4(2)</t>
        </is>
      </c>
      <c r="C74" s="24" t="inlineStr">
        <is>
          <t>Column, gross section  I_c = b_c h_c³ / 12  (0: no columns)</t>
        </is>
      </c>
      <c r="D74" s="26" t="inlineStr">
        <is>
          <r>
            <rPr>
              <rFont val="Calibri"/>
              <i val="1"/>
              <color rgb="002B2B2B"/>
              <sz val="10"/>
            </rPr>
            <t>I</t>
          </r>
          <r>
            <rPr>
              <rFont val="Calibri"/>
              <i val="1"/>
              <color rgb="002B2B2B"/>
              <sz val="10"/>
              <vertAlign val="subscript"/>
            </rPr>
            <t>c</t>
          </r>
        </is>
      </c>
      <c r="E74" s="39">
        <f>IF(inputs_ok,IF(OR(up_sf="Yes",dn_sf="Yes"),bc_sf*hc_sf^3/12/1E6,0),NA())</f>
        <v/>
      </c>
      <c r="F74" s="27" t="inlineStr">
        <is>
          <t>10⁶mm⁴</t>
        </is>
      </c>
      <c r="G74" s="23" t="n"/>
    </row>
    <row r="75" ht="17" customHeight="1">
      <c r="B75" s="23" t="n"/>
      <c r="C75" s="24" t="inlineStr">
        <is>
          <t>Column above, far end fixed  4 I_c / H_up  (0: none)</t>
        </is>
      </c>
      <c r="D75" s="26" t="inlineStr">
        <is>
          <r>
            <rPr>
              <rFont val="Calibri"/>
              <i val="1"/>
              <color rgb="002B2B2B"/>
              <sz val="10"/>
            </rPr>
            <t>k</t>
          </r>
          <r>
            <rPr>
              <rFont val="Calibri"/>
              <i val="1"/>
              <color rgb="002B2B2B"/>
              <sz val="10"/>
              <vertAlign val="subscript"/>
            </rPr>
            <t>up</t>
          </r>
        </is>
      </c>
      <c r="E75" s="39">
        <f>IF(inputs_ok,IF(up_sf="Yes",4*sf_Ic/(Hu_sf/1000),0),NA())</f>
        <v/>
      </c>
      <c r="F75" s="27" t="inlineStr">
        <is>
          <t>10⁶mm⁴/m</t>
        </is>
      </c>
      <c r="G75" s="23" t="n"/>
    </row>
    <row r="76" ht="17" customHeight="1">
      <c r="B76" s="23" t="n"/>
      <c r="C76" s="24" t="inlineStr">
        <is>
          <t>Column below, far end fixed  4 I_c / H_dn  (0: none)</t>
        </is>
      </c>
      <c r="D76" s="26" t="inlineStr">
        <is>
          <r>
            <rPr>
              <rFont val="Calibri"/>
              <i val="1"/>
              <color rgb="002B2B2B"/>
              <sz val="10"/>
            </rPr>
            <t>k</t>
          </r>
          <r>
            <rPr>
              <rFont val="Calibri"/>
              <i val="1"/>
              <color rgb="002B2B2B"/>
              <sz val="10"/>
              <vertAlign val="subscript"/>
            </rPr>
            <t>dn</t>
          </r>
        </is>
      </c>
      <c r="E76" s="39">
        <f>IF(inputs_ok,IF(dn_sf="Yes",4*sf_Ic/(Hd_sf/1000),0),NA())</f>
        <v/>
      </c>
      <c r="F76" s="27" t="inlineStr">
        <is>
          <t>10⁶mm⁴/m</t>
        </is>
      </c>
      <c r="G76" s="23" t="n"/>
    </row>
    <row r="77" ht="17" customHeight="1">
      <c r="B77" s="23" t="n"/>
      <c r="C77" s="24" t="inlineStr">
        <is>
          <t>Columns at a node  k_c = k_up + k_dn</t>
        </is>
      </c>
      <c r="D77" s="26" t="inlineStr">
        <is>
          <r>
            <rPr>
              <rFont val="Calibri"/>
              <i val="1"/>
              <color rgb="002B2B2B"/>
              <sz val="10"/>
            </rPr>
            <t>k</t>
          </r>
          <r>
            <rPr>
              <rFont val="Calibri"/>
              <i val="1"/>
              <color rgb="002B2B2B"/>
              <sz val="10"/>
              <vertAlign val="subscript"/>
            </rPr>
            <t>c</t>
          </r>
        </is>
      </c>
      <c r="E77" s="39">
        <f>IF(inputs_ok,sf_ku+sf_kd,NA())</f>
        <v/>
      </c>
      <c r="F77" s="27" t="inlineStr">
        <is>
          <t>10⁶mm⁴/m</t>
        </is>
      </c>
      <c r="G77" s="23" t="n"/>
    </row>
    <row r="78" ht="17" customHeight="1">
      <c r="B78" s="23" t="n"/>
      <c r="C78" s="24" t="inlineStr">
        <is>
          <t>End node: share in the columns  k_c / (k_c + 4 I_b / L_1)</t>
        </is>
      </c>
      <c r="D78" s="26" t="inlineStr">
        <is>
          <r>
            <rPr>
              <rFont val="Calibri"/>
              <i val="1"/>
              <color rgb="002B2B2B"/>
              <sz val="10"/>
            </rPr>
            <t>δ</t>
          </r>
          <r>
            <rPr>
              <rFont val="Calibri"/>
              <i val="1"/>
              <color rgb="002B2B2B"/>
              <sz val="10"/>
              <vertAlign val="subscript"/>
            </rPr>
            <t>c</t>
          </r>
        </is>
      </c>
      <c r="E78" s="38">
        <f>IF(inputs_ok,sf_kc/(sf_kc+4*sf_Ib/(Lsf_1/1000)),NA())</f>
        <v/>
      </c>
      <c r="F78" s="23" t="n"/>
      <c r="G78" s="23" t="n"/>
    </row>
    <row r="79" ht="17" customHeight="1">
      <c r="B79" s="29" t="inlineStr">
        <is>
          <t>5.1.3(1)P</t>
        </is>
      </c>
      <c r="C79" s="24" t="inlineStr">
        <is>
          <t>Number of load cases analysed</t>
        </is>
      </c>
      <c r="D79" s="26" t="inlineStr">
        <is>
          <r>
            <rPr>
              <rFont val="Calibri"/>
              <i val="1"/>
              <color rgb="002B2B2B"/>
              <sz val="10"/>
            </rPr>
            <t>n</t>
          </r>
          <r>
            <rPr>
              <rFont val="Calibri"/>
              <i val="1"/>
              <color rgb="002B2B2B"/>
              <sz val="10"/>
              <vertAlign val="subscript"/>
            </rPr>
            <t>c</t>
          </r>
        </is>
      </c>
      <c r="E79" s="40">
        <f>IF(inputs_ok,3+IF(arr_sf="EN / PN-EN  (alternate and adjacent spans)",n_sf-1,0),NA())</f>
        <v/>
      </c>
      <c r="F79" s="23" t="n"/>
      <c r="G79" s="23" t="n"/>
    </row>
    <row r="80" ht="66.5" customHeight="1">
      <c r="B80" s="41" t="inlineStr">
        <is>
          <t>Load cases: 1 every span carries w1; 2 odd spans w1, even spans w2; 3 even spans w1, odd spans w2; with the EN / PN-EN arrangement also 4 … n + 2: spans k and k + 1 carry w1, the others w2 (k = 1 … n − 1). Slope-deflection with the node rotations θ (E common): node j  2 k_j θj−1 + (4 k_j + 4 k_j+1 + k_c) θj + 2 k_j+1 θj+1 = w_j+1 L_j+1² / 12 − w_j L_j² / 12, k = I_b / L. Beam end moments: left −wL²/12 + 2k (2θa + θb), right −wL²/12 − 2k (θa + 2θb); column moments at the node k_up θ and k_dn θ, half that at the fixed far end. The envelope is the worst of the cases at every point.</t>
        </is>
      </c>
    </row>
    <row r="81" ht="29" customHeight="1">
      <c r="B81" s="41" t="inlineStr">
        <is>
          <t>Beam moments are signed: + sagging (tension at the bottom), − hogging. At a node the beam moments either side differ by the moment taken by the columns.</t>
        </is>
      </c>
    </row>
    <row r="82"/>
    <row r="83" ht="22" customHeight="1">
      <c r="B83" s="20" t="inlineStr">
        <is>
          <t>Calculation  ·  beam moments at the nodes  (column centre lines)</t>
        </is>
      </c>
      <c r="C83" s="21" t="n"/>
      <c r="D83" s="21" t="n"/>
      <c r="E83" s="21" t="n"/>
      <c r="F83" s="21" t="n"/>
      <c r="G83" s="21" t="n"/>
    </row>
    <row r="84" ht="17" customHeight="1">
      <c r="B84" s="29" t="inlineStr">
        <is>
          <t>5.4</t>
        </is>
      </c>
      <c r="C84" s="24" t="inlineStr">
        <is>
          <t>Node A: beam moment right of the node, most negative</t>
        </is>
      </c>
      <c r="D84" s="26" t="inlineStr">
        <is>
          <r>
            <rPr>
              <rFont val="Calibri"/>
              <i val="1"/>
              <color rgb="002B2B2B"/>
              <sz val="10"/>
            </rPr>
            <t>M</t>
          </r>
          <r>
            <rPr>
              <rFont val="Calibri"/>
              <i val="1"/>
              <color rgb="002B2B2B"/>
              <sz val="10"/>
              <vertAlign val="subscript"/>
            </rPr>
            <t>A,r</t>
          </r>
        </is>
      </c>
      <c r="E84" s="39">
        <f>IF(inputs_ok,IF(sf_on1,sf_MLmin1,"–"),NA())</f>
        <v/>
      </c>
      <c r="F84" s="27" t="inlineStr">
        <is>
          <t>kNm</t>
        </is>
      </c>
      <c r="G84" s="23">
        <f>IF(AND(inputs_ok,sf_on1),IF(ROUND(sf_MLmax1,6)&gt;0,"! Sagging in a case: "&amp;TEXT(sf_MLmax1,"0.0"),""),"")</f>
        <v/>
      </c>
    </row>
    <row r="85" ht="17" customHeight="1">
      <c r="B85" s="29" t="inlineStr">
        <is>
          <t>5.4</t>
        </is>
      </c>
      <c r="C85" s="24" t="inlineStr">
        <is>
          <t>Node B: beam moment left of the node, most negative</t>
        </is>
      </c>
      <c r="D85" s="26" t="inlineStr">
        <is>
          <r>
            <rPr>
              <rFont val="Calibri"/>
              <i val="1"/>
              <color rgb="002B2B2B"/>
              <sz val="10"/>
            </rPr>
            <t>M</t>
          </r>
          <r>
            <rPr>
              <rFont val="Calibri"/>
              <i val="1"/>
              <color rgb="002B2B2B"/>
              <sz val="10"/>
              <vertAlign val="subscript"/>
            </rPr>
            <t>B,l</t>
          </r>
        </is>
      </c>
      <c r="E85" s="39">
        <f>IF(inputs_ok,IF(sf_on1,sf_MRmin1,"–"),NA())</f>
        <v/>
      </c>
      <c r="F85" s="27" t="inlineStr">
        <is>
          <t>kNm</t>
        </is>
      </c>
      <c r="G85" s="23">
        <f>IF(AND(inputs_ok,sf_on1),IF(ROUND(sf_MRmax1,6)&gt;0,"! Sagging in a case: "&amp;TEXT(sf_MRmax1,"0.0"),""),"")</f>
        <v/>
      </c>
    </row>
    <row r="86" ht="17" customHeight="1">
      <c r="B86" s="29" t="inlineStr">
        <is>
          <t>5.4</t>
        </is>
      </c>
      <c r="C86" s="24" t="inlineStr">
        <is>
          <t>Node B: beam moment right of the node, most negative</t>
        </is>
      </c>
      <c r="D86" s="26" t="inlineStr">
        <is>
          <r>
            <rPr>
              <rFont val="Calibri"/>
              <i val="1"/>
              <color rgb="002B2B2B"/>
              <sz val="10"/>
            </rPr>
            <t>M</t>
          </r>
          <r>
            <rPr>
              <rFont val="Calibri"/>
              <i val="1"/>
              <color rgb="002B2B2B"/>
              <sz val="10"/>
              <vertAlign val="subscript"/>
            </rPr>
            <t>B,r</t>
          </r>
        </is>
      </c>
      <c r="E86" s="39">
        <f>IF(inputs_ok,IF(sf_on2,sf_MLmin2,"–"),NA())</f>
        <v/>
      </c>
      <c r="F86" s="27" t="inlineStr">
        <is>
          <t>kNm</t>
        </is>
      </c>
      <c r="G86" s="23">
        <f>IF(AND(inputs_ok,sf_on2),IF(ROUND(sf_MLmax2,6)&gt;0,"! Sagging in a case: "&amp;TEXT(sf_MLmax2,"0.0"),""),"")</f>
        <v/>
      </c>
    </row>
    <row r="87" ht="17" customHeight="1">
      <c r="B87" s="29" t="inlineStr">
        <is>
          <t>5.4</t>
        </is>
      </c>
      <c r="C87" s="24" t="inlineStr">
        <is>
          <t>Node C: beam moment left of the node, most negative</t>
        </is>
      </c>
      <c r="D87" s="26" t="inlineStr">
        <is>
          <r>
            <rPr>
              <rFont val="Calibri"/>
              <i val="1"/>
              <color rgb="002B2B2B"/>
              <sz val="10"/>
            </rPr>
            <t>M</t>
          </r>
          <r>
            <rPr>
              <rFont val="Calibri"/>
              <i val="1"/>
              <color rgb="002B2B2B"/>
              <sz val="10"/>
              <vertAlign val="subscript"/>
            </rPr>
            <t>C,l</t>
          </r>
        </is>
      </c>
      <c r="E87" s="39">
        <f>IF(inputs_ok,IF(sf_on2,sf_MRmin2,"–"),NA())</f>
        <v/>
      </c>
      <c r="F87" s="27" t="inlineStr">
        <is>
          <t>kNm</t>
        </is>
      </c>
      <c r="G87" s="23">
        <f>IF(AND(inputs_ok,sf_on2),IF(ROUND(sf_MRmax2,6)&gt;0,"! Sagging in a case: "&amp;TEXT(sf_MRmax2,"0.0"),""),"")</f>
        <v/>
      </c>
    </row>
    <row r="88" ht="17" customHeight="1">
      <c r="B88" s="29" t="inlineStr">
        <is>
          <t>5.4</t>
        </is>
      </c>
      <c r="C88" s="24" t="inlineStr">
        <is>
          <t>Node C: beam moment right of the node, most negative</t>
        </is>
      </c>
      <c r="D88" s="26" t="inlineStr">
        <is>
          <r>
            <rPr>
              <rFont val="Calibri"/>
              <i val="1"/>
              <color rgb="002B2B2B"/>
              <sz val="10"/>
            </rPr>
            <t>M</t>
          </r>
          <r>
            <rPr>
              <rFont val="Calibri"/>
              <i val="1"/>
              <color rgb="002B2B2B"/>
              <sz val="10"/>
              <vertAlign val="subscript"/>
            </rPr>
            <t>C,r</t>
          </r>
        </is>
      </c>
      <c r="E88" s="39">
        <f>IF(inputs_ok,IF(sf_on3,sf_MLmin3,"–"),NA())</f>
        <v/>
      </c>
      <c r="F88" s="27" t="inlineStr">
        <is>
          <t>kNm</t>
        </is>
      </c>
      <c r="G88" s="23">
        <f>IF(AND(inputs_ok,sf_on3),IF(ROUND(sf_MLmax3,6)&gt;0,"! Sagging in a case: "&amp;TEXT(sf_MLmax3,"0.0"),""),"")</f>
        <v/>
      </c>
    </row>
    <row r="89" ht="17" customHeight="1">
      <c r="B89" s="29" t="inlineStr">
        <is>
          <t>5.4</t>
        </is>
      </c>
      <c r="C89" s="24" t="inlineStr">
        <is>
          <t>Node D: beam moment left of the node, most negative</t>
        </is>
      </c>
      <c r="D89" s="26" t="inlineStr">
        <is>
          <r>
            <rPr>
              <rFont val="Calibri"/>
              <i val="1"/>
              <color rgb="002B2B2B"/>
              <sz val="10"/>
            </rPr>
            <t>M</t>
          </r>
          <r>
            <rPr>
              <rFont val="Calibri"/>
              <i val="1"/>
              <color rgb="002B2B2B"/>
              <sz val="10"/>
              <vertAlign val="subscript"/>
            </rPr>
            <t>D,l</t>
          </r>
        </is>
      </c>
      <c r="E89" s="39">
        <f>IF(inputs_ok,IF(sf_on3,sf_MRmin3,"–"),NA())</f>
        <v/>
      </c>
      <c r="F89" s="27" t="inlineStr">
        <is>
          <t>kNm</t>
        </is>
      </c>
      <c r="G89" s="23">
        <f>IF(AND(inputs_ok,sf_on3),IF(ROUND(sf_MRmax3,6)&gt;0,"! Sagging in a case: "&amp;TEXT(sf_MRmax3,"0.0"),""),"")</f>
        <v/>
      </c>
    </row>
    <row r="90" ht="17" customHeight="1">
      <c r="B90" s="29" t="inlineStr">
        <is>
          <t>5.4</t>
        </is>
      </c>
      <c r="C90" s="24" t="inlineStr">
        <is>
          <t>Node D: beam moment right of the node, most negative</t>
        </is>
      </c>
      <c r="D90" s="26" t="inlineStr">
        <is>
          <r>
            <rPr>
              <rFont val="Calibri"/>
              <i val="1"/>
              <color rgb="002B2B2B"/>
              <sz val="10"/>
            </rPr>
            <t>M</t>
          </r>
          <r>
            <rPr>
              <rFont val="Calibri"/>
              <i val="1"/>
              <color rgb="002B2B2B"/>
              <sz val="10"/>
              <vertAlign val="subscript"/>
            </rPr>
            <t>D,r</t>
          </r>
        </is>
      </c>
      <c r="E90" s="39">
        <f>IF(inputs_ok,IF(sf_on4,sf_MLmin4,"–"),NA())</f>
        <v/>
      </c>
      <c r="F90" s="27" t="inlineStr">
        <is>
          <t>kNm</t>
        </is>
      </c>
      <c r="G90" s="23">
        <f>IF(AND(inputs_ok,sf_on4),IF(ROUND(sf_MLmax4,6)&gt;0,"! Sagging in a case: "&amp;TEXT(sf_MLmax4,"0.0"),""),"")</f>
        <v/>
      </c>
    </row>
    <row r="91" ht="17" customHeight="1">
      <c r="B91" s="29" t="inlineStr">
        <is>
          <t>5.4</t>
        </is>
      </c>
      <c r="C91" s="24" t="inlineStr">
        <is>
          <t>Node E: beam moment left of the node, most negative</t>
        </is>
      </c>
      <c r="D91" s="26" t="inlineStr">
        <is>
          <r>
            <rPr>
              <rFont val="Calibri"/>
              <i val="1"/>
              <color rgb="002B2B2B"/>
              <sz val="10"/>
            </rPr>
            <t>M</t>
          </r>
          <r>
            <rPr>
              <rFont val="Calibri"/>
              <i val="1"/>
              <color rgb="002B2B2B"/>
              <sz val="10"/>
              <vertAlign val="subscript"/>
            </rPr>
            <t>E,l</t>
          </r>
        </is>
      </c>
      <c r="E91" s="39">
        <f>IF(inputs_ok,IF(sf_on4,sf_MRmin4,"–"),NA())</f>
        <v/>
      </c>
      <c r="F91" s="27" t="inlineStr">
        <is>
          <t>kNm</t>
        </is>
      </c>
      <c r="G91" s="23">
        <f>IF(AND(inputs_ok,sf_on4),IF(ROUND(sf_MRmax4,6)&gt;0,"! Sagging in a case: "&amp;TEXT(sf_MRmax4,"0.0"),""),"")</f>
        <v/>
      </c>
    </row>
    <row r="92" ht="17" customHeight="1">
      <c r="B92" s="29" t="inlineStr">
        <is>
          <t>5.4</t>
        </is>
      </c>
      <c r="C92" s="24" t="inlineStr">
        <is>
          <t>Node E: beam moment right of the node, most negative</t>
        </is>
      </c>
      <c r="D92" s="26" t="inlineStr">
        <is>
          <r>
            <rPr>
              <rFont val="Calibri"/>
              <i val="1"/>
              <color rgb="002B2B2B"/>
              <sz val="10"/>
            </rPr>
            <t>M</t>
          </r>
          <r>
            <rPr>
              <rFont val="Calibri"/>
              <i val="1"/>
              <color rgb="002B2B2B"/>
              <sz val="10"/>
              <vertAlign val="subscript"/>
            </rPr>
            <t>E,r</t>
          </r>
        </is>
      </c>
      <c r="E92" s="39">
        <f>IF(inputs_ok,IF(sf_on5,sf_MLmin5,"–"),NA())</f>
        <v/>
      </c>
      <c r="F92" s="27" t="inlineStr">
        <is>
          <t>kNm</t>
        </is>
      </c>
      <c r="G92" s="23">
        <f>IF(AND(inputs_ok,sf_on5),IF(ROUND(sf_MLmax5,6)&gt;0,"! Sagging in a case: "&amp;TEXT(sf_MLmax5,"0.0"),""),"")</f>
        <v/>
      </c>
    </row>
    <row r="93" ht="17" customHeight="1">
      <c r="B93" s="29" t="inlineStr">
        <is>
          <t>5.4</t>
        </is>
      </c>
      <c r="C93" s="24" t="inlineStr">
        <is>
          <t>Node F: beam moment left of the node, most negative</t>
        </is>
      </c>
      <c r="D93" s="26" t="inlineStr">
        <is>
          <r>
            <rPr>
              <rFont val="Calibri"/>
              <i val="1"/>
              <color rgb="002B2B2B"/>
              <sz val="10"/>
            </rPr>
            <t>M</t>
          </r>
          <r>
            <rPr>
              <rFont val="Calibri"/>
              <i val="1"/>
              <color rgb="002B2B2B"/>
              <sz val="10"/>
              <vertAlign val="subscript"/>
            </rPr>
            <t>F,l</t>
          </r>
        </is>
      </c>
      <c r="E93" s="39">
        <f>IF(inputs_ok,IF(sf_on5,sf_MRmin5,"–"),NA())</f>
        <v/>
      </c>
      <c r="F93" s="27" t="inlineStr">
        <is>
          <t>kNm</t>
        </is>
      </c>
      <c r="G93" s="23">
        <f>IF(AND(inputs_ok,sf_on5),IF(ROUND(sf_MRmax5,6)&gt;0,"! Sagging in a case: "&amp;TEXT(sf_MRmax5,"0.0"),""),"")</f>
        <v/>
      </c>
    </row>
    <row r="94"/>
    <row r="95" ht="22" customHeight="1">
      <c r="B95" s="20" t="inlineStr">
        <is>
          <t>Calculation  ·  spans, shears and reactions</t>
        </is>
      </c>
      <c r="C95" s="21" t="n"/>
      <c r="D95" s="21" t="n"/>
      <c r="E95" s="21" t="n"/>
      <c r="F95" s="21" t="n"/>
      <c r="G95" s="21" t="n"/>
    </row>
    <row r="96" ht="17" customHeight="1">
      <c r="B96" s="29" t="inlineStr">
        <is>
          <t>5.4</t>
        </is>
      </c>
      <c r="C96" s="24" t="inlineStr">
        <is>
          <t>Largest moment in span 1, worst of the cases</t>
        </is>
      </c>
      <c r="D96" s="26" t="inlineStr">
        <is>
          <r>
            <rPr>
              <rFont val="Calibri"/>
              <i val="1"/>
              <color rgb="002B2B2B"/>
              <sz val="10"/>
            </rPr>
            <t>M</t>
          </r>
          <r>
            <rPr>
              <rFont val="Calibri"/>
              <i val="1"/>
              <color rgb="002B2B2B"/>
              <sz val="10"/>
              <vertAlign val="subscript"/>
            </rPr>
            <t>1</t>
          </r>
        </is>
      </c>
      <c r="E96" s="39">
        <f>IF(inputs_ok,IF(sf_on1,sf_sag1,"–"),NA())</f>
        <v/>
      </c>
      <c r="F96" s="27" t="inlineStr">
        <is>
          <t>kNm</t>
        </is>
      </c>
      <c r="G96" s="23">
        <f>IF(AND(inputs_ok,sf_on1),IF(sf_sag1&lt;0,"! No sagging in this span","at "&amp;TEXT(sf_xsag1,"0.00")&amp;" m"),"")</f>
        <v/>
      </c>
    </row>
    <row r="97" ht="17" customHeight="1">
      <c r="B97" s="29" t="inlineStr">
        <is>
          <t>5.4</t>
        </is>
      </c>
      <c r="C97" s="24" t="inlineStr">
        <is>
          <t>Largest moment in span 2, worst of the cases</t>
        </is>
      </c>
      <c r="D97" s="26" t="inlineStr">
        <is>
          <r>
            <rPr>
              <rFont val="Calibri"/>
              <i val="1"/>
              <color rgb="002B2B2B"/>
              <sz val="10"/>
            </rPr>
            <t>M</t>
          </r>
          <r>
            <rPr>
              <rFont val="Calibri"/>
              <i val="1"/>
              <color rgb="002B2B2B"/>
              <sz val="10"/>
              <vertAlign val="subscript"/>
            </rPr>
            <t>2</t>
          </r>
        </is>
      </c>
      <c r="E97" s="39">
        <f>IF(inputs_ok,IF(sf_on2,sf_sag2,"–"),NA())</f>
        <v/>
      </c>
      <c r="F97" s="27" t="inlineStr">
        <is>
          <t>kNm</t>
        </is>
      </c>
      <c r="G97" s="23">
        <f>IF(AND(inputs_ok,sf_on2),IF(sf_sag2&lt;0,"! No sagging in this span","at "&amp;TEXT(sf_xsag2,"0.00")&amp;" m"),"")</f>
        <v/>
      </c>
    </row>
    <row r="98" ht="17" customHeight="1">
      <c r="B98" s="29" t="inlineStr">
        <is>
          <t>5.4</t>
        </is>
      </c>
      <c r="C98" s="24" t="inlineStr">
        <is>
          <t>Largest moment in span 3, worst of the cases</t>
        </is>
      </c>
      <c r="D98" s="26" t="inlineStr">
        <is>
          <r>
            <rPr>
              <rFont val="Calibri"/>
              <i val="1"/>
              <color rgb="002B2B2B"/>
              <sz val="10"/>
            </rPr>
            <t>M</t>
          </r>
          <r>
            <rPr>
              <rFont val="Calibri"/>
              <i val="1"/>
              <color rgb="002B2B2B"/>
              <sz val="10"/>
              <vertAlign val="subscript"/>
            </rPr>
            <t>3</t>
          </r>
        </is>
      </c>
      <c r="E98" s="39">
        <f>IF(inputs_ok,IF(sf_on3,sf_sag3,"–"),NA())</f>
        <v/>
      </c>
      <c r="F98" s="27" t="inlineStr">
        <is>
          <t>kNm</t>
        </is>
      </c>
      <c r="G98" s="23">
        <f>IF(AND(inputs_ok,sf_on3),IF(sf_sag3&lt;0,"! No sagging in this span","at "&amp;TEXT(sf_xsag3,"0.00")&amp;" m"),"")</f>
        <v/>
      </c>
    </row>
    <row r="99" ht="17" customHeight="1">
      <c r="B99" s="29" t="inlineStr">
        <is>
          <t>5.4</t>
        </is>
      </c>
      <c r="C99" s="24" t="inlineStr">
        <is>
          <t>Largest moment in span 4, worst of the cases</t>
        </is>
      </c>
      <c r="D99" s="26" t="inlineStr">
        <is>
          <r>
            <rPr>
              <rFont val="Calibri"/>
              <i val="1"/>
              <color rgb="002B2B2B"/>
              <sz val="10"/>
            </rPr>
            <t>M</t>
          </r>
          <r>
            <rPr>
              <rFont val="Calibri"/>
              <i val="1"/>
              <color rgb="002B2B2B"/>
              <sz val="10"/>
              <vertAlign val="subscript"/>
            </rPr>
            <t>4</t>
          </r>
        </is>
      </c>
      <c r="E99" s="39">
        <f>IF(inputs_ok,IF(sf_on4,sf_sag4,"–"),NA())</f>
        <v/>
      </c>
      <c r="F99" s="27" t="inlineStr">
        <is>
          <t>kNm</t>
        </is>
      </c>
      <c r="G99" s="23">
        <f>IF(AND(inputs_ok,sf_on4),IF(sf_sag4&lt;0,"! No sagging in this span","at "&amp;TEXT(sf_xsag4,"0.00")&amp;" m"),"")</f>
        <v/>
      </c>
    </row>
    <row r="100" ht="17" customHeight="1">
      <c r="B100" s="29" t="inlineStr">
        <is>
          <t>5.4</t>
        </is>
      </c>
      <c r="C100" s="24" t="inlineStr">
        <is>
          <t>Largest moment in span 5, worst of the cases</t>
        </is>
      </c>
      <c r="D100" s="26" t="inlineStr">
        <is>
          <r>
            <rPr>
              <rFont val="Calibri"/>
              <i val="1"/>
              <color rgb="002B2B2B"/>
              <sz val="10"/>
            </rPr>
            <t>M</t>
          </r>
          <r>
            <rPr>
              <rFont val="Calibri"/>
              <i val="1"/>
              <color rgb="002B2B2B"/>
              <sz val="10"/>
              <vertAlign val="subscript"/>
            </rPr>
            <t>5</t>
          </r>
        </is>
      </c>
      <c r="E100" s="39">
        <f>IF(inputs_ok,IF(sf_on5,sf_sag5,"–"),NA())</f>
        <v/>
      </c>
      <c r="F100" s="27" t="inlineStr">
        <is>
          <t>kNm</t>
        </is>
      </c>
      <c r="G100" s="23">
        <f>IF(AND(inputs_ok,sf_on5),IF(sf_sag5&lt;0,"! No sagging in this span","at "&amp;TEXT(sf_xsag5,"0.00")&amp;" m"),"")</f>
        <v/>
      </c>
    </row>
    <row r="101" ht="17" customHeight="1">
      <c r="B101" s="23" t="n"/>
      <c r="C101" s="24" t="inlineStr">
        <is>
          <t>Largest shear at node A</t>
        </is>
      </c>
      <c r="D101" s="26" t="inlineStr">
        <is>
          <r>
            <rPr>
              <rFont val="Calibri"/>
              <i val="1"/>
              <color rgb="002B2B2B"/>
              <sz val="10"/>
            </rPr>
            <t>V</t>
          </r>
          <r>
            <rPr>
              <rFont val="Calibri"/>
              <i val="1"/>
              <color rgb="002B2B2B"/>
              <sz val="10"/>
              <vertAlign val="subscript"/>
            </rPr>
            <t>A</t>
          </r>
        </is>
      </c>
      <c r="E101" s="39">
        <f>IF(inputs_ok,IF(0&lt;=n_sf,sf_Vs0,"–"),NA())</f>
        <v/>
      </c>
      <c r="F101" s="27" t="inlineStr">
        <is>
          <t>kN</t>
        </is>
      </c>
      <c r="G101" s="23" t="n"/>
    </row>
    <row r="102" ht="17" customHeight="1">
      <c r="B102" s="23" t="n"/>
      <c r="C102" s="24" t="inlineStr">
        <is>
          <t>Largest shear at node B</t>
        </is>
      </c>
      <c r="D102" s="26" t="inlineStr">
        <is>
          <r>
            <rPr>
              <rFont val="Calibri"/>
              <i val="1"/>
              <color rgb="002B2B2B"/>
              <sz val="10"/>
            </rPr>
            <t>V</t>
          </r>
          <r>
            <rPr>
              <rFont val="Calibri"/>
              <i val="1"/>
              <color rgb="002B2B2B"/>
              <sz val="10"/>
              <vertAlign val="subscript"/>
            </rPr>
            <t>B</t>
          </r>
        </is>
      </c>
      <c r="E102" s="39">
        <f>IF(inputs_ok,IF(1&lt;=n_sf,sf_Vs1,"–"),NA())</f>
        <v/>
      </c>
      <c r="F102" s="27" t="inlineStr">
        <is>
          <t>kN</t>
        </is>
      </c>
      <c r="G102" s="23" t="n"/>
    </row>
    <row r="103" ht="17" customHeight="1">
      <c r="B103" s="23" t="n"/>
      <c r="C103" s="24" t="inlineStr">
        <is>
          <t>Largest shear at node C</t>
        </is>
      </c>
      <c r="D103" s="26" t="inlineStr">
        <is>
          <r>
            <rPr>
              <rFont val="Calibri"/>
              <i val="1"/>
              <color rgb="002B2B2B"/>
              <sz val="10"/>
            </rPr>
            <t>V</t>
          </r>
          <r>
            <rPr>
              <rFont val="Calibri"/>
              <i val="1"/>
              <color rgb="002B2B2B"/>
              <sz val="10"/>
              <vertAlign val="subscript"/>
            </rPr>
            <t>C</t>
          </r>
        </is>
      </c>
      <c r="E103" s="39">
        <f>IF(inputs_ok,IF(2&lt;=n_sf,sf_Vs2,"–"),NA())</f>
        <v/>
      </c>
      <c r="F103" s="27" t="inlineStr">
        <is>
          <t>kN</t>
        </is>
      </c>
      <c r="G103" s="23" t="n"/>
    </row>
    <row r="104" ht="17" customHeight="1">
      <c r="B104" s="23" t="n"/>
      <c r="C104" s="24" t="inlineStr">
        <is>
          <t>Largest shear at node D</t>
        </is>
      </c>
      <c r="D104" s="26" t="inlineStr">
        <is>
          <r>
            <rPr>
              <rFont val="Calibri"/>
              <i val="1"/>
              <color rgb="002B2B2B"/>
              <sz val="10"/>
            </rPr>
            <t>V</t>
          </r>
          <r>
            <rPr>
              <rFont val="Calibri"/>
              <i val="1"/>
              <color rgb="002B2B2B"/>
              <sz val="10"/>
              <vertAlign val="subscript"/>
            </rPr>
            <t>D</t>
          </r>
        </is>
      </c>
      <c r="E104" s="39">
        <f>IF(inputs_ok,IF(3&lt;=n_sf,sf_Vs3,"–"),NA())</f>
        <v/>
      </c>
      <c r="F104" s="27" t="inlineStr">
        <is>
          <t>kN</t>
        </is>
      </c>
      <c r="G104" s="23" t="n"/>
    </row>
    <row r="105" ht="17" customHeight="1">
      <c r="B105" s="23" t="n"/>
      <c r="C105" s="24" t="inlineStr">
        <is>
          <t>Largest shear at node E</t>
        </is>
      </c>
      <c r="D105" s="26" t="inlineStr">
        <is>
          <r>
            <rPr>
              <rFont val="Calibri"/>
              <i val="1"/>
              <color rgb="002B2B2B"/>
              <sz val="10"/>
            </rPr>
            <t>V</t>
          </r>
          <r>
            <rPr>
              <rFont val="Calibri"/>
              <i val="1"/>
              <color rgb="002B2B2B"/>
              <sz val="10"/>
              <vertAlign val="subscript"/>
            </rPr>
            <t>E</t>
          </r>
        </is>
      </c>
      <c r="E105" s="39">
        <f>IF(inputs_ok,IF(4&lt;=n_sf,sf_Vs4,"–"),NA())</f>
        <v/>
      </c>
      <c r="F105" s="27" t="inlineStr">
        <is>
          <t>kN</t>
        </is>
      </c>
      <c r="G105" s="23" t="n"/>
    </row>
    <row r="106" ht="17" customHeight="1">
      <c r="B106" s="23" t="n"/>
      <c r="C106" s="24" t="inlineStr">
        <is>
          <t>Largest shear at node F</t>
        </is>
      </c>
      <c r="D106" s="26" t="inlineStr">
        <is>
          <r>
            <rPr>
              <rFont val="Calibri"/>
              <i val="1"/>
              <color rgb="002B2B2B"/>
              <sz val="10"/>
            </rPr>
            <t>V</t>
          </r>
          <r>
            <rPr>
              <rFont val="Calibri"/>
              <i val="1"/>
              <color rgb="002B2B2B"/>
              <sz val="10"/>
              <vertAlign val="subscript"/>
            </rPr>
            <t>F</t>
          </r>
        </is>
      </c>
      <c r="E106" s="39">
        <f>IF(inputs_ok,IF(5&lt;=n_sf,sf_Vs5,"–"),NA())</f>
        <v/>
      </c>
      <c r="F106" s="27" t="inlineStr">
        <is>
          <t>kN</t>
        </is>
      </c>
      <c r="G106" s="23" t="n"/>
    </row>
    <row r="107" ht="17" customHeight="1">
      <c r="B107" s="23" t="n"/>
      <c r="C107" s="24" t="inlineStr">
        <is>
          <t>Reaction at node A  (max  /  min)</t>
        </is>
      </c>
      <c r="D107" s="26" t="inlineStr">
        <is>
          <r>
            <rPr>
              <rFont val="Calibri"/>
              <i val="1"/>
              <color rgb="002B2B2B"/>
              <sz val="10"/>
            </rPr>
            <t>R</t>
          </r>
          <r>
            <rPr>
              <rFont val="Calibri"/>
              <i val="1"/>
              <color rgb="002B2B2B"/>
              <sz val="10"/>
              <vertAlign val="subscript"/>
            </rPr>
            <t>A</t>
          </r>
        </is>
      </c>
      <c r="E107" s="42">
        <f>IF(inputs_ok,IF(0&lt;=n_sf,TEXT(sf_Rmax0,"0.0")&amp;"  /  "&amp;TEXT(sf_Rmin0,"0.0"),"–"),NA())</f>
        <v/>
      </c>
      <c r="F107" s="27" t="inlineStr">
        <is>
          <t>kN</t>
        </is>
      </c>
      <c r="G107" s="23" t="n"/>
    </row>
    <row r="108" ht="17" customHeight="1">
      <c r="B108" s="23" t="n"/>
      <c r="C108" s="24" t="inlineStr">
        <is>
          <t>Reaction at node B  (max  /  min)</t>
        </is>
      </c>
      <c r="D108" s="26" t="inlineStr">
        <is>
          <r>
            <rPr>
              <rFont val="Calibri"/>
              <i val="1"/>
              <color rgb="002B2B2B"/>
              <sz val="10"/>
            </rPr>
            <t>R</t>
          </r>
          <r>
            <rPr>
              <rFont val="Calibri"/>
              <i val="1"/>
              <color rgb="002B2B2B"/>
              <sz val="10"/>
              <vertAlign val="subscript"/>
            </rPr>
            <t>B</t>
          </r>
        </is>
      </c>
      <c r="E108" s="42">
        <f>IF(inputs_ok,IF(1&lt;=n_sf,TEXT(sf_Rmax1,"0.0")&amp;"  /  "&amp;TEXT(sf_Rmin1,"0.0"),"–"),NA())</f>
        <v/>
      </c>
      <c r="F108" s="27" t="inlineStr">
        <is>
          <t>kN</t>
        </is>
      </c>
      <c r="G108" s="23" t="n"/>
    </row>
    <row r="109" ht="17" customHeight="1">
      <c r="B109" s="23" t="n"/>
      <c r="C109" s="24" t="inlineStr">
        <is>
          <t>Reaction at node C  (max  /  min)</t>
        </is>
      </c>
      <c r="D109" s="26" t="inlineStr">
        <is>
          <r>
            <rPr>
              <rFont val="Calibri"/>
              <i val="1"/>
              <color rgb="002B2B2B"/>
              <sz val="10"/>
            </rPr>
            <t>R</t>
          </r>
          <r>
            <rPr>
              <rFont val="Calibri"/>
              <i val="1"/>
              <color rgb="002B2B2B"/>
              <sz val="10"/>
              <vertAlign val="subscript"/>
            </rPr>
            <t>C</t>
          </r>
        </is>
      </c>
      <c r="E109" s="42">
        <f>IF(inputs_ok,IF(2&lt;=n_sf,TEXT(sf_Rmax2,"0.0")&amp;"  /  "&amp;TEXT(sf_Rmin2,"0.0"),"–"),NA())</f>
        <v/>
      </c>
      <c r="F109" s="27" t="inlineStr">
        <is>
          <t>kN</t>
        </is>
      </c>
      <c r="G109" s="23" t="n"/>
    </row>
    <row r="110" ht="17" customHeight="1">
      <c r="B110" s="23" t="n"/>
      <c r="C110" s="24" t="inlineStr">
        <is>
          <t>Reaction at node D  (max  /  min)</t>
        </is>
      </c>
      <c r="D110" s="26" t="inlineStr">
        <is>
          <r>
            <rPr>
              <rFont val="Calibri"/>
              <i val="1"/>
              <color rgb="002B2B2B"/>
              <sz val="10"/>
            </rPr>
            <t>R</t>
          </r>
          <r>
            <rPr>
              <rFont val="Calibri"/>
              <i val="1"/>
              <color rgb="002B2B2B"/>
              <sz val="10"/>
              <vertAlign val="subscript"/>
            </rPr>
            <t>D</t>
          </r>
        </is>
      </c>
      <c r="E110" s="42">
        <f>IF(inputs_ok,IF(3&lt;=n_sf,TEXT(sf_Rmax3,"0.0")&amp;"  /  "&amp;TEXT(sf_Rmin3,"0.0"),"–"),NA())</f>
        <v/>
      </c>
      <c r="F110" s="27" t="inlineStr">
        <is>
          <t>kN</t>
        </is>
      </c>
      <c r="G110" s="23" t="n"/>
    </row>
    <row r="111" ht="17" customHeight="1">
      <c r="B111" s="23" t="n"/>
      <c r="C111" s="24" t="inlineStr">
        <is>
          <t>Reaction at node E  (max  /  min)</t>
        </is>
      </c>
      <c r="D111" s="26" t="inlineStr">
        <is>
          <r>
            <rPr>
              <rFont val="Calibri"/>
              <i val="1"/>
              <color rgb="002B2B2B"/>
              <sz val="10"/>
            </rPr>
            <t>R</t>
          </r>
          <r>
            <rPr>
              <rFont val="Calibri"/>
              <i val="1"/>
              <color rgb="002B2B2B"/>
              <sz val="10"/>
              <vertAlign val="subscript"/>
            </rPr>
            <t>E</t>
          </r>
        </is>
      </c>
      <c r="E111" s="42">
        <f>IF(inputs_ok,IF(4&lt;=n_sf,TEXT(sf_Rmax4,"0.0")&amp;"  /  "&amp;TEXT(sf_Rmin4,"0.0"),"–"),NA())</f>
        <v/>
      </c>
      <c r="F111" s="27" t="inlineStr">
        <is>
          <t>kN</t>
        </is>
      </c>
      <c r="G111" s="23" t="n"/>
    </row>
    <row r="112" ht="17" customHeight="1">
      <c r="B112" s="23" t="n"/>
      <c r="C112" s="24" t="inlineStr">
        <is>
          <t>Reaction at node F  (max  /  min)</t>
        </is>
      </c>
      <c r="D112" s="26" t="inlineStr">
        <is>
          <r>
            <rPr>
              <rFont val="Calibri"/>
              <i val="1"/>
              <color rgb="002B2B2B"/>
              <sz val="10"/>
            </rPr>
            <t>R</t>
          </r>
          <r>
            <rPr>
              <rFont val="Calibri"/>
              <i val="1"/>
              <color rgb="002B2B2B"/>
              <sz val="10"/>
              <vertAlign val="subscript"/>
            </rPr>
            <t>F</t>
          </r>
        </is>
      </c>
      <c r="E112" s="42">
        <f>IF(inputs_ok,IF(5&lt;=n_sf,TEXT(sf_Rmax5,"0.0")&amp;"  /  "&amp;TEXT(sf_Rmin5,"0.0"),"–"),NA())</f>
        <v/>
      </c>
      <c r="F112" s="27" t="inlineStr">
        <is>
          <t>kN</t>
        </is>
      </c>
      <c r="G112" s="23" t="n"/>
    </row>
    <row r="113"/>
    <row r="114" ht="22" customHeight="1">
      <c r="B114" s="20" t="inlineStr">
        <is>
          <t>Calculation  ·  column moments at the nodes  (largest |M| of the cases)</t>
        </is>
      </c>
      <c r="C114" s="21" t="n"/>
      <c r="D114" s="21" t="n"/>
      <c r="E114" s="21" t="n"/>
      <c r="F114" s="21" t="n"/>
      <c r="G114" s="21" t="n"/>
    </row>
    <row r="115" ht="41.5" customHeight="1">
      <c r="B115" s="41" t="inlineStr">
        <is>
          <t>|M| is the largest magnitude over the cases. Sense: the columns at a node balance the step in the beam moment, M_l − M_r = M_up + M_dn (beam moments + sagging; column end moments clockwise +), so the sign follows the rotation of the node and may change from case to case at interior nodes.</t>
        </is>
      </c>
    </row>
    <row r="116" ht="17" customHeight="1">
      <c r="B116" s="29" t="inlineStr">
        <is>
          <t>5.4</t>
        </is>
      </c>
      <c r="C116" s="24" t="inlineStr">
        <is>
          <t>Node A: column above, largest |M| at the node</t>
        </is>
      </c>
      <c r="D116" s="26" t="inlineStr">
        <is>
          <r>
            <rPr>
              <rFont val="Calibri"/>
              <i val="1"/>
              <color rgb="002B2B2B"/>
              <sz val="10"/>
            </rPr>
            <t>M</t>
          </r>
          <r>
            <rPr>
              <rFont val="Calibri"/>
              <i val="1"/>
              <color rgb="002B2B2B"/>
              <sz val="10"/>
              <vertAlign val="subscript"/>
            </rPr>
            <t>A,up</t>
          </r>
        </is>
      </c>
      <c r="E116" s="39">
        <f>IF(inputs_ok,IF(AND(0&lt;=n_sf,up_sf="Yes"),sf_Mua0,"–"),NA())</f>
        <v/>
      </c>
      <c r="F116" s="27" t="inlineStr">
        <is>
          <t>kNm</t>
        </is>
      </c>
      <c r="G116" s="23" t="n"/>
    </row>
    <row r="117" ht="17" customHeight="1">
      <c r="B117" s="29" t="inlineStr">
        <is>
          <t>5.4</t>
        </is>
      </c>
      <c r="C117" s="24" t="inlineStr">
        <is>
          <t>Node A: column below, largest |M| at the node</t>
        </is>
      </c>
      <c r="D117" s="26" t="inlineStr">
        <is>
          <r>
            <rPr>
              <rFont val="Calibri"/>
              <i val="1"/>
              <color rgb="002B2B2B"/>
              <sz val="10"/>
            </rPr>
            <t>M</t>
          </r>
          <r>
            <rPr>
              <rFont val="Calibri"/>
              <i val="1"/>
              <color rgb="002B2B2B"/>
              <sz val="10"/>
              <vertAlign val="subscript"/>
            </rPr>
            <t>A,dn</t>
          </r>
        </is>
      </c>
      <c r="E117" s="39">
        <f>IF(inputs_ok,IF(AND(0&lt;=n_sf,dn_sf="Yes"),sf_Mda0,"–"),NA())</f>
        <v/>
      </c>
      <c r="F117" s="27" t="inlineStr">
        <is>
          <t>kNm</t>
        </is>
      </c>
      <c r="G117" s="23" t="n"/>
    </row>
    <row r="118" ht="17" customHeight="1">
      <c r="B118" s="29" t="inlineStr">
        <is>
          <t>5.4</t>
        </is>
      </c>
      <c r="C118" s="24" t="inlineStr">
        <is>
          <t>Node B: column above, largest |M| at the node</t>
        </is>
      </c>
      <c r="D118" s="26" t="inlineStr">
        <is>
          <r>
            <rPr>
              <rFont val="Calibri"/>
              <i val="1"/>
              <color rgb="002B2B2B"/>
              <sz val="10"/>
            </rPr>
            <t>M</t>
          </r>
          <r>
            <rPr>
              <rFont val="Calibri"/>
              <i val="1"/>
              <color rgb="002B2B2B"/>
              <sz val="10"/>
              <vertAlign val="subscript"/>
            </rPr>
            <t>B,up</t>
          </r>
        </is>
      </c>
      <c r="E118" s="39">
        <f>IF(inputs_ok,IF(AND(1&lt;=n_sf,up_sf="Yes"),sf_Mua1,"–"),NA())</f>
        <v/>
      </c>
      <c r="F118" s="27" t="inlineStr">
        <is>
          <t>kNm</t>
        </is>
      </c>
      <c r="G118" s="23" t="n"/>
    </row>
    <row r="119" ht="17" customHeight="1">
      <c r="B119" s="29" t="inlineStr">
        <is>
          <t>5.4</t>
        </is>
      </c>
      <c r="C119" s="24" t="inlineStr">
        <is>
          <t>Node B: column below, largest |M| at the node</t>
        </is>
      </c>
      <c r="D119" s="26" t="inlineStr">
        <is>
          <r>
            <rPr>
              <rFont val="Calibri"/>
              <i val="1"/>
              <color rgb="002B2B2B"/>
              <sz val="10"/>
            </rPr>
            <t>M</t>
          </r>
          <r>
            <rPr>
              <rFont val="Calibri"/>
              <i val="1"/>
              <color rgb="002B2B2B"/>
              <sz val="10"/>
              <vertAlign val="subscript"/>
            </rPr>
            <t>B,dn</t>
          </r>
        </is>
      </c>
      <c r="E119" s="39">
        <f>IF(inputs_ok,IF(AND(1&lt;=n_sf,dn_sf="Yes"),sf_Mda1,"–"),NA())</f>
        <v/>
      </c>
      <c r="F119" s="27" t="inlineStr">
        <is>
          <t>kNm</t>
        </is>
      </c>
      <c r="G119" s="23" t="n"/>
    </row>
    <row r="120" ht="17" customHeight="1">
      <c r="B120" s="29" t="inlineStr">
        <is>
          <t>5.4</t>
        </is>
      </c>
      <c r="C120" s="24" t="inlineStr">
        <is>
          <t>Node C: column above, largest |M| at the node</t>
        </is>
      </c>
      <c r="D120" s="26" t="inlineStr">
        <is>
          <r>
            <rPr>
              <rFont val="Calibri"/>
              <i val="1"/>
              <color rgb="002B2B2B"/>
              <sz val="10"/>
            </rPr>
            <t>M</t>
          </r>
          <r>
            <rPr>
              <rFont val="Calibri"/>
              <i val="1"/>
              <color rgb="002B2B2B"/>
              <sz val="10"/>
              <vertAlign val="subscript"/>
            </rPr>
            <t>C,up</t>
          </r>
        </is>
      </c>
      <c r="E120" s="39">
        <f>IF(inputs_ok,IF(AND(2&lt;=n_sf,up_sf="Yes"),sf_Mua2,"–"),NA())</f>
        <v/>
      </c>
      <c r="F120" s="27" t="inlineStr">
        <is>
          <t>kNm</t>
        </is>
      </c>
      <c r="G120" s="23" t="n"/>
    </row>
    <row r="121" ht="17" customHeight="1">
      <c r="B121" s="29" t="inlineStr">
        <is>
          <t>5.4</t>
        </is>
      </c>
      <c r="C121" s="24" t="inlineStr">
        <is>
          <t>Node C: column below, largest |M| at the node</t>
        </is>
      </c>
      <c r="D121" s="26" t="inlineStr">
        <is>
          <r>
            <rPr>
              <rFont val="Calibri"/>
              <i val="1"/>
              <color rgb="002B2B2B"/>
              <sz val="10"/>
            </rPr>
            <t>M</t>
          </r>
          <r>
            <rPr>
              <rFont val="Calibri"/>
              <i val="1"/>
              <color rgb="002B2B2B"/>
              <sz val="10"/>
              <vertAlign val="subscript"/>
            </rPr>
            <t>C,dn</t>
          </r>
        </is>
      </c>
      <c r="E121" s="39">
        <f>IF(inputs_ok,IF(AND(2&lt;=n_sf,dn_sf="Yes"),sf_Mda2,"–"),NA())</f>
        <v/>
      </c>
      <c r="F121" s="27" t="inlineStr">
        <is>
          <t>kNm</t>
        </is>
      </c>
      <c r="G121" s="23" t="n"/>
    </row>
    <row r="122" ht="17" customHeight="1">
      <c r="B122" s="29" t="inlineStr">
        <is>
          <t>5.4</t>
        </is>
      </c>
      <c r="C122" s="24" t="inlineStr">
        <is>
          <t>Node D: column above, largest |M| at the node</t>
        </is>
      </c>
      <c r="D122" s="26" t="inlineStr">
        <is>
          <r>
            <rPr>
              <rFont val="Calibri"/>
              <i val="1"/>
              <color rgb="002B2B2B"/>
              <sz val="10"/>
            </rPr>
            <t>M</t>
          </r>
          <r>
            <rPr>
              <rFont val="Calibri"/>
              <i val="1"/>
              <color rgb="002B2B2B"/>
              <sz val="10"/>
              <vertAlign val="subscript"/>
            </rPr>
            <t>D,up</t>
          </r>
        </is>
      </c>
      <c r="E122" s="39">
        <f>IF(inputs_ok,IF(AND(3&lt;=n_sf,up_sf="Yes"),sf_Mua3,"–"),NA())</f>
        <v/>
      </c>
      <c r="F122" s="27" t="inlineStr">
        <is>
          <t>kNm</t>
        </is>
      </c>
      <c r="G122" s="23" t="n"/>
    </row>
    <row r="123" ht="17" customHeight="1">
      <c r="B123" s="29" t="inlineStr">
        <is>
          <t>5.4</t>
        </is>
      </c>
      <c r="C123" s="24" t="inlineStr">
        <is>
          <t>Node D: column below, largest |M| at the node</t>
        </is>
      </c>
      <c r="D123" s="26" t="inlineStr">
        <is>
          <r>
            <rPr>
              <rFont val="Calibri"/>
              <i val="1"/>
              <color rgb="002B2B2B"/>
              <sz val="10"/>
            </rPr>
            <t>M</t>
          </r>
          <r>
            <rPr>
              <rFont val="Calibri"/>
              <i val="1"/>
              <color rgb="002B2B2B"/>
              <sz val="10"/>
              <vertAlign val="subscript"/>
            </rPr>
            <t>D,dn</t>
          </r>
        </is>
      </c>
      <c r="E123" s="39">
        <f>IF(inputs_ok,IF(AND(3&lt;=n_sf,dn_sf="Yes"),sf_Mda3,"–"),NA())</f>
        <v/>
      </c>
      <c r="F123" s="27" t="inlineStr">
        <is>
          <t>kNm</t>
        </is>
      </c>
      <c r="G123" s="23" t="n"/>
    </row>
    <row r="124" ht="17" customHeight="1">
      <c r="B124" s="29" t="inlineStr">
        <is>
          <t>5.4</t>
        </is>
      </c>
      <c r="C124" s="24" t="inlineStr">
        <is>
          <t>Node E: column above, largest |M| at the node</t>
        </is>
      </c>
      <c r="D124" s="26" t="inlineStr">
        <is>
          <r>
            <rPr>
              <rFont val="Calibri"/>
              <i val="1"/>
              <color rgb="002B2B2B"/>
              <sz val="10"/>
            </rPr>
            <t>M</t>
          </r>
          <r>
            <rPr>
              <rFont val="Calibri"/>
              <i val="1"/>
              <color rgb="002B2B2B"/>
              <sz val="10"/>
              <vertAlign val="subscript"/>
            </rPr>
            <t>E,up</t>
          </r>
        </is>
      </c>
      <c r="E124" s="39">
        <f>IF(inputs_ok,IF(AND(4&lt;=n_sf,up_sf="Yes"),sf_Mua4,"–"),NA())</f>
        <v/>
      </c>
      <c r="F124" s="27" t="inlineStr">
        <is>
          <t>kNm</t>
        </is>
      </c>
      <c r="G124" s="23" t="n"/>
    </row>
    <row r="125" ht="17" customHeight="1">
      <c r="B125" s="29" t="inlineStr">
        <is>
          <t>5.4</t>
        </is>
      </c>
      <c r="C125" s="24" t="inlineStr">
        <is>
          <t>Node E: column below, largest |M| at the node</t>
        </is>
      </c>
      <c r="D125" s="26" t="inlineStr">
        <is>
          <r>
            <rPr>
              <rFont val="Calibri"/>
              <i val="1"/>
              <color rgb="002B2B2B"/>
              <sz val="10"/>
            </rPr>
            <t>M</t>
          </r>
          <r>
            <rPr>
              <rFont val="Calibri"/>
              <i val="1"/>
              <color rgb="002B2B2B"/>
              <sz val="10"/>
              <vertAlign val="subscript"/>
            </rPr>
            <t>E,dn</t>
          </r>
        </is>
      </c>
      <c r="E125" s="39">
        <f>IF(inputs_ok,IF(AND(4&lt;=n_sf,dn_sf="Yes"),sf_Mda4,"–"),NA())</f>
        <v/>
      </c>
      <c r="F125" s="27" t="inlineStr">
        <is>
          <t>kNm</t>
        </is>
      </c>
      <c r="G125" s="23" t="n"/>
    </row>
    <row r="126" ht="17" customHeight="1">
      <c r="B126" s="29" t="inlineStr">
        <is>
          <t>5.4</t>
        </is>
      </c>
      <c r="C126" s="24" t="inlineStr">
        <is>
          <t>Node F: column above, largest |M| at the node</t>
        </is>
      </c>
      <c r="D126" s="26" t="inlineStr">
        <is>
          <r>
            <rPr>
              <rFont val="Calibri"/>
              <i val="1"/>
              <color rgb="002B2B2B"/>
              <sz val="10"/>
            </rPr>
            <t>M</t>
          </r>
          <r>
            <rPr>
              <rFont val="Calibri"/>
              <i val="1"/>
              <color rgb="002B2B2B"/>
              <sz val="10"/>
              <vertAlign val="subscript"/>
            </rPr>
            <t>F,up</t>
          </r>
        </is>
      </c>
      <c r="E126" s="39">
        <f>IF(inputs_ok,IF(AND(5&lt;=n_sf,up_sf="Yes"),sf_Mua5,"–"),NA())</f>
        <v/>
      </c>
      <c r="F126" s="27" t="inlineStr">
        <is>
          <t>kNm</t>
        </is>
      </c>
      <c r="G126" s="23" t="n"/>
    </row>
    <row r="127" ht="17" customHeight="1">
      <c r="B127" s="29" t="inlineStr">
        <is>
          <t>5.4</t>
        </is>
      </c>
      <c r="C127" s="24" t="inlineStr">
        <is>
          <t>Node F: column below, largest |M| at the node</t>
        </is>
      </c>
      <c r="D127" s="26" t="inlineStr">
        <is>
          <r>
            <rPr>
              <rFont val="Calibri"/>
              <i val="1"/>
              <color rgb="002B2B2B"/>
              <sz val="10"/>
            </rPr>
            <t>M</t>
          </r>
          <r>
            <rPr>
              <rFont val="Calibri"/>
              <i val="1"/>
              <color rgb="002B2B2B"/>
              <sz val="10"/>
              <vertAlign val="subscript"/>
            </rPr>
            <t>F,dn</t>
          </r>
        </is>
      </c>
      <c r="E127" s="39">
        <f>IF(inputs_ok,IF(AND(5&lt;=n_sf,dn_sf="Yes"),sf_Mda5,"–"),NA())</f>
        <v/>
      </c>
      <c r="F127" s="27" t="inlineStr">
        <is>
          <t>kNm</t>
        </is>
      </c>
      <c r="G127" s="23" t="n"/>
    </row>
    <row r="128"/>
    <row r="129" ht="22" customHeight="1">
      <c r="B129" s="20" t="inlineStr">
        <is>
          <t>Calculation  ·  summary</t>
        </is>
      </c>
      <c r="C129" s="21" t="n"/>
      <c r="D129" s="21" t="n"/>
      <c r="E129" s="21" t="n"/>
      <c r="F129" s="21" t="n"/>
      <c r="G129" s="21" t="n"/>
    </row>
    <row r="130" ht="17" customHeight="1">
      <c r="B130" s="23" t="n"/>
      <c r="C130" s="24" t="inlineStr">
        <is>
          <t>Largest sagging moment  (0: none)</t>
        </is>
      </c>
      <c r="D130" s="26" t="inlineStr">
        <is>
          <r>
            <rPr>
              <rFont val="Calibri"/>
              <i val="1"/>
              <color rgb="002B2B2B"/>
              <sz val="10"/>
            </rPr>
            <t>M</t>
          </r>
          <r>
            <rPr>
              <rFont val="Calibri"/>
              <i val="1"/>
              <color rgb="002B2B2B"/>
              <sz val="10"/>
              <vertAlign val="subscript"/>
            </rPr>
            <t>span</t>
          </r>
        </is>
      </c>
      <c r="E130" s="43">
        <f>IF(inputs_ok,MAX(0,sf_sag1,sf_sag2,sf_sag3,sf_sag4,sf_sag5),NA())</f>
        <v/>
      </c>
      <c r="F130" s="27" t="inlineStr">
        <is>
          <t>kNm</t>
        </is>
      </c>
      <c r="G130" s="23" t="n"/>
    </row>
    <row r="131" ht="17" customHeight="1">
      <c r="B131" s="23" t="n"/>
      <c r="C131" s="24" t="inlineStr">
        <is>
          <t>Largest hogging at an interior node  (0: none)</t>
        </is>
      </c>
      <c r="D131" s="26" t="inlineStr">
        <is>
          <r>
            <rPr>
              <rFont val="Calibri"/>
              <i val="1"/>
              <color rgb="002B2B2B"/>
              <sz val="10"/>
            </rPr>
            <t>M</t>
          </r>
          <r>
            <rPr>
              <rFont val="Calibri"/>
              <i val="1"/>
              <color rgb="002B2B2B"/>
              <sz val="10"/>
              <vertAlign val="subscript"/>
            </rPr>
            <t>sup</t>
          </r>
        </is>
      </c>
      <c r="E131" s="43">
        <f>IF(inputs_ok,MAX(0,IF(1&lt;n_sf,-sf_MRmin1,0),IF(1&lt;n_sf,-sf_MLmin2,0),IF(2&lt;n_sf,-sf_MRmin2,0),IF(2&lt;n_sf,-sf_MLmin3,0),IF(3&lt;n_sf,-sf_MRmin3,0),IF(3&lt;n_sf,-sf_MLmin4,0),IF(4&lt;n_sf,-sf_MRmin4,0),IF(4&lt;n_sf,-sf_MLmin5,0)),NA())</f>
        <v/>
      </c>
      <c r="F131" s="27" t="inlineStr">
        <is>
          <t>kNm</t>
        </is>
      </c>
      <c r="G131" s="23" t="n"/>
    </row>
    <row r="132" ht="17" customHeight="1">
      <c r="B132" s="23" t="n"/>
      <c r="C132" s="24" t="inlineStr">
        <is>
          <t>Largest hogging at an end node  (0: none)</t>
        </is>
      </c>
      <c r="D132" s="26" t="inlineStr">
        <is>
          <r>
            <rPr>
              <rFont val="Calibri"/>
              <i val="1"/>
              <color rgb="002B2B2B"/>
              <sz val="10"/>
            </rPr>
            <t>M</t>
          </r>
          <r>
            <rPr>
              <rFont val="Calibri"/>
              <i val="1"/>
              <color rgb="002B2B2B"/>
              <sz val="10"/>
              <vertAlign val="subscript"/>
            </rPr>
            <t>end</t>
          </r>
        </is>
      </c>
      <c r="E132" s="43">
        <f>IF(inputs_ok,MAX(0,-sf_MLmin1,IF(2=n_sf,-sf_MRmin2,0),IF(3=n_sf,-sf_MRmin3,0),IF(4=n_sf,-sf_MRmin4,0),IF(5=n_sf,-sf_MRmin5,0)),NA())</f>
        <v/>
      </c>
      <c r="F132" s="27" t="inlineStr">
        <is>
          <t>kNm</t>
        </is>
      </c>
      <c r="G132" s="23" t="n"/>
    </row>
    <row r="133" ht="17" customHeight="1">
      <c r="B133" s="23" t="n"/>
      <c r="C133" s="24" t="inlineStr">
        <is>
          <t>Largest column |M| at an end node, above or below</t>
        </is>
      </c>
      <c r="D133" s="26" t="inlineStr">
        <is>
          <r>
            <rPr>
              <rFont val="Calibri"/>
              <i val="1"/>
              <color rgb="002B2B2B"/>
              <sz val="10"/>
            </rPr>
            <t>M</t>
          </r>
          <r>
            <rPr>
              <rFont val="Calibri"/>
              <i val="1"/>
              <color rgb="002B2B2B"/>
              <sz val="10"/>
              <vertAlign val="subscript"/>
            </rPr>
            <t>c,edge</t>
          </r>
        </is>
      </c>
      <c r="E133" s="43">
        <f>IF(inputs_ok,MAX(IF(OR(0=0,0=n_sf),MAX(sf_Mua0,sf_Mda0),0),IF(OR(1=0,1=n_sf),MAX(sf_Mua1,sf_Mda1),0),IF(OR(2=0,2=n_sf),MAX(sf_Mua2,sf_Mda2),0),IF(OR(3=0,3=n_sf),MAX(sf_Mua3,sf_Mda3),0),IF(OR(4=0,4=n_sf),MAX(sf_Mua4,sf_Mda4),0),IF(OR(5=0,5=n_sf),MAX(sf_Mua5,sf_Mda5),0)),NA())</f>
        <v/>
      </c>
      <c r="F133" s="27" t="inlineStr">
        <is>
          <t>kNm</t>
        </is>
      </c>
      <c r="G133" s="23" t="n"/>
    </row>
    <row r="134" ht="17" customHeight="1">
      <c r="B134" s="23" t="n"/>
      <c r="C134" s="24" t="inlineStr">
        <is>
          <t>Largest column |M| at an interior node, above or below</t>
        </is>
      </c>
      <c r="D134" s="26" t="inlineStr">
        <is>
          <r>
            <rPr>
              <rFont val="Calibri"/>
              <i val="1"/>
              <color rgb="002B2B2B"/>
              <sz val="10"/>
            </rPr>
            <t>M</t>
          </r>
          <r>
            <rPr>
              <rFont val="Calibri"/>
              <i val="1"/>
              <color rgb="002B2B2B"/>
              <sz val="10"/>
              <vertAlign val="subscript"/>
            </rPr>
            <t>c,int</t>
          </r>
        </is>
      </c>
      <c r="E134" s="43">
        <f>IF(inputs_ok,MAX(IF(1&lt;n_sf,MAX(sf_Mua1,sf_Mda1),0),IF(2&lt;n_sf,MAX(sf_Mua2,sf_Mda2),0),IF(3&lt;n_sf,MAX(sf_Mua3,sf_Mda3),0),IF(4&lt;n_sf,MAX(sf_Mua4,sf_Mda4),0)),NA())</f>
        <v/>
      </c>
      <c r="F134" s="27" t="inlineStr">
        <is>
          <t>kNm</t>
        </is>
      </c>
      <c r="G134" s="23" t="n"/>
    </row>
    <row r="135" ht="17" customHeight="1">
      <c r="B135" s="23" t="n"/>
      <c r="C135" s="24" t="inlineStr">
        <is>
          <t>Largest shear</t>
        </is>
      </c>
      <c r="D135" s="26" t="inlineStr">
        <is>
          <r>
            <rPr>
              <rFont val="Calibri"/>
              <i val="1"/>
              <color rgb="002B2B2B"/>
              <sz val="10"/>
            </rPr>
            <t>V</t>
          </r>
          <r>
            <rPr>
              <rFont val="Calibri"/>
              <i val="1"/>
              <color rgb="002B2B2B"/>
              <sz val="10"/>
              <vertAlign val="subscript"/>
            </rPr>
            <t>max</t>
          </r>
        </is>
      </c>
      <c r="E135" s="43">
        <f>IF(inputs_ok,MAX(IF(0&lt;=n_sf,sf_Vs0,0),IF(1&lt;=n_sf,sf_Vs1,0),IF(2&lt;=n_sf,sf_Vs2,0),IF(3&lt;=n_sf,sf_Vs3,0),IF(4&lt;=n_sf,sf_Vs4,0),IF(5&lt;=n_sf,sf_Vs5,0)),NA())</f>
        <v/>
      </c>
      <c r="F135" s="27" t="inlineStr">
        <is>
          <t>kN</t>
        </is>
      </c>
      <c r="G135" s="23" t="n"/>
    </row>
    <row r="136" ht="17" customHeight="1">
      <c r="B136" s="23" t="n"/>
      <c r="C136" s="24" t="inlineStr">
        <is>
          <t>Largest reaction</t>
        </is>
      </c>
      <c r="D136" s="26" t="inlineStr">
        <is>
          <r>
            <rPr>
              <rFont val="Calibri"/>
              <i val="1"/>
              <color rgb="002B2B2B"/>
              <sz val="10"/>
            </rPr>
            <t>R</t>
          </r>
          <r>
            <rPr>
              <rFont val="Calibri"/>
              <i val="1"/>
              <color rgb="002B2B2B"/>
              <sz val="10"/>
              <vertAlign val="subscript"/>
            </rPr>
            <t>max</t>
          </r>
        </is>
      </c>
      <c r="E136" s="43">
        <f>IF(inputs_ok,MAX(IF(0&lt;=n_sf,sf_Rmax0,-1E9),IF(1&lt;=n_sf,sf_Rmax1,-1E9),IF(2&lt;=n_sf,sf_Rmax2,-1E9),IF(3&lt;=n_sf,sf_Rmax3,-1E9),IF(4&lt;=n_sf,sf_Rmax4,-1E9),IF(5&lt;=n_sf,sf_Rmax5,-1E9)),NA())</f>
        <v/>
      </c>
      <c r="F136" s="27" t="inlineStr">
        <is>
          <t>kN</t>
        </is>
      </c>
      <c r="G136" s="23" t="n"/>
    </row>
    <row r="137" ht="17" customHeight="1">
      <c r="B137" s="23" t="n"/>
      <c r="C137" s="24" t="inlineStr">
        <is>
          <t>Smallest reaction</t>
        </is>
      </c>
      <c r="D137" s="26" t="inlineStr">
        <is>
          <r>
            <rPr>
              <rFont val="Calibri"/>
              <i val="1"/>
              <color rgb="002B2B2B"/>
              <sz val="10"/>
            </rPr>
            <t>R</t>
          </r>
          <r>
            <rPr>
              <rFont val="Calibri"/>
              <i val="1"/>
              <color rgb="002B2B2B"/>
              <sz val="10"/>
              <vertAlign val="subscript"/>
            </rPr>
            <t>min</t>
          </r>
        </is>
      </c>
      <c r="E137" s="43">
        <f>IF(inputs_ok,MIN(IF(0&lt;=n_sf,sf_Rmin0,1E9),IF(1&lt;=n_sf,sf_Rmin1,1E9),IF(2&lt;=n_sf,sf_Rmin2,1E9),IF(3&lt;=n_sf,sf_Rmin3,1E9),IF(4&lt;=n_sf,sf_Rmin4,1E9),IF(5&lt;=n_sf,sf_Rmin5,1E9)),NA())</f>
        <v/>
      </c>
      <c r="F137" s="27" t="inlineStr">
        <is>
          <t>kN</t>
        </is>
      </c>
      <c r="G137" s="23" t="n"/>
    </row>
    <row r="138" ht="104" customHeight="1">
      <c r="B138" s="41" t="inlineStr">
        <is>
          <t>Elastic moments at the centre lines, no redistribution. 5.3.2.2(3): where the beam is monolithic with the column, the critical support moment may be taken at the column face, not less than 0.65 of the fixed-end moment (neither is calculated here); the moment and reaction passed to the column are the elastic values given here. Shears are at the column centre lines; 6.2.1(8) allows the check at d from the face for a mainly uniform load.
Columns: the moments are first order, from this floor only; in this model the fixed far end carries half the moment at the node, in double curvature. They are one input to the column design, not the column design: the end moments of each storey also depend on the floor at its other end; check slenderness and second order effects (5.8), the imperfections (5.2) and the minimum eccentricity e0 = max(h / 30; 20 mm) (6.1(4)) in NAE-RC-008 or a frame analysis.</t>
        </is>
      </c>
    </row>
    <row r="139"/>
    <row r="140" ht="29" customHeight="1">
      <c r="B140" s="41"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10">
    <mergeCell ref="B80:G80"/>
    <mergeCell ref="B81:G81"/>
    <mergeCell ref="B115:G115"/>
    <mergeCell ref="E5:G5"/>
    <mergeCell ref="B140:G140"/>
    <mergeCell ref="D2:G2"/>
    <mergeCell ref="B138:G138"/>
    <mergeCell ref="E7:G7"/>
    <mergeCell ref="E6:G6"/>
    <mergeCell ref="C3:G3"/>
  </mergeCells>
  <conditionalFormatting sqref="G9:G141">
    <cfRule type="expression" priority="1" dxfId="0">
      <formula>G9="OK"</formula>
    </cfRule>
    <cfRule type="expression" priority="2" dxfId="1">
      <formula>G9="FAIL"</formula>
    </cfRule>
    <cfRule type="expression" priority="3" dxfId="2">
      <formula>LEFT(G9,1)="!"</formula>
    </cfRule>
  </conditionalFormatting>
  <dataValidations count="18">
    <dataValidation sqref="E11" showDropDown="0" showInputMessage="0" showErrorMessage="1" allowBlank="0" errorTitle="NA Engineering" error="Pick a value from the list." type="list" errorStyle="stop">
      <formula1>"UK NA  (all and alternate spans),EN / PN-EN  (alternate and adjacent spans)"</formula1>
    </dataValidation>
    <dataValidation sqref="E12" showDropDown="0" showInputMessage="0" showErrorMessage="1" allowBlank="0" errorTitle="NA Engineering" error="Pick a value from the list." type="list" errorStyle="stop">
      <formula1>"2,3,4,5"</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1" errorTitle="NA Engineering" error="Enter a number greater than 0." type="custom" errorStyle="stop">
      <formula1>IF(n_sf&gt;=3,AND(ISNUMBER(E15),E15&gt;0),TRUE)</formula1>
    </dataValidation>
    <dataValidation sqref="E16" showDropDown="0" showInputMessage="0" showErrorMessage="1" allowBlank="1" errorTitle="NA Engineering" error="Enter a number greater than 0." type="custom" errorStyle="stop">
      <formula1>IF(n_sf&gt;=4,AND(ISNUMBER(E16),E16&gt;0),TRUE)</formula1>
    </dataValidation>
    <dataValidation sqref="E17" showDropDown="0" showInputMessage="0" showErrorMessage="1" allowBlank="1" errorTitle="NA Engineering" error="Enter a number greater than 0." type="custom" errorStyle="stop">
      <formula1>IF(n_sf&gt;=5,AND(ISNUMBER(E17),E17&gt;0),TRUE)</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E21" showDropDown="0" showInputMessage="0" showErrorMessage="1" allowBlank="0" errorTitle="NA Engineering" error="Pick a value from the list." type="list" errorStyle="stop">
      <formula1>"Yes,No"</formula1>
    </dataValidation>
    <dataValidation sqref="E22" showDropDown="0" showInputMessage="0" showErrorMessage="1" allowBlank="1" errorTitle="NA Engineering" error="Enter a number greater than 0." type="custom" errorStyle="stop">
      <formula1>IF(OR(up_sf="Yes",dn_sf="Yes"),AND(ISNUMBER(E22),E22&gt;0),TRUE)</formula1>
    </dataValidation>
    <dataValidation sqref="E23" showDropDown="0" showInputMessage="0" showErrorMessage="1" allowBlank="1" errorTitle="NA Engineering" error="Enter a number greater than 0." type="custom" errorStyle="stop">
      <formula1>IF(OR(up_sf="Yes",dn_sf="Yes"),AND(ISNUMBER(E23),E23&gt;0),TRUE)</formula1>
    </dataValidation>
    <dataValidation sqref="E24" showDropDown="0" showInputMessage="0" showErrorMessage="1" allowBlank="1" errorTitle="NA Engineering" error="Enter a number greater than 0." type="custom" errorStyle="stop">
      <formula1>IF(up_sf="Yes",AND(ISNUMBER(E24),E24&gt;0),TRUE)</formula1>
    </dataValidation>
    <dataValidation sqref="E25" showDropDown="0" showInputMessage="0" showErrorMessage="1" allowBlank="1" errorTitle="NA Engineering" error="Enter a number greater than 0." type="custom" errorStyle="stop">
      <formula1>IF(dn_sf="Yes",AND(ISNUMBER(E25),E25&gt;0),TRUE)</formula1>
    </dataValidation>
    <dataValidation sqref="E28" showDropDown="0" showInputMessage="0" showErrorMessage="1" allowBlank="0" errorTitle="NA Engineering" error="Enter a number ≥ 0." type="decimal" errorStyle="stop" operator="greaterThanOrEqual">
      <formula1>0</formula1>
    </dataValidation>
    <dataValidation sqref="E29" showDropDown="0" showInputMessage="0" showErrorMessage="1" allowBlank="0" errorTitle="NA Engineering" error="Enter a number ≥ 0." type="decimal" errorStyle="stop" operator="greaterThanOrEqual">
      <formula1>0</formula1>
    </dataValidation>
    <dataValidation sqref="E30" showDropDown="0" showInputMessage="0" showErrorMessage="1" allowBlank="0" errorTitle="NA Engineering" error="Enter a number greater than 0." type="decimal" errorStyle="stop" operator="greaterThan">
      <formula1>0</formula1>
    </dataValidation>
    <dataValidation sqref="E31"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&amp;K8A8A8ANAE-RC-025  v1.0</oddFooter>
    <evenHeader/>
    <evenFooter/>
    <firstHeader/>
    <firstFooter/>
  </headerFooter>
  <rowBreaks count="1" manualBreakCount="1">
    <brk id="33"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JI10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beam</t>
        </is>
      </c>
      <c r="G2" t="inlineStr">
        <is>
          <t>column above A</t>
        </is>
      </c>
      <c r="J2" t="inlineStr">
        <is>
          <t>fixed end above A</t>
        </is>
      </c>
      <c r="M2" t="inlineStr">
        <is>
          <t>column below A</t>
        </is>
      </c>
      <c r="P2" t="inlineStr">
        <is>
          <t>fixed end below A</t>
        </is>
      </c>
      <c r="S2" t="inlineStr">
        <is>
          <t>support A</t>
        </is>
      </c>
      <c r="V2">
        <f>IF(inputs_ok,IF(AND(0&lt;=n_sf,up_sf="Yes"),TEXT(sf_Mua0,"0"),""),"")</f>
        <v/>
      </c>
      <c r="Y2">
        <f>IF(inputs_ok,IF(AND(0&lt;=n_sf,dn_sf="Yes"),TEXT(sf_Mda0,"0"),""),"")</f>
        <v/>
      </c>
      <c r="AB2" t="inlineStr">
        <is>
          <t>column above B</t>
        </is>
      </c>
      <c r="AE2" t="inlineStr">
        <is>
          <t>fixed end above B</t>
        </is>
      </c>
      <c r="AH2" t="inlineStr">
        <is>
          <t>column below B</t>
        </is>
      </c>
      <c r="AK2" t="inlineStr">
        <is>
          <t>fixed end below B</t>
        </is>
      </c>
      <c r="AN2" t="inlineStr">
        <is>
          <t>support B</t>
        </is>
      </c>
      <c r="AQ2">
        <f>IF(inputs_ok,IF(AND(1&lt;=n_sf,up_sf="Yes"),TEXT(sf_Mua1,"0"),""),"")</f>
        <v/>
      </c>
      <c r="AT2">
        <f>IF(inputs_ok,IF(AND(1&lt;=n_sf,dn_sf="Yes"),TEXT(sf_Mda1,"0"),""),"")</f>
        <v/>
      </c>
      <c r="AW2" t="inlineStr">
        <is>
          <t>column above C</t>
        </is>
      </c>
      <c r="AZ2" t="inlineStr">
        <is>
          <t>fixed end above C</t>
        </is>
      </c>
      <c r="BC2" t="inlineStr">
        <is>
          <t>column below C</t>
        </is>
      </c>
      <c r="BF2" t="inlineStr">
        <is>
          <t>fixed end below C</t>
        </is>
      </c>
      <c r="BI2" t="inlineStr">
        <is>
          <t>support C</t>
        </is>
      </c>
      <c r="BL2">
        <f>IF(inputs_ok,IF(AND(2&lt;=n_sf,up_sf="Yes"),TEXT(sf_Mua2,"0"),""),"")</f>
        <v/>
      </c>
      <c r="BO2">
        <f>IF(inputs_ok,IF(AND(2&lt;=n_sf,dn_sf="Yes"),TEXT(sf_Mda2,"0"),""),"")</f>
        <v/>
      </c>
      <c r="BR2" t="inlineStr">
        <is>
          <t>column above D</t>
        </is>
      </c>
      <c r="BU2" t="inlineStr">
        <is>
          <t>fixed end above D</t>
        </is>
      </c>
      <c r="BX2" t="inlineStr">
        <is>
          <t>column below D</t>
        </is>
      </c>
      <c r="CA2" t="inlineStr">
        <is>
          <t>fixed end below D</t>
        </is>
      </c>
      <c r="CD2" t="inlineStr">
        <is>
          <t>support D</t>
        </is>
      </c>
      <c r="CG2">
        <f>IF(inputs_ok,IF(AND(3&lt;=n_sf,up_sf="Yes"),TEXT(sf_Mua3,"0"),""),"")</f>
        <v/>
      </c>
      <c r="CJ2">
        <f>IF(inputs_ok,IF(AND(3&lt;=n_sf,dn_sf="Yes"),TEXT(sf_Mda3,"0"),""),"")</f>
        <v/>
      </c>
      <c r="CM2" t="inlineStr">
        <is>
          <t>column above E</t>
        </is>
      </c>
      <c r="CP2" t="inlineStr">
        <is>
          <t>fixed end above E</t>
        </is>
      </c>
      <c r="CS2" t="inlineStr">
        <is>
          <t>column below E</t>
        </is>
      </c>
      <c r="CV2" t="inlineStr">
        <is>
          <t>fixed end below E</t>
        </is>
      </c>
      <c r="CY2" t="inlineStr">
        <is>
          <t>support E</t>
        </is>
      </c>
      <c r="DB2">
        <f>IF(inputs_ok,IF(AND(4&lt;=n_sf,up_sf="Yes"),TEXT(sf_Mua4,"0"),""),"")</f>
        <v/>
      </c>
      <c r="DE2">
        <f>IF(inputs_ok,IF(AND(4&lt;=n_sf,dn_sf="Yes"),TEXT(sf_Mda4,"0"),""),"")</f>
        <v/>
      </c>
      <c r="DH2" t="inlineStr">
        <is>
          <t>column above F</t>
        </is>
      </c>
      <c r="DK2" t="inlineStr">
        <is>
          <t>fixed end above F</t>
        </is>
      </c>
      <c r="DN2" t="inlineStr">
        <is>
          <t>column below F</t>
        </is>
      </c>
      <c r="DQ2" t="inlineStr">
        <is>
          <t>fixed end below F</t>
        </is>
      </c>
      <c r="DT2" t="inlineStr">
        <is>
          <t>support F</t>
        </is>
      </c>
      <c r="DW2">
        <f>IF(inputs_ok,IF(AND(5&lt;=n_sf,up_sf="Yes"),TEXT(sf_Mua5,"0"),""),"")</f>
        <v/>
      </c>
      <c r="DZ2">
        <f>IF(inputs_ok,IF(AND(5&lt;=n_sf,dn_sf="Yes"),TEXT(sf_Mda5,"0"),""),"")</f>
        <v/>
      </c>
      <c r="EC2">
        <f>IF(inputs_ok,"w1 = "&amp;TEXT(sf_wf,"0.0")&amp;",  w2 = "&amp;TEXT(sf_wp,"0.0")&amp;" kN/m","")</f>
        <v/>
      </c>
      <c r="EF2" t="inlineStr">
        <is>
          <t>dim</t>
        </is>
      </c>
      <c r="EI2">
        <f>IF(inputs_ok,IF(up_sf="Yes","H = "&amp;TEXT(Hu_sf,"0"),""),"")</f>
        <v/>
      </c>
      <c r="EL2" t="inlineStr">
        <is>
          <t>dim</t>
        </is>
      </c>
      <c r="EO2">
        <f>IF(inputs_ok,IF(dn_sf="Yes","H = "&amp;TEXT(Hd_sf,"0"),""),"")</f>
        <v/>
      </c>
      <c r="ER2" t="inlineStr">
        <is>
          <t>BMD axis</t>
        </is>
      </c>
      <c r="EU2" t="inlineStr">
        <is>
          <t>Mmax</t>
        </is>
      </c>
      <c r="EX2" t="inlineStr">
        <is>
          <t>Mmin</t>
        </is>
      </c>
      <c r="FA2" t="inlineStr">
        <is>
          <t>peak 1</t>
        </is>
      </c>
      <c r="FD2">
        <f>IF(inputs_ok,IF(sf_on1,TEXT(sf_sag1,"0;−0"),""),"")</f>
        <v/>
      </c>
      <c r="FG2" t="inlineStr">
        <is>
          <t>peak 2</t>
        </is>
      </c>
      <c r="FJ2">
        <f>IF(inputs_ok,IF(sf_on2,TEXT(sf_sag2,"0;−0"),""),"")</f>
        <v/>
      </c>
      <c r="FM2" t="inlineStr">
        <is>
          <t>peak 3</t>
        </is>
      </c>
      <c r="FP2">
        <f>IF(inputs_ok,IF(sf_on3,TEXT(sf_sag3,"0;−0"),""),"")</f>
        <v/>
      </c>
      <c r="FS2" t="inlineStr">
        <is>
          <t>peak 4</t>
        </is>
      </c>
      <c r="FV2">
        <f>IF(inputs_ok,IF(sf_on4,TEXT(sf_sag4,"0;−0"),""),"")</f>
        <v/>
      </c>
      <c r="FY2" t="inlineStr">
        <is>
          <t>peak 5</t>
        </is>
      </c>
      <c r="GB2">
        <f>IF(inputs_ok,IF(sf_on5,TEXT(sf_sag5,"0;−0"),""),"")</f>
        <v/>
      </c>
      <c r="GE2">
        <f>IF(inputs_ok,IF(AND(sf_on1,OR(sf_kc&gt;0,AND(0&gt;0,0&lt;n_sf))),TEXT(sf_MLmin1,"0;−0"),""),"")</f>
        <v/>
      </c>
      <c r="GH2">
        <f>IF(inputs_ok,IF(AND(sf_on1,OR(sf_kc&gt;0,AND(1&gt;0,1&lt;n_sf))),TEXT(sf_MRmin1,"0;−0"),""),"")</f>
        <v/>
      </c>
      <c r="GK2">
        <f>IF(inputs_ok,IF(AND(sf_on2,OR(sf_kc&gt;0,AND(1&gt;0,1&lt;n_sf))),TEXT(sf_MLmin2,"0;−0"),""),"")</f>
        <v/>
      </c>
      <c r="GN2">
        <f>IF(inputs_ok,IF(AND(sf_on2,OR(sf_kc&gt;0,AND(2&gt;0,2&lt;n_sf))),TEXT(sf_MRmin2,"0;−0"),""),"")</f>
        <v/>
      </c>
      <c r="GQ2">
        <f>IF(inputs_ok,IF(AND(sf_on3,OR(sf_kc&gt;0,AND(2&gt;0,2&lt;n_sf))),TEXT(sf_MLmin3,"0;−0"),""),"")</f>
        <v/>
      </c>
      <c r="GT2">
        <f>IF(inputs_ok,IF(AND(sf_on3,OR(sf_kc&gt;0,AND(3&gt;0,3&lt;n_sf))),TEXT(sf_MRmin3,"0;−0"),""),"")</f>
        <v/>
      </c>
      <c r="GW2">
        <f>IF(inputs_ok,IF(AND(sf_on4,OR(sf_kc&gt;0,AND(3&gt;0,3&lt;n_sf))),TEXT(sf_MLmin4,"0;−0"),""),"")</f>
        <v/>
      </c>
      <c r="GZ2">
        <f>IF(inputs_ok,IF(AND(sf_on4,OR(sf_kc&gt;0,AND(4&gt;0,4&lt;n_sf))),TEXT(sf_MRmin4,"0;−0"),""),"")</f>
        <v/>
      </c>
      <c r="HC2">
        <f>IF(inputs_ok,IF(AND(sf_on5,OR(sf_kc&gt;0,AND(4&gt;0,4&lt;n_sf))),TEXT(sf_MLmin5,"0;−0"),""),"")</f>
        <v/>
      </c>
      <c r="HF2">
        <f>IF(inputs_ok,IF(AND(sf_on5,OR(sf_kc&gt;0,AND(5&gt;0,5&lt;n_sf))),TEXT(sf_MRmin5,"0;−0"),""),"")</f>
        <v/>
      </c>
      <c r="HI2" t="inlineStr">
        <is>
          <t>dim</t>
        </is>
      </c>
      <c r="HL2">
        <f>IF(inputs_ok,IF(sf_on1,"L1 = "&amp;TEXT(Lsf_1,"0"),""),"")</f>
        <v/>
      </c>
      <c r="HO2" t="inlineStr">
        <is>
          <t>dim</t>
        </is>
      </c>
      <c r="HR2">
        <f>IF(inputs_ok,IF(sf_on2,"L2 = "&amp;TEXT(Lsf_2,"0"),""),"")</f>
        <v/>
      </c>
      <c r="HU2" t="inlineStr">
        <is>
          <t>dim</t>
        </is>
      </c>
      <c r="HX2">
        <f>IF(inputs_ok,IF(sf_on3,"L3 = "&amp;TEXT(Lsf_3,"0"),""),"")</f>
        <v/>
      </c>
      <c r="IA2" t="inlineStr">
        <is>
          <t>dim</t>
        </is>
      </c>
      <c r="ID2">
        <f>IF(inputs_ok,IF(sf_on4,"L4 = "&amp;TEXT(Lsf_4,"0"),""),"")</f>
        <v/>
      </c>
      <c r="IG2" t="inlineStr">
        <is>
          <t>dim</t>
        </is>
      </c>
      <c r="IJ2">
        <f>IF(inputs_ok,IF(sf_on5,"L5 = "&amp;TEXT(Lsf_5,"0"),""),"")</f>
        <v/>
      </c>
      <c r="IM2">
        <f>IF(inputs_ok,IF(0&lt;=n_sf,"A",""),"")</f>
        <v/>
      </c>
      <c r="IP2">
        <f>IF(inputs_ok,IF(1&lt;=n_sf,"B",""),"")</f>
        <v/>
      </c>
      <c r="IS2">
        <f>IF(inputs_ok,IF(2&lt;=n_sf,"C",""),"")</f>
        <v/>
      </c>
      <c r="IV2">
        <f>IF(inputs_ok,IF(3&lt;=n_sf,"D",""),"")</f>
        <v/>
      </c>
      <c r="IY2">
        <f>IF(inputs_ok,IF(4&lt;=n_sf,"E",""),"")</f>
        <v/>
      </c>
      <c r="JB2">
        <f>IF(inputs_ok,IF(5&lt;=n_sf,"F",""),"")</f>
        <v/>
      </c>
      <c r="JE2">
        <f>IF(inputs_ok,"M, kNm","")</f>
        <v/>
      </c>
      <c r="JH2" t="inlineStr">
        <is>
          <t>frame</t>
        </is>
      </c>
    </row>
    <row r="3">
      <c r="A3">
        <f>0</f>
        <v/>
      </c>
      <c r="B3">
        <f>0</f>
        <v/>
      </c>
      <c r="D3">
        <f>IF(inputs_ok,IF(AND(inputs_ok,TRUE),0,NA()),NA())</f>
        <v/>
      </c>
      <c r="E3">
        <f>IF(AND(inputs_ok,TRUE),0,NA())</f>
        <v/>
      </c>
      <c r="G3">
        <f>IF(inputs_ok,IF(AND(inputs_ok,AND(0&lt;=n_sf,up_sf="Yes")),sf_xn0,NA()),NA())</f>
        <v/>
      </c>
      <c r="H3">
        <f>IF(AND(inputs_ok,AND(0&lt;=n_sf,up_sf="Yes")),0,NA())</f>
        <v/>
      </c>
      <c r="J3">
        <f>IF(inputs_ok,IF(AND(inputs_ok,AND(0&lt;=n_sf,up_sf="Yes")),sf_xn0-2*(0.012*sf_D),NA()),NA())</f>
        <v/>
      </c>
      <c r="K3">
        <f>IF(AND(inputs_ok,AND(0&lt;=n_sf,up_sf="Yes")),Hu_sf,NA())</f>
        <v/>
      </c>
      <c r="M3">
        <f>IF(inputs_ok,IF(AND(inputs_ok,AND(0&lt;=n_sf,dn_sf="Yes")),sf_xn0,NA()),NA())</f>
        <v/>
      </c>
      <c r="N3">
        <f>IF(AND(inputs_ok,AND(0&lt;=n_sf,dn_sf="Yes")),0,NA())</f>
        <v/>
      </c>
      <c r="P3">
        <f>IF(inputs_ok,IF(AND(inputs_ok,AND(0&lt;=n_sf,dn_sf="Yes")),sf_xn0-2*(0.012*sf_D),NA()),NA())</f>
        <v/>
      </c>
      <c r="Q3">
        <f>IF(AND(inputs_ok,AND(0&lt;=n_sf,dn_sf="Yes")),-Hd_sf,NA())</f>
        <v/>
      </c>
      <c r="S3">
        <f>IF(inputs_ok,IF(AND(inputs_ok,AND(0&lt;=n_sf,dn_sf="No")),sf_xn0-(0.012*sf_D),NA()),NA())</f>
        <v/>
      </c>
      <c r="T3">
        <f>IF(AND(inputs_ok,AND(0&lt;=n_sf,dn_sf="No")),-2*(0.012*sf_D),NA())</f>
        <v/>
      </c>
      <c r="V3">
        <f>IF(inputs_ok,IF(AND(inputs_ok,AND(0&lt;=n_sf,up_sf="Yes")),sf_xn0,NA()),NA())</f>
        <v/>
      </c>
      <c r="W3">
        <f>IF(AND(inputs_ok,AND(0&lt;=n_sf,up_sf="Yes")),Hu_sf/2,NA())</f>
        <v/>
      </c>
      <c r="Y3">
        <f>IF(inputs_ok,IF(AND(inputs_ok,AND(0&lt;=n_sf,dn_sf="Yes")),sf_xn0,NA()),NA())</f>
        <v/>
      </c>
      <c r="Z3">
        <f>IF(AND(inputs_ok,AND(0&lt;=n_sf,dn_sf="Yes")),-Hd_sf/2,NA())</f>
        <v/>
      </c>
      <c r="AB3">
        <f>IF(inputs_ok,IF(AND(inputs_ok,AND(1&lt;=n_sf,up_sf="Yes")),sf_xn1,NA()),NA())</f>
        <v/>
      </c>
      <c r="AC3">
        <f>IF(AND(inputs_ok,AND(1&lt;=n_sf,up_sf="Yes")),0,NA())</f>
        <v/>
      </c>
      <c r="AE3">
        <f>IF(inputs_ok,IF(AND(inputs_ok,AND(1&lt;=n_sf,up_sf="Yes")),sf_xn1-2*(0.012*sf_D),NA()),NA())</f>
        <v/>
      </c>
      <c r="AF3">
        <f>IF(AND(inputs_ok,AND(1&lt;=n_sf,up_sf="Yes")),Hu_sf,NA())</f>
        <v/>
      </c>
      <c r="AH3">
        <f>IF(inputs_ok,IF(AND(inputs_ok,AND(1&lt;=n_sf,dn_sf="Yes")),sf_xn1,NA()),NA())</f>
        <v/>
      </c>
      <c r="AI3">
        <f>IF(AND(inputs_ok,AND(1&lt;=n_sf,dn_sf="Yes")),0,NA())</f>
        <v/>
      </c>
      <c r="AK3">
        <f>IF(inputs_ok,IF(AND(inputs_ok,AND(1&lt;=n_sf,dn_sf="Yes")),sf_xn1-2*(0.012*sf_D),NA()),NA())</f>
        <v/>
      </c>
      <c r="AL3">
        <f>IF(AND(inputs_ok,AND(1&lt;=n_sf,dn_sf="Yes")),-Hd_sf,NA())</f>
        <v/>
      </c>
      <c r="AN3">
        <f>IF(inputs_ok,IF(AND(inputs_ok,AND(1&lt;=n_sf,dn_sf="No")),sf_xn1-(0.012*sf_D),NA()),NA())</f>
        <v/>
      </c>
      <c r="AO3">
        <f>IF(AND(inputs_ok,AND(1&lt;=n_sf,dn_sf="No")),-2*(0.012*sf_D),NA())</f>
        <v/>
      </c>
      <c r="AQ3">
        <f>IF(inputs_ok,IF(AND(inputs_ok,AND(1&lt;=n_sf,up_sf="Yes")),sf_xn1,NA()),NA())</f>
        <v/>
      </c>
      <c r="AR3">
        <f>IF(AND(inputs_ok,AND(1&lt;=n_sf,up_sf="Yes")),Hu_sf/2,NA())</f>
        <v/>
      </c>
      <c r="AT3">
        <f>IF(inputs_ok,IF(AND(inputs_ok,AND(1&lt;=n_sf,dn_sf="Yes")),sf_xn1,NA()),NA())</f>
        <v/>
      </c>
      <c r="AU3">
        <f>IF(AND(inputs_ok,AND(1&lt;=n_sf,dn_sf="Yes")),-Hd_sf/2,NA())</f>
        <v/>
      </c>
      <c r="AW3">
        <f>IF(inputs_ok,IF(AND(inputs_ok,AND(2&lt;=n_sf,up_sf="Yes")),sf_xn2,NA()),NA())</f>
        <v/>
      </c>
      <c r="AX3">
        <f>IF(AND(inputs_ok,AND(2&lt;=n_sf,up_sf="Yes")),0,NA())</f>
        <v/>
      </c>
      <c r="AZ3">
        <f>IF(inputs_ok,IF(AND(inputs_ok,AND(2&lt;=n_sf,up_sf="Yes")),sf_xn2-2*(0.012*sf_D),NA()),NA())</f>
        <v/>
      </c>
      <c r="BA3">
        <f>IF(AND(inputs_ok,AND(2&lt;=n_sf,up_sf="Yes")),Hu_sf,NA())</f>
        <v/>
      </c>
      <c r="BC3">
        <f>IF(inputs_ok,IF(AND(inputs_ok,AND(2&lt;=n_sf,dn_sf="Yes")),sf_xn2,NA()),NA())</f>
        <v/>
      </c>
      <c r="BD3">
        <f>IF(AND(inputs_ok,AND(2&lt;=n_sf,dn_sf="Yes")),0,NA())</f>
        <v/>
      </c>
      <c r="BF3">
        <f>IF(inputs_ok,IF(AND(inputs_ok,AND(2&lt;=n_sf,dn_sf="Yes")),sf_xn2-2*(0.012*sf_D),NA()),NA())</f>
        <v/>
      </c>
      <c r="BG3">
        <f>IF(AND(inputs_ok,AND(2&lt;=n_sf,dn_sf="Yes")),-Hd_sf,NA())</f>
        <v/>
      </c>
      <c r="BI3">
        <f>IF(inputs_ok,IF(AND(inputs_ok,AND(2&lt;=n_sf,dn_sf="No")),sf_xn2-(0.012*sf_D),NA()),NA())</f>
        <v/>
      </c>
      <c r="BJ3">
        <f>IF(AND(inputs_ok,AND(2&lt;=n_sf,dn_sf="No")),-2*(0.012*sf_D),NA())</f>
        <v/>
      </c>
      <c r="BL3">
        <f>IF(inputs_ok,IF(AND(inputs_ok,AND(2&lt;=n_sf,up_sf="Yes")),sf_xn2,NA()),NA())</f>
        <v/>
      </c>
      <c r="BM3">
        <f>IF(AND(inputs_ok,AND(2&lt;=n_sf,up_sf="Yes")),Hu_sf/2,NA())</f>
        <v/>
      </c>
      <c r="BO3">
        <f>IF(inputs_ok,IF(AND(inputs_ok,AND(2&lt;=n_sf,dn_sf="Yes")),sf_xn2,NA()),NA())</f>
        <v/>
      </c>
      <c r="BP3">
        <f>IF(AND(inputs_ok,AND(2&lt;=n_sf,dn_sf="Yes")),-Hd_sf/2,NA())</f>
        <v/>
      </c>
      <c r="BR3">
        <f>IF(inputs_ok,IF(AND(inputs_ok,AND(3&lt;=n_sf,up_sf="Yes")),sf_xn3,NA()),NA())</f>
        <v/>
      </c>
      <c r="BS3">
        <f>IF(AND(inputs_ok,AND(3&lt;=n_sf,up_sf="Yes")),0,NA())</f>
        <v/>
      </c>
      <c r="BU3">
        <f>IF(inputs_ok,IF(AND(inputs_ok,AND(3&lt;=n_sf,up_sf="Yes")),sf_xn3-2*(0.012*sf_D),NA()),NA())</f>
        <v/>
      </c>
      <c r="BV3">
        <f>IF(AND(inputs_ok,AND(3&lt;=n_sf,up_sf="Yes")),Hu_sf,NA())</f>
        <v/>
      </c>
      <c r="BX3">
        <f>IF(inputs_ok,IF(AND(inputs_ok,AND(3&lt;=n_sf,dn_sf="Yes")),sf_xn3,NA()),NA())</f>
        <v/>
      </c>
      <c r="BY3">
        <f>IF(AND(inputs_ok,AND(3&lt;=n_sf,dn_sf="Yes")),0,NA())</f>
        <v/>
      </c>
      <c r="CA3">
        <f>IF(inputs_ok,IF(AND(inputs_ok,AND(3&lt;=n_sf,dn_sf="Yes")),sf_xn3-2*(0.012*sf_D),NA()),NA())</f>
        <v/>
      </c>
      <c r="CB3">
        <f>IF(AND(inputs_ok,AND(3&lt;=n_sf,dn_sf="Yes")),-Hd_sf,NA())</f>
        <v/>
      </c>
      <c r="CD3">
        <f>IF(inputs_ok,IF(AND(inputs_ok,AND(3&lt;=n_sf,dn_sf="No")),sf_xn3-(0.012*sf_D),NA()),NA())</f>
        <v/>
      </c>
      <c r="CE3">
        <f>IF(AND(inputs_ok,AND(3&lt;=n_sf,dn_sf="No")),-2*(0.012*sf_D),NA())</f>
        <v/>
      </c>
      <c r="CG3">
        <f>IF(inputs_ok,IF(AND(inputs_ok,AND(3&lt;=n_sf,up_sf="Yes")),sf_xn3,NA()),NA())</f>
        <v/>
      </c>
      <c r="CH3">
        <f>IF(AND(inputs_ok,AND(3&lt;=n_sf,up_sf="Yes")),Hu_sf/2,NA())</f>
        <v/>
      </c>
      <c r="CJ3">
        <f>IF(inputs_ok,IF(AND(inputs_ok,AND(3&lt;=n_sf,dn_sf="Yes")),sf_xn3,NA()),NA())</f>
        <v/>
      </c>
      <c r="CK3">
        <f>IF(AND(inputs_ok,AND(3&lt;=n_sf,dn_sf="Yes")),-Hd_sf/2,NA())</f>
        <v/>
      </c>
      <c r="CM3">
        <f>IF(inputs_ok,IF(AND(inputs_ok,AND(4&lt;=n_sf,up_sf="Yes")),sf_xn4,NA()),NA())</f>
        <v/>
      </c>
      <c r="CN3">
        <f>IF(AND(inputs_ok,AND(4&lt;=n_sf,up_sf="Yes")),0,NA())</f>
        <v/>
      </c>
      <c r="CP3">
        <f>IF(inputs_ok,IF(AND(inputs_ok,AND(4&lt;=n_sf,up_sf="Yes")),sf_xn4-2*(0.012*sf_D),NA()),NA())</f>
        <v/>
      </c>
      <c r="CQ3">
        <f>IF(AND(inputs_ok,AND(4&lt;=n_sf,up_sf="Yes")),Hu_sf,NA())</f>
        <v/>
      </c>
      <c r="CS3">
        <f>IF(inputs_ok,IF(AND(inputs_ok,AND(4&lt;=n_sf,dn_sf="Yes")),sf_xn4,NA()),NA())</f>
        <v/>
      </c>
      <c r="CT3">
        <f>IF(AND(inputs_ok,AND(4&lt;=n_sf,dn_sf="Yes")),0,NA())</f>
        <v/>
      </c>
      <c r="CV3">
        <f>IF(inputs_ok,IF(AND(inputs_ok,AND(4&lt;=n_sf,dn_sf="Yes")),sf_xn4-2*(0.012*sf_D),NA()),NA())</f>
        <v/>
      </c>
      <c r="CW3">
        <f>IF(AND(inputs_ok,AND(4&lt;=n_sf,dn_sf="Yes")),-Hd_sf,NA())</f>
        <v/>
      </c>
      <c r="CY3">
        <f>IF(inputs_ok,IF(AND(inputs_ok,AND(4&lt;=n_sf,dn_sf="No")),sf_xn4-(0.012*sf_D),NA()),NA())</f>
        <v/>
      </c>
      <c r="CZ3">
        <f>IF(AND(inputs_ok,AND(4&lt;=n_sf,dn_sf="No")),-2*(0.012*sf_D),NA())</f>
        <v/>
      </c>
      <c r="DB3">
        <f>IF(inputs_ok,IF(AND(inputs_ok,AND(4&lt;=n_sf,up_sf="Yes")),sf_xn4,NA()),NA())</f>
        <v/>
      </c>
      <c r="DC3">
        <f>IF(AND(inputs_ok,AND(4&lt;=n_sf,up_sf="Yes")),Hu_sf/2,NA())</f>
        <v/>
      </c>
      <c r="DE3">
        <f>IF(inputs_ok,IF(AND(inputs_ok,AND(4&lt;=n_sf,dn_sf="Yes")),sf_xn4,NA()),NA())</f>
        <v/>
      </c>
      <c r="DF3">
        <f>IF(AND(inputs_ok,AND(4&lt;=n_sf,dn_sf="Yes")),-Hd_sf/2,NA())</f>
        <v/>
      </c>
      <c r="DH3">
        <f>IF(inputs_ok,IF(AND(inputs_ok,AND(5&lt;=n_sf,up_sf="Yes")),sf_xn5,NA()),NA())</f>
        <v/>
      </c>
      <c r="DI3">
        <f>IF(AND(inputs_ok,AND(5&lt;=n_sf,up_sf="Yes")),0,NA())</f>
        <v/>
      </c>
      <c r="DK3">
        <f>IF(inputs_ok,IF(AND(inputs_ok,AND(5&lt;=n_sf,up_sf="Yes")),sf_xn5-2*(0.012*sf_D),NA()),NA())</f>
        <v/>
      </c>
      <c r="DL3">
        <f>IF(AND(inputs_ok,AND(5&lt;=n_sf,up_sf="Yes")),Hu_sf,NA())</f>
        <v/>
      </c>
      <c r="DN3">
        <f>IF(inputs_ok,IF(AND(inputs_ok,AND(5&lt;=n_sf,dn_sf="Yes")),sf_xn5,NA()),NA())</f>
        <v/>
      </c>
      <c r="DO3">
        <f>IF(AND(inputs_ok,AND(5&lt;=n_sf,dn_sf="Yes")),0,NA())</f>
        <v/>
      </c>
      <c r="DQ3">
        <f>IF(inputs_ok,IF(AND(inputs_ok,AND(5&lt;=n_sf,dn_sf="Yes")),sf_xn5-2*(0.012*sf_D),NA()),NA())</f>
        <v/>
      </c>
      <c r="DR3">
        <f>IF(AND(inputs_ok,AND(5&lt;=n_sf,dn_sf="Yes")),-Hd_sf,NA())</f>
        <v/>
      </c>
      <c r="DT3">
        <f>IF(inputs_ok,IF(AND(inputs_ok,AND(5&lt;=n_sf,dn_sf="No")),sf_xn5-(0.012*sf_D),NA()),NA())</f>
        <v/>
      </c>
      <c r="DU3">
        <f>IF(AND(inputs_ok,AND(5&lt;=n_sf,dn_sf="No")),-2*(0.012*sf_D),NA())</f>
        <v/>
      </c>
      <c r="DW3">
        <f>IF(inputs_ok,IF(AND(inputs_ok,AND(5&lt;=n_sf,up_sf="Yes")),sf_xn5,NA()),NA())</f>
        <v/>
      </c>
      <c r="DX3">
        <f>IF(AND(inputs_ok,AND(5&lt;=n_sf,up_sf="Yes")),Hu_sf/2,NA())</f>
        <v/>
      </c>
      <c r="DZ3">
        <f>IF(inputs_ok,IF(AND(inputs_ok,AND(5&lt;=n_sf,dn_sf="Yes")),sf_xn5,NA()),NA())</f>
        <v/>
      </c>
      <c r="EA3">
        <f>IF(AND(inputs_ok,AND(5&lt;=n_sf,dn_sf="Yes")),-Hd_sf/2,NA())</f>
        <v/>
      </c>
      <c r="EC3">
        <f>IF(inputs_ok,IF(AND(inputs_ok,TRUE),Lsf_1/2,NA()),NA())</f>
        <v/>
      </c>
      <c r="ED3">
        <f>IF(AND(inputs_ok,TRUE),sf_Hud+0.02*sf_D,NA())</f>
        <v/>
      </c>
      <c r="EF3">
        <f>IF(inputs_ok,IF(AND(inputs_ok,up_sf="Yes"),-0.04*sf_D,NA()),NA())</f>
        <v/>
      </c>
      <c r="EG3">
        <f>IF(AND(inputs_ok,up_sf="Yes"),0,NA())</f>
        <v/>
      </c>
      <c r="EI3">
        <f>IF(inputs_ok,IF(AND(inputs_ok,up_sf="Yes"),((-0.04*sf_D)+(-0.04*sf_D))/2,NA()),NA())</f>
        <v/>
      </c>
      <c r="EJ3">
        <f>IF(AND(inputs_ok,up_sf="Yes"),((0)+(Hu_sf))/2,NA())</f>
        <v/>
      </c>
      <c r="EL3">
        <f>IF(inputs_ok,IF(AND(inputs_ok,dn_sf="Yes"),-0.04*sf_D,NA()),NA())</f>
        <v/>
      </c>
      <c r="EM3">
        <f>IF(AND(inputs_ok,dn_sf="Yes"),-Hd_sf,NA())</f>
        <v/>
      </c>
      <c r="EO3">
        <f>IF(inputs_ok,IF(AND(inputs_ok,dn_sf="Yes"),((-0.04*sf_D)+(-0.04*sf_D))/2,NA()),NA())</f>
        <v/>
      </c>
      <c r="EP3">
        <f>IF(AND(inputs_ok,dn_sf="Yes"),((-Hd_sf)+(0))/2,NA())</f>
        <v/>
      </c>
      <c r="ER3">
        <f>IF(inputs_ok,IF(AND(inputs_ok,TRUE),0,NA()),NA())</f>
        <v/>
      </c>
      <c r="ES3">
        <f>IF(AND(inputs_ok,TRUE),(-sf_Hdd-0.1*sf_D-(0.11*sf_D)),NA())</f>
        <v/>
      </c>
      <c r="EU3">
        <f>IF(inputs_ok,IF(AND(inputs_ok,sf_on1),sf_xn0+0/20*Lsf_1,NA()),NA())</f>
        <v/>
      </c>
      <c r="EV3">
        <f>IF(AND(inputs_ok,sf_on1),(-sf_Hdd-0.1*sf_D-(0.11*sf_D))-((0.11*sf_D)/sf_Mabs)*MAX((sf_ML1_1+sf_V1_1*(0/20*sf_L1)-sf_w1_1*(0/20*sf_L1)^2/2),(sf_ML2_1+sf_V2_1*(0/20*sf_L1)-sf_w2_1*(0/20*sf_L1)^2/2),(sf_ML3_1+sf_V3_1*(0/20*sf_L1)-sf_w3_1*(0/20*sf_L1)^2/2),(sf_ML4_1+sf_V4_1*(0/20*sf_L1)-sf_w4_1*(0/20*sf_L1)^2/2),(sf_ML5_1+sf_V5_1*(0/20*sf_L1)-sf_w5_1*(0/20*sf_L1)^2/2),(sf_ML6_1+sf_V6_1*(0/20*sf_L1)-sf_w6_1*(0/20*sf_L1)^2/2),(sf_ML7_1+sf_V7_1*(0/20*sf_L1)-sf_w7_1*(0/20*sf_L1)^2/2)),NA())</f>
        <v/>
      </c>
      <c r="EX3">
        <f>IF(inputs_ok,IF(AND(inputs_ok,sf_on1),sf_xn0+0/20*Lsf_1,NA()),NA())</f>
        <v/>
      </c>
      <c r="EY3">
        <f>IF(AND(inputs_ok,sf_on1),(-sf_Hdd-0.1*sf_D-(0.11*sf_D))-((0.11*sf_D)/sf_Mabs)*MIN((sf_ML1_1+sf_V1_1*(0/20*sf_L1)-sf_w1_1*(0/20*sf_L1)^2/2),(sf_ML2_1+sf_V2_1*(0/20*sf_L1)-sf_w2_1*(0/20*sf_L1)^2/2),(sf_ML3_1+sf_V3_1*(0/20*sf_L1)-sf_w3_1*(0/20*sf_L1)^2/2),(sf_ML4_1+sf_V4_1*(0/20*sf_L1)-sf_w4_1*(0/20*sf_L1)^2/2),(sf_ML5_1+sf_V5_1*(0/20*sf_L1)-sf_w5_1*(0/20*sf_L1)^2/2),(sf_ML6_1+sf_V6_1*(0/20*sf_L1)-sf_w6_1*(0/20*sf_L1)^2/2),(sf_ML7_1+sf_V7_1*(0/20*sf_L1)-sf_w7_1*(0/20*sf_L1)^2/2)),NA())</f>
        <v/>
      </c>
      <c r="FA3">
        <f>IF(inputs_ok,IF(AND(inputs_ok,sf_on1),sf_xn0+1000*sf_xsag1,NA()),NA())</f>
        <v/>
      </c>
      <c r="FB3">
        <f>IF(AND(inputs_ok,sf_on1),(-sf_Hdd-0.1*sf_D-(0.11*sf_D))-((0.11*sf_D)/sf_Mabs)*sf_sag1,NA())</f>
        <v/>
      </c>
      <c r="FD3">
        <f>IF(inputs_ok,IF(AND(inputs_ok,sf_on1),sf_xn0+1000*sf_xsag1,NA()),NA())</f>
        <v/>
      </c>
      <c r="FE3">
        <f>IF(AND(inputs_ok,sf_on1),(-sf_Hdd-0.1*sf_D-(0.11*sf_D))-((0.11*sf_D)/sf_Mabs)*sf_sag1,NA())</f>
        <v/>
      </c>
      <c r="FG3">
        <f>IF(inputs_ok,IF(AND(inputs_ok,sf_on2),sf_xn1+1000*sf_xsag2,NA()),NA())</f>
        <v/>
      </c>
      <c r="FH3">
        <f>IF(AND(inputs_ok,sf_on2),(-sf_Hdd-0.1*sf_D-(0.11*sf_D))-((0.11*sf_D)/sf_Mabs)*sf_sag2,NA())</f>
        <v/>
      </c>
      <c r="FJ3">
        <f>IF(inputs_ok,IF(AND(inputs_ok,sf_on2),sf_xn1+1000*sf_xsag2,NA()),NA())</f>
        <v/>
      </c>
      <c r="FK3">
        <f>IF(AND(inputs_ok,sf_on2),(-sf_Hdd-0.1*sf_D-(0.11*sf_D))-((0.11*sf_D)/sf_Mabs)*sf_sag2,NA())</f>
        <v/>
      </c>
      <c r="FM3">
        <f>IF(inputs_ok,IF(AND(inputs_ok,sf_on3),sf_xn2+1000*sf_xsag3,NA()),NA())</f>
        <v/>
      </c>
      <c r="FN3">
        <f>IF(AND(inputs_ok,sf_on3),(-sf_Hdd-0.1*sf_D-(0.11*sf_D))-((0.11*sf_D)/sf_Mabs)*sf_sag3,NA())</f>
        <v/>
      </c>
      <c r="FP3">
        <f>IF(inputs_ok,IF(AND(inputs_ok,sf_on3),sf_xn2+1000*sf_xsag3,NA()),NA())</f>
        <v/>
      </c>
      <c r="FQ3">
        <f>IF(AND(inputs_ok,sf_on3),(-sf_Hdd-0.1*sf_D-(0.11*sf_D))-((0.11*sf_D)/sf_Mabs)*sf_sag3,NA())</f>
        <v/>
      </c>
      <c r="FS3">
        <f>IF(inputs_ok,IF(AND(inputs_ok,sf_on4),sf_xn3+1000*sf_xsag4,NA()),NA())</f>
        <v/>
      </c>
      <c r="FT3">
        <f>IF(AND(inputs_ok,sf_on4),(-sf_Hdd-0.1*sf_D-(0.11*sf_D))-((0.11*sf_D)/sf_Mabs)*sf_sag4,NA())</f>
        <v/>
      </c>
      <c r="FV3">
        <f>IF(inputs_ok,IF(AND(inputs_ok,sf_on4),sf_xn3+1000*sf_xsag4,NA()),NA())</f>
        <v/>
      </c>
      <c r="FW3">
        <f>IF(AND(inputs_ok,sf_on4),(-sf_Hdd-0.1*sf_D-(0.11*sf_D))-((0.11*sf_D)/sf_Mabs)*sf_sag4,NA())</f>
        <v/>
      </c>
      <c r="FY3">
        <f>IF(inputs_ok,IF(AND(inputs_ok,sf_on5),sf_xn4+1000*sf_xsag5,NA()),NA())</f>
        <v/>
      </c>
      <c r="FZ3">
        <f>IF(AND(inputs_ok,sf_on5),(-sf_Hdd-0.1*sf_D-(0.11*sf_D))-((0.11*sf_D)/sf_Mabs)*sf_sag5,NA())</f>
        <v/>
      </c>
      <c r="GB3">
        <f>IF(inputs_ok,IF(AND(inputs_ok,sf_on5),sf_xn4+1000*sf_xsag5,NA()),NA())</f>
        <v/>
      </c>
      <c r="GC3">
        <f>IF(AND(inputs_ok,sf_on5),(-sf_Hdd-0.1*sf_D-(0.11*sf_D))-((0.11*sf_D)/sf_Mabs)*sf_sag5,NA())</f>
        <v/>
      </c>
      <c r="GE3">
        <f>IF(inputs_ok,IF(AND(inputs_ok,AND(sf_on1,OR(sf_kc&gt;0,AND(0&gt;0,0&lt;n_sf)))),sf_xn0,NA()),NA())</f>
        <v/>
      </c>
      <c r="GF3">
        <f>IF(AND(inputs_ok,AND(sf_on1,OR(sf_kc&gt;0,AND(0&gt;0,0&lt;n_sf)))),(-sf_Hdd-0.1*sf_D-(0.11*sf_D))-((0.11*sf_D)/sf_Mabs)*sf_MLmin1,NA())</f>
        <v/>
      </c>
      <c r="GH3">
        <f>IF(inputs_ok,IF(AND(inputs_ok,AND(sf_on1,OR(sf_kc&gt;0,AND(1&gt;0,1&lt;n_sf)))),sf_xn1,NA()),NA())</f>
        <v/>
      </c>
      <c r="GI3">
        <f>IF(AND(inputs_ok,AND(sf_on1,OR(sf_kc&gt;0,AND(1&gt;0,1&lt;n_sf)))),(-sf_Hdd-0.1*sf_D-(0.11*sf_D))-((0.11*sf_D)/sf_Mabs)*sf_MRmin1,NA())</f>
        <v/>
      </c>
      <c r="GK3">
        <f>IF(inputs_ok,IF(AND(inputs_ok,AND(sf_on2,OR(sf_kc&gt;0,AND(1&gt;0,1&lt;n_sf)))),sf_xn1,NA()),NA())</f>
        <v/>
      </c>
      <c r="GL3">
        <f>IF(AND(inputs_ok,AND(sf_on2,OR(sf_kc&gt;0,AND(1&gt;0,1&lt;n_sf)))),(-sf_Hdd-0.1*sf_D-(0.11*sf_D))-((0.11*sf_D)/sf_Mabs)*sf_MLmin2,NA())</f>
        <v/>
      </c>
      <c r="GN3">
        <f>IF(inputs_ok,IF(AND(inputs_ok,AND(sf_on2,OR(sf_kc&gt;0,AND(2&gt;0,2&lt;n_sf)))),sf_xn2,NA()),NA())</f>
        <v/>
      </c>
      <c r="GO3">
        <f>IF(AND(inputs_ok,AND(sf_on2,OR(sf_kc&gt;0,AND(2&gt;0,2&lt;n_sf)))),(-sf_Hdd-0.1*sf_D-(0.11*sf_D))-((0.11*sf_D)/sf_Mabs)*sf_MRmin2,NA())</f>
        <v/>
      </c>
      <c r="GQ3">
        <f>IF(inputs_ok,IF(AND(inputs_ok,AND(sf_on3,OR(sf_kc&gt;0,AND(2&gt;0,2&lt;n_sf)))),sf_xn2,NA()),NA())</f>
        <v/>
      </c>
      <c r="GR3">
        <f>IF(AND(inputs_ok,AND(sf_on3,OR(sf_kc&gt;0,AND(2&gt;0,2&lt;n_sf)))),(-sf_Hdd-0.1*sf_D-(0.11*sf_D))-((0.11*sf_D)/sf_Mabs)*sf_MLmin3,NA())</f>
        <v/>
      </c>
      <c r="GT3">
        <f>IF(inputs_ok,IF(AND(inputs_ok,AND(sf_on3,OR(sf_kc&gt;0,AND(3&gt;0,3&lt;n_sf)))),sf_xn3,NA()),NA())</f>
        <v/>
      </c>
      <c r="GU3">
        <f>IF(AND(inputs_ok,AND(sf_on3,OR(sf_kc&gt;0,AND(3&gt;0,3&lt;n_sf)))),(-sf_Hdd-0.1*sf_D-(0.11*sf_D))-((0.11*sf_D)/sf_Mabs)*sf_MRmin3,NA())</f>
        <v/>
      </c>
      <c r="GW3">
        <f>IF(inputs_ok,IF(AND(inputs_ok,AND(sf_on4,OR(sf_kc&gt;0,AND(3&gt;0,3&lt;n_sf)))),sf_xn3,NA()),NA())</f>
        <v/>
      </c>
      <c r="GX3">
        <f>IF(AND(inputs_ok,AND(sf_on4,OR(sf_kc&gt;0,AND(3&gt;0,3&lt;n_sf)))),(-sf_Hdd-0.1*sf_D-(0.11*sf_D))-((0.11*sf_D)/sf_Mabs)*sf_MLmin4,NA())</f>
        <v/>
      </c>
      <c r="GZ3">
        <f>IF(inputs_ok,IF(AND(inputs_ok,AND(sf_on4,OR(sf_kc&gt;0,AND(4&gt;0,4&lt;n_sf)))),sf_xn4,NA()),NA())</f>
        <v/>
      </c>
      <c r="HA3">
        <f>IF(AND(inputs_ok,AND(sf_on4,OR(sf_kc&gt;0,AND(4&gt;0,4&lt;n_sf)))),(-sf_Hdd-0.1*sf_D-(0.11*sf_D))-((0.11*sf_D)/sf_Mabs)*sf_MRmin4,NA())</f>
        <v/>
      </c>
      <c r="HC3">
        <f>IF(inputs_ok,IF(AND(inputs_ok,AND(sf_on5,OR(sf_kc&gt;0,AND(4&gt;0,4&lt;n_sf)))),sf_xn4,NA()),NA())</f>
        <v/>
      </c>
      <c r="HD3">
        <f>IF(AND(inputs_ok,AND(sf_on5,OR(sf_kc&gt;0,AND(4&gt;0,4&lt;n_sf)))),(-sf_Hdd-0.1*sf_D-(0.11*sf_D))-((0.11*sf_D)/sf_Mabs)*sf_MLmin5,NA())</f>
        <v/>
      </c>
      <c r="HF3">
        <f>IF(inputs_ok,IF(AND(inputs_ok,AND(sf_on5,OR(sf_kc&gt;0,AND(5&gt;0,5&lt;n_sf)))),sf_xn5,NA()),NA())</f>
        <v/>
      </c>
      <c r="HG3">
        <f>IF(AND(inputs_ok,AND(sf_on5,OR(sf_kc&gt;0,AND(5&gt;0,5&lt;n_sf)))),(-sf_Hdd-0.1*sf_D-(0.11*sf_D))-((0.11*sf_D)/sf_Mabs)*sf_MRmin5,NA())</f>
        <v/>
      </c>
      <c r="HI3">
        <f>IF(inputs_ok,IF(AND(inputs_ok,sf_on1),sf_xn0,NA()),NA())</f>
        <v/>
      </c>
      <c r="HJ3">
        <f>IF(AND(inputs_ok,sf_on1),((-sf_Hdd-0.1*sf_D-(0.11*sf_D))-(0.11*sf_D)-0.07*sf_D),NA())</f>
        <v/>
      </c>
      <c r="HL3">
        <f>IF(inputs_ok,IF(AND(inputs_ok,sf_on1),((sf_xn0)+(sf_xn1))/2,NA()),NA())</f>
        <v/>
      </c>
      <c r="HM3">
        <f>IF(AND(inputs_ok,sf_on1),((((-sf_Hdd-0.1*sf_D-(0.11*sf_D))-(0.11*sf_D)-0.07*sf_D))+(((-sf_Hdd-0.1*sf_D-(0.11*sf_D))-(0.11*sf_D)-0.07*sf_D)))/2,NA())</f>
        <v/>
      </c>
      <c r="HO3">
        <f>IF(inputs_ok,IF(AND(inputs_ok,sf_on2),sf_xn1,NA()),NA())</f>
        <v/>
      </c>
      <c r="HP3">
        <f>IF(AND(inputs_ok,sf_on2),((-sf_Hdd-0.1*sf_D-(0.11*sf_D))-(0.11*sf_D)-0.07*sf_D),NA())</f>
        <v/>
      </c>
      <c r="HR3">
        <f>IF(inputs_ok,IF(AND(inputs_ok,sf_on2),((sf_xn1)+(sf_xn2))/2,NA()),NA())</f>
        <v/>
      </c>
      <c r="HS3">
        <f>IF(AND(inputs_ok,sf_on2),((((-sf_Hdd-0.1*sf_D-(0.11*sf_D))-(0.11*sf_D)-0.07*sf_D))+(((-sf_Hdd-0.1*sf_D-(0.11*sf_D))-(0.11*sf_D)-0.07*sf_D)))/2,NA())</f>
        <v/>
      </c>
      <c r="HU3">
        <f>IF(inputs_ok,IF(AND(inputs_ok,sf_on3),sf_xn2,NA()),NA())</f>
        <v/>
      </c>
      <c r="HV3">
        <f>IF(AND(inputs_ok,sf_on3),((-sf_Hdd-0.1*sf_D-(0.11*sf_D))-(0.11*sf_D)-0.07*sf_D),NA())</f>
        <v/>
      </c>
      <c r="HX3">
        <f>IF(inputs_ok,IF(AND(inputs_ok,sf_on3),((sf_xn2)+(sf_xn3))/2,NA()),NA())</f>
        <v/>
      </c>
      <c r="HY3">
        <f>IF(AND(inputs_ok,sf_on3),((((-sf_Hdd-0.1*sf_D-(0.11*sf_D))-(0.11*sf_D)-0.07*sf_D))+(((-sf_Hdd-0.1*sf_D-(0.11*sf_D))-(0.11*sf_D)-0.07*sf_D)))/2,NA())</f>
        <v/>
      </c>
      <c r="IA3">
        <f>IF(inputs_ok,IF(AND(inputs_ok,sf_on4),sf_xn3,NA()),NA())</f>
        <v/>
      </c>
      <c r="IB3">
        <f>IF(AND(inputs_ok,sf_on4),((-sf_Hdd-0.1*sf_D-(0.11*sf_D))-(0.11*sf_D)-0.07*sf_D),NA())</f>
        <v/>
      </c>
      <c r="ID3">
        <f>IF(inputs_ok,IF(AND(inputs_ok,sf_on4),((sf_xn3)+(sf_xn4))/2,NA()),NA())</f>
        <v/>
      </c>
      <c r="IE3">
        <f>IF(AND(inputs_ok,sf_on4),((((-sf_Hdd-0.1*sf_D-(0.11*sf_D))-(0.11*sf_D)-0.07*sf_D))+(((-sf_Hdd-0.1*sf_D-(0.11*sf_D))-(0.11*sf_D)-0.07*sf_D)))/2,NA())</f>
        <v/>
      </c>
      <c r="IG3">
        <f>IF(inputs_ok,IF(AND(inputs_ok,sf_on5),sf_xn4,NA()),NA())</f>
        <v/>
      </c>
      <c r="IH3">
        <f>IF(AND(inputs_ok,sf_on5),((-sf_Hdd-0.1*sf_D-(0.11*sf_D))-(0.11*sf_D)-0.07*sf_D),NA())</f>
        <v/>
      </c>
      <c r="IJ3">
        <f>IF(inputs_ok,IF(AND(inputs_ok,sf_on5),((sf_xn4)+(sf_xn5))/2,NA()),NA())</f>
        <v/>
      </c>
      <c r="IK3">
        <f>IF(AND(inputs_ok,sf_on5),((((-sf_Hdd-0.1*sf_D-(0.11*sf_D))-(0.11*sf_D)-0.07*sf_D))+(((-sf_Hdd-0.1*sf_D-(0.11*sf_D))-(0.11*sf_D)-0.07*sf_D)))/2,NA())</f>
        <v/>
      </c>
      <c r="IM3">
        <f>IF(inputs_ok,IF(AND(inputs_ok,0&lt;=n_sf),sf_xn0,NA()),NA())</f>
        <v/>
      </c>
      <c r="IN3">
        <f>IF(AND(inputs_ok,0&lt;=n_sf),((-sf_Hdd-0.1*sf_D-(0.11*sf_D))-(0.11*sf_D)-0.07*sf_D),NA())</f>
        <v/>
      </c>
      <c r="IP3">
        <f>IF(inputs_ok,IF(AND(inputs_ok,1&lt;=n_sf),sf_xn1,NA()),NA())</f>
        <v/>
      </c>
      <c r="IQ3">
        <f>IF(AND(inputs_ok,1&lt;=n_sf),((-sf_Hdd-0.1*sf_D-(0.11*sf_D))-(0.11*sf_D)-0.07*sf_D),NA())</f>
        <v/>
      </c>
      <c r="IS3">
        <f>IF(inputs_ok,IF(AND(inputs_ok,2&lt;=n_sf),sf_xn2,NA()),NA())</f>
        <v/>
      </c>
      <c r="IT3">
        <f>IF(AND(inputs_ok,2&lt;=n_sf),((-sf_Hdd-0.1*sf_D-(0.11*sf_D))-(0.11*sf_D)-0.07*sf_D),NA())</f>
        <v/>
      </c>
      <c r="IV3">
        <f>IF(inputs_ok,IF(AND(inputs_ok,3&lt;=n_sf),sf_xn3,NA()),NA())</f>
        <v/>
      </c>
      <c r="IW3">
        <f>IF(AND(inputs_ok,3&lt;=n_sf),((-sf_Hdd-0.1*sf_D-(0.11*sf_D))-(0.11*sf_D)-0.07*sf_D),NA())</f>
        <v/>
      </c>
      <c r="IY3">
        <f>IF(inputs_ok,IF(AND(inputs_ok,4&lt;=n_sf),sf_xn4,NA()),NA())</f>
        <v/>
      </c>
      <c r="IZ3">
        <f>IF(AND(inputs_ok,4&lt;=n_sf),((-sf_Hdd-0.1*sf_D-(0.11*sf_D))-(0.11*sf_D)-0.07*sf_D),NA())</f>
        <v/>
      </c>
      <c r="JB3">
        <f>IF(inputs_ok,IF(AND(inputs_ok,5&lt;=n_sf),sf_xn5,NA()),NA())</f>
        <v/>
      </c>
      <c r="JC3">
        <f>IF(AND(inputs_ok,5&lt;=n_sf),((-sf_Hdd-0.1*sf_D-(0.11*sf_D))-(0.11*sf_D)-0.07*sf_D),NA())</f>
        <v/>
      </c>
      <c r="JE3">
        <f>IF(inputs_ok,IF(AND(inputs_ok,TRUE),0,NA()),NA())</f>
        <v/>
      </c>
      <c r="JF3">
        <f>IF(AND(inputs_ok,TRUE),(-sf_Hdd-0.1*sf_D-(0.11*sf_D)),NA())</f>
        <v/>
      </c>
      <c r="JH3">
        <f>((-0.1*sf_D)+(sf_Ltot+0.07*sf_D))/2-MAX((sf_Hud+0.07*sf_D)-(((-sf_Hdd-0.1*sf_D-(0.11*sf_D))-(0.11*sf_D)-0.07*sf_D)-0.07*sf_D),((sf_Ltot+0.07*sf_D)-(-0.1*sf_D))/1.55)*0.58*1.55</f>
        <v/>
      </c>
      <c r="JI3">
        <f>((((-sf_Hdd-0.1*sf_D-(0.11*sf_D))-(0.11*sf_D)-0.07*sf_D)-0.07*sf_D)+(sf_Hud+0.07*sf_D))/2-MAX((sf_Hud+0.07*sf_D)-(((-sf_Hdd-0.1*sf_D-(0.11*sf_D))-(0.11*sf_D)-0.07*sf_D)-0.07*sf_D),((sf_Ltot+0.07*sf_D)-(-0.1*sf_D))/1.55)*0.58</f>
        <v/>
      </c>
    </row>
    <row r="4">
      <c r="D4">
        <f>IF(inputs_ok,IF(AND(inputs_ok,TRUE),sf_Ltot,NA()),NA())</f>
        <v/>
      </c>
      <c r="E4">
        <f>IF(AND(inputs_ok,TRUE),0,NA())</f>
        <v/>
      </c>
      <c r="G4">
        <f>IF(inputs_ok,IF(AND(inputs_ok,AND(0&lt;=n_sf,up_sf="Yes")),sf_xn0,NA()),NA())</f>
        <v/>
      </c>
      <c r="H4">
        <f>IF(AND(inputs_ok,AND(0&lt;=n_sf,up_sf="Yes")),Hu_sf,NA())</f>
        <v/>
      </c>
      <c r="J4">
        <f>IF(inputs_ok,IF(AND(inputs_ok,AND(0&lt;=n_sf,up_sf="Yes")),sf_xn0+2*(0.012*sf_D),NA()),NA())</f>
        <v/>
      </c>
      <c r="K4">
        <f>IF(AND(inputs_ok,AND(0&lt;=n_sf,up_sf="Yes")),Hu_sf,NA())</f>
        <v/>
      </c>
      <c r="M4">
        <f>IF(inputs_ok,IF(AND(inputs_ok,AND(0&lt;=n_sf,dn_sf="Yes")),sf_xn0,NA()),NA())</f>
        <v/>
      </c>
      <c r="N4">
        <f>IF(AND(inputs_ok,AND(0&lt;=n_sf,dn_sf="Yes")),-Hd_sf,NA())</f>
        <v/>
      </c>
      <c r="P4">
        <f>IF(inputs_ok,IF(AND(inputs_ok,AND(0&lt;=n_sf,dn_sf="Yes")),sf_xn0+2*(0.012*sf_D),NA()),NA())</f>
        <v/>
      </c>
      <c r="Q4">
        <f>IF(AND(inputs_ok,AND(0&lt;=n_sf,dn_sf="Yes")),-Hd_sf,NA())</f>
        <v/>
      </c>
      <c r="S4">
        <f>IF(inputs_ok,IF(AND(inputs_ok,AND(0&lt;=n_sf,dn_sf="No")),sf_xn0,NA()),NA())</f>
        <v/>
      </c>
      <c r="T4">
        <f>IF(AND(inputs_ok,AND(0&lt;=n_sf,dn_sf="No")),0,NA())</f>
        <v/>
      </c>
      <c r="AB4">
        <f>IF(inputs_ok,IF(AND(inputs_ok,AND(1&lt;=n_sf,up_sf="Yes")),sf_xn1,NA()),NA())</f>
        <v/>
      </c>
      <c r="AC4">
        <f>IF(AND(inputs_ok,AND(1&lt;=n_sf,up_sf="Yes")),Hu_sf,NA())</f>
        <v/>
      </c>
      <c r="AE4">
        <f>IF(inputs_ok,IF(AND(inputs_ok,AND(1&lt;=n_sf,up_sf="Yes")),sf_xn1+2*(0.012*sf_D),NA()),NA())</f>
        <v/>
      </c>
      <c r="AF4">
        <f>IF(AND(inputs_ok,AND(1&lt;=n_sf,up_sf="Yes")),Hu_sf,NA())</f>
        <v/>
      </c>
      <c r="AH4">
        <f>IF(inputs_ok,IF(AND(inputs_ok,AND(1&lt;=n_sf,dn_sf="Yes")),sf_xn1,NA()),NA())</f>
        <v/>
      </c>
      <c r="AI4">
        <f>IF(AND(inputs_ok,AND(1&lt;=n_sf,dn_sf="Yes")),-Hd_sf,NA())</f>
        <v/>
      </c>
      <c r="AK4">
        <f>IF(inputs_ok,IF(AND(inputs_ok,AND(1&lt;=n_sf,dn_sf="Yes")),sf_xn1+2*(0.012*sf_D),NA()),NA())</f>
        <v/>
      </c>
      <c r="AL4">
        <f>IF(AND(inputs_ok,AND(1&lt;=n_sf,dn_sf="Yes")),-Hd_sf,NA())</f>
        <v/>
      </c>
      <c r="AN4">
        <f>IF(inputs_ok,IF(AND(inputs_ok,AND(1&lt;=n_sf,dn_sf="No")),sf_xn1,NA()),NA())</f>
        <v/>
      </c>
      <c r="AO4">
        <f>IF(AND(inputs_ok,AND(1&lt;=n_sf,dn_sf="No")),0,NA())</f>
        <v/>
      </c>
      <c r="AW4">
        <f>IF(inputs_ok,IF(AND(inputs_ok,AND(2&lt;=n_sf,up_sf="Yes")),sf_xn2,NA()),NA())</f>
        <v/>
      </c>
      <c r="AX4">
        <f>IF(AND(inputs_ok,AND(2&lt;=n_sf,up_sf="Yes")),Hu_sf,NA())</f>
        <v/>
      </c>
      <c r="AZ4">
        <f>IF(inputs_ok,IF(AND(inputs_ok,AND(2&lt;=n_sf,up_sf="Yes")),sf_xn2+2*(0.012*sf_D),NA()),NA())</f>
        <v/>
      </c>
      <c r="BA4">
        <f>IF(AND(inputs_ok,AND(2&lt;=n_sf,up_sf="Yes")),Hu_sf,NA())</f>
        <v/>
      </c>
      <c r="BC4">
        <f>IF(inputs_ok,IF(AND(inputs_ok,AND(2&lt;=n_sf,dn_sf="Yes")),sf_xn2,NA()),NA())</f>
        <v/>
      </c>
      <c r="BD4">
        <f>IF(AND(inputs_ok,AND(2&lt;=n_sf,dn_sf="Yes")),-Hd_sf,NA())</f>
        <v/>
      </c>
      <c r="BF4">
        <f>IF(inputs_ok,IF(AND(inputs_ok,AND(2&lt;=n_sf,dn_sf="Yes")),sf_xn2+2*(0.012*sf_D),NA()),NA())</f>
        <v/>
      </c>
      <c r="BG4">
        <f>IF(AND(inputs_ok,AND(2&lt;=n_sf,dn_sf="Yes")),-Hd_sf,NA())</f>
        <v/>
      </c>
      <c r="BI4">
        <f>IF(inputs_ok,IF(AND(inputs_ok,AND(2&lt;=n_sf,dn_sf="No")),sf_xn2,NA()),NA())</f>
        <v/>
      </c>
      <c r="BJ4">
        <f>IF(AND(inputs_ok,AND(2&lt;=n_sf,dn_sf="No")),0,NA())</f>
        <v/>
      </c>
      <c r="BR4">
        <f>IF(inputs_ok,IF(AND(inputs_ok,AND(3&lt;=n_sf,up_sf="Yes")),sf_xn3,NA()),NA())</f>
        <v/>
      </c>
      <c r="BS4">
        <f>IF(AND(inputs_ok,AND(3&lt;=n_sf,up_sf="Yes")),Hu_sf,NA())</f>
        <v/>
      </c>
      <c r="BU4">
        <f>IF(inputs_ok,IF(AND(inputs_ok,AND(3&lt;=n_sf,up_sf="Yes")),sf_xn3+2*(0.012*sf_D),NA()),NA())</f>
        <v/>
      </c>
      <c r="BV4">
        <f>IF(AND(inputs_ok,AND(3&lt;=n_sf,up_sf="Yes")),Hu_sf,NA())</f>
        <v/>
      </c>
      <c r="BX4">
        <f>IF(inputs_ok,IF(AND(inputs_ok,AND(3&lt;=n_sf,dn_sf="Yes")),sf_xn3,NA()),NA())</f>
        <v/>
      </c>
      <c r="BY4">
        <f>IF(AND(inputs_ok,AND(3&lt;=n_sf,dn_sf="Yes")),-Hd_sf,NA())</f>
        <v/>
      </c>
      <c r="CA4">
        <f>IF(inputs_ok,IF(AND(inputs_ok,AND(3&lt;=n_sf,dn_sf="Yes")),sf_xn3+2*(0.012*sf_D),NA()),NA())</f>
        <v/>
      </c>
      <c r="CB4">
        <f>IF(AND(inputs_ok,AND(3&lt;=n_sf,dn_sf="Yes")),-Hd_sf,NA())</f>
        <v/>
      </c>
      <c r="CD4">
        <f>IF(inputs_ok,IF(AND(inputs_ok,AND(3&lt;=n_sf,dn_sf="No")),sf_xn3,NA()),NA())</f>
        <v/>
      </c>
      <c r="CE4">
        <f>IF(AND(inputs_ok,AND(3&lt;=n_sf,dn_sf="No")),0,NA())</f>
        <v/>
      </c>
      <c r="CM4">
        <f>IF(inputs_ok,IF(AND(inputs_ok,AND(4&lt;=n_sf,up_sf="Yes")),sf_xn4,NA()),NA())</f>
        <v/>
      </c>
      <c r="CN4">
        <f>IF(AND(inputs_ok,AND(4&lt;=n_sf,up_sf="Yes")),Hu_sf,NA())</f>
        <v/>
      </c>
      <c r="CP4">
        <f>IF(inputs_ok,IF(AND(inputs_ok,AND(4&lt;=n_sf,up_sf="Yes")),sf_xn4+2*(0.012*sf_D),NA()),NA())</f>
        <v/>
      </c>
      <c r="CQ4">
        <f>IF(AND(inputs_ok,AND(4&lt;=n_sf,up_sf="Yes")),Hu_sf,NA())</f>
        <v/>
      </c>
      <c r="CS4">
        <f>IF(inputs_ok,IF(AND(inputs_ok,AND(4&lt;=n_sf,dn_sf="Yes")),sf_xn4,NA()),NA())</f>
        <v/>
      </c>
      <c r="CT4">
        <f>IF(AND(inputs_ok,AND(4&lt;=n_sf,dn_sf="Yes")),-Hd_sf,NA())</f>
        <v/>
      </c>
      <c r="CV4">
        <f>IF(inputs_ok,IF(AND(inputs_ok,AND(4&lt;=n_sf,dn_sf="Yes")),sf_xn4+2*(0.012*sf_D),NA()),NA())</f>
        <v/>
      </c>
      <c r="CW4">
        <f>IF(AND(inputs_ok,AND(4&lt;=n_sf,dn_sf="Yes")),-Hd_sf,NA())</f>
        <v/>
      </c>
      <c r="CY4">
        <f>IF(inputs_ok,IF(AND(inputs_ok,AND(4&lt;=n_sf,dn_sf="No")),sf_xn4,NA()),NA())</f>
        <v/>
      </c>
      <c r="CZ4">
        <f>IF(AND(inputs_ok,AND(4&lt;=n_sf,dn_sf="No")),0,NA())</f>
        <v/>
      </c>
      <c r="DH4">
        <f>IF(inputs_ok,IF(AND(inputs_ok,AND(5&lt;=n_sf,up_sf="Yes")),sf_xn5,NA()),NA())</f>
        <v/>
      </c>
      <c r="DI4">
        <f>IF(AND(inputs_ok,AND(5&lt;=n_sf,up_sf="Yes")),Hu_sf,NA())</f>
        <v/>
      </c>
      <c r="DK4">
        <f>IF(inputs_ok,IF(AND(inputs_ok,AND(5&lt;=n_sf,up_sf="Yes")),sf_xn5+2*(0.012*sf_D),NA()),NA())</f>
        <v/>
      </c>
      <c r="DL4">
        <f>IF(AND(inputs_ok,AND(5&lt;=n_sf,up_sf="Yes")),Hu_sf,NA())</f>
        <v/>
      </c>
      <c r="DN4">
        <f>IF(inputs_ok,IF(AND(inputs_ok,AND(5&lt;=n_sf,dn_sf="Yes")),sf_xn5,NA()),NA())</f>
        <v/>
      </c>
      <c r="DO4">
        <f>IF(AND(inputs_ok,AND(5&lt;=n_sf,dn_sf="Yes")),-Hd_sf,NA())</f>
        <v/>
      </c>
      <c r="DQ4">
        <f>IF(inputs_ok,IF(AND(inputs_ok,AND(5&lt;=n_sf,dn_sf="Yes")),sf_xn5+2*(0.012*sf_D),NA()),NA())</f>
        <v/>
      </c>
      <c r="DR4">
        <f>IF(AND(inputs_ok,AND(5&lt;=n_sf,dn_sf="Yes")),-Hd_sf,NA())</f>
        <v/>
      </c>
      <c r="DT4">
        <f>IF(inputs_ok,IF(AND(inputs_ok,AND(5&lt;=n_sf,dn_sf="No")),sf_xn5,NA()),NA())</f>
        <v/>
      </c>
      <c r="DU4">
        <f>IF(AND(inputs_ok,AND(5&lt;=n_sf,dn_sf="No")),0,NA())</f>
        <v/>
      </c>
      <c r="EF4">
        <f>IF(inputs_ok,IF(AND(inputs_ok,up_sf="Yes"),-0.04*sf_D,NA()),NA())</f>
        <v/>
      </c>
      <c r="EG4">
        <f>IF(AND(inputs_ok,up_sf="Yes"),Hu_sf,NA())</f>
        <v/>
      </c>
      <c r="EL4">
        <f>IF(inputs_ok,IF(AND(inputs_ok,dn_sf="Yes"),-0.04*sf_D,NA()),NA())</f>
        <v/>
      </c>
      <c r="EM4">
        <f>IF(AND(inputs_ok,dn_sf="Yes"),0,NA())</f>
        <v/>
      </c>
      <c r="ER4">
        <f>IF(inputs_ok,IF(AND(inputs_ok,TRUE),sf_Ltot,NA()),NA())</f>
        <v/>
      </c>
      <c r="ES4">
        <f>IF(AND(inputs_ok,TRUE),(-sf_Hdd-0.1*sf_D-(0.11*sf_D)),NA())</f>
        <v/>
      </c>
      <c r="EU4">
        <f>IF(inputs_ok,IF(AND(inputs_ok,sf_on1),sf_xn0+1/20*Lsf_1,NA()),NA())</f>
        <v/>
      </c>
      <c r="EV4">
        <f>IF(AND(inputs_ok,sf_on1),(-sf_Hdd-0.1*sf_D-(0.11*sf_D))-((0.11*sf_D)/sf_Mabs)*MAX((sf_ML1_1+sf_V1_1*(1/20*sf_L1)-sf_w1_1*(1/20*sf_L1)^2/2),(sf_ML2_1+sf_V2_1*(1/20*sf_L1)-sf_w2_1*(1/20*sf_L1)^2/2),(sf_ML3_1+sf_V3_1*(1/20*sf_L1)-sf_w3_1*(1/20*sf_L1)^2/2),(sf_ML4_1+sf_V4_1*(1/20*sf_L1)-sf_w4_1*(1/20*sf_L1)^2/2),(sf_ML5_1+sf_V5_1*(1/20*sf_L1)-sf_w5_1*(1/20*sf_L1)^2/2),(sf_ML6_1+sf_V6_1*(1/20*sf_L1)-sf_w6_1*(1/20*sf_L1)^2/2),(sf_ML7_1+sf_V7_1*(1/20*sf_L1)-sf_w7_1*(1/20*sf_L1)^2/2)),NA())</f>
        <v/>
      </c>
      <c r="EX4">
        <f>IF(inputs_ok,IF(AND(inputs_ok,sf_on1),sf_xn0+1/20*Lsf_1,NA()),NA())</f>
        <v/>
      </c>
      <c r="EY4">
        <f>IF(AND(inputs_ok,sf_on1),(-sf_Hdd-0.1*sf_D-(0.11*sf_D))-((0.11*sf_D)/sf_Mabs)*MIN((sf_ML1_1+sf_V1_1*(1/20*sf_L1)-sf_w1_1*(1/20*sf_L1)^2/2),(sf_ML2_1+sf_V2_1*(1/20*sf_L1)-sf_w2_1*(1/20*sf_L1)^2/2),(sf_ML3_1+sf_V3_1*(1/20*sf_L1)-sf_w3_1*(1/20*sf_L1)^2/2),(sf_ML4_1+sf_V4_1*(1/20*sf_L1)-sf_w4_1*(1/20*sf_L1)^2/2),(sf_ML5_1+sf_V5_1*(1/20*sf_L1)-sf_w5_1*(1/20*sf_L1)^2/2),(sf_ML6_1+sf_V6_1*(1/20*sf_L1)-sf_w6_1*(1/20*sf_L1)^2/2),(sf_ML7_1+sf_V7_1*(1/20*sf_L1)-sf_w7_1*(1/20*sf_L1)^2/2)),NA())</f>
        <v/>
      </c>
      <c r="HI4">
        <f>IF(inputs_ok,IF(AND(inputs_ok,sf_on1),sf_xn1,NA()),NA())</f>
        <v/>
      </c>
      <c r="HJ4">
        <f>IF(AND(inputs_ok,sf_on1),((-sf_Hdd-0.1*sf_D-(0.11*sf_D))-(0.11*sf_D)-0.07*sf_D),NA())</f>
        <v/>
      </c>
      <c r="HO4">
        <f>IF(inputs_ok,IF(AND(inputs_ok,sf_on2),sf_xn2,NA()),NA())</f>
        <v/>
      </c>
      <c r="HP4">
        <f>IF(AND(inputs_ok,sf_on2),((-sf_Hdd-0.1*sf_D-(0.11*sf_D))-(0.11*sf_D)-0.07*sf_D),NA())</f>
        <v/>
      </c>
      <c r="HU4">
        <f>IF(inputs_ok,IF(AND(inputs_ok,sf_on3),sf_xn3,NA()),NA())</f>
        <v/>
      </c>
      <c r="HV4">
        <f>IF(AND(inputs_ok,sf_on3),((-sf_Hdd-0.1*sf_D-(0.11*sf_D))-(0.11*sf_D)-0.07*sf_D),NA())</f>
        <v/>
      </c>
      <c r="IA4">
        <f>IF(inputs_ok,IF(AND(inputs_ok,sf_on4),sf_xn4,NA()),NA())</f>
        <v/>
      </c>
      <c r="IB4">
        <f>IF(AND(inputs_ok,sf_on4),((-sf_Hdd-0.1*sf_D-(0.11*sf_D))-(0.11*sf_D)-0.07*sf_D),NA())</f>
        <v/>
      </c>
      <c r="IG4">
        <f>IF(inputs_ok,IF(AND(inputs_ok,sf_on5),sf_xn5,NA()),NA())</f>
        <v/>
      </c>
      <c r="IH4">
        <f>IF(AND(inputs_ok,sf_on5),((-sf_Hdd-0.1*sf_D-(0.11*sf_D))-(0.11*sf_D)-0.07*sf_D),NA())</f>
        <v/>
      </c>
      <c r="JH4">
        <f>((-0.1*sf_D)+(sf_Ltot+0.07*sf_D))/2+MAX((sf_Hud+0.07*sf_D)-(((-sf_Hdd-0.1*sf_D-(0.11*sf_D))-(0.11*sf_D)-0.07*sf_D)-0.07*sf_D),((sf_Ltot+0.07*sf_D)-(-0.1*sf_D))/1.55)*0.58*1.55</f>
        <v/>
      </c>
      <c r="JI4">
        <f>((((-sf_Hdd-0.1*sf_D-(0.11*sf_D))-(0.11*sf_D)-0.07*sf_D)-0.07*sf_D)+(sf_Hud+0.07*sf_D))/2+MAX((sf_Hud+0.07*sf_D)-(((-sf_Hdd-0.1*sf_D-(0.11*sf_D))-(0.11*sf_D)-0.07*sf_D)-0.07*sf_D),((sf_Ltot+0.07*sf_D)-(-0.1*sf_D))/1.55)*0.58</f>
        <v/>
      </c>
    </row>
    <row r="5">
      <c r="J5">
        <f>IF(inputs_ok,IF(AND(inputs_ok,AND(0&lt;=n_sf,up_sf="Yes")),sf_xn0+(1)*(0.012*sf_D),NA()),NA())</f>
        <v/>
      </c>
      <c r="K5">
        <f>IF(AND(inputs_ok,AND(0&lt;=n_sf,up_sf="Yes")),Hu_sf+(1)*(0.012*sf_D),NA())</f>
        <v/>
      </c>
      <c r="P5">
        <f>IF(inputs_ok,IF(AND(inputs_ok,AND(0&lt;=n_sf,dn_sf="Yes")),sf_xn0+(1)*(0.012*sf_D),NA()),NA())</f>
        <v/>
      </c>
      <c r="Q5">
        <f>IF(AND(inputs_ok,AND(0&lt;=n_sf,dn_sf="Yes")),-Hd_sf+(-1)*(0.012*sf_D),NA())</f>
        <v/>
      </c>
      <c r="S5">
        <f>IF(inputs_ok,IF(AND(inputs_ok,AND(0&lt;=n_sf,dn_sf="No")),sf_xn0+(0.012*sf_D),NA()),NA())</f>
        <v/>
      </c>
      <c r="T5">
        <f>IF(AND(inputs_ok,AND(0&lt;=n_sf,dn_sf="No")),-2*(0.012*sf_D),NA())</f>
        <v/>
      </c>
      <c r="AE5">
        <f>IF(inputs_ok,IF(AND(inputs_ok,AND(1&lt;=n_sf,up_sf="Yes")),sf_xn1+(1)*(0.012*sf_D),NA()),NA())</f>
        <v/>
      </c>
      <c r="AF5">
        <f>IF(AND(inputs_ok,AND(1&lt;=n_sf,up_sf="Yes")),Hu_sf+(1)*(0.012*sf_D),NA())</f>
        <v/>
      </c>
      <c r="AK5">
        <f>IF(inputs_ok,IF(AND(inputs_ok,AND(1&lt;=n_sf,dn_sf="Yes")),sf_xn1+(1)*(0.012*sf_D),NA()),NA())</f>
        <v/>
      </c>
      <c r="AL5">
        <f>IF(AND(inputs_ok,AND(1&lt;=n_sf,dn_sf="Yes")),-Hd_sf+(-1)*(0.012*sf_D),NA())</f>
        <v/>
      </c>
      <c r="AN5">
        <f>IF(inputs_ok,IF(AND(inputs_ok,AND(1&lt;=n_sf,dn_sf="No")),sf_xn1+(0.012*sf_D),NA()),NA())</f>
        <v/>
      </c>
      <c r="AO5">
        <f>IF(AND(inputs_ok,AND(1&lt;=n_sf,dn_sf="No")),-2*(0.012*sf_D),NA())</f>
        <v/>
      </c>
      <c r="AZ5">
        <f>IF(inputs_ok,IF(AND(inputs_ok,AND(2&lt;=n_sf,up_sf="Yes")),sf_xn2+(1)*(0.012*sf_D),NA()),NA())</f>
        <v/>
      </c>
      <c r="BA5">
        <f>IF(AND(inputs_ok,AND(2&lt;=n_sf,up_sf="Yes")),Hu_sf+(1)*(0.012*sf_D),NA())</f>
        <v/>
      </c>
      <c r="BF5">
        <f>IF(inputs_ok,IF(AND(inputs_ok,AND(2&lt;=n_sf,dn_sf="Yes")),sf_xn2+(1)*(0.012*sf_D),NA()),NA())</f>
        <v/>
      </c>
      <c r="BG5">
        <f>IF(AND(inputs_ok,AND(2&lt;=n_sf,dn_sf="Yes")),-Hd_sf+(-1)*(0.012*sf_D),NA())</f>
        <v/>
      </c>
      <c r="BI5">
        <f>IF(inputs_ok,IF(AND(inputs_ok,AND(2&lt;=n_sf,dn_sf="No")),sf_xn2+(0.012*sf_D),NA()),NA())</f>
        <v/>
      </c>
      <c r="BJ5">
        <f>IF(AND(inputs_ok,AND(2&lt;=n_sf,dn_sf="No")),-2*(0.012*sf_D),NA())</f>
        <v/>
      </c>
      <c r="BU5">
        <f>IF(inputs_ok,IF(AND(inputs_ok,AND(3&lt;=n_sf,up_sf="Yes")),sf_xn3+(1)*(0.012*sf_D),NA()),NA())</f>
        <v/>
      </c>
      <c r="BV5">
        <f>IF(AND(inputs_ok,AND(3&lt;=n_sf,up_sf="Yes")),Hu_sf+(1)*(0.012*sf_D),NA())</f>
        <v/>
      </c>
      <c r="CA5">
        <f>IF(inputs_ok,IF(AND(inputs_ok,AND(3&lt;=n_sf,dn_sf="Yes")),sf_xn3+(1)*(0.012*sf_D),NA()),NA())</f>
        <v/>
      </c>
      <c r="CB5">
        <f>IF(AND(inputs_ok,AND(3&lt;=n_sf,dn_sf="Yes")),-Hd_sf+(-1)*(0.012*sf_D),NA())</f>
        <v/>
      </c>
      <c r="CD5">
        <f>IF(inputs_ok,IF(AND(inputs_ok,AND(3&lt;=n_sf,dn_sf="No")),sf_xn3+(0.012*sf_D),NA()),NA())</f>
        <v/>
      </c>
      <c r="CE5">
        <f>IF(AND(inputs_ok,AND(3&lt;=n_sf,dn_sf="No")),-2*(0.012*sf_D),NA())</f>
        <v/>
      </c>
      <c r="CP5">
        <f>IF(inputs_ok,IF(AND(inputs_ok,AND(4&lt;=n_sf,up_sf="Yes")),sf_xn4+(1)*(0.012*sf_D),NA()),NA())</f>
        <v/>
      </c>
      <c r="CQ5">
        <f>IF(AND(inputs_ok,AND(4&lt;=n_sf,up_sf="Yes")),Hu_sf+(1)*(0.012*sf_D),NA())</f>
        <v/>
      </c>
      <c r="CV5">
        <f>IF(inputs_ok,IF(AND(inputs_ok,AND(4&lt;=n_sf,dn_sf="Yes")),sf_xn4+(1)*(0.012*sf_D),NA()),NA())</f>
        <v/>
      </c>
      <c r="CW5">
        <f>IF(AND(inputs_ok,AND(4&lt;=n_sf,dn_sf="Yes")),-Hd_sf+(-1)*(0.012*sf_D),NA())</f>
        <v/>
      </c>
      <c r="CY5">
        <f>IF(inputs_ok,IF(AND(inputs_ok,AND(4&lt;=n_sf,dn_sf="No")),sf_xn4+(0.012*sf_D),NA()),NA())</f>
        <v/>
      </c>
      <c r="CZ5">
        <f>IF(AND(inputs_ok,AND(4&lt;=n_sf,dn_sf="No")),-2*(0.012*sf_D),NA())</f>
        <v/>
      </c>
      <c r="DK5">
        <f>IF(inputs_ok,IF(AND(inputs_ok,AND(5&lt;=n_sf,up_sf="Yes")),sf_xn5+(1)*(0.012*sf_D),NA()),NA())</f>
        <v/>
      </c>
      <c r="DL5">
        <f>IF(AND(inputs_ok,AND(5&lt;=n_sf,up_sf="Yes")),Hu_sf+(1)*(0.012*sf_D),NA())</f>
        <v/>
      </c>
      <c r="DQ5">
        <f>IF(inputs_ok,IF(AND(inputs_ok,AND(5&lt;=n_sf,dn_sf="Yes")),sf_xn5+(1)*(0.012*sf_D),NA()),NA())</f>
        <v/>
      </c>
      <c r="DR5">
        <f>IF(AND(inputs_ok,AND(5&lt;=n_sf,dn_sf="Yes")),-Hd_sf+(-1)*(0.012*sf_D),NA())</f>
        <v/>
      </c>
      <c r="DT5">
        <f>IF(inputs_ok,IF(AND(inputs_ok,AND(5&lt;=n_sf,dn_sf="No")),sf_xn5+(0.012*sf_D),NA()),NA())</f>
        <v/>
      </c>
      <c r="DU5">
        <f>IF(AND(inputs_ok,AND(5&lt;=n_sf,dn_sf="No")),-2*(0.012*sf_D),NA())</f>
        <v/>
      </c>
      <c r="EU5">
        <f>IF(inputs_ok,IF(AND(inputs_ok,sf_on1),sf_xn0+2/20*Lsf_1,NA()),NA())</f>
        <v/>
      </c>
      <c r="EV5">
        <f>IF(AND(inputs_ok,sf_on1),(-sf_Hdd-0.1*sf_D-(0.11*sf_D))-((0.11*sf_D)/sf_Mabs)*MAX((sf_ML1_1+sf_V1_1*(2/20*sf_L1)-sf_w1_1*(2/20*sf_L1)^2/2),(sf_ML2_1+sf_V2_1*(2/20*sf_L1)-sf_w2_1*(2/20*sf_L1)^2/2),(sf_ML3_1+sf_V3_1*(2/20*sf_L1)-sf_w3_1*(2/20*sf_L1)^2/2),(sf_ML4_1+sf_V4_1*(2/20*sf_L1)-sf_w4_1*(2/20*sf_L1)^2/2),(sf_ML5_1+sf_V5_1*(2/20*sf_L1)-sf_w5_1*(2/20*sf_L1)^2/2),(sf_ML6_1+sf_V6_1*(2/20*sf_L1)-sf_w6_1*(2/20*sf_L1)^2/2),(sf_ML7_1+sf_V7_1*(2/20*sf_L1)-sf_w7_1*(2/20*sf_L1)^2/2)),NA())</f>
        <v/>
      </c>
      <c r="EX5">
        <f>IF(inputs_ok,IF(AND(inputs_ok,sf_on1),sf_xn0+2/20*Lsf_1,NA()),NA())</f>
        <v/>
      </c>
      <c r="EY5">
        <f>IF(AND(inputs_ok,sf_on1),(-sf_Hdd-0.1*sf_D-(0.11*sf_D))-((0.11*sf_D)/sf_Mabs)*MIN((sf_ML1_1+sf_V1_1*(2/20*sf_L1)-sf_w1_1*(2/20*sf_L1)^2/2),(sf_ML2_1+sf_V2_1*(2/20*sf_L1)-sf_w2_1*(2/20*sf_L1)^2/2),(sf_ML3_1+sf_V3_1*(2/20*sf_L1)-sf_w3_1*(2/20*sf_L1)^2/2),(sf_ML4_1+sf_V4_1*(2/20*sf_L1)-sf_w4_1*(2/20*sf_L1)^2/2),(sf_ML5_1+sf_V5_1*(2/20*sf_L1)-sf_w5_1*(2/20*sf_L1)^2/2),(sf_ML6_1+sf_V6_1*(2/20*sf_L1)-sf_w6_1*(2/20*sf_L1)^2/2),(sf_ML7_1+sf_V7_1*(2/20*sf_L1)-sf_w7_1*(2/20*sf_L1)^2/2)),NA())</f>
        <v/>
      </c>
    </row>
    <row r="6">
      <c r="J6">
        <f>IF(inputs_ok,IF(AND(inputs_ok,AND(0&lt;=n_sf,up_sf="Yes")),sf_xn0+(2)*(0.012*sf_D),NA()),NA())</f>
        <v/>
      </c>
      <c r="K6">
        <f>IF(AND(inputs_ok,AND(0&lt;=n_sf,up_sf="Yes")),Hu_sf,NA())</f>
        <v/>
      </c>
      <c r="P6">
        <f>IF(inputs_ok,IF(AND(inputs_ok,AND(0&lt;=n_sf,dn_sf="Yes")),sf_xn0+(2)*(0.012*sf_D),NA()),NA())</f>
        <v/>
      </c>
      <c r="Q6">
        <f>IF(AND(inputs_ok,AND(0&lt;=n_sf,dn_sf="Yes")),-Hd_sf,NA())</f>
        <v/>
      </c>
      <c r="S6">
        <f>IF(inputs_ok,IF(AND(inputs_ok,AND(0&lt;=n_sf,dn_sf="No")),sf_xn0-(0.012*sf_D),NA()),NA())</f>
        <v/>
      </c>
      <c r="T6">
        <f>IF(AND(inputs_ok,AND(0&lt;=n_sf,dn_sf="No")),-2*(0.012*sf_D),NA())</f>
        <v/>
      </c>
      <c r="AE6">
        <f>IF(inputs_ok,IF(AND(inputs_ok,AND(1&lt;=n_sf,up_sf="Yes")),sf_xn1+(2)*(0.012*sf_D),NA()),NA())</f>
        <v/>
      </c>
      <c r="AF6">
        <f>IF(AND(inputs_ok,AND(1&lt;=n_sf,up_sf="Yes")),Hu_sf,NA())</f>
        <v/>
      </c>
      <c r="AK6">
        <f>IF(inputs_ok,IF(AND(inputs_ok,AND(1&lt;=n_sf,dn_sf="Yes")),sf_xn1+(2)*(0.012*sf_D),NA()),NA())</f>
        <v/>
      </c>
      <c r="AL6">
        <f>IF(AND(inputs_ok,AND(1&lt;=n_sf,dn_sf="Yes")),-Hd_sf,NA())</f>
        <v/>
      </c>
      <c r="AN6">
        <f>IF(inputs_ok,IF(AND(inputs_ok,AND(1&lt;=n_sf,dn_sf="No")),sf_xn1-(0.012*sf_D),NA()),NA())</f>
        <v/>
      </c>
      <c r="AO6">
        <f>IF(AND(inputs_ok,AND(1&lt;=n_sf,dn_sf="No")),-2*(0.012*sf_D),NA())</f>
        <v/>
      </c>
      <c r="AZ6">
        <f>IF(inputs_ok,IF(AND(inputs_ok,AND(2&lt;=n_sf,up_sf="Yes")),sf_xn2+(2)*(0.012*sf_D),NA()),NA())</f>
        <v/>
      </c>
      <c r="BA6">
        <f>IF(AND(inputs_ok,AND(2&lt;=n_sf,up_sf="Yes")),Hu_sf,NA())</f>
        <v/>
      </c>
      <c r="BF6">
        <f>IF(inputs_ok,IF(AND(inputs_ok,AND(2&lt;=n_sf,dn_sf="Yes")),sf_xn2+(2)*(0.012*sf_D),NA()),NA())</f>
        <v/>
      </c>
      <c r="BG6">
        <f>IF(AND(inputs_ok,AND(2&lt;=n_sf,dn_sf="Yes")),-Hd_sf,NA())</f>
        <v/>
      </c>
      <c r="BI6">
        <f>IF(inputs_ok,IF(AND(inputs_ok,AND(2&lt;=n_sf,dn_sf="No")),sf_xn2-(0.012*sf_D),NA()),NA())</f>
        <v/>
      </c>
      <c r="BJ6">
        <f>IF(AND(inputs_ok,AND(2&lt;=n_sf,dn_sf="No")),-2*(0.012*sf_D),NA())</f>
        <v/>
      </c>
      <c r="BU6">
        <f>IF(inputs_ok,IF(AND(inputs_ok,AND(3&lt;=n_sf,up_sf="Yes")),sf_xn3+(2)*(0.012*sf_D),NA()),NA())</f>
        <v/>
      </c>
      <c r="BV6">
        <f>IF(AND(inputs_ok,AND(3&lt;=n_sf,up_sf="Yes")),Hu_sf,NA())</f>
        <v/>
      </c>
      <c r="CA6">
        <f>IF(inputs_ok,IF(AND(inputs_ok,AND(3&lt;=n_sf,dn_sf="Yes")),sf_xn3+(2)*(0.012*sf_D),NA()),NA())</f>
        <v/>
      </c>
      <c r="CB6">
        <f>IF(AND(inputs_ok,AND(3&lt;=n_sf,dn_sf="Yes")),-Hd_sf,NA())</f>
        <v/>
      </c>
      <c r="CD6">
        <f>IF(inputs_ok,IF(AND(inputs_ok,AND(3&lt;=n_sf,dn_sf="No")),sf_xn3-(0.012*sf_D),NA()),NA())</f>
        <v/>
      </c>
      <c r="CE6">
        <f>IF(AND(inputs_ok,AND(3&lt;=n_sf,dn_sf="No")),-2*(0.012*sf_D),NA())</f>
        <v/>
      </c>
      <c r="CP6">
        <f>IF(inputs_ok,IF(AND(inputs_ok,AND(4&lt;=n_sf,up_sf="Yes")),sf_xn4+(2)*(0.012*sf_D),NA()),NA())</f>
        <v/>
      </c>
      <c r="CQ6">
        <f>IF(AND(inputs_ok,AND(4&lt;=n_sf,up_sf="Yes")),Hu_sf,NA())</f>
        <v/>
      </c>
      <c r="CV6">
        <f>IF(inputs_ok,IF(AND(inputs_ok,AND(4&lt;=n_sf,dn_sf="Yes")),sf_xn4+(2)*(0.012*sf_D),NA()),NA())</f>
        <v/>
      </c>
      <c r="CW6">
        <f>IF(AND(inputs_ok,AND(4&lt;=n_sf,dn_sf="Yes")),-Hd_sf,NA())</f>
        <v/>
      </c>
      <c r="CY6">
        <f>IF(inputs_ok,IF(AND(inputs_ok,AND(4&lt;=n_sf,dn_sf="No")),sf_xn4-(0.012*sf_D),NA()),NA())</f>
        <v/>
      </c>
      <c r="CZ6">
        <f>IF(AND(inputs_ok,AND(4&lt;=n_sf,dn_sf="No")),-2*(0.012*sf_D),NA())</f>
        <v/>
      </c>
      <c r="DK6">
        <f>IF(inputs_ok,IF(AND(inputs_ok,AND(5&lt;=n_sf,up_sf="Yes")),sf_xn5+(2)*(0.012*sf_D),NA()),NA())</f>
        <v/>
      </c>
      <c r="DL6">
        <f>IF(AND(inputs_ok,AND(5&lt;=n_sf,up_sf="Yes")),Hu_sf,NA())</f>
        <v/>
      </c>
      <c r="DQ6">
        <f>IF(inputs_ok,IF(AND(inputs_ok,AND(5&lt;=n_sf,dn_sf="Yes")),sf_xn5+(2)*(0.012*sf_D),NA()),NA())</f>
        <v/>
      </c>
      <c r="DR6">
        <f>IF(AND(inputs_ok,AND(5&lt;=n_sf,dn_sf="Yes")),-Hd_sf,NA())</f>
        <v/>
      </c>
      <c r="DT6">
        <f>IF(inputs_ok,IF(AND(inputs_ok,AND(5&lt;=n_sf,dn_sf="No")),sf_xn5-(0.012*sf_D),NA()),NA())</f>
        <v/>
      </c>
      <c r="DU6">
        <f>IF(AND(inputs_ok,AND(5&lt;=n_sf,dn_sf="No")),-2*(0.012*sf_D),NA())</f>
        <v/>
      </c>
      <c r="EU6">
        <f>IF(inputs_ok,IF(AND(inputs_ok,sf_on1),sf_xn0+3/20*Lsf_1,NA()),NA())</f>
        <v/>
      </c>
      <c r="EV6">
        <f>IF(AND(inputs_ok,sf_on1),(-sf_Hdd-0.1*sf_D-(0.11*sf_D))-((0.11*sf_D)/sf_Mabs)*MAX((sf_ML1_1+sf_V1_1*(3/20*sf_L1)-sf_w1_1*(3/20*sf_L1)^2/2),(sf_ML2_1+sf_V2_1*(3/20*sf_L1)-sf_w2_1*(3/20*sf_L1)^2/2),(sf_ML3_1+sf_V3_1*(3/20*sf_L1)-sf_w3_1*(3/20*sf_L1)^2/2),(sf_ML4_1+sf_V4_1*(3/20*sf_L1)-sf_w4_1*(3/20*sf_L1)^2/2),(sf_ML5_1+sf_V5_1*(3/20*sf_L1)-sf_w5_1*(3/20*sf_L1)^2/2),(sf_ML6_1+sf_V6_1*(3/20*sf_L1)-sf_w6_1*(3/20*sf_L1)^2/2),(sf_ML7_1+sf_V7_1*(3/20*sf_L1)-sf_w7_1*(3/20*sf_L1)^2/2)),NA())</f>
        <v/>
      </c>
      <c r="EX6">
        <f>IF(inputs_ok,IF(AND(inputs_ok,sf_on1),sf_xn0+3/20*Lsf_1,NA()),NA())</f>
        <v/>
      </c>
      <c r="EY6">
        <f>IF(AND(inputs_ok,sf_on1),(-sf_Hdd-0.1*sf_D-(0.11*sf_D))-((0.11*sf_D)/sf_Mabs)*MIN((sf_ML1_1+sf_V1_1*(3/20*sf_L1)-sf_w1_1*(3/20*sf_L1)^2/2),(sf_ML2_1+sf_V2_1*(3/20*sf_L1)-sf_w2_1*(3/20*sf_L1)^2/2),(sf_ML3_1+sf_V3_1*(3/20*sf_L1)-sf_w3_1*(3/20*sf_L1)^2/2),(sf_ML4_1+sf_V4_1*(3/20*sf_L1)-sf_w4_1*(3/20*sf_L1)^2/2),(sf_ML5_1+sf_V5_1*(3/20*sf_L1)-sf_w5_1*(3/20*sf_L1)^2/2),(sf_ML6_1+sf_V6_1*(3/20*sf_L1)-sf_w6_1*(3/20*sf_L1)^2/2),(sf_ML7_1+sf_V7_1*(3/20*sf_L1)-sf_w7_1*(3/20*sf_L1)^2/2)),NA())</f>
        <v/>
      </c>
    </row>
    <row r="7">
      <c r="J7">
        <f>IF(inputs_ok,IF(AND(inputs_ok,AND(0&lt;=n_sf,up_sf="Yes")),sf_xn0+(1)*(0.012*sf_D),NA()),NA())</f>
        <v/>
      </c>
      <c r="K7">
        <f>IF(AND(inputs_ok,AND(0&lt;=n_sf,up_sf="Yes")),Hu_sf,NA())</f>
        <v/>
      </c>
      <c r="P7">
        <f>IF(inputs_ok,IF(AND(inputs_ok,AND(0&lt;=n_sf,dn_sf="Yes")),sf_xn0+(1)*(0.012*sf_D),NA()),NA())</f>
        <v/>
      </c>
      <c r="Q7">
        <f>IF(AND(inputs_ok,AND(0&lt;=n_sf,dn_sf="Yes")),-Hd_sf,NA())</f>
        <v/>
      </c>
      <c r="AE7">
        <f>IF(inputs_ok,IF(AND(inputs_ok,AND(1&lt;=n_sf,up_sf="Yes")),sf_xn1+(1)*(0.012*sf_D),NA()),NA())</f>
        <v/>
      </c>
      <c r="AF7">
        <f>IF(AND(inputs_ok,AND(1&lt;=n_sf,up_sf="Yes")),Hu_sf,NA())</f>
        <v/>
      </c>
      <c r="AK7">
        <f>IF(inputs_ok,IF(AND(inputs_ok,AND(1&lt;=n_sf,dn_sf="Yes")),sf_xn1+(1)*(0.012*sf_D),NA()),NA())</f>
        <v/>
      </c>
      <c r="AL7">
        <f>IF(AND(inputs_ok,AND(1&lt;=n_sf,dn_sf="Yes")),-Hd_sf,NA())</f>
        <v/>
      </c>
      <c r="AZ7">
        <f>IF(inputs_ok,IF(AND(inputs_ok,AND(2&lt;=n_sf,up_sf="Yes")),sf_xn2+(1)*(0.012*sf_D),NA()),NA())</f>
        <v/>
      </c>
      <c r="BA7">
        <f>IF(AND(inputs_ok,AND(2&lt;=n_sf,up_sf="Yes")),Hu_sf,NA())</f>
        <v/>
      </c>
      <c r="BF7">
        <f>IF(inputs_ok,IF(AND(inputs_ok,AND(2&lt;=n_sf,dn_sf="Yes")),sf_xn2+(1)*(0.012*sf_D),NA()),NA())</f>
        <v/>
      </c>
      <c r="BG7">
        <f>IF(AND(inputs_ok,AND(2&lt;=n_sf,dn_sf="Yes")),-Hd_sf,NA())</f>
        <v/>
      </c>
      <c r="BU7">
        <f>IF(inputs_ok,IF(AND(inputs_ok,AND(3&lt;=n_sf,up_sf="Yes")),sf_xn3+(1)*(0.012*sf_D),NA()),NA())</f>
        <v/>
      </c>
      <c r="BV7">
        <f>IF(AND(inputs_ok,AND(3&lt;=n_sf,up_sf="Yes")),Hu_sf,NA())</f>
        <v/>
      </c>
      <c r="CA7">
        <f>IF(inputs_ok,IF(AND(inputs_ok,AND(3&lt;=n_sf,dn_sf="Yes")),sf_xn3+(1)*(0.012*sf_D),NA()),NA())</f>
        <v/>
      </c>
      <c r="CB7">
        <f>IF(AND(inputs_ok,AND(3&lt;=n_sf,dn_sf="Yes")),-Hd_sf,NA())</f>
        <v/>
      </c>
      <c r="CP7">
        <f>IF(inputs_ok,IF(AND(inputs_ok,AND(4&lt;=n_sf,up_sf="Yes")),sf_xn4+(1)*(0.012*sf_D),NA()),NA())</f>
        <v/>
      </c>
      <c r="CQ7">
        <f>IF(AND(inputs_ok,AND(4&lt;=n_sf,up_sf="Yes")),Hu_sf,NA())</f>
        <v/>
      </c>
      <c r="CV7">
        <f>IF(inputs_ok,IF(AND(inputs_ok,AND(4&lt;=n_sf,dn_sf="Yes")),sf_xn4+(1)*(0.012*sf_D),NA()),NA())</f>
        <v/>
      </c>
      <c r="CW7">
        <f>IF(AND(inputs_ok,AND(4&lt;=n_sf,dn_sf="Yes")),-Hd_sf,NA())</f>
        <v/>
      </c>
      <c r="DK7">
        <f>IF(inputs_ok,IF(AND(inputs_ok,AND(5&lt;=n_sf,up_sf="Yes")),sf_xn5+(1)*(0.012*sf_D),NA()),NA())</f>
        <v/>
      </c>
      <c r="DL7">
        <f>IF(AND(inputs_ok,AND(5&lt;=n_sf,up_sf="Yes")),Hu_sf,NA())</f>
        <v/>
      </c>
      <c r="DQ7">
        <f>IF(inputs_ok,IF(AND(inputs_ok,AND(5&lt;=n_sf,dn_sf="Yes")),sf_xn5+(1)*(0.012*sf_D),NA()),NA())</f>
        <v/>
      </c>
      <c r="DR7">
        <f>IF(AND(inputs_ok,AND(5&lt;=n_sf,dn_sf="Yes")),-Hd_sf,NA())</f>
        <v/>
      </c>
      <c r="EU7">
        <f>IF(inputs_ok,IF(AND(inputs_ok,sf_on1),sf_xn0+4/20*Lsf_1,NA()),NA())</f>
        <v/>
      </c>
      <c r="EV7">
        <f>IF(AND(inputs_ok,sf_on1),(-sf_Hdd-0.1*sf_D-(0.11*sf_D))-((0.11*sf_D)/sf_Mabs)*MAX((sf_ML1_1+sf_V1_1*(4/20*sf_L1)-sf_w1_1*(4/20*sf_L1)^2/2),(sf_ML2_1+sf_V2_1*(4/20*sf_L1)-sf_w2_1*(4/20*sf_L1)^2/2),(sf_ML3_1+sf_V3_1*(4/20*sf_L1)-sf_w3_1*(4/20*sf_L1)^2/2),(sf_ML4_1+sf_V4_1*(4/20*sf_L1)-sf_w4_1*(4/20*sf_L1)^2/2),(sf_ML5_1+sf_V5_1*(4/20*sf_L1)-sf_w5_1*(4/20*sf_L1)^2/2),(sf_ML6_1+sf_V6_1*(4/20*sf_L1)-sf_w6_1*(4/20*sf_L1)^2/2),(sf_ML7_1+sf_V7_1*(4/20*sf_L1)-sf_w7_1*(4/20*sf_L1)^2/2)),NA())</f>
        <v/>
      </c>
      <c r="EX7">
        <f>IF(inputs_ok,IF(AND(inputs_ok,sf_on1),sf_xn0+4/20*Lsf_1,NA()),NA())</f>
        <v/>
      </c>
      <c r="EY7">
        <f>IF(AND(inputs_ok,sf_on1),(-sf_Hdd-0.1*sf_D-(0.11*sf_D))-((0.11*sf_D)/sf_Mabs)*MIN((sf_ML1_1+sf_V1_1*(4/20*sf_L1)-sf_w1_1*(4/20*sf_L1)^2/2),(sf_ML2_1+sf_V2_1*(4/20*sf_L1)-sf_w2_1*(4/20*sf_L1)^2/2),(sf_ML3_1+sf_V3_1*(4/20*sf_L1)-sf_w3_1*(4/20*sf_L1)^2/2),(sf_ML4_1+sf_V4_1*(4/20*sf_L1)-sf_w4_1*(4/20*sf_L1)^2/2),(sf_ML5_1+sf_V5_1*(4/20*sf_L1)-sf_w5_1*(4/20*sf_L1)^2/2),(sf_ML6_1+sf_V6_1*(4/20*sf_L1)-sf_w6_1*(4/20*sf_L1)^2/2),(sf_ML7_1+sf_V7_1*(4/20*sf_L1)-sf_w7_1*(4/20*sf_L1)^2/2)),NA())</f>
        <v/>
      </c>
    </row>
    <row r="8">
      <c r="J8">
        <f>IF(inputs_ok,IF(AND(inputs_ok,AND(0&lt;=n_sf,up_sf="Yes")),sf_xn0+(0)*(0.012*sf_D),NA()),NA())</f>
        <v/>
      </c>
      <c r="K8">
        <f>IF(AND(inputs_ok,AND(0&lt;=n_sf,up_sf="Yes")),Hu_sf+(1)*(0.012*sf_D),NA())</f>
        <v/>
      </c>
      <c r="P8">
        <f>IF(inputs_ok,IF(AND(inputs_ok,AND(0&lt;=n_sf,dn_sf="Yes")),sf_xn0+(0)*(0.012*sf_D),NA()),NA())</f>
        <v/>
      </c>
      <c r="Q8">
        <f>IF(AND(inputs_ok,AND(0&lt;=n_sf,dn_sf="Yes")),-Hd_sf+(-1)*(0.012*sf_D),NA())</f>
        <v/>
      </c>
      <c r="AE8">
        <f>IF(inputs_ok,IF(AND(inputs_ok,AND(1&lt;=n_sf,up_sf="Yes")),sf_xn1+(0)*(0.012*sf_D),NA()),NA())</f>
        <v/>
      </c>
      <c r="AF8">
        <f>IF(AND(inputs_ok,AND(1&lt;=n_sf,up_sf="Yes")),Hu_sf+(1)*(0.012*sf_D),NA())</f>
        <v/>
      </c>
      <c r="AK8">
        <f>IF(inputs_ok,IF(AND(inputs_ok,AND(1&lt;=n_sf,dn_sf="Yes")),sf_xn1+(0)*(0.012*sf_D),NA()),NA())</f>
        <v/>
      </c>
      <c r="AL8">
        <f>IF(AND(inputs_ok,AND(1&lt;=n_sf,dn_sf="Yes")),-Hd_sf+(-1)*(0.012*sf_D),NA())</f>
        <v/>
      </c>
      <c r="AZ8">
        <f>IF(inputs_ok,IF(AND(inputs_ok,AND(2&lt;=n_sf,up_sf="Yes")),sf_xn2+(0)*(0.012*sf_D),NA()),NA())</f>
        <v/>
      </c>
      <c r="BA8">
        <f>IF(AND(inputs_ok,AND(2&lt;=n_sf,up_sf="Yes")),Hu_sf+(1)*(0.012*sf_D),NA())</f>
        <v/>
      </c>
      <c r="BF8">
        <f>IF(inputs_ok,IF(AND(inputs_ok,AND(2&lt;=n_sf,dn_sf="Yes")),sf_xn2+(0)*(0.012*sf_D),NA()),NA())</f>
        <v/>
      </c>
      <c r="BG8">
        <f>IF(AND(inputs_ok,AND(2&lt;=n_sf,dn_sf="Yes")),-Hd_sf+(-1)*(0.012*sf_D),NA())</f>
        <v/>
      </c>
      <c r="BU8">
        <f>IF(inputs_ok,IF(AND(inputs_ok,AND(3&lt;=n_sf,up_sf="Yes")),sf_xn3+(0)*(0.012*sf_D),NA()),NA())</f>
        <v/>
      </c>
      <c r="BV8">
        <f>IF(AND(inputs_ok,AND(3&lt;=n_sf,up_sf="Yes")),Hu_sf+(1)*(0.012*sf_D),NA())</f>
        <v/>
      </c>
      <c r="CA8">
        <f>IF(inputs_ok,IF(AND(inputs_ok,AND(3&lt;=n_sf,dn_sf="Yes")),sf_xn3+(0)*(0.012*sf_D),NA()),NA())</f>
        <v/>
      </c>
      <c r="CB8">
        <f>IF(AND(inputs_ok,AND(3&lt;=n_sf,dn_sf="Yes")),-Hd_sf+(-1)*(0.012*sf_D),NA())</f>
        <v/>
      </c>
      <c r="CP8">
        <f>IF(inputs_ok,IF(AND(inputs_ok,AND(4&lt;=n_sf,up_sf="Yes")),sf_xn4+(0)*(0.012*sf_D),NA()),NA())</f>
        <v/>
      </c>
      <c r="CQ8">
        <f>IF(AND(inputs_ok,AND(4&lt;=n_sf,up_sf="Yes")),Hu_sf+(1)*(0.012*sf_D),NA())</f>
        <v/>
      </c>
      <c r="CV8">
        <f>IF(inputs_ok,IF(AND(inputs_ok,AND(4&lt;=n_sf,dn_sf="Yes")),sf_xn4+(0)*(0.012*sf_D),NA()),NA())</f>
        <v/>
      </c>
      <c r="CW8">
        <f>IF(AND(inputs_ok,AND(4&lt;=n_sf,dn_sf="Yes")),-Hd_sf+(-1)*(0.012*sf_D),NA())</f>
        <v/>
      </c>
      <c r="DK8">
        <f>IF(inputs_ok,IF(AND(inputs_ok,AND(5&lt;=n_sf,up_sf="Yes")),sf_xn5+(0)*(0.012*sf_D),NA()),NA())</f>
        <v/>
      </c>
      <c r="DL8">
        <f>IF(AND(inputs_ok,AND(5&lt;=n_sf,up_sf="Yes")),Hu_sf+(1)*(0.012*sf_D),NA())</f>
        <v/>
      </c>
      <c r="DQ8">
        <f>IF(inputs_ok,IF(AND(inputs_ok,AND(5&lt;=n_sf,dn_sf="Yes")),sf_xn5+(0)*(0.012*sf_D),NA()),NA())</f>
        <v/>
      </c>
      <c r="DR8">
        <f>IF(AND(inputs_ok,AND(5&lt;=n_sf,dn_sf="Yes")),-Hd_sf+(-1)*(0.012*sf_D),NA())</f>
        <v/>
      </c>
      <c r="EU8">
        <f>IF(inputs_ok,IF(AND(inputs_ok,sf_on1),sf_xn0+5/20*Lsf_1,NA()),NA())</f>
        <v/>
      </c>
      <c r="EV8">
        <f>IF(AND(inputs_ok,sf_on1),(-sf_Hdd-0.1*sf_D-(0.11*sf_D))-((0.11*sf_D)/sf_Mabs)*MAX((sf_ML1_1+sf_V1_1*(5/20*sf_L1)-sf_w1_1*(5/20*sf_L1)^2/2),(sf_ML2_1+sf_V2_1*(5/20*sf_L1)-sf_w2_1*(5/20*sf_L1)^2/2),(sf_ML3_1+sf_V3_1*(5/20*sf_L1)-sf_w3_1*(5/20*sf_L1)^2/2),(sf_ML4_1+sf_V4_1*(5/20*sf_L1)-sf_w4_1*(5/20*sf_L1)^2/2),(sf_ML5_1+sf_V5_1*(5/20*sf_L1)-sf_w5_1*(5/20*sf_L1)^2/2),(sf_ML6_1+sf_V6_1*(5/20*sf_L1)-sf_w6_1*(5/20*sf_L1)^2/2),(sf_ML7_1+sf_V7_1*(5/20*sf_L1)-sf_w7_1*(5/20*sf_L1)^2/2)),NA())</f>
        <v/>
      </c>
      <c r="EX8">
        <f>IF(inputs_ok,IF(AND(inputs_ok,sf_on1),sf_xn0+5/20*Lsf_1,NA()),NA())</f>
        <v/>
      </c>
      <c r="EY8">
        <f>IF(AND(inputs_ok,sf_on1),(-sf_Hdd-0.1*sf_D-(0.11*sf_D))-((0.11*sf_D)/sf_Mabs)*MIN((sf_ML1_1+sf_V1_1*(5/20*sf_L1)-sf_w1_1*(5/20*sf_L1)^2/2),(sf_ML2_1+sf_V2_1*(5/20*sf_L1)-sf_w2_1*(5/20*sf_L1)^2/2),(sf_ML3_1+sf_V3_1*(5/20*sf_L1)-sf_w3_1*(5/20*sf_L1)^2/2),(sf_ML4_1+sf_V4_1*(5/20*sf_L1)-sf_w4_1*(5/20*sf_L1)^2/2),(sf_ML5_1+sf_V5_1*(5/20*sf_L1)-sf_w5_1*(5/20*sf_L1)^2/2),(sf_ML6_1+sf_V6_1*(5/20*sf_L1)-sf_w6_1*(5/20*sf_L1)^2/2),(sf_ML7_1+sf_V7_1*(5/20*sf_L1)-sf_w7_1*(5/20*sf_L1)^2/2)),NA())</f>
        <v/>
      </c>
    </row>
    <row r="9">
      <c r="J9">
        <f>IF(inputs_ok,IF(AND(inputs_ok,AND(0&lt;=n_sf,up_sf="Yes")),sf_xn0+(1)*(0.012*sf_D),NA()),NA())</f>
        <v/>
      </c>
      <c r="K9">
        <f>IF(AND(inputs_ok,AND(0&lt;=n_sf,up_sf="Yes")),Hu_sf,NA())</f>
        <v/>
      </c>
      <c r="P9">
        <f>IF(inputs_ok,IF(AND(inputs_ok,AND(0&lt;=n_sf,dn_sf="Yes")),sf_xn0+(1)*(0.012*sf_D),NA()),NA())</f>
        <v/>
      </c>
      <c r="Q9">
        <f>IF(AND(inputs_ok,AND(0&lt;=n_sf,dn_sf="Yes")),-Hd_sf,NA())</f>
        <v/>
      </c>
      <c r="AE9">
        <f>IF(inputs_ok,IF(AND(inputs_ok,AND(1&lt;=n_sf,up_sf="Yes")),sf_xn1+(1)*(0.012*sf_D),NA()),NA())</f>
        <v/>
      </c>
      <c r="AF9">
        <f>IF(AND(inputs_ok,AND(1&lt;=n_sf,up_sf="Yes")),Hu_sf,NA())</f>
        <v/>
      </c>
      <c r="AK9">
        <f>IF(inputs_ok,IF(AND(inputs_ok,AND(1&lt;=n_sf,dn_sf="Yes")),sf_xn1+(1)*(0.012*sf_D),NA()),NA())</f>
        <v/>
      </c>
      <c r="AL9">
        <f>IF(AND(inputs_ok,AND(1&lt;=n_sf,dn_sf="Yes")),-Hd_sf,NA())</f>
        <v/>
      </c>
      <c r="AZ9">
        <f>IF(inputs_ok,IF(AND(inputs_ok,AND(2&lt;=n_sf,up_sf="Yes")),sf_xn2+(1)*(0.012*sf_D),NA()),NA())</f>
        <v/>
      </c>
      <c r="BA9">
        <f>IF(AND(inputs_ok,AND(2&lt;=n_sf,up_sf="Yes")),Hu_sf,NA())</f>
        <v/>
      </c>
      <c r="BF9">
        <f>IF(inputs_ok,IF(AND(inputs_ok,AND(2&lt;=n_sf,dn_sf="Yes")),sf_xn2+(1)*(0.012*sf_D),NA()),NA())</f>
        <v/>
      </c>
      <c r="BG9">
        <f>IF(AND(inputs_ok,AND(2&lt;=n_sf,dn_sf="Yes")),-Hd_sf,NA())</f>
        <v/>
      </c>
      <c r="BU9">
        <f>IF(inputs_ok,IF(AND(inputs_ok,AND(3&lt;=n_sf,up_sf="Yes")),sf_xn3+(1)*(0.012*sf_D),NA()),NA())</f>
        <v/>
      </c>
      <c r="BV9">
        <f>IF(AND(inputs_ok,AND(3&lt;=n_sf,up_sf="Yes")),Hu_sf,NA())</f>
        <v/>
      </c>
      <c r="CA9">
        <f>IF(inputs_ok,IF(AND(inputs_ok,AND(3&lt;=n_sf,dn_sf="Yes")),sf_xn3+(1)*(0.012*sf_D),NA()),NA())</f>
        <v/>
      </c>
      <c r="CB9">
        <f>IF(AND(inputs_ok,AND(3&lt;=n_sf,dn_sf="Yes")),-Hd_sf,NA())</f>
        <v/>
      </c>
      <c r="CP9">
        <f>IF(inputs_ok,IF(AND(inputs_ok,AND(4&lt;=n_sf,up_sf="Yes")),sf_xn4+(1)*(0.012*sf_D),NA()),NA())</f>
        <v/>
      </c>
      <c r="CQ9">
        <f>IF(AND(inputs_ok,AND(4&lt;=n_sf,up_sf="Yes")),Hu_sf,NA())</f>
        <v/>
      </c>
      <c r="CV9">
        <f>IF(inputs_ok,IF(AND(inputs_ok,AND(4&lt;=n_sf,dn_sf="Yes")),sf_xn4+(1)*(0.012*sf_D),NA()),NA())</f>
        <v/>
      </c>
      <c r="CW9">
        <f>IF(AND(inputs_ok,AND(4&lt;=n_sf,dn_sf="Yes")),-Hd_sf,NA())</f>
        <v/>
      </c>
      <c r="DK9">
        <f>IF(inputs_ok,IF(AND(inputs_ok,AND(5&lt;=n_sf,up_sf="Yes")),sf_xn5+(1)*(0.012*sf_D),NA()),NA())</f>
        <v/>
      </c>
      <c r="DL9">
        <f>IF(AND(inputs_ok,AND(5&lt;=n_sf,up_sf="Yes")),Hu_sf,NA())</f>
        <v/>
      </c>
      <c r="DQ9">
        <f>IF(inputs_ok,IF(AND(inputs_ok,AND(5&lt;=n_sf,dn_sf="Yes")),sf_xn5+(1)*(0.012*sf_D),NA()),NA())</f>
        <v/>
      </c>
      <c r="DR9">
        <f>IF(AND(inputs_ok,AND(5&lt;=n_sf,dn_sf="Yes")),-Hd_sf,NA())</f>
        <v/>
      </c>
      <c r="EU9">
        <f>IF(inputs_ok,IF(AND(inputs_ok,sf_on1),sf_xn0+6/20*Lsf_1,NA()),NA())</f>
        <v/>
      </c>
      <c r="EV9">
        <f>IF(AND(inputs_ok,sf_on1),(-sf_Hdd-0.1*sf_D-(0.11*sf_D))-((0.11*sf_D)/sf_Mabs)*MAX((sf_ML1_1+sf_V1_1*(6/20*sf_L1)-sf_w1_1*(6/20*sf_L1)^2/2),(sf_ML2_1+sf_V2_1*(6/20*sf_L1)-sf_w2_1*(6/20*sf_L1)^2/2),(sf_ML3_1+sf_V3_1*(6/20*sf_L1)-sf_w3_1*(6/20*sf_L1)^2/2),(sf_ML4_1+sf_V4_1*(6/20*sf_L1)-sf_w4_1*(6/20*sf_L1)^2/2),(sf_ML5_1+sf_V5_1*(6/20*sf_L1)-sf_w5_1*(6/20*sf_L1)^2/2),(sf_ML6_1+sf_V6_1*(6/20*sf_L1)-sf_w6_1*(6/20*sf_L1)^2/2),(sf_ML7_1+sf_V7_1*(6/20*sf_L1)-sf_w7_1*(6/20*sf_L1)^2/2)),NA())</f>
        <v/>
      </c>
      <c r="EX9">
        <f>IF(inputs_ok,IF(AND(inputs_ok,sf_on1),sf_xn0+6/20*Lsf_1,NA()),NA())</f>
        <v/>
      </c>
      <c r="EY9">
        <f>IF(AND(inputs_ok,sf_on1),(-sf_Hdd-0.1*sf_D-(0.11*sf_D))-((0.11*sf_D)/sf_Mabs)*MIN((sf_ML1_1+sf_V1_1*(6/20*sf_L1)-sf_w1_1*(6/20*sf_L1)^2/2),(sf_ML2_1+sf_V2_1*(6/20*sf_L1)-sf_w2_1*(6/20*sf_L1)^2/2),(sf_ML3_1+sf_V3_1*(6/20*sf_L1)-sf_w3_1*(6/20*sf_L1)^2/2),(sf_ML4_1+sf_V4_1*(6/20*sf_L1)-sf_w4_1*(6/20*sf_L1)^2/2),(sf_ML5_1+sf_V5_1*(6/20*sf_L1)-sf_w5_1*(6/20*sf_L1)^2/2),(sf_ML6_1+sf_V6_1*(6/20*sf_L1)-sf_w6_1*(6/20*sf_L1)^2/2),(sf_ML7_1+sf_V7_1*(6/20*sf_L1)-sf_w7_1*(6/20*sf_L1)^2/2)),NA())</f>
        <v/>
      </c>
    </row>
    <row r="10">
      <c r="J10">
        <f>IF(inputs_ok,IF(AND(inputs_ok,AND(0&lt;=n_sf,up_sf="Yes")),sf_xn0+(0)*(0.012*sf_D),NA()),NA())</f>
        <v/>
      </c>
      <c r="K10">
        <f>IF(AND(inputs_ok,AND(0&lt;=n_sf,up_sf="Yes")),Hu_sf,NA())</f>
        <v/>
      </c>
      <c r="P10">
        <f>IF(inputs_ok,IF(AND(inputs_ok,AND(0&lt;=n_sf,dn_sf="Yes")),sf_xn0+(0)*(0.012*sf_D),NA()),NA())</f>
        <v/>
      </c>
      <c r="Q10">
        <f>IF(AND(inputs_ok,AND(0&lt;=n_sf,dn_sf="Yes")),-Hd_sf,NA())</f>
        <v/>
      </c>
      <c r="AE10">
        <f>IF(inputs_ok,IF(AND(inputs_ok,AND(1&lt;=n_sf,up_sf="Yes")),sf_xn1+(0)*(0.012*sf_D),NA()),NA())</f>
        <v/>
      </c>
      <c r="AF10">
        <f>IF(AND(inputs_ok,AND(1&lt;=n_sf,up_sf="Yes")),Hu_sf,NA())</f>
        <v/>
      </c>
      <c r="AK10">
        <f>IF(inputs_ok,IF(AND(inputs_ok,AND(1&lt;=n_sf,dn_sf="Yes")),sf_xn1+(0)*(0.012*sf_D),NA()),NA())</f>
        <v/>
      </c>
      <c r="AL10">
        <f>IF(AND(inputs_ok,AND(1&lt;=n_sf,dn_sf="Yes")),-Hd_sf,NA())</f>
        <v/>
      </c>
      <c r="AZ10">
        <f>IF(inputs_ok,IF(AND(inputs_ok,AND(2&lt;=n_sf,up_sf="Yes")),sf_xn2+(0)*(0.012*sf_D),NA()),NA())</f>
        <v/>
      </c>
      <c r="BA10">
        <f>IF(AND(inputs_ok,AND(2&lt;=n_sf,up_sf="Yes")),Hu_sf,NA())</f>
        <v/>
      </c>
      <c r="BF10">
        <f>IF(inputs_ok,IF(AND(inputs_ok,AND(2&lt;=n_sf,dn_sf="Yes")),sf_xn2+(0)*(0.012*sf_D),NA()),NA())</f>
        <v/>
      </c>
      <c r="BG10">
        <f>IF(AND(inputs_ok,AND(2&lt;=n_sf,dn_sf="Yes")),-Hd_sf,NA())</f>
        <v/>
      </c>
      <c r="BU10">
        <f>IF(inputs_ok,IF(AND(inputs_ok,AND(3&lt;=n_sf,up_sf="Yes")),sf_xn3+(0)*(0.012*sf_D),NA()),NA())</f>
        <v/>
      </c>
      <c r="BV10">
        <f>IF(AND(inputs_ok,AND(3&lt;=n_sf,up_sf="Yes")),Hu_sf,NA())</f>
        <v/>
      </c>
      <c r="CA10">
        <f>IF(inputs_ok,IF(AND(inputs_ok,AND(3&lt;=n_sf,dn_sf="Yes")),sf_xn3+(0)*(0.012*sf_D),NA()),NA())</f>
        <v/>
      </c>
      <c r="CB10">
        <f>IF(AND(inputs_ok,AND(3&lt;=n_sf,dn_sf="Yes")),-Hd_sf,NA())</f>
        <v/>
      </c>
      <c r="CP10">
        <f>IF(inputs_ok,IF(AND(inputs_ok,AND(4&lt;=n_sf,up_sf="Yes")),sf_xn4+(0)*(0.012*sf_D),NA()),NA())</f>
        <v/>
      </c>
      <c r="CQ10">
        <f>IF(AND(inputs_ok,AND(4&lt;=n_sf,up_sf="Yes")),Hu_sf,NA())</f>
        <v/>
      </c>
      <c r="CV10">
        <f>IF(inputs_ok,IF(AND(inputs_ok,AND(4&lt;=n_sf,dn_sf="Yes")),sf_xn4+(0)*(0.012*sf_D),NA()),NA())</f>
        <v/>
      </c>
      <c r="CW10">
        <f>IF(AND(inputs_ok,AND(4&lt;=n_sf,dn_sf="Yes")),-Hd_sf,NA())</f>
        <v/>
      </c>
      <c r="DK10">
        <f>IF(inputs_ok,IF(AND(inputs_ok,AND(5&lt;=n_sf,up_sf="Yes")),sf_xn5+(0)*(0.012*sf_D),NA()),NA())</f>
        <v/>
      </c>
      <c r="DL10">
        <f>IF(AND(inputs_ok,AND(5&lt;=n_sf,up_sf="Yes")),Hu_sf,NA())</f>
        <v/>
      </c>
      <c r="DQ10">
        <f>IF(inputs_ok,IF(AND(inputs_ok,AND(5&lt;=n_sf,dn_sf="Yes")),sf_xn5+(0)*(0.012*sf_D),NA()),NA())</f>
        <v/>
      </c>
      <c r="DR10">
        <f>IF(AND(inputs_ok,AND(5&lt;=n_sf,dn_sf="Yes")),-Hd_sf,NA())</f>
        <v/>
      </c>
      <c r="EU10">
        <f>IF(inputs_ok,IF(AND(inputs_ok,sf_on1),sf_xn0+7/20*Lsf_1,NA()),NA())</f>
        <v/>
      </c>
      <c r="EV10">
        <f>IF(AND(inputs_ok,sf_on1),(-sf_Hdd-0.1*sf_D-(0.11*sf_D))-((0.11*sf_D)/sf_Mabs)*MAX((sf_ML1_1+sf_V1_1*(7/20*sf_L1)-sf_w1_1*(7/20*sf_L1)^2/2),(sf_ML2_1+sf_V2_1*(7/20*sf_L1)-sf_w2_1*(7/20*sf_L1)^2/2),(sf_ML3_1+sf_V3_1*(7/20*sf_L1)-sf_w3_1*(7/20*sf_L1)^2/2),(sf_ML4_1+sf_V4_1*(7/20*sf_L1)-sf_w4_1*(7/20*sf_L1)^2/2),(sf_ML5_1+sf_V5_1*(7/20*sf_L1)-sf_w5_1*(7/20*sf_L1)^2/2),(sf_ML6_1+sf_V6_1*(7/20*sf_L1)-sf_w6_1*(7/20*sf_L1)^2/2),(sf_ML7_1+sf_V7_1*(7/20*sf_L1)-sf_w7_1*(7/20*sf_L1)^2/2)),NA())</f>
        <v/>
      </c>
      <c r="EX10">
        <f>IF(inputs_ok,IF(AND(inputs_ok,sf_on1),sf_xn0+7/20*Lsf_1,NA()),NA())</f>
        <v/>
      </c>
      <c r="EY10">
        <f>IF(AND(inputs_ok,sf_on1),(-sf_Hdd-0.1*sf_D-(0.11*sf_D))-((0.11*sf_D)/sf_Mabs)*MIN((sf_ML1_1+sf_V1_1*(7/20*sf_L1)-sf_w1_1*(7/20*sf_L1)^2/2),(sf_ML2_1+sf_V2_1*(7/20*sf_L1)-sf_w2_1*(7/20*sf_L1)^2/2),(sf_ML3_1+sf_V3_1*(7/20*sf_L1)-sf_w3_1*(7/20*sf_L1)^2/2),(sf_ML4_1+sf_V4_1*(7/20*sf_L1)-sf_w4_1*(7/20*sf_L1)^2/2),(sf_ML5_1+sf_V5_1*(7/20*sf_L1)-sf_w5_1*(7/20*sf_L1)^2/2),(sf_ML6_1+sf_V6_1*(7/20*sf_L1)-sf_w6_1*(7/20*sf_L1)^2/2),(sf_ML7_1+sf_V7_1*(7/20*sf_L1)-sf_w7_1*(7/20*sf_L1)^2/2)),NA())</f>
        <v/>
      </c>
    </row>
    <row r="11">
      <c r="J11">
        <f>IF(inputs_ok,IF(AND(inputs_ok,AND(0&lt;=n_sf,up_sf="Yes")),sf_xn0+(-1)*(0.012*sf_D),NA()),NA())</f>
        <v/>
      </c>
      <c r="K11">
        <f>IF(AND(inputs_ok,AND(0&lt;=n_sf,up_sf="Yes")),Hu_sf+(1)*(0.012*sf_D),NA())</f>
        <v/>
      </c>
      <c r="P11">
        <f>IF(inputs_ok,IF(AND(inputs_ok,AND(0&lt;=n_sf,dn_sf="Yes")),sf_xn0+(-1)*(0.012*sf_D),NA()),NA())</f>
        <v/>
      </c>
      <c r="Q11">
        <f>IF(AND(inputs_ok,AND(0&lt;=n_sf,dn_sf="Yes")),-Hd_sf+(-1)*(0.012*sf_D),NA())</f>
        <v/>
      </c>
      <c r="AE11">
        <f>IF(inputs_ok,IF(AND(inputs_ok,AND(1&lt;=n_sf,up_sf="Yes")),sf_xn1+(-1)*(0.012*sf_D),NA()),NA())</f>
        <v/>
      </c>
      <c r="AF11">
        <f>IF(AND(inputs_ok,AND(1&lt;=n_sf,up_sf="Yes")),Hu_sf+(1)*(0.012*sf_D),NA())</f>
        <v/>
      </c>
      <c r="AK11">
        <f>IF(inputs_ok,IF(AND(inputs_ok,AND(1&lt;=n_sf,dn_sf="Yes")),sf_xn1+(-1)*(0.012*sf_D),NA()),NA())</f>
        <v/>
      </c>
      <c r="AL11">
        <f>IF(AND(inputs_ok,AND(1&lt;=n_sf,dn_sf="Yes")),-Hd_sf+(-1)*(0.012*sf_D),NA())</f>
        <v/>
      </c>
      <c r="AZ11">
        <f>IF(inputs_ok,IF(AND(inputs_ok,AND(2&lt;=n_sf,up_sf="Yes")),sf_xn2+(-1)*(0.012*sf_D),NA()),NA())</f>
        <v/>
      </c>
      <c r="BA11">
        <f>IF(AND(inputs_ok,AND(2&lt;=n_sf,up_sf="Yes")),Hu_sf+(1)*(0.012*sf_D),NA())</f>
        <v/>
      </c>
      <c r="BF11">
        <f>IF(inputs_ok,IF(AND(inputs_ok,AND(2&lt;=n_sf,dn_sf="Yes")),sf_xn2+(-1)*(0.012*sf_D),NA()),NA())</f>
        <v/>
      </c>
      <c r="BG11">
        <f>IF(AND(inputs_ok,AND(2&lt;=n_sf,dn_sf="Yes")),-Hd_sf+(-1)*(0.012*sf_D),NA())</f>
        <v/>
      </c>
      <c r="BU11">
        <f>IF(inputs_ok,IF(AND(inputs_ok,AND(3&lt;=n_sf,up_sf="Yes")),sf_xn3+(-1)*(0.012*sf_D),NA()),NA())</f>
        <v/>
      </c>
      <c r="BV11">
        <f>IF(AND(inputs_ok,AND(3&lt;=n_sf,up_sf="Yes")),Hu_sf+(1)*(0.012*sf_D),NA())</f>
        <v/>
      </c>
      <c r="CA11">
        <f>IF(inputs_ok,IF(AND(inputs_ok,AND(3&lt;=n_sf,dn_sf="Yes")),sf_xn3+(-1)*(0.012*sf_D),NA()),NA())</f>
        <v/>
      </c>
      <c r="CB11">
        <f>IF(AND(inputs_ok,AND(3&lt;=n_sf,dn_sf="Yes")),-Hd_sf+(-1)*(0.012*sf_D),NA())</f>
        <v/>
      </c>
      <c r="CP11">
        <f>IF(inputs_ok,IF(AND(inputs_ok,AND(4&lt;=n_sf,up_sf="Yes")),sf_xn4+(-1)*(0.012*sf_D),NA()),NA())</f>
        <v/>
      </c>
      <c r="CQ11">
        <f>IF(AND(inputs_ok,AND(4&lt;=n_sf,up_sf="Yes")),Hu_sf+(1)*(0.012*sf_D),NA())</f>
        <v/>
      </c>
      <c r="CV11">
        <f>IF(inputs_ok,IF(AND(inputs_ok,AND(4&lt;=n_sf,dn_sf="Yes")),sf_xn4+(-1)*(0.012*sf_D),NA()),NA())</f>
        <v/>
      </c>
      <c r="CW11">
        <f>IF(AND(inputs_ok,AND(4&lt;=n_sf,dn_sf="Yes")),-Hd_sf+(-1)*(0.012*sf_D),NA())</f>
        <v/>
      </c>
      <c r="DK11">
        <f>IF(inputs_ok,IF(AND(inputs_ok,AND(5&lt;=n_sf,up_sf="Yes")),sf_xn5+(-1)*(0.012*sf_D),NA()),NA())</f>
        <v/>
      </c>
      <c r="DL11">
        <f>IF(AND(inputs_ok,AND(5&lt;=n_sf,up_sf="Yes")),Hu_sf+(1)*(0.012*sf_D),NA())</f>
        <v/>
      </c>
      <c r="DQ11">
        <f>IF(inputs_ok,IF(AND(inputs_ok,AND(5&lt;=n_sf,dn_sf="Yes")),sf_xn5+(-1)*(0.012*sf_D),NA()),NA())</f>
        <v/>
      </c>
      <c r="DR11">
        <f>IF(AND(inputs_ok,AND(5&lt;=n_sf,dn_sf="Yes")),-Hd_sf+(-1)*(0.012*sf_D),NA())</f>
        <v/>
      </c>
      <c r="EU11">
        <f>IF(inputs_ok,IF(AND(inputs_ok,sf_on1),sf_xn0+8/20*Lsf_1,NA()),NA())</f>
        <v/>
      </c>
      <c r="EV11">
        <f>IF(AND(inputs_ok,sf_on1),(-sf_Hdd-0.1*sf_D-(0.11*sf_D))-((0.11*sf_D)/sf_Mabs)*MAX((sf_ML1_1+sf_V1_1*(8/20*sf_L1)-sf_w1_1*(8/20*sf_L1)^2/2),(sf_ML2_1+sf_V2_1*(8/20*sf_L1)-sf_w2_1*(8/20*sf_L1)^2/2),(sf_ML3_1+sf_V3_1*(8/20*sf_L1)-sf_w3_1*(8/20*sf_L1)^2/2),(sf_ML4_1+sf_V4_1*(8/20*sf_L1)-sf_w4_1*(8/20*sf_L1)^2/2),(sf_ML5_1+sf_V5_1*(8/20*sf_L1)-sf_w5_1*(8/20*sf_L1)^2/2),(sf_ML6_1+sf_V6_1*(8/20*sf_L1)-sf_w6_1*(8/20*sf_L1)^2/2),(sf_ML7_1+sf_V7_1*(8/20*sf_L1)-sf_w7_1*(8/20*sf_L1)^2/2)),NA())</f>
        <v/>
      </c>
      <c r="EX11">
        <f>IF(inputs_ok,IF(AND(inputs_ok,sf_on1),sf_xn0+8/20*Lsf_1,NA()),NA())</f>
        <v/>
      </c>
      <c r="EY11">
        <f>IF(AND(inputs_ok,sf_on1),(-sf_Hdd-0.1*sf_D-(0.11*sf_D))-((0.11*sf_D)/sf_Mabs)*MIN((sf_ML1_1+sf_V1_1*(8/20*sf_L1)-sf_w1_1*(8/20*sf_L1)^2/2),(sf_ML2_1+sf_V2_1*(8/20*sf_L1)-sf_w2_1*(8/20*sf_L1)^2/2),(sf_ML3_1+sf_V3_1*(8/20*sf_L1)-sf_w3_1*(8/20*sf_L1)^2/2),(sf_ML4_1+sf_V4_1*(8/20*sf_L1)-sf_w4_1*(8/20*sf_L1)^2/2),(sf_ML5_1+sf_V5_1*(8/20*sf_L1)-sf_w5_1*(8/20*sf_L1)^2/2),(sf_ML6_1+sf_V6_1*(8/20*sf_L1)-sf_w6_1*(8/20*sf_L1)^2/2),(sf_ML7_1+sf_V7_1*(8/20*sf_L1)-sf_w7_1*(8/20*sf_L1)^2/2)),NA())</f>
        <v/>
      </c>
    </row>
    <row r="12">
      <c r="J12">
        <f>IF(inputs_ok,IF(AND(inputs_ok,AND(0&lt;=n_sf,up_sf="Yes")),sf_xn0+(0)*(0.012*sf_D),NA()),NA())</f>
        <v/>
      </c>
      <c r="K12">
        <f>IF(AND(inputs_ok,AND(0&lt;=n_sf,up_sf="Yes")),Hu_sf,NA())</f>
        <v/>
      </c>
      <c r="P12">
        <f>IF(inputs_ok,IF(AND(inputs_ok,AND(0&lt;=n_sf,dn_sf="Yes")),sf_xn0+(0)*(0.012*sf_D),NA()),NA())</f>
        <v/>
      </c>
      <c r="Q12">
        <f>IF(AND(inputs_ok,AND(0&lt;=n_sf,dn_sf="Yes")),-Hd_sf,NA())</f>
        <v/>
      </c>
      <c r="AE12">
        <f>IF(inputs_ok,IF(AND(inputs_ok,AND(1&lt;=n_sf,up_sf="Yes")),sf_xn1+(0)*(0.012*sf_D),NA()),NA())</f>
        <v/>
      </c>
      <c r="AF12">
        <f>IF(AND(inputs_ok,AND(1&lt;=n_sf,up_sf="Yes")),Hu_sf,NA())</f>
        <v/>
      </c>
      <c r="AK12">
        <f>IF(inputs_ok,IF(AND(inputs_ok,AND(1&lt;=n_sf,dn_sf="Yes")),sf_xn1+(0)*(0.012*sf_D),NA()),NA())</f>
        <v/>
      </c>
      <c r="AL12">
        <f>IF(AND(inputs_ok,AND(1&lt;=n_sf,dn_sf="Yes")),-Hd_sf,NA())</f>
        <v/>
      </c>
      <c r="AZ12">
        <f>IF(inputs_ok,IF(AND(inputs_ok,AND(2&lt;=n_sf,up_sf="Yes")),sf_xn2+(0)*(0.012*sf_D),NA()),NA())</f>
        <v/>
      </c>
      <c r="BA12">
        <f>IF(AND(inputs_ok,AND(2&lt;=n_sf,up_sf="Yes")),Hu_sf,NA())</f>
        <v/>
      </c>
      <c r="BF12">
        <f>IF(inputs_ok,IF(AND(inputs_ok,AND(2&lt;=n_sf,dn_sf="Yes")),sf_xn2+(0)*(0.012*sf_D),NA()),NA())</f>
        <v/>
      </c>
      <c r="BG12">
        <f>IF(AND(inputs_ok,AND(2&lt;=n_sf,dn_sf="Yes")),-Hd_sf,NA())</f>
        <v/>
      </c>
      <c r="BU12">
        <f>IF(inputs_ok,IF(AND(inputs_ok,AND(3&lt;=n_sf,up_sf="Yes")),sf_xn3+(0)*(0.012*sf_D),NA()),NA())</f>
        <v/>
      </c>
      <c r="BV12">
        <f>IF(AND(inputs_ok,AND(3&lt;=n_sf,up_sf="Yes")),Hu_sf,NA())</f>
        <v/>
      </c>
      <c r="CA12">
        <f>IF(inputs_ok,IF(AND(inputs_ok,AND(3&lt;=n_sf,dn_sf="Yes")),sf_xn3+(0)*(0.012*sf_D),NA()),NA())</f>
        <v/>
      </c>
      <c r="CB12">
        <f>IF(AND(inputs_ok,AND(3&lt;=n_sf,dn_sf="Yes")),-Hd_sf,NA())</f>
        <v/>
      </c>
      <c r="CP12">
        <f>IF(inputs_ok,IF(AND(inputs_ok,AND(4&lt;=n_sf,up_sf="Yes")),sf_xn4+(0)*(0.012*sf_D),NA()),NA())</f>
        <v/>
      </c>
      <c r="CQ12">
        <f>IF(AND(inputs_ok,AND(4&lt;=n_sf,up_sf="Yes")),Hu_sf,NA())</f>
        <v/>
      </c>
      <c r="CV12">
        <f>IF(inputs_ok,IF(AND(inputs_ok,AND(4&lt;=n_sf,dn_sf="Yes")),sf_xn4+(0)*(0.012*sf_D),NA()),NA())</f>
        <v/>
      </c>
      <c r="CW12">
        <f>IF(AND(inputs_ok,AND(4&lt;=n_sf,dn_sf="Yes")),-Hd_sf,NA())</f>
        <v/>
      </c>
      <c r="DK12">
        <f>IF(inputs_ok,IF(AND(inputs_ok,AND(5&lt;=n_sf,up_sf="Yes")),sf_xn5+(0)*(0.012*sf_D),NA()),NA())</f>
        <v/>
      </c>
      <c r="DL12">
        <f>IF(AND(inputs_ok,AND(5&lt;=n_sf,up_sf="Yes")),Hu_sf,NA())</f>
        <v/>
      </c>
      <c r="DQ12">
        <f>IF(inputs_ok,IF(AND(inputs_ok,AND(5&lt;=n_sf,dn_sf="Yes")),sf_xn5+(0)*(0.012*sf_D),NA()),NA())</f>
        <v/>
      </c>
      <c r="DR12">
        <f>IF(AND(inputs_ok,AND(5&lt;=n_sf,dn_sf="Yes")),-Hd_sf,NA())</f>
        <v/>
      </c>
      <c r="EU12">
        <f>IF(inputs_ok,IF(AND(inputs_ok,sf_on1),sf_xn0+9/20*Lsf_1,NA()),NA())</f>
        <v/>
      </c>
      <c r="EV12">
        <f>IF(AND(inputs_ok,sf_on1),(-sf_Hdd-0.1*sf_D-(0.11*sf_D))-((0.11*sf_D)/sf_Mabs)*MAX((sf_ML1_1+sf_V1_1*(9/20*sf_L1)-sf_w1_1*(9/20*sf_L1)^2/2),(sf_ML2_1+sf_V2_1*(9/20*sf_L1)-sf_w2_1*(9/20*sf_L1)^2/2),(sf_ML3_1+sf_V3_1*(9/20*sf_L1)-sf_w3_1*(9/20*sf_L1)^2/2),(sf_ML4_1+sf_V4_1*(9/20*sf_L1)-sf_w4_1*(9/20*sf_L1)^2/2),(sf_ML5_1+sf_V5_1*(9/20*sf_L1)-sf_w5_1*(9/20*sf_L1)^2/2),(sf_ML6_1+sf_V6_1*(9/20*sf_L1)-sf_w6_1*(9/20*sf_L1)^2/2),(sf_ML7_1+sf_V7_1*(9/20*sf_L1)-sf_w7_1*(9/20*sf_L1)^2/2)),NA())</f>
        <v/>
      </c>
      <c r="EX12">
        <f>IF(inputs_ok,IF(AND(inputs_ok,sf_on1),sf_xn0+9/20*Lsf_1,NA()),NA())</f>
        <v/>
      </c>
      <c r="EY12">
        <f>IF(AND(inputs_ok,sf_on1),(-sf_Hdd-0.1*sf_D-(0.11*sf_D))-((0.11*sf_D)/sf_Mabs)*MIN((sf_ML1_1+sf_V1_1*(9/20*sf_L1)-sf_w1_1*(9/20*sf_L1)^2/2),(sf_ML2_1+sf_V2_1*(9/20*sf_L1)-sf_w2_1*(9/20*sf_L1)^2/2),(sf_ML3_1+sf_V3_1*(9/20*sf_L1)-sf_w3_1*(9/20*sf_L1)^2/2),(sf_ML4_1+sf_V4_1*(9/20*sf_L1)-sf_w4_1*(9/20*sf_L1)^2/2),(sf_ML5_1+sf_V5_1*(9/20*sf_L1)-sf_w5_1*(9/20*sf_L1)^2/2),(sf_ML6_1+sf_V6_1*(9/20*sf_L1)-sf_w6_1*(9/20*sf_L1)^2/2),(sf_ML7_1+sf_V7_1*(9/20*sf_L1)-sf_w7_1*(9/20*sf_L1)^2/2)),NA())</f>
        <v/>
      </c>
    </row>
    <row r="13">
      <c r="J13">
        <f>IF(inputs_ok,IF(AND(inputs_ok,AND(0&lt;=n_sf,up_sf="Yes")),sf_xn0+(-1)*(0.012*sf_D),NA()),NA())</f>
        <v/>
      </c>
      <c r="K13">
        <f>IF(AND(inputs_ok,AND(0&lt;=n_sf,up_sf="Yes")),Hu_sf,NA())</f>
        <v/>
      </c>
      <c r="P13">
        <f>IF(inputs_ok,IF(AND(inputs_ok,AND(0&lt;=n_sf,dn_sf="Yes")),sf_xn0+(-1)*(0.012*sf_D),NA()),NA())</f>
        <v/>
      </c>
      <c r="Q13">
        <f>IF(AND(inputs_ok,AND(0&lt;=n_sf,dn_sf="Yes")),-Hd_sf,NA())</f>
        <v/>
      </c>
      <c r="AE13">
        <f>IF(inputs_ok,IF(AND(inputs_ok,AND(1&lt;=n_sf,up_sf="Yes")),sf_xn1+(-1)*(0.012*sf_D),NA()),NA())</f>
        <v/>
      </c>
      <c r="AF13">
        <f>IF(AND(inputs_ok,AND(1&lt;=n_sf,up_sf="Yes")),Hu_sf,NA())</f>
        <v/>
      </c>
      <c r="AK13">
        <f>IF(inputs_ok,IF(AND(inputs_ok,AND(1&lt;=n_sf,dn_sf="Yes")),sf_xn1+(-1)*(0.012*sf_D),NA()),NA())</f>
        <v/>
      </c>
      <c r="AL13">
        <f>IF(AND(inputs_ok,AND(1&lt;=n_sf,dn_sf="Yes")),-Hd_sf,NA())</f>
        <v/>
      </c>
      <c r="AZ13">
        <f>IF(inputs_ok,IF(AND(inputs_ok,AND(2&lt;=n_sf,up_sf="Yes")),sf_xn2+(-1)*(0.012*sf_D),NA()),NA())</f>
        <v/>
      </c>
      <c r="BA13">
        <f>IF(AND(inputs_ok,AND(2&lt;=n_sf,up_sf="Yes")),Hu_sf,NA())</f>
        <v/>
      </c>
      <c r="BF13">
        <f>IF(inputs_ok,IF(AND(inputs_ok,AND(2&lt;=n_sf,dn_sf="Yes")),sf_xn2+(-1)*(0.012*sf_D),NA()),NA())</f>
        <v/>
      </c>
      <c r="BG13">
        <f>IF(AND(inputs_ok,AND(2&lt;=n_sf,dn_sf="Yes")),-Hd_sf,NA())</f>
        <v/>
      </c>
      <c r="BU13">
        <f>IF(inputs_ok,IF(AND(inputs_ok,AND(3&lt;=n_sf,up_sf="Yes")),sf_xn3+(-1)*(0.012*sf_D),NA()),NA())</f>
        <v/>
      </c>
      <c r="BV13">
        <f>IF(AND(inputs_ok,AND(3&lt;=n_sf,up_sf="Yes")),Hu_sf,NA())</f>
        <v/>
      </c>
      <c r="CA13">
        <f>IF(inputs_ok,IF(AND(inputs_ok,AND(3&lt;=n_sf,dn_sf="Yes")),sf_xn3+(-1)*(0.012*sf_D),NA()),NA())</f>
        <v/>
      </c>
      <c r="CB13">
        <f>IF(AND(inputs_ok,AND(3&lt;=n_sf,dn_sf="Yes")),-Hd_sf,NA())</f>
        <v/>
      </c>
      <c r="CP13">
        <f>IF(inputs_ok,IF(AND(inputs_ok,AND(4&lt;=n_sf,up_sf="Yes")),sf_xn4+(-1)*(0.012*sf_D),NA()),NA())</f>
        <v/>
      </c>
      <c r="CQ13">
        <f>IF(AND(inputs_ok,AND(4&lt;=n_sf,up_sf="Yes")),Hu_sf,NA())</f>
        <v/>
      </c>
      <c r="CV13">
        <f>IF(inputs_ok,IF(AND(inputs_ok,AND(4&lt;=n_sf,dn_sf="Yes")),sf_xn4+(-1)*(0.012*sf_D),NA()),NA())</f>
        <v/>
      </c>
      <c r="CW13">
        <f>IF(AND(inputs_ok,AND(4&lt;=n_sf,dn_sf="Yes")),-Hd_sf,NA())</f>
        <v/>
      </c>
      <c r="DK13">
        <f>IF(inputs_ok,IF(AND(inputs_ok,AND(5&lt;=n_sf,up_sf="Yes")),sf_xn5+(-1)*(0.012*sf_D),NA()),NA())</f>
        <v/>
      </c>
      <c r="DL13">
        <f>IF(AND(inputs_ok,AND(5&lt;=n_sf,up_sf="Yes")),Hu_sf,NA())</f>
        <v/>
      </c>
      <c r="DQ13">
        <f>IF(inputs_ok,IF(AND(inputs_ok,AND(5&lt;=n_sf,dn_sf="Yes")),sf_xn5+(-1)*(0.012*sf_D),NA()),NA())</f>
        <v/>
      </c>
      <c r="DR13">
        <f>IF(AND(inputs_ok,AND(5&lt;=n_sf,dn_sf="Yes")),-Hd_sf,NA())</f>
        <v/>
      </c>
      <c r="EU13">
        <f>IF(inputs_ok,IF(AND(inputs_ok,sf_on1),sf_xn0+10/20*Lsf_1,NA()),NA())</f>
        <v/>
      </c>
      <c r="EV13">
        <f>IF(AND(inputs_ok,sf_on1),(-sf_Hdd-0.1*sf_D-(0.11*sf_D))-((0.11*sf_D)/sf_Mabs)*MAX((sf_ML1_1+sf_V1_1*(10/20*sf_L1)-sf_w1_1*(10/20*sf_L1)^2/2),(sf_ML2_1+sf_V2_1*(10/20*sf_L1)-sf_w2_1*(10/20*sf_L1)^2/2),(sf_ML3_1+sf_V3_1*(10/20*sf_L1)-sf_w3_1*(10/20*sf_L1)^2/2),(sf_ML4_1+sf_V4_1*(10/20*sf_L1)-sf_w4_1*(10/20*sf_L1)^2/2),(sf_ML5_1+sf_V5_1*(10/20*sf_L1)-sf_w5_1*(10/20*sf_L1)^2/2),(sf_ML6_1+sf_V6_1*(10/20*sf_L1)-sf_w6_1*(10/20*sf_L1)^2/2),(sf_ML7_1+sf_V7_1*(10/20*sf_L1)-sf_w7_1*(10/20*sf_L1)^2/2)),NA())</f>
        <v/>
      </c>
      <c r="EX13">
        <f>IF(inputs_ok,IF(AND(inputs_ok,sf_on1),sf_xn0+10/20*Lsf_1,NA()),NA())</f>
        <v/>
      </c>
      <c r="EY13">
        <f>IF(AND(inputs_ok,sf_on1),(-sf_Hdd-0.1*sf_D-(0.11*sf_D))-((0.11*sf_D)/sf_Mabs)*MIN((sf_ML1_1+sf_V1_1*(10/20*sf_L1)-sf_w1_1*(10/20*sf_L1)^2/2),(sf_ML2_1+sf_V2_1*(10/20*sf_L1)-sf_w2_1*(10/20*sf_L1)^2/2),(sf_ML3_1+sf_V3_1*(10/20*sf_L1)-sf_w3_1*(10/20*sf_L1)^2/2),(sf_ML4_1+sf_V4_1*(10/20*sf_L1)-sf_w4_1*(10/20*sf_L1)^2/2),(sf_ML5_1+sf_V5_1*(10/20*sf_L1)-sf_w5_1*(10/20*sf_L1)^2/2),(sf_ML6_1+sf_V6_1*(10/20*sf_L1)-sf_w6_1*(10/20*sf_L1)^2/2),(sf_ML7_1+sf_V7_1*(10/20*sf_L1)-sf_w7_1*(10/20*sf_L1)^2/2)),NA())</f>
        <v/>
      </c>
    </row>
    <row r="14">
      <c r="J14">
        <f>IF(inputs_ok,IF(AND(inputs_ok,AND(0&lt;=n_sf,up_sf="Yes")),sf_xn0+(-2)*(0.012*sf_D),NA()),NA())</f>
        <v/>
      </c>
      <c r="K14">
        <f>IF(AND(inputs_ok,AND(0&lt;=n_sf,up_sf="Yes")),Hu_sf+(1)*(0.012*sf_D),NA())</f>
        <v/>
      </c>
      <c r="P14">
        <f>IF(inputs_ok,IF(AND(inputs_ok,AND(0&lt;=n_sf,dn_sf="Yes")),sf_xn0+(-2)*(0.012*sf_D),NA()),NA())</f>
        <v/>
      </c>
      <c r="Q14">
        <f>IF(AND(inputs_ok,AND(0&lt;=n_sf,dn_sf="Yes")),-Hd_sf+(-1)*(0.012*sf_D),NA())</f>
        <v/>
      </c>
      <c r="AE14">
        <f>IF(inputs_ok,IF(AND(inputs_ok,AND(1&lt;=n_sf,up_sf="Yes")),sf_xn1+(-2)*(0.012*sf_D),NA()),NA())</f>
        <v/>
      </c>
      <c r="AF14">
        <f>IF(AND(inputs_ok,AND(1&lt;=n_sf,up_sf="Yes")),Hu_sf+(1)*(0.012*sf_D),NA())</f>
        <v/>
      </c>
      <c r="AK14">
        <f>IF(inputs_ok,IF(AND(inputs_ok,AND(1&lt;=n_sf,dn_sf="Yes")),sf_xn1+(-2)*(0.012*sf_D),NA()),NA())</f>
        <v/>
      </c>
      <c r="AL14">
        <f>IF(AND(inputs_ok,AND(1&lt;=n_sf,dn_sf="Yes")),-Hd_sf+(-1)*(0.012*sf_D),NA())</f>
        <v/>
      </c>
      <c r="AZ14">
        <f>IF(inputs_ok,IF(AND(inputs_ok,AND(2&lt;=n_sf,up_sf="Yes")),sf_xn2+(-2)*(0.012*sf_D),NA()),NA())</f>
        <v/>
      </c>
      <c r="BA14">
        <f>IF(AND(inputs_ok,AND(2&lt;=n_sf,up_sf="Yes")),Hu_sf+(1)*(0.012*sf_D),NA())</f>
        <v/>
      </c>
      <c r="BF14">
        <f>IF(inputs_ok,IF(AND(inputs_ok,AND(2&lt;=n_sf,dn_sf="Yes")),sf_xn2+(-2)*(0.012*sf_D),NA()),NA())</f>
        <v/>
      </c>
      <c r="BG14">
        <f>IF(AND(inputs_ok,AND(2&lt;=n_sf,dn_sf="Yes")),-Hd_sf+(-1)*(0.012*sf_D),NA())</f>
        <v/>
      </c>
      <c r="BU14">
        <f>IF(inputs_ok,IF(AND(inputs_ok,AND(3&lt;=n_sf,up_sf="Yes")),sf_xn3+(-2)*(0.012*sf_D),NA()),NA())</f>
        <v/>
      </c>
      <c r="BV14">
        <f>IF(AND(inputs_ok,AND(3&lt;=n_sf,up_sf="Yes")),Hu_sf+(1)*(0.012*sf_D),NA())</f>
        <v/>
      </c>
      <c r="CA14">
        <f>IF(inputs_ok,IF(AND(inputs_ok,AND(3&lt;=n_sf,dn_sf="Yes")),sf_xn3+(-2)*(0.012*sf_D),NA()),NA())</f>
        <v/>
      </c>
      <c r="CB14">
        <f>IF(AND(inputs_ok,AND(3&lt;=n_sf,dn_sf="Yes")),-Hd_sf+(-1)*(0.012*sf_D),NA())</f>
        <v/>
      </c>
      <c r="CP14">
        <f>IF(inputs_ok,IF(AND(inputs_ok,AND(4&lt;=n_sf,up_sf="Yes")),sf_xn4+(-2)*(0.012*sf_D),NA()),NA())</f>
        <v/>
      </c>
      <c r="CQ14">
        <f>IF(AND(inputs_ok,AND(4&lt;=n_sf,up_sf="Yes")),Hu_sf+(1)*(0.012*sf_D),NA())</f>
        <v/>
      </c>
      <c r="CV14">
        <f>IF(inputs_ok,IF(AND(inputs_ok,AND(4&lt;=n_sf,dn_sf="Yes")),sf_xn4+(-2)*(0.012*sf_D),NA()),NA())</f>
        <v/>
      </c>
      <c r="CW14">
        <f>IF(AND(inputs_ok,AND(4&lt;=n_sf,dn_sf="Yes")),-Hd_sf+(-1)*(0.012*sf_D),NA())</f>
        <v/>
      </c>
      <c r="DK14">
        <f>IF(inputs_ok,IF(AND(inputs_ok,AND(5&lt;=n_sf,up_sf="Yes")),sf_xn5+(-2)*(0.012*sf_D),NA()),NA())</f>
        <v/>
      </c>
      <c r="DL14">
        <f>IF(AND(inputs_ok,AND(5&lt;=n_sf,up_sf="Yes")),Hu_sf+(1)*(0.012*sf_D),NA())</f>
        <v/>
      </c>
      <c r="DQ14">
        <f>IF(inputs_ok,IF(AND(inputs_ok,AND(5&lt;=n_sf,dn_sf="Yes")),sf_xn5+(-2)*(0.012*sf_D),NA()),NA())</f>
        <v/>
      </c>
      <c r="DR14">
        <f>IF(AND(inputs_ok,AND(5&lt;=n_sf,dn_sf="Yes")),-Hd_sf+(-1)*(0.012*sf_D),NA())</f>
        <v/>
      </c>
      <c r="EU14">
        <f>IF(inputs_ok,IF(AND(inputs_ok,sf_on1),sf_xn0+11/20*Lsf_1,NA()),NA())</f>
        <v/>
      </c>
      <c r="EV14">
        <f>IF(AND(inputs_ok,sf_on1),(-sf_Hdd-0.1*sf_D-(0.11*sf_D))-((0.11*sf_D)/sf_Mabs)*MAX((sf_ML1_1+sf_V1_1*(11/20*sf_L1)-sf_w1_1*(11/20*sf_L1)^2/2),(sf_ML2_1+sf_V2_1*(11/20*sf_L1)-sf_w2_1*(11/20*sf_L1)^2/2),(sf_ML3_1+sf_V3_1*(11/20*sf_L1)-sf_w3_1*(11/20*sf_L1)^2/2),(sf_ML4_1+sf_V4_1*(11/20*sf_L1)-sf_w4_1*(11/20*sf_L1)^2/2),(sf_ML5_1+sf_V5_1*(11/20*sf_L1)-sf_w5_1*(11/20*sf_L1)^2/2),(sf_ML6_1+sf_V6_1*(11/20*sf_L1)-sf_w6_1*(11/20*sf_L1)^2/2),(sf_ML7_1+sf_V7_1*(11/20*sf_L1)-sf_w7_1*(11/20*sf_L1)^2/2)),NA())</f>
        <v/>
      </c>
      <c r="EX14">
        <f>IF(inputs_ok,IF(AND(inputs_ok,sf_on1),sf_xn0+11/20*Lsf_1,NA()),NA())</f>
        <v/>
      </c>
      <c r="EY14">
        <f>IF(AND(inputs_ok,sf_on1),(-sf_Hdd-0.1*sf_D-(0.11*sf_D))-((0.11*sf_D)/sf_Mabs)*MIN((sf_ML1_1+sf_V1_1*(11/20*sf_L1)-sf_w1_1*(11/20*sf_L1)^2/2),(sf_ML2_1+sf_V2_1*(11/20*sf_L1)-sf_w2_1*(11/20*sf_L1)^2/2),(sf_ML3_1+sf_V3_1*(11/20*sf_L1)-sf_w3_1*(11/20*sf_L1)^2/2),(sf_ML4_1+sf_V4_1*(11/20*sf_L1)-sf_w4_1*(11/20*sf_L1)^2/2),(sf_ML5_1+sf_V5_1*(11/20*sf_L1)-sf_w5_1*(11/20*sf_L1)^2/2),(sf_ML6_1+sf_V6_1*(11/20*sf_L1)-sf_w6_1*(11/20*sf_L1)^2/2),(sf_ML7_1+sf_V7_1*(11/20*sf_L1)-sf_w7_1*(11/20*sf_L1)^2/2)),NA())</f>
        <v/>
      </c>
    </row>
    <row r="15">
      <c r="J15">
        <f>IF(inputs_ok,IF(AND(inputs_ok,AND(0&lt;=n_sf,up_sf="Yes")),sf_xn0+(-1)*(0.012*sf_D),NA()),NA())</f>
        <v/>
      </c>
      <c r="K15">
        <f>IF(AND(inputs_ok,AND(0&lt;=n_sf,up_sf="Yes")),Hu_sf,NA())</f>
        <v/>
      </c>
      <c r="P15">
        <f>IF(inputs_ok,IF(AND(inputs_ok,AND(0&lt;=n_sf,dn_sf="Yes")),sf_xn0+(-1)*(0.012*sf_D),NA()),NA())</f>
        <v/>
      </c>
      <c r="Q15">
        <f>IF(AND(inputs_ok,AND(0&lt;=n_sf,dn_sf="Yes")),-Hd_sf,NA())</f>
        <v/>
      </c>
      <c r="AE15">
        <f>IF(inputs_ok,IF(AND(inputs_ok,AND(1&lt;=n_sf,up_sf="Yes")),sf_xn1+(-1)*(0.012*sf_D),NA()),NA())</f>
        <v/>
      </c>
      <c r="AF15">
        <f>IF(AND(inputs_ok,AND(1&lt;=n_sf,up_sf="Yes")),Hu_sf,NA())</f>
        <v/>
      </c>
      <c r="AK15">
        <f>IF(inputs_ok,IF(AND(inputs_ok,AND(1&lt;=n_sf,dn_sf="Yes")),sf_xn1+(-1)*(0.012*sf_D),NA()),NA())</f>
        <v/>
      </c>
      <c r="AL15">
        <f>IF(AND(inputs_ok,AND(1&lt;=n_sf,dn_sf="Yes")),-Hd_sf,NA())</f>
        <v/>
      </c>
      <c r="AZ15">
        <f>IF(inputs_ok,IF(AND(inputs_ok,AND(2&lt;=n_sf,up_sf="Yes")),sf_xn2+(-1)*(0.012*sf_D),NA()),NA())</f>
        <v/>
      </c>
      <c r="BA15">
        <f>IF(AND(inputs_ok,AND(2&lt;=n_sf,up_sf="Yes")),Hu_sf,NA())</f>
        <v/>
      </c>
      <c r="BF15">
        <f>IF(inputs_ok,IF(AND(inputs_ok,AND(2&lt;=n_sf,dn_sf="Yes")),sf_xn2+(-1)*(0.012*sf_D),NA()),NA())</f>
        <v/>
      </c>
      <c r="BG15">
        <f>IF(AND(inputs_ok,AND(2&lt;=n_sf,dn_sf="Yes")),-Hd_sf,NA())</f>
        <v/>
      </c>
      <c r="BU15">
        <f>IF(inputs_ok,IF(AND(inputs_ok,AND(3&lt;=n_sf,up_sf="Yes")),sf_xn3+(-1)*(0.012*sf_D),NA()),NA())</f>
        <v/>
      </c>
      <c r="BV15">
        <f>IF(AND(inputs_ok,AND(3&lt;=n_sf,up_sf="Yes")),Hu_sf,NA())</f>
        <v/>
      </c>
      <c r="CA15">
        <f>IF(inputs_ok,IF(AND(inputs_ok,AND(3&lt;=n_sf,dn_sf="Yes")),sf_xn3+(-1)*(0.012*sf_D),NA()),NA())</f>
        <v/>
      </c>
      <c r="CB15">
        <f>IF(AND(inputs_ok,AND(3&lt;=n_sf,dn_sf="Yes")),-Hd_sf,NA())</f>
        <v/>
      </c>
      <c r="CP15">
        <f>IF(inputs_ok,IF(AND(inputs_ok,AND(4&lt;=n_sf,up_sf="Yes")),sf_xn4+(-1)*(0.012*sf_D),NA()),NA())</f>
        <v/>
      </c>
      <c r="CQ15">
        <f>IF(AND(inputs_ok,AND(4&lt;=n_sf,up_sf="Yes")),Hu_sf,NA())</f>
        <v/>
      </c>
      <c r="CV15">
        <f>IF(inputs_ok,IF(AND(inputs_ok,AND(4&lt;=n_sf,dn_sf="Yes")),sf_xn4+(-1)*(0.012*sf_D),NA()),NA())</f>
        <v/>
      </c>
      <c r="CW15">
        <f>IF(AND(inputs_ok,AND(4&lt;=n_sf,dn_sf="Yes")),-Hd_sf,NA())</f>
        <v/>
      </c>
      <c r="DK15">
        <f>IF(inputs_ok,IF(AND(inputs_ok,AND(5&lt;=n_sf,up_sf="Yes")),sf_xn5+(-1)*(0.012*sf_D),NA()),NA())</f>
        <v/>
      </c>
      <c r="DL15">
        <f>IF(AND(inputs_ok,AND(5&lt;=n_sf,up_sf="Yes")),Hu_sf,NA())</f>
        <v/>
      </c>
      <c r="DQ15">
        <f>IF(inputs_ok,IF(AND(inputs_ok,AND(5&lt;=n_sf,dn_sf="Yes")),sf_xn5+(-1)*(0.012*sf_D),NA()),NA())</f>
        <v/>
      </c>
      <c r="DR15">
        <f>IF(AND(inputs_ok,AND(5&lt;=n_sf,dn_sf="Yes")),-Hd_sf,NA())</f>
        <v/>
      </c>
      <c r="EU15">
        <f>IF(inputs_ok,IF(AND(inputs_ok,sf_on1),sf_xn0+12/20*Lsf_1,NA()),NA())</f>
        <v/>
      </c>
      <c r="EV15">
        <f>IF(AND(inputs_ok,sf_on1),(-sf_Hdd-0.1*sf_D-(0.11*sf_D))-((0.11*sf_D)/sf_Mabs)*MAX((sf_ML1_1+sf_V1_1*(12/20*sf_L1)-sf_w1_1*(12/20*sf_L1)^2/2),(sf_ML2_1+sf_V2_1*(12/20*sf_L1)-sf_w2_1*(12/20*sf_L1)^2/2),(sf_ML3_1+sf_V3_1*(12/20*sf_L1)-sf_w3_1*(12/20*sf_L1)^2/2),(sf_ML4_1+sf_V4_1*(12/20*sf_L1)-sf_w4_1*(12/20*sf_L1)^2/2),(sf_ML5_1+sf_V5_1*(12/20*sf_L1)-sf_w5_1*(12/20*sf_L1)^2/2),(sf_ML6_1+sf_V6_1*(12/20*sf_L1)-sf_w6_1*(12/20*sf_L1)^2/2),(sf_ML7_1+sf_V7_1*(12/20*sf_L1)-sf_w7_1*(12/20*sf_L1)^2/2)),NA())</f>
        <v/>
      </c>
      <c r="EX15">
        <f>IF(inputs_ok,IF(AND(inputs_ok,sf_on1),sf_xn0+12/20*Lsf_1,NA()),NA())</f>
        <v/>
      </c>
      <c r="EY15">
        <f>IF(AND(inputs_ok,sf_on1),(-sf_Hdd-0.1*sf_D-(0.11*sf_D))-((0.11*sf_D)/sf_Mabs)*MIN((sf_ML1_1+sf_V1_1*(12/20*sf_L1)-sf_w1_1*(12/20*sf_L1)^2/2),(sf_ML2_1+sf_V2_1*(12/20*sf_L1)-sf_w2_1*(12/20*sf_L1)^2/2),(sf_ML3_1+sf_V3_1*(12/20*sf_L1)-sf_w3_1*(12/20*sf_L1)^2/2),(sf_ML4_1+sf_V4_1*(12/20*sf_L1)-sf_w4_1*(12/20*sf_L1)^2/2),(sf_ML5_1+sf_V5_1*(12/20*sf_L1)-sf_w5_1*(12/20*sf_L1)^2/2),(sf_ML6_1+sf_V6_1*(12/20*sf_L1)-sf_w6_1*(12/20*sf_L1)^2/2),(sf_ML7_1+sf_V7_1*(12/20*sf_L1)-sf_w7_1*(12/20*sf_L1)^2/2)),NA())</f>
        <v/>
      </c>
    </row>
    <row r="16">
      <c r="EU16">
        <f>IF(inputs_ok,IF(AND(inputs_ok,sf_on1),sf_xn0+13/20*Lsf_1,NA()),NA())</f>
        <v/>
      </c>
      <c r="EV16">
        <f>IF(AND(inputs_ok,sf_on1),(-sf_Hdd-0.1*sf_D-(0.11*sf_D))-((0.11*sf_D)/sf_Mabs)*MAX((sf_ML1_1+sf_V1_1*(13/20*sf_L1)-sf_w1_1*(13/20*sf_L1)^2/2),(sf_ML2_1+sf_V2_1*(13/20*sf_L1)-sf_w2_1*(13/20*sf_L1)^2/2),(sf_ML3_1+sf_V3_1*(13/20*sf_L1)-sf_w3_1*(13/20*sf_L1)^2/2),(sf_ML4_1+sf_V4_1*(13/20*sf_L1)-sf_w4_1*(13/20*sf_L1)^2/2),(sf_ML5_1+sf_V5_1*(13/20*sf_L1)-sf_w5_1*(13/20*sf_L1)^2/2),(sf_ML6_1+sf_V6_1*(13/20*sf_L1)-sf_w6_1*(13/20*sf_L1)^2/2),(sf_ML7_1+sf_V7_1*(13/20*sf_L1)-sf_w7_1*(13/20*sf_L1)^2/2)),NA())</f>
        <v/>
      </c>
      <c r="EX16">
        <f>IF(inputs_ok,IF(AND(inputs_ok,sf_on1),sf_xn0+13/20*Lsf_1,NA()),NA())</f>
        <v/>
      </c>
      <c r="EY16">
        <f>IF(AND(inputs_ok,sf_on1),(-sf_Hdd-0.1*sf_D-(0.11*sf_D))-((0.11*sf_D)/sf_Mabs)*MIN((sf_ML1_1+sf_V1_1*(13/20*sf_L1)-sf_w1_1*(13/20*sf_L1)^2/2),(sf_ML2_1+sf_V2_1*(13/20*sf_L1)-sf_w2_1*(13/20*sf_L1)^2/2),(sf_ML3_1+sf_V3_1*(13/20*sf_L1)-sf_w3_1*(13/20*sf_L1)^2/2),(sf_ML4_1+sf_V4_1*(13/20*sf_L1)-sf_w4_1*(13/20*sf_L1)^2/2),(sf_ML5_1+sf_V5_1*(13/20*sf_L1)-sf_w5_1*(13/20*sf_L1)^2/2),(sf_ML6_1+sf_V6_1*(13/20*sf_L1)-sf_w6_1*(13/20*sf_L1)^2/2),(sf_ML7_1+sf_V7_1*(13/20*sf_L1)-sf_w7_1*(13/20*sf_L1)^2/2)),NA())</f>
        <v/>
      </c>
    </row>
    <row r="17">
      <c r="EU17">
        <f>IF(inputs_ok,IF(AND(inputs_ok,sf_on1),sf_xn0+14/20*Lsf_1,NA()),NA())</f>
        <v/>
      </c>
      <c r="EV17">
        <f>IF(AND(inputs_ok,sf_on1),(-sf_Hdd-0.1*sf_D-(0.11*sf_D))-((0.11*sf_D)/sf_Mabs)*MAX((sf_ML1_1+sf_V1_1*(14/20*sf_L1)-sf_w1_1*(14/20*sf_L1)^2/2),(sf_ML2_1+sf_V2_1*(14/20*sf_L1)-sf_w2_1*(14/20*sf_L1)^2/2),(sf_ML3_1+sf_V3_1*(14/20*sf_L1)-sf_w3_1*(14/20*sf_L1)^2/2),(sf_ML4_1+sf_V4_1*(14/20*sf_L1)-sf_w4_1*(14/20*sf_L1)^2/2),(sf_ML5_1+sf_V5_1*(14/20*sf_L1)-sf_w5_1*(14/20*sf_L1)^2/2),(sf_ML6_1+sf_V6_1*(14/20*sf_L1)-sf_w6_1*(14/20*sf_L1)^2/2),(sf_ML7_1+sf_V7_1*(14/20*sf_L1)-sf_w7_1*(14/20*sf_L1)^2/2)),NA())</f>
        <v/>
      </c>
      <c r="EX17">
        <f>IF(inputs_ok,IF(AND(inputs_ok,sf_on1),sf_xn0+14/20*Lsf_1,NA()),NA())</f>
        <v/>
      </c>
      <c r="EY17">
        <f>IF(AND(inputs_ok,sf_on1),(-sf_Hdd-0.1*sf_D-(0.11*sf_D))-((0.11*sf_D)/sf_Mabs)*MIN((sf_ML1_1+sf_V1_1*(14/20*sf_L1)-sf_w1_1*(14/20*sf_L1)^2/2),(sf_ML2_1+sf_V2_1*(14/20*sf_L1)-sf_w2_1*(14/20*sf_L1)^2/2),(sf_ML3_1+sf_V3_1*(14/20*sf_L1)-sf_w3_1*(14/20*sf_L1)^2/2),(sf_ML4_1+sf_V4_1*(14/20*sf_L1)-sf_w4_1*(14/20*sf_L1)^2/2),(sf_ML5_1+sf_V5_1*(14/20*sf_L1)-sf_w5_1*(14/20*sf_L1)^2/2),(sf_ML6_1+sf_V6_1*(14/20*sf_L1)-sf_w6_1*(14/20*sf_L1)^2/2),(sf_ML7_1+sf_V7_1*(14/20*sf_L1)-sf_w7_1*(14/20*sf_L1)^2/2)),NA())</f>
        <v/>
      </c>
    </row>
    <row r="18">
      <c r="EU18">
        <f>IF(inputs_ok,IF(AND(inputs_ok,sf_on1),sf_xn0+15/20*Lsf_1,NA()),NA())</f>
        <v/>
      </c>
      <c r="EV18">
        <f>IF(AND(inputs_ok,sf_on1),(-sf_Hdd-0.1*sf_D-(0.11*sf_D))-((0.11*sf_D)/sf_Mabs)*MAX((sf_ML1_1+sf_V1_1*(15/20*sf_L1)-sf_w1_1*(15/20*sf_L1)^2/2),(sf_ML2_1+sf_V2_1*(15/20*sf_L1)-sf_w2_1*(15/20*sf_L1)^2/2),(sf_ML3_1+sf_V3_1*(15/20*sf_L1)-sf_w3_1*(15/20*sf_L1)^2/2),(sf_ML4_1+sf_V4_1*(15/20*sf_L1)-sf_w4_1*(15/20*sf_L1)^2/2),(sf_ML5_1+sf_V5_1*(15/20*sf_L1)-sf_w5_1*(15/20*sf_L1)^2/2),(sf_ML6_1+sf_V6_1*(15/20*sf_L1)-sf_w6_1*(15/20*sf_L1)^2/2),(sf_ML7_1+sf_V7_1*(15/20*sf_L1)-sf_w7_1*(15/20*sf_L1)^2/2)),NA())</f>
        <v/>
      </c>
      <c r="EX18">
        <f>IF(inputs_ok,IF(AND(inputs_ok,sf_on1),sf_xn0+15/20*Lsf_1,NA()),NA())</f>
        <v/>
      </c>
      <c r="EY18">
        <f>IF(AND(inputs_ok,sf_on1),(-sf_Hdd-0.1*sf_D-(0.11*sf_D))-((0.11*sf_D)/sf_Mabs)*MIN((sf_ML1_1+sf_V1_1*(15/20*sf_L1)-sf_w1_1*(15/20*sf_L1)^2/2),(sf_ML2_1+sf_V2_1*(15/20*sf_L1)-sf_w2_1*(15/20*sf_L1)^2/2),(sf_ML3_1+sf_V3_1*(15/20*sf_L1)-sf_w3_1*(15/20*sf_L1)^2/2),(sf_ML4_1+sf_V4_1*(15/20*sf_L1)-sf_w4_1*(15/20*sf_L1)^2/2),(sf_ML5_1+sf_V5_1*(15/20*sf_L1)-sf_w5_1*(15/20*sf_L1)^2/2),(sf_ML6_1+sf_V6_1*(15/20*sf_L1)-sf_w6_1*(15/20*sf_L1)^2/2),(sf_ML7_1+sf_V7_1*(15/20*sf_L1)-sf_w7_1*(15/20*sf_L1)^2/2)),NA())</f>
        <v/>
      </c>
    </row>
    <row r="19">
      <c r="EU19">
        <f>IF(inputs_ok,IF(AND(inputs_ok,sf_on1),sf_xn0+16/20*Lsf_1,NA()),NA())</f>
        <v/>
      </c>
      <c r="EV19">
        <f>IF(AND(inputs_ok,sf_on1),(-sf_Hdd-0.1*sf_D-(0.11*sf_D))-((0.11*sf_D)/sf_Mabs)*MAX((sf_ML1_1+sf_V1_1*(16/20*sf_L1)-sf_w1_1*(16/20*sf_L1)^2/2),(sf_ML2_1+sf_V2_1*(16/20*sf_L1)-sf_w2_1*(16/20*sf_L1)^2/2),(sf_ML3_1+sf_V3_1*(16/20*sf_L1)-sf_w3_1*(16/20*sf_L1)^2/2),(sf_ML4_1+sf_V4_1*(16/20*sf_L1)-sf_w4_1*(16/20*sf_L1)^2/2),(sf_ML5_1+sf_V5_1*(16/20*sf_L1)-sf_w5_1*(16/20*sf_L1)^2/2),(sf_ML6_1+sf_V6_1*(16/20*sf_L1)-sf_w6_1*(16/20*sf_L1)^2/2),(sf_ML7_1+sf_V7_1*(16/20*sf_L1)-sf_w7_1*(16/20*sf_L1)^2/2)),NA())</f>
        <v/>
      </c>
      <c r="EX19">
        <f>IF(inputs_ok,IF(AND(inputs_ok,sf_on1),sf_xn0+16/20*Lsf_1,NA()),NA())</f>
        <v/>
      </c>
      <c r="EY19">
        <f>IF(AND(inputs_ok,sf_on1),(-sf_Hdd-0.1*sf_D-(0.11*sf_D))-((0.11*sf_D)/sf_Mabs)*MIN((sf_ML1_1+sf_V1_1*(16/20*sf_L1)-sf_w1_1*(16/20*sf_L1)^2/2),(sf_ML2_1+sf_V2_1*(16/20*sf_L1)-sf_w2_1*(16/20*sf_L1)^2/2),(sf_ML3_1+sf_V3_1*(16/20*sf_L1)-sf_w3_1*(16/20*sf_L1)^2/2),(sf_ML4_1+sf_V4_1*(16/20*sf_L1)-sf_w4_1*(16/20*sf_L1)^2/2),(sf_ML5_1+sf_V5_1*(16/20*sf_L1)-sf_w5_1*(16/20*sf_L1)^2/2),(sf_ML6_1+sf_V6_1*(16/20*sf_L1)-sf_w6_1*(16/20*sf_L1)^2/2),(sf_ML7_1+sf_V7_1*(16/20*sf_L1)-sf_w7_1*(16/20*sf_L1)^2/2)),NA())</f>
        <v/>
      </c>
    </row>
    <row r="20">
      <c r="EU20">
        <f>IF(inputs_ok,IF(AND(inputs_ok,sf_on1),sf_xn0+17/20*Lsf_1,NA()),NA())</f>
        <v/>
      </c>
      <c r="EV20">
        <f>IF(AND(inputs_ok,sf_on1),(-sf_Hdd-0.1*sf_D-(0.11*sf_D))-((0.11*sf_D)/sf_Mabs)*MAX((sf_ML1_1+sf_V1_1*(17/20*sf_L1)-sf_w1_1*(17/20*sf_L1)^2/2),(sf_ML2_1+sf_V2_1*(17/20*sf_L1)-sf_w2_1*(17/20*sf_L1)^2/2),(sf_ML3_1+sf_V3_1*(17/20*sf_L1)-sf_w3_1*(17/20*sf_L1)^2/2),(sf_ML4_1+sf_V4_1*(17/20*sf_L1)-sf_w4_1*(17/20*sf_L1)^2/2),(sf_ML5_1+sf_V5_1*(17/20*sf_L1)-sf_w5_1*(17/20*sf_L1)^2/2),(sf_ML6_1+sf_V6_1*(17/20*sf_L1)-sf_w6_1*(17/20*sf_L1)^2/2),(sf_ML7_1+sf_V7_1*(17/20*sf_L1)-sf_w7_1*(17/20*sf_L1)^2/2)),NA())</f>
        <v/>
      </c>
      <c r="EX20">
        <f>IF(inputs_ok,IF(AND(inputs_ok,sf_on1),sf_xn0+17/20*Lsf_1,NA()),NA())</f>
        <v/>
      </c>
      <c r="EY20">
        <f>IF(AND(inputs_ok,sf_on1),(-sf_Hdd-0.1*sf_D-(0.11*sf_D))-((0.11*sf_D)/sf_Mabs)*MIN((sf_ML1_1+sf_V1_1*(17/20*sf_L1)-sf_w1_1*(17/20*sf_L1)^2/2),(sf_ML2_1+sf_V2_1*(17/20*sf_L1)-sf_w2_1*(17/20*sf_L1)^2/2),(sf_ML3_1+sf_V3_1*(17/20*sf_L1)-sf_w3_1*(17/20*sf_L1)^2/2),(sf_ML4_1+sf_V4_1*(17/20*sf_L1)-sf_w4_1*(17/20*sf_L1)^2/2),(sf_ML5_1+sf_V5_1*(17/20*sf_L1)-sf_w5_1*(17/20*sf_L1)^2/2),(sf_ML6_1+sf_V6_1*(17/20*sf_L1)-sf_w6_1*(17/20*sf_L1)^2/2),(sf_ML7_1+sf_V7_1*(17/20*sf_L1)-sf_w7_1*(17/20*sf_L1)^2/2)),NA())</f>
        <v/>
      </c>
    </row>
    <row r="21">
      <c r="EU21">
        <f>IF(inputs_ok,IF(AND(inputs_ok,sf_on1),sf_xn0+18/20*Lsf_1,NA()),NA())</f>
        <v/>
      </c>
      <c r="EV21">
        <f>IF(AND(inputs_ok,sf_on1),(-sf_Hdd-0.1*sf_D-(0.11*sf_D))-((0.11*sf_D)/sf_Mabs)*MAX((sf_ML1_1+sf_V1_1*(18/20*sf_L1)-sf_w1_1*(18/20*sf_L1)^2/2),(sf_ML2_1+sf_V2_1*(18/20*sf_L1)-sf_w2_1*(18/20*sf_L1)^2/2),(sf_ML3_1+sf_V3_1*(18/20*sf_L1)-sf_w3_1*(18/20*sf_L1)^2/2),(sf_ML4_1+sf_V4_1*(18/20*sf_L1)-sf_w4_1*(18/20*sf_L1)^2/2),(sf_ML5_1+sf_V5_1*(18/20*sf_L1)-sf_w5_1*(18/20*sf_L1)^2/2),(sf_ML6_1+sf_V6_1*(18/20*sf_L1)-sf_w6_1*(18/20*sf_L1)^2/2),(sf_ML7_1+sf_V7_1*(18/20*sf_L1)-sf_w7_1*(18/20*sf_L1)^2/2)),NA())</f>
        <v/>
      </c>
      <c r="EX21">
        <f>IF(inputs_ok,IF(AND(inputs_ok,sf_on1),sf_xn0+18/20*Lsf_1,NA()),NA())</f>
        <v/>
      </c>
      <c r="EY21">
        <f>IF(AND(inputs_ok,sf_on1),(-sf_Hdd-0.1*sf_D-(0.11*sf_D))-((0.11*sf_D)/sf_Mabs)*MIN((sf_ML1_1+sf_V1_1*(18/20*sf_L1)-sf_w1_1*(18/20*sf_L1)^2/2),(sf_ML2_1+sf_V2_1*(18/20*sf_L1)-sf_w2_1*(18/20*sf_L1)^2/2),(sf_ML3_1+sf_V3_1*(18/20*sf_L1)-sf_w3_1*(18/20*sf_L1)^2/2),(sf_ML4_1+sf_V4_1*(18/20*sf_L1)-sf_w4_1*(18/20*sf_L1)^2/2),(sf_ML5_1+sf_V5_1*(18/20*sf_L1)-sf_w5_1*(18/20*sf_L1)^2/2),(sf_ML6_1+sf_V6_1*(18/20*sf_L1)-sf_w6_1*(18/20*sf_L1)^2/2),(sf_ML7_1+sf_V7_1*(18/20*sf_L1)-sf_w7_1*(18/20*sf_L1)^2/2)),NA())</f>
        <v/>
      </c>
    </row>
    <row r="22">
      <c r="EU22">
        <f>IF(inputs_ok,IF(AND(inputs_ok,sf_on1),sf_xn0+19/20*Lsf_1,NA()),NA())</f>
        <v/>
      </c>
      <c r="EV22">
        <f>IF(AND(inputs_ok,sf_on1),(-sf_Hdd-0.1*sf_D-(0.11*sf_D))-((0.11*sf_D)/sf_Mabs)*MAX((sf_ML1_1+sf_V1_1*(19/20*sf_L1)-sf_w1_1*(19/20*sf_L1)^2/2),(sf_ML2_1+sf_V2_1*(19/20*sf_L1)-sf_w2_1*(19/20*sf_L1)^2/2),(sf_ML3_1+sf_V3_1*(19/20*sf_L1)-sf_w3_1*(19/20*sf_L1)^2/2),(sf_ML4_1+sf_V4_1*(19/20*sf_L1)-sf_w4_1*(19/20*sf_L1)^2/2),(sf_ML5_1+sf_V5_1*(19/20*sf_L1)-sf_w5_1*(19/20*sf_L1)^2/2),(sf_ML6_1+sf_V6_1*(19/20*sf_L1)-sf_w6_1*(19/20*sf_L1)^2/2),(sf_ML7_1+sf_V7_1*(19/20*sf_L1)-sf_w7_1*(19/20*sf_L1)^2/2)),NA())</f>
        <v/>
      </c>
      <c r="EX22">
        <f>IF(inputs_ok,IF(AND(inputs_ok,sf_on1),sf_xn0+19/20*Lsf_1,NA()),NA())</f>
        <v/>
      </c>
      <c r="EY22">
        <f>IF(AND(inputs_ok,sf_on1),(-sf_Hdd-0.1*sf_D-(0.11*sf_D))-((0.11*sf_D)/sf_Mabs)*MIN((sf_ML1_1+sf_V1_1*(19/20*sf_L1)-sf_w1_1*(19/20*sf_L1)^2/2),(sf_ML2_1+sf_V2_1*(19/20*sf_L1)-sf_w2_1*(19/20*sf_L1)^2/2),(sf_ML3_1+sf_V3_1*(19/20*sf_L1)-sf_w3_1*(19/20*sf_L1)^2/2),(sf_ML4_1+sf_V4_1*(19/20*sf_L1)-sf_w4_1*(19/20*sf_L1)^2/2),(sf_ML5_1+sf_V5_1*(19/20*sf_L1)-sf_w5_1*(19/20*sf_L1)^2/2),(sf_ML6_1+sf_V6_1*(19/20*sf_L1)-sf_w6_1*(19/20*sf_L1)^2/2),(sf_ML7_1+sf_V7_1*(19/20*sf_L1)-sf_w7_1*(19/20*sf_L1)^2/2)),NA())</f>
        <v/>
      </c>
    </row>
    <row r="23">
      <c r="EU23">
        <f>IF(inputs_ok,IF(AND(inputs_ok,sf_on1),sf_xn0+20/20*Lsf_1,NA()),NA())</f>
        <v/>
      </c>
      <c r="EV23">
        <f>IF(AND(inputs_ok,sf_on1),(-sf_Hdd-0.1*sf_D-(0.11*sf_D))-((0.11*sf_D)/sf_Mabs)*MAX((sf_ML1_1+sf_V1_1*(20/20*sf_L1)-sf_w1_1*(20/20*sf_L1)^2/2),(sf_ML2_1+sf_V2_1*(20/20*sf_L1)-sf_w2_1*(20/20*sf_L1)^2/2),(sf_ML3_1+sf_V3_1*(20/20*sf_L1)-sf_w3_1*(20/20*sf_L1)^2/2),(sf_ML4_1+sf_V4_1*(20/20*sf_L1)-sf_w4_1*(20/20*sf_L1)^2/2),(sf_ML5_1+sf_V5_1*(20/20*sf_L1)-sf_w5_1*(20/20*sf_L1)^2/2),(sf_ML6_1+sf_V6_1*(20/20*sf_L1)-sf_w6_1*(20/20*sf_L1)^2/2),(sf_ML7_1+sf_V7_1*(20/20*sf_L1)-sf_w7_1*(20/20*sf_L1)^2/2)),NA())</f>
        <v/>
      </c>
      <c r="EX23">
        <f>IF(inputs_ok,IF(AND(inputs_ok,sf_on1),sf_xn0+20/20*Lsf_1,NA()),NA())</f>
        <v/>
      </c>
      <c r="EY23">
        <f>IF(AND(inputs_ok,sf_on1),(-sf_Hdd-0.1*sf_D-(0.11*sf_D))-((0.11*sf_D)/sf_Mabs)*MIN((sf_ML1_1+sf_V1_1*(20/20*sf_L1)-sf_w1_1*(20/20*sf_L1)^2/2),(sf_ML2_1+sf_V2_1*(20/20*sf_L1)-sf_w2_1*(20/20*sf_L1)^2/2),(sf_ML3_1+sf_V3_1*(20/20*sf_L1)-sf_w3_1*(20/20*sf_L1)^2/2),(sf_ML4_1+sf_V4_1*(20/20*sf_L1)-sf_w4_1*(20/20*sf_L1)^2/2),(sf_ML5_1+sf_V5_1*(20/20*sf_L1)-sf_w5_1*(20/20*sf_L1)^2/2),(sf_ML6_1+sf_V6_1*(20/20*sf_L1)-sf_w6_1*(20/20*sf_L1)^2/2),(sf_ML7_1+sf_V7_1*(20/20*sf_L1)-sf_w7_1*(20/20*sf_L1)^2/2)),NA())</f>
        <v/>
      </c>
    </row>
    <row r="24">
      <c r="EU24">
        <f>IF(inputs_ok,IF(AND(inputs_ok,sf_on2),sf_xn1+0/20*Lsf_2,NA()),NA())</f>
        <v/>
      </c>
      <c r="EV24">
        <f>IF(AND(inputs_ok,sf_on2),(-sf_Hdd-0.1*sf_D-(0.11*sf_D))-((0.11*sf_D)/sf_Mabs)*MAX((sf_ML1_2+sf_V1_2*(0/20*sf_L2)-sf_w1_2*(0/20*sf_L2)^2/2),(sf_ML2_2+sf_V2_2*(0/20*sf_L2)-sf_w2_2*(0/20*sf_L2)^2/2),(sf_ML3_2+sf_V3_2*(0/20*sf_L2)-sf_w3_2*(0/20*sf_L2)^2/2),(sf_ML4_2+sf_V4_2*(0/20*sf_L2)-sf_w4_2*(0/20*sf_L2)^2/2),(sf_ML5_2+sf_V5_2*(0/20*sf_L2)-sf_w5_2*(0/20*sf_L2)^2/2),(sf_ML6_2+sf_V6_2*(0/20*sf_L2)-sf_w6_2*(0/20*sf_L2)^2/2),(sf_ML7_2+sf_V7_2*(0/20*sf_L2)-sf_w7_2*(0/20*sf_L2)^2/2)),NA())</f>
        <v/>
      </c>
      <c r="EX24">
        <f>IF(inputs_ok,IF(AND(inputs_ok,sf_on2),sf_xn1+0/20*Lsf_2,NA()),NA())</f>
        <v/>
      </c>
      <c r="EY24">
        <f>IF(AND(inputs_ok,sf_on2),(-sf_Hdd-0.1*sf_D-(0.11*sf_D))-((0.11*sf_D)/sf_Mabs)*MIN((sf_ML1_2+sf_V1_2*(0/20*sf_L2)-sf_w1_2*(0/20*sf_L2)^2/2),(sf_ML2_2+sf_V2_2*(0/20*sf_L2)-sf_w2_2*(0/20*sf_L2)^2/2),(sf_ML3_2+sf_V3_2*(0/20*sf_L2)-sf_w3_2*(0/20*sf_L2)^2/2),(sf_ML4_2+sf_V4_2*(0/20*sf_L2)-sf_w4_2*(0/20*sf_L2)^2/2),(sf_ML5_2+sf_V5_2*(0/20*sf_L2)-sf_w5_2*(0/20*sf_L2)^2/2),(sf_ML6_2+sf_V6_2*(0/20*sf_L2)-sf_w6_2*(0/20*sf_L2)^2/2),(sf_ML7_2+sf_V7_2*(0/20*sf_L2)-sf_w7_2*(0/20*sf_L2)^2/2)),NA())</f>
        <v/>
      </c>
    </row>
    <row r="25">
      <c r="EU25">
        <f>IF(inputs_ok,IF(AND(inputs_ok,sf_on2),sf_xn1+1/20*Lsf_2,NA()),NA())</f>
        <v/>
      </c>
      <c r="EV25">
        <f>IF(AND(inputs_ok,sf_on2),(-sf_Hdd-0.1*sf_D-(0.11*sf_D))-((0.11*sf_D)/sf_Mabs)*MAX((sf_ML1_2+sf_V1_2*(1/20*sf_L2)-sf_w1_2*(1/20*sf_L2)^2/2),(sf_ML2_2+sf_V2_2*(1/20*sf_L2)-sf_w2_2*(1/20*sf_L2)^2/2),(sf_ML3_2+sf_V3_2*(1/20*sf_L2)-sf_w3_2*(1/20*sf_L2)^2/2),(sf_ML4_2+sf_V4_2*(1/20*sf_L2)-sf_w4_2*(1/20*sf_L2)^2/2),(sf_ML5_2+sf_V5_2*(1/20*sf_L2)-sf_w5_2*(1/20*sf_L2)^2/2),(sf_ML6_2+sf_V6_2*(1/20*sf_L2)-sf_w6_2*(1/20*sf_L2)^2/2),(sf_ML7_2+sf_V7_2*(1/20*sf_L2)-sf_w7_2*(1/20*sf_L2)^2/2)),NA())</f>
        <v/>
      </c>
      <c r="EX25">
        <f>IF(inputs_ok,IF(AND(inputs_ok,sf_on2),sf_xn1+1/20*Lsf_2,NA()),NA())</f>
        <v/>
      </c>
      <c r="EY25">
        <f>IF(AND(inputs_ok,sf_on2),(-sf_Hdd-0.1*sf_D-(0.11*sf_D))-((0.11*sf_D)/sf_Mabs)*MIN((sf_ML1_2+sf_V1_2*(1/20*sf_L2)-sf_w1_2*(1/20*sf_L2)^2/2),(sf_ML2_2+sf_V2_2*(1/20*sf_L2)-sf_w2_2*(1/20*sf_L2)^2/2),(sf_ML3_2+sf_V3_2*(1/20*sf_L2)-sf_w3_2*(1/20*sf_L2)^2/2),(sf_ML4_2+sf_V4_2*(1/20*sf_L2)-sf_w4_2*(1/20*sf_L2)^2/2),(sf_ML5_2+sf_V5_2*(1/20*sf_L2)-sf_w5_2*(1/20*sf_L2)^2/2),(sf_ML6_2+sf_V6_2*(1/20*sf_L2)-sf_w6_2*(1/20*sf_L2)^2/2),(sf_ML7_2+sf_V7_2*(1/20*sf_L2)-sf_w7_2*(1/20*sf_L2)^2/2)),NA())</f>
        <v/>
      </c>
    </row>
    <row r="26">
      <c r="EU26">
        <f>IF(inputs_ok,IF(AND(inputs_ok,sf_on2),sf_xn1+2/20*Lsf_2,NA()),NA())</f>
        <v/>
      </c>
      <c r="EV26">
        <f>IF(AND(inputs_ok,sf_on2),(-sf_Hdd-0.1*sf_D-(0.11*sf_D))-((0.11*sf_D)/sf_Mabs)*MAX((sf_ML1_2+sf_V1_2*(2/20*sf_L2)-sf_w1_2*(2/20*sf_L2)^2/2),(sf_ML2_2+sf_V2_2*(2/20*sf_L2)-sf_w2_2*(2/20*sf_L2)^2/2),(sf_ML3_2+sf_V3_2*(2/20*sf_L2)-sf_w3_2*(2/20*sf_L2)^2/2),(sf_ML4_2+sf_V4_2*(2/20*sf_L2)-sf_w4_2*(2/20*sf_L2)^2/2),(sf_ML5_2+sf_V5_2*(2/20*sf_L2)-sf_w5_2*(2/20*sf_L2)^2/2),(sf_ML6_2+sf_V6_2*(2/20*sf_L2)-sf_w6_2*(2/20*sf_L2)^2/2),(sf_ML7_2+sf_V7_2*(2/20*sf_L2)-sf_w7_2*(2/20*sf_L2)^2/2)),NA())</f>
        <v/>
      </c>
      <c r="EX26">
        <f>IF(inputs_ok,IF(AND(inputs_ok,sf_on2),sf_xn1+2/20*Lsf_2,NA()),NA())</f>
        <v/>
      </c>
      <c r="EY26">
        <f>IF(AND(inputs_ok,sf_on2),(-sf_Hdd-0.1*sf_D-(0.11*sf_D))-((0.11*sf_D)/sf_Mabs)*MIN((sf_ML1_2+sf_V1_2*(2/20*sf_L2)-sf_w1_2*(2/20*sf_L2)^2/2),(sf_ML2_2+sf_V2_2*(2/20*sf_L2)-sf_w2_2*(2/20*sf_L2)^2/2),(sf_ML3_2+sf_V3_2*(2/20*sf_L2)-sf_w3_2*(2/20*sf_L2)^2/2),(sf_ML4_2+sf_V4_2*(2/20*sf_L2)-sf_w4_2*(2/20*sf_L2)^2/2),(sf_ML5_2+sf_V5_2*(2/20*sf_L2)-sf_w5_2*(2/20*sf_L2)^2/2),(sf_ML6_2+sf_V6_2*(2/20*sf_L2)-sf_w6_2*(2/20*sf_L2)^2/2),(sf_ML7_2+sf_V7_2*(2/20*sf_L2)-sf_w7_2*(2/20*sf_L2)^2/2)),NA())</f>
        <v/>
      </c>
    </row>
    <row r="27">
      <c r="EU27">
        <f>IF(inputs_ok,IF(AND(inputs_ok,sf_on2),sf_xn1+3/20*Lsf_2,NA()),NA())</f>
        <v/>
      </c>
      <c r="EV27">
        <f>IF(AND(inputs_ok,sf_on2),(-sf_Hdd-0.1*sf_D-(0.11*sf_D))-((0.11*sf_D)/sf_Mabs)*MAX((sf_ML1_2+sf_V1_2*(3/20*sf_L2)-sf_w1_2*(3/20*sf_L2)^2/2),(sf_ML2_2+sf_V2_2*(3/20*sf_L2)-sf_w2_2*(3/20*sf_L2)^2/2),(sf_ML3_2+sf_V3_2*(3/20*sf_L2)-sf_w3_2*(3/20*sf_L2)^2/2),(sf_ML4_2+sf_V4_2*(3/20*sf_L2)-sf_w4_2*(3/20*sf_L2)^2/2),(sf_ML5_2+sf_V5_2*(3/20*sf_L2)-sf_w5_2*(3/20*sf_L2)^2/2),(sf_ML6_2+sf_V6_2*(3/20*sf_L2)-sf_w6_2*(3/20*sf_L2)^2/2),(sf_ML7_2+sf_V7_2*(3/20*sf_L2)-sf_w7_2*(3/20*sf_L2)^2/2)),NA())</f>
        <v/>
      </c>
      <c r="EX27">
        <f>IF(inputs_ok,IF(AND(inputs_ok,sf_on2),sf_xn1+3/20*Lsf_2,NA()),NA())</f>
        <v/>
      </c>
      <c r="EY27">
        <f>IF(AND(inputs_ok,sf_on2),(-sf_Hdd-0.1*sf_D-(0.11*sf_D))-((0.11*sf_D)/sf_Mabs)*MIN((sf_ML1_2+sf_V1_2*(3/20*sf_L2)-sf_w1_2*(3/20*sf_L2)^2/2),(sf_ML2_2+sf_V2_2*(3/20*sf_L2)-sf_w2_2*(3/20*sf_L2)^2/2),(sf_ML3_2+sf_V3_2*(3/20*sf_L2)-sf_w3_2*(3/20*sf_L2)^2/2),(sf_ML4_2+sf_V4_2*(3/20*sf_L2)-sf_w4_2*(3/20*sf_L2)^2/2),(sf_ML5_2+sf_V5_2*(3/20*sf_L2)-sf_w5_2*(3/20*sf_L2)^2/2),(sf_ML6_2+sf_V6_2*(3/20*sf_L2)-sf_w6_2*(3/20*sf_L2)^2/2),(sf_ML7_2+sf_V7_2*(3/20*sf_L2)-sf_w7_2*(3/20*sf_L2)^2/2)),NA())</f>
        <v/>
      </c>
    </row>
    <row r="28">
      <c r="EU28">
        <f>IF(inputs_ok,IF(AND(inputs_ok,sf_on2),sf_xn1+4/20*Lsf_2,NA()),NA())</f>
        <v/>
      </c>
      <c r="EV28">
        <f>IF(AND(inputs_ok,sf_on2),(-sf_Hdd-0.1*sf_D-(0.11*sf_D))-((0.11*sf_D)/sf_Mabs)*MAX((sf_ML1_2+sf_V1_2*(4/20*sf_L2)-sf_w1_2*(4/20*sf_L2)^2/2),(sf_ML2_2+sf_V2_2*(4/20*sf_L2)-sf_w2_2*(4/20*sf_L2)^2/2),(sf_ML3_2+sf_V3_2*(4/20*sf_L2)-sf_w3_2*(4/20*sf_L2)^2/2),(sf_ML4_2+sf_V4_2*(4/20*sf_L2)-sf_w4_2*(4/20*sf_L2)^2/2),(sf_ML5_2+sf_V5_2*(4/20*sf_L2)-sf_w5_2*(4/20*sf_L2)^2/2),(sf_ML6_2+sf_V6_2*(4/20*sf_L2)-sf_w6_2*(4/20*sf_L2)^2/2),(sf_ML7_2+sf_V7_2*(4/20*sf_L2)-sf_w7_2*(4/20*sf_L2)^2/2)),NA())</f>
        <v/>
      </c>
      <c r="EX28">
        <f>IF(inputs_ok,IF(AND(inputs_ok,sf_on2),sf_xn1+4/20*Lsf_2,NA()),NA())</f>
        <v/>
      </c>
      <c r="EY28">
        <f>IF(AND(inputs_ok,sf_on2),(-sf_Hdd-0.1*sf_D-(0.11*sf_D))-((0.11*sf_D)/sf_Mabs)*MIN((sf_ML1_2+sf_V1_2*(4/20*sf_L2)-sf_w1_2*(4/20*sf_L2)^2/2),(sf_ML2_2+sf_V2_2*(4/20*sf_L2)-sf_w2_2*(4/20*sf_L2)^2/2),(sf_ML3_2+sf_V3_2*(4/20*sf_L2)-sf_w3_2*(4/20*sf_L2)^2/2),(sf_ML4_2+sf_V4_2*(4/20*sf_L2)-sf_w4_2*(4/20*sf_L2)^2/2),(sf_ML5_2+sf_V5_2*(4/20*sf_L2)-sf_w5_2*(4/20*sf_L2)^2/2),(sf_ML6_2+sf_V6_2*(4/20*sf_L2)-sf_w6_2*(4/20*sf_L2)^2/2),(sf_ML7_2+sf_V7_2*(4/20*sf_L2)-sf_w7_2*(4/20*sf_L2)^2/2)),NA())</f>
        <v/>
      </c>
    </row>
    <row r="29">
      <c r="EU29">
        <f>IF(inputs_ok,IF(AND(inputs_ok,sf_on2),sf_xn1+5/20*Lsf_2,NA()),NA())</f>
        <v/>
      </c>
      <c r="EV29">
        <f>IF(AND(inputs_ok,sf_on2),(-sf_Hdd-0.1*sf_D-(0.11*sf_D))-((0.11*sf_D)/sf_Mabs)*MAX((sf_ML1_2+sf_V1_2*(5/20*sf_L2)-sf_w1_2*(5/20*sf_L2)^2/2),(sf_ML2_2+sf_V2_2*(5/20*sf_L2)-sf_w2_2*(5/20*sf_L2)^2/2),(sf_ML3_2+sf_V3_2*(5/20*sf_L2)-sf_w3_2*(5/20*sf_L2)^2/2),(sf_ML4_2+sf_V4_2*(5/20*sf_L2)-sf_w4_2*(5/20*sf_L2)^2/2),(sf_ML5_2+sf_V5_2*(5/20*sf_L2)-sf_w5_2*(5/20*sf_L2)^2/2),(sf_ML6_2+sf_V6_2*(5/20*sf_L2)-sf_w6_2*(5/20*sf_L2)^2/2),(sf_ML7_2+sf_V7_2*(5/20*sf_L2)-sf_w7_2*(5/20*sf_L2)^2/2)),NA())</f>
        <v/>
      </c>
      <c r="EX29">
        <f>IF(inputs_ok,IF(AND(inputs_ok,sf_on2),sf_xn1+5/20*Lsf_2,NA()),NA())</f>
        <v/>
      </c>
      <c r="EY29">
        <f>IF(AND(inputs_ok,sf_on2),(-sf_Hdd-0.1*sf_D-(0.11*sf_D))-((0.11*sf_D)/sf_Mabs)*MIN((sf_ML1_2+sf_V1_2*(5/20*sf_L2)-sf_w1_2*(5/20*sf_L2)^2/2),(sf_ML2_2+sf_V2_2*(5/20*sf_L2)-sf_w2_2*(5/20*sf_L2)^2/2),(sf_ML3_2+sf_V3_2*(5/20*sf_L2)-sf_w3_2*(5/20*sf_L2)^2/2),(sf_ML4_2+sf_V4_2*(5/20*sf_L2)-sf_w4_2*(5/20*sf_L2)^2/2),(sf_ML5_2+sf_V5_2*(5/20*sf_L2)-sf_w5_2*(5/20*sf_L2)^2/2),(sf_ML6_2+sf_V6_2*(5/20*sf_L2)-sf_w6_2*(5/20*sf_L2)^2/2),(sf_ML7_2+sf_V7_2*(5/20*sf_L2)-sf_w7_2*(5/20*sf_L2)^2/2)),NA())</f>
        <v/>
      </c>
    </row>
    <row r="30">
      <c r="EU30">
        <f>IF(inputs_ok,IF(AND(inputs_ok,sf_on2),sf_xn1+6/20*Lsf_2,NA()),NA())</f>
        <v/>
      </c>
      <c r="EV30">
        <f>IF(AND(inputs_ok,sf_on2),(-sf_Hdd-0.1*sf_D-(0.11*sf_D))-((0.11*sf_D)/sf_Mabs)*MAX((sf_ML1_2+sf_V1_2*(6/20*sf_L2)-sf_w1_2*(6/20*sf_L2)^2/2),(sf_ML2_2+sf_V2_2*(6/20*sf_L2)-sf_w2_2*(6/20*sf_L2)^2/2),(sf_ML3_2+sf_V3_2*(6/20*sf_L2)-sf_w3_2*(6/20*sf_L2)^2/2),(sf_ML4_2+sf_V4_2*(6/20*sf_L2)-sf_w4_2*(6/20*sf_L2)^2/2),(sf_ML5_2+sf_V5_2*(6/20*sf_L2)-sf_w5_2*(6/20*sf_L2)^2/2),(sf_ML6_2+sf_V6_2*(6/20*sf_L2)-sf_w6_2*(6/20*sf_L2)^2/2),(sf_ML7_2+sf_V7_2*(6/20*sf_L2)-sf_w7_2*(6/20*sf_L2)^2/2)),NA())</f>
        <v/>
      </c>
      <c r="EX30">
        <f>IF(inputs_ok,IF(AND(inputs_ok,sf_on2),sf_xn1+6/20*Lsf_2,NA()),NA())</f>
        <v/>
      </c>
      <c r="EY30">
        <f>IF(AND(inputs_ok,sf_on2),(-sf_Hdd-0.1*sf_D-(0.11*sf_D))-((0.11*sf_D)/sf_Mabs)*MIN((sf_ML1_2+sf_V1_2*(6/20*sf_L2)-sf_w1_2*(6/20*sf_L2)^2/2),(sf_ML2_2+sf_V2_2*(6/20*sf_L2)-sf_w2_2*(6/20*sf_L2)^2/2),(sf_ML3_2+sf_V3_2*(6/20*sf_L2)-sf_w3_2*(6/20*sf_L2)^2/2),(sf_ML4_2+sf_V4_2*(6/20*sf_L2)-sf_w4_2*(6/20*sf_L2)^2/2),(sf_ML5_2+sf_V5_2*(6/20*sf_L2)-sf_w5_2*(6/20*sf_L2)^2/2),(sf_ML6_2+sf_V6_2*(6/20*sf_L2)-sf_w6_2*(6/20*sf_L2)^2/2),(sf_ML7_2+sf_V7_2*(6/20*sf_L2)-sf_w7_2*(6/20*sf_L2)^2/2)),NA())</f>
        <v/>
      </c>
    </row>
    <row r="31">
      <c r="EU31">
        <f>IF(inputs_ok,IF(AND(inputs_ok,sf_on2),sf_xn1+7/20*Lsf_2,NA()),NA())</f>
        <v/>
      </c>
      <c r="EV31">
        <f>IF(AND(inputs_ok,sf_on2),(-sf_Hdd-0.1*sf_D-(0.11*sf_D))-((0.11*sf_D)/sf_Mabs)*MAX((sf_ML1_2+sf_V1_2*(7/20*sf_L2)-sf_w1_2*(7/20*sf_L2)^2/2),(sf_ML2_2+sf_V2_2*(7/20*sf_L2)-sf_w2_2*(7/20*sf_L2)^2/2),(sf_ML3_2+sf_V3_2*(7/20*sf_L2)-sf_w3_2*(7/20*sf_L2)^2/2),(sf_ML4_2+sf_V4_2*(7/20*sf_L2)-sf_w4_2*(7/20*sf_L2)^2/2),(sf_ML5_2+sf_V5_2*(7/20*sf_L2)-sf_w5_2*(7/20*sf_L2)^2/2),(sf_ML6_2+sf_V6_2*(7/20*sf_L2)-sf_w6_2*(7/20*sf_L2)^2/2),(sf_ML7_2+sf_V7_2*(7/20*sf_L2)-sf_w7_2*(7/20*sf_L2)^2/2)),NA())</f>
        <v/>
      </c>
      <c r="EX31">
        <f>IF(inputs_ok,IF(AND(inputs_ok,sf_on2),sf_xn1+7/20*Lsf_2,NA()),NA())</f>
        <v/>
      </c>
      <c r="EY31">
        <f>IF(AND(inputs_ok,sf_on2),(-sf_Hdd-0.1*sf_D-(0.11*sf_D))-((0.11*sf_D)/sf_Mabs)*MIN((sf_ML1_2+sf_V1_2*(7/20*sf_L2)-sf_w1_2*(7/20*sf_L2)^2/2),(sf_ML2_2+sf_V2_2*(7/20*sf_L2)-sf_w2_2*(7/20*sf_L2)^2/2),(sf_ML3_2+sf_V3_2*(7/20*sf_L2)-sf_w3_2*(7/20*sf_L2)^2/2),(sf_ML4_2+sf_V4_2*(7/20*sf_L2)-sf_w4_2*(7/20*sf_L2)^2/2),(sf_ML5_2+sf_V5_2*(7/20*sf_L2)-sf_w5_2*(7/20*sf_L2)^2/2),(sf_ML6_2+sf_V6_2*(7/20*sf_L2)-sf_w6_2*(7/20*sf_L2)^2/2),(sf_ML7_2+sf_V7_2*(7/20*sf_L2)-sf_w7_2*(7/20*sf_L2)^2/2)),NA())</f>
        <v/>
      </c>
    </row>
    <row r="32">
      <c r="EU32">
        <f>IF(inputs_ok,IF(AND(inputs_ok,sf_on2),sf_xn1+8/20*Lsf_2,NA()),NA())</f>
        <v/>
      </c>
      <c r="EV32">
        <f>IF(AND(inputs_ok,sf_on2),(-sf_Hdd-0.1*sf_D-(0.11*sf_D))-((0.11*sf_D)/sf_Mabs)*MAX((sf_ML1_2+sf_V1_2*(8/20*sf_L2)-sf_w1_2*(8/20*sf_L2)^2/2),(sf_ML2_2+sf_V2_2*(8/20*sf_L2)-sf_w2_2*(8/20*sf_L2)^2/2),(sf_ML3_2+sf_V3_2*(8/20*sf_L2)-sf_w3_2*(8/20*sf_L2)^2/2),(sf_ML4_2+sf_V4_2*(8/20*sf_L2)-sf_w4_2*(8/20*sf_L2)^2/2),(sf_ML5_2+sf_V5_2*(8/20*sf_L2)-sf_w5_2*(8/20*sf_L2)^2/2),(sf_ML6_2+sf_V6_2*(8/20*sf_L2)-sf_w6_2*(8/20*sf_L2)^2/2),(sf_ML7_2+sf_V7_2*(8/20*sf_L2)-sf_w7_2*(8/20*sf_L2)^2/2)),NA())</f>
        <v/>
      </c>
      <c r="EX32">
        <f>IF(inputs_ok,IF(AND(inputs_ok,sf_on2),sf_xn1+8/20*Lsf_2,NA()),NA())</f>
        <v/>
      </c>
      <c r="EY32">
        <f>IF(AND(inputs_ok,sf_on2),(-sf_Hdd-0.1*sf_D-(0.11*sf_D))-((0.11*sf_D)/sf_Mabs)*MIN((sf_ML1_2+sf_V1_2*(8/20*sf_L2)-sf_w1_2*(8/20*sf_L2)^2/2),(sf_ML2_2+sf_V2_2*(8/20*sf_L2)-sf_w2_2*(8/20*sf_L2)^2/2),(sf_ML3_2+sf_V3_2*(8/20*sf_L2)-sf_w3_2*(8/20*sf_L2)^2/2),(sf_ML4_2+sf_V4_2*(8/20*sf_L2)-sf_w4_2*(8/20*sf_L2)^2/2),(sf_ML5_2+sf_V5_2*(8/20*sf_L2)-sf_w5_2*(8/20*sf_L2)^2/2),(sf_ML6_2+sf_V6_2*(8/20*sf_L2)-sf_w6_2*(8/20*sf_L2)^2/2),(sf_ML7_2+sf_V7_2*(8/20*sf_L2)-sf_w7_2*(8/20*sf_L2)^2/2)),NA())</f>
        <v/>
      </c>
    </row>
    <row r="33">
      <c r="EU33">
        <f>IF(inputs_ok,IF(AND(inputs_ok,sf_on2),sf_xn1+9/20*Lsf_2,NA()),NA())</f>
        <v/>
      </c>
      <c r="EV33">
        <f>IF(AND(inputs_ok,sf_on2),(-sf_Hdd-0.1*sf_D-(0.11*sf_D))-((0.11*sf_D)/sf_Mabs)*MAX((sf_ML1_2+sf_V1_2*(9/20*sf_L2)-sf_w1_2*(9/20*sf_L2)^2/2),(sf_ML2_2+sf_V2_2*(9/20*sf_L2)-sf_w2_2*(9/20*sf_L2)^2/2),(sf_ML3_2+sf_V3_2*(9/20*sf_L2)-sf_w3_2*(9/20*sf_L2)^2/2),(sf_ML4_2+sf_V4_2*(9/20*sf_L2)-sf_w4_2*(9/20*sf_L2)^2/2),(sf_ML5_2+sf_V5_2*(9/20*sf_L2)-sf_w5_2*(9/20*sf_L2)^2/2),(sf_ML6_2+sf_V6_2*(9/20*sf_L2)-sf_w6_2*(9/20*sf_L2)^2/2),(sf_ML7_2+sf_V7_2*(9/20*sf_L2)-sf_w7_2*(9/20*sf_L2)^2/2)),NA())</f>
        <v/>
      </c>
      <c r="EX33">
        <f>IF(inputs_ok,IF(AND(inputs_ok,sf_on2),sf_xn1+9/20*Lsf_2,NA()),NA())</f>
        <v/>
      </c>
      <c r="EY33">
        <f>IF(AND(inputs_ok,sf_on2),(-sf_Hdd-0.1*sf_D-(0.11*sf_D))-((0.11*sf_D)/sf_Mabs)*MIN((sf_ML1_2+sf_V1_2*(9/20*sf_L2)-sf_w1_2*(9/20*sf_L2)^2/2),(sf_ML2_2+sf_V2_2*(9/20*sf_L2)-sf_w2_2*(9/20*sf_L2)^2/2),(sf_ML3_2+sf_V3_2*(9/20*sf_L2)-sf_w3_2*(9/20*sf_L2)^2/2),(sf_ML4_2+sf_V4_2*(9/20*sf_L2)-sf_w4_2*(9/20*sf_L2)^2/2),(sf_ML5_2+sf_V5_2*(9/20*sf_L2)-sf_w5_2*(9/20*sf_L2)^2/2),(sf_ML6_2+sf_V6_2*(9/20*sf_L2)-sf_w6_2*(9/20*sf_L2)^2/2),(sf_ML7_2+sf_V7_2*(9/20*sf_L2)-sf_w7_2*(9/20*sf_L2)^2/2)),NA())</f>
        <v/>
      </c>
    </row>
    <row r="34">
      <c r="EU34">
        <f>IF(inputs_ok,IF(AND(inputs_ok,sf_on2),sf_xn1+10/20*Lsf_2,NA()),NA())</f>
        <v/>
      </c>
      <c r="EV34">
        <f>IF(AND(inputs_ok,sf_on2),(-sf_Hdd-0.1*sf_D-(0.11*sf_D))-((0.11*sf_D)/sf_Mabs)*MAX((sf_ML1_2+sf_V1_2*(10/20*sf_L2)-sf_w1_2*(10/20*sf_L2)^2/2),(sf_ML2_2+sf_V2_2*(10/20*sf_L2)-sf_w2_2*(10/20*sf_L2)^2/2),(sf_ML3_2+sf_V3_2*(10/20*sf_L2)-sf_w3_2*(10/20*sf_L2)^2/2),(sf_ML4_2+sf_V4_2*(10/20*sf_L2)-sf_w4_2*(10/20*sf_L2)^2/2),(sf_ML5_2+sf_V5_2*(10/20*sf_L2)-sf_w5_2*(10/20*sf_L2)^2/2),(sf_ML6_2+sf_V6_2*(10/20*sf_L2)-sf_w6_2*(10/20*sf_L2)^2/2),(sf_ML7_2+sf_V7_2*(10/20*sf_L2)-sf_w7_2*(10/20*sf_L2)^2/2)),NA())</f>
        <v/>
      </c>
      <c r="EX34">
        <f>IF(inputs_ok,IF(AND(inputs_ok,sf_on2),sf_xn1+10/20*Lsf_2,NA()),NA())</f>
        <v/>
      </c>
      <c r="EY34">
        <f>IF(AND(inputs_ok,sf_on2),(-sf_Hdd-0.1*sf_D-(0.11*sf_D))-((0.11*sf_D)/sf_Mabs)*MIN((sf_ML1_2+sf_V1_2*(10/20*sf_L2)-sf_w1_2*(10/20*sf_L2)^2/2),(sf_ML2_2+sf_V2_2*(10/20*sf_L2)-sf_w2_2*(10/20*sf_L2)^2/2),(sf_ML3_2+sf_V3_2*(10/20*sf_L2)-sf_w3_2*(10/20*sf_L2)^2/2),(sf_ML4_2+sf_V4_2*(10/20*sf_L2)-sf_w4_2*(10/20*sf_L2)^2/2),(sf_ML5_2+sf_V5_2*(10/20*sf_L2)-sf_w5_2*(10/20*sf_L2)^2/2),(sf_ML6_2+sf_V6_2*(10/20*sf_L2)-sf_w6_2*(10/20*sf_L2)^2/2),(sf_ML7_2+sf_V7_2*(10/20*sf_L2)-sf_w7_2*(10/20*sf_L2)^2/2)),NA())</f>
        <v/>
      </c>
    </row>
    <row r="35">
      <c r="EU35">
        <f>IF(inputs_ok,IF(AND(inputs_ok,sf_on2),sf_xn1+11/20*Lsf_2,NA()),NA())</f>
        <v/>
      </c>
      <c r="EV35">
        <f>IF(AND(inputs_ok,sf_on2),(-sf_Hdd-0.1*sf_D-(0.11*sf_D))-((0.11*sf_D)/sf_Mabs)*MAX((sf_ML1_2+sf_V1_2*(11/20*sf_L2)-sf_w1_2*(11/20*sf_L2)^2/2),(sf_ML2_2+sf_V2_2*(11/20*sf_L2)-sf_w2_2*(11/20*sf_L2)^2/2),(sf_ML3_2+sf_V3_2*(11/20*sf_L2)-sf_w3_2*(11/20*sf_L2)^2/2),(sf_ML4_2+sf_V4_2*(11/20*sf_L2)-sf_w4_2*(11/20*sf_L2)^2/2),(sf_ML5_2+sf_V5_2*(11/20*sf_L2)-sf_w5_2*(11/20*sf_L2)^2/2),(sf_ML6_2+sf_V6_2*(11/20*sf_L2)-sf_w6_2*(11/20*sf_L2)^2/2),(sf_ML7_2+sf_V7_2*(11/20*sf_L2)-sf_w7_2*(11/20*sf_L2)^2/2)),NA())</f>
        <v/>
      </c>
      <c r="EX35">
        <f>IF(inputs_ok,IF(AND(inputs_ok,sf_on2),sf_xn1+11/20*Lsf_2,NA()),NA())</f>
        <v/>
      </c>
      <c r="EY35">
        <f>IF(AND(inputs_ok,sf_on2),(-sf_Hdd-0.1*sf_D-(0.11*sf_D))-((0.11*sf_D)/sf_Mabs)*MIN((sf_ML1_2+sf_V1_2*(11/20*sf_L2)-sf_w1_2*(11/20*sf_L2)^2/2),(sf_ML2_2+sf_V2_2*(11/20*sf_L2)-sf_w2_2*(11/20*sf_L2)^2/2),(sf_ML3_2+sf_V3_2*(11/20*sf_L2)-sf_w3_2*(11/20*sf_L2)^2/2),(sf_ML4_2+sf_V4_2*(11/20*sf_L2)-sf_w4_2*(11/20*sf_L2)^2/2),(sf_ML5_2+sf_V5_2*(11/20*sf_L2)-sf_w5_2*(11/20*sf_L2)^2/2),(sf_ML6_2+sf_V6_2*(11/20*sf_L2)-sf_w6_2*(11/20*sf_L2)^2/2),(sf_ML7_2+sf_V7_2*(11/20*sf_L2)-sf_w7_2*(11/20*sf_L2)^2/2)),NA())</f>
        <v/>
      </c>
    </row>
    <row r="36">
      <c r="EU36">
        <f>IF(inputs_ok,IF(AND(inputs_ok,sf_on2),sf_xn1+12/20*Lsf_2,NA()),NA())</f>
        <v/>
      </c>
      <c r="EV36">
        <f>IF(AND(inputs_ok,sf_on2),(-sf_Hdd-0.1*sf_D-(0.11*sf_D))-((0.11*sf_D)/sf_Mabs)*MAX((sf_ML1_2+sf_V1_2*(12/20*sf_L2)-sf_w1_2*(12/20*sf_L2)^2/2),(sf_ML2_2+sf_V2_2*(12/20*sf_L2)-sf_w2_2*(12/20*sf_L2)^2/2),(sf_ML3_2+sf_V3_2*(12/20*sf_L2)-sf_w3_2*(12/20*sf_L2)^2/2),(sf_ML4_2+sf_V4_2*(12/20*sf_L2)-sf_w4_2*(12/20*sf_L2)^2/2),(sf_ML5_2+sf_V5_2*(12/20*sf_L2)-sf_w5_2*(12/20*sf_L2)^2/2),(sf_ML6_2+sf_V6_2*(12/20*sf_L2)-sf_w6_2*(12/20*sf_L2)^2/2),(sf_ML7_2+sf_V7_2*(12/20*sf_L2)-sf_w7_2*(12/20*sf_L2)^2/2)),NA())</f>
        <v/>
      </c>
      <c r="EX36">
        <f>IF(inputs_ok,IF(AND(inputs_ok,sf_on2),sf_xn1+12/20*Lsf_2,NA()),NA())</f>
        <v/>
      </c>
      <c r="EY36">
        <f>IF(AND(inputs_ok,sf_on2),(-sf_Hdd-0.1*sf_D-(0.11*sf_D))-((0.11*sf_D)/sf_Mabs)*MIN((sf_ML1_2+sf_V1_2*(12/20*sf_L2)-sf_w1_2*(12/20*sf_L2)^2/2),(sf_ML2_2+sf_V2_2*(12/20*sf_L2)-sf_w2_2*(12/20*sf_L2)^2/2),(sf_ML3_2+sf_V3_2*(12/20*sf_L2)-sf_w3_2*(12/20*sf_L2)^2/2),(sf_ML4_2+sf_V4_2*(12/20*sf_L2)-sf_w4_2*(12/20*sf_L2)^2/2),(sf_ML5_2+sf_V5_2*(12/20*sf_L2)-sf_w5_2*(12/20*sf_L2)^2/2),(sf_ML6_2+sf_V6_2*(12/20*sf_L2)-sf_w6_2*(12/20*sf_L2)^2/2),(sf_ML7_2+sf_V7_2*(12/20*sf_L2)-sf_w7_2*(12/20*sf_L2)^2/2)),NA())</f>
        <v/>
      </c>
    </row>
    <row r="37">
      <c r="EU37">
        <f>IF(inputs_ok,IF(AND(inputs_ok,sf_on2),sf_xn1+13/20*Lsf_2,NA()),NA())</f>
        <v/>
      </c>
      <c r="EV37">
        <f>IF(AND(inputs_ok,sf_on2),(-sf_Hdd-0.1*sf_D-(0.11*sf_D))-((0.11*sf_D)/sf_Mabs)*MAX((sf_ML1_2+sf_V1_2*(13/20*sf_L2)-sf_w1_2*(13/20*sf_L2)^2/2),(sf_ML2_2+sf_V2_2*(13/20*sf_L2)-sf_w2_2*(13/20*sf_L2)^2/2),(sf_ML3_2+sf_V3_2*(13/20*sf_L2)-sf_w3_2*(13/20*sf_L2)^2/2),(sf_ML4_2+sf_V4_2*(13/20*sf_L2)-sf_w4_2*(13/20*sf_L2)^2/2),(sf_ML5_2+sf_V5_2*(13/20*sf_L2)-sf_w5_2*(13/20*sf_L2)^2/2),(sf_ML6_2+sf_V6_2*(13/20*sf_L2)-sf_w6_2*(13/20*sf_L2)^2/2),(sf_ML7_2+sf_V7_2*(13/20*sf_L2)-sf_w7_2*(13/20*sf_L2)^2/2)),NA())</f>
        <v/>
      </c>
      <c r="EX37">
        <f>IF(inputs_ok,IF(AND(inputs_ok,sf_on2),sf_xn1+13/20*Lsf_2,NA()),NA())</f>
        <v/>
      </c>
      <c r="EY37">
        <f>IF(AND(inputs_ok,sf_on2),(-sf_Hdd-0.1*sf_D-(0.11*sf_D))-((0.11*sf_D)/sf_Mabs)*MIN((sf_ML1_2+sf_V1_2*(13/20*sf_L2)-sf_w1_2*(13/20*sf_L2)^2/2),(sf_ML2_2+sf_V2_2*(13/20*sf_L2)-sf_w2_2*(13/20*sf_L2)^2/2),(sf_ML3_2+sf_V3_2*(13/20*sf_L2)-sf_w3_2*(13/20*sf_L2)^2/2),(sf_ML4_2+sf_V4_2*(13/20*sf_L2)-sf_w4_2*(13/20*sf_L2)^2/2),(sf_ML5_2+sf_V5_2*(13/20*sf_L2)-sf_w5_2*(13/20*sf_L2)^2/2),(sf_ML6_2+sf_V6_2*(13/20*sf_L2)-sf_w6_2*(13/20*sf_L2)^2/2),(sf_ML7_2+sf_V7_2*(13/20*sf_L2)-sf_w7_2*(13/20*sf_L2)^2/2)),NA())</f>
        <v/>
      </c>
    </row>
    <row r="38">
      <c r="EU38">
        <f>IF(inputs_ok,IF(AND(inputs_ok,sf_on2),sf_xn1+14/20*Lsf_2,NA()),NA())</f>
        <v/>
      </c>
      <c r="EV38">
        <f>IF(AND(inputs_ok,sf_on2),(-sf_Hdd-0.1*sf_D-(0.11*sf_D))-((0.11*sf_D)/sf_Mabs)*MAX((sf_ML1_2+sf_V1_2*(14/20*sf_L2)-sf_w1_2*(14/20*sf_L2)^2/2),(sf_ML2_2+sf_V2_2*(14/20*sf_L2)-sf_w2_2*(14/20*sf_L2)^2/2),(sf_ML3_2+sf_V3_2*(14/20*sf_L2)-sf_w3_2*(14/20*sf_L2)^2/2),(sf_ML4_2+sf_V4_2*(14/20*sf_L2)-sf_w4_2*(14/20*sf_L2)^2/2),(sf_ML5_2+sf_V5_2*(14/20*sf_L2)-sf_w5_2*(14/20*sf_L2)^2/2),(sf_ML6_2+sf_V6_2*(14/20*sf_L2)-sf_w6_2*(14/20*sf_L2)^2/2),(sf_ML7_2+sf_V7_2*(14/20*sf_L2)-sf_w7_2*(14/20*sf_L2)^2/2)),NA())</f>
        <v/>
      </c>
      <c r="EX38">
        <f>IF(inputs_ok,IF(AND(inputs_ok,sf_on2),sf_xn1+14/20*Lsf_2,NA()),NA())</f>
        <v/>
      </c>
      <c r="EY38">
        <f>IF(AND(inputs_ok,sf_on2),(-sf_Hdd-0.1*sf_D-(0.11*sf_D))-((0.11*sf_D)/sf_Mabs)*MIN((sf_ML1_2+sf_V1_2*(14/20*sf_L2)-sf_w1_2*(14/20*sf_L2)^2/2),(sf_ML2_2+sf_V2_2*(14/20*sf_L2)-sf_w2_2*(14/20*sf_L2)^2/2),(sf_ML3_2+sf_V3_2*(14/20*sf_L2)-sf_w3_2*(14/20*sf_L2)^2/2),(sf_ML4_2+sf_V4_2*(14/20*sf_L2)-sf_w4_2*(14/20*sf_L2)^2/2),(sf_ML5_2+sf_V5_2*(14/20*sf_L2)-sf_w5_2*(14/20*sf_L2)^2/2),(sf_ML6_2+sf_V6_2*(14/20*sf_L2)-sf_w6_2*(14/20*sf_L2)^2/2),(sf_ML7_2+sf_V7_2*(14/20*sf_L2)-sf_w7_2*(14/20*sf_L2)^2/2)),NA())</f>
        <v/>
      </c>
    </row>
    <row r="39">
      <c r="EU39">
        <f>IF(inputs_ok,IF(AND(inputs_ok,sf_on2),sf_xn1+15/20*Lsf_2,NA()),NA())</f>
        <v/>
      </c>
      <c r="EV39">
        <f>IF(AND(inputs_ok,sf_on2),(-sf_Hdd-0.1*sf_D-(0.11*sf_D))-((0.11*sf_D)/sf_Mabs)*MAX((sf_ML1_2+sf_V1_2*(15/20*sf_L2)-sf_w1_2*(15/20*sf_L2)^2/2),(sf_ML2_2+sf_V2_2*(15/20*sf_L2)-sf_w2_2*(15/20*sf_L2)^2/2),(sf_ML3_2+sf_V3_2*(15/20*sf_L2)-sf_w3_2*(15/20*sf_L2)^2/2),(sf_ML4_2+sf_V4_2*(15/20*sf_L2)-sf_w4_2*(15/20*sf_L2)^2/2),(sf_ML5_2+sf_V5_2*(15/20*sf_L2)-sf_w5_2*(15/20*sf_L2)^2/2),(sf_ML6_2+sf_V6_2*(15/20*sf_L2)-sf_w6_2*(15/20*sf_L2)^2/2),(sf_ML7_2+sf_V7_2*(15/20*sf_L2)-sf_w7_2*(15/20*sf_L2)^2/2)),NA())</f>
        <v/>
      </c>
      <c r="EX39">
        <f>IF(inputs_ok,IF(AND(inputs_ok,sf_on2),sf_xn1+15/20*Lsf_2,NA()),NA())</f>
        <v/>
      </c>
      <c r="EY39">
        <f>IF(AND(inputs_ok,sf_on2),(-sf_Hdd-0.1*sf_D-(0.11*sf_D))-((0.11*sf_D)/sf_Mabs)*MIN((sf_ML1_2+sf_V1_2*(15/20*sf_L2)-sf_w1_2*(15/20*sf_L2)^2/2),(sf_ML2_2+sf_V2_2*(15/20*sf_L2)-sf_w2_2*(15/20*sf_L2)^2/2),(sf_ML3_2+sf_V3_2*(15/20*sf_L2)-sf_w3_2*(15/20*sf_L2)^2/2),(sf_ML4_2+sf_V4_2*(15/20*sf_L2)-sf_w4_2*(15/20*sf_L2)^2/2),(sf_ML5_2+sf_V5_2*(15/20*sf_L2)-sf_w5_2*(15/20*sf_L2)^2/2),(sf_ML6_2+sf_V6_2*(15/20*sf_L2)-sf_w6_2*(15/20*sf_L2)^2/2),(sf_ML7_2+sf_V7_2*(15/20*sf_L2)-sf_w7_2*(15/20*sf_L2)^2/2)),NA())</f>
        <v/>
      </c>
    </row>
    <row r="40">
      <c r="EU40">
        <f>IF(inputs_ok,IF(AND(inputs_ok,sf_on2),sf_xn1+16/20*Lsf_2,NA()),NA())</f>
        <v/>
      </c>
      <c r="EV40">
        <f>IF(AND(inputs_ok,sf_on2),(-sf_Hdd-0.1*sf_D-(0.11*sf_D))-((0.11*sf_D)/sf_Mabs)*MAX((sf_ML1_2+sf_V1_2*(16/20*sf_L2)-sf_w1_2*(16/20*sf_L2)^2/2),(sf_ML2_2+sf_V2_2*(16/20*sf_L2)-sf_w2_2*(16/20*sf_L2)^2/2),(sf_ML3_2+sf_V3_2*(16/20*sf_L2)-sf_w3_2*(16/20*sf_L2)^2/2),(sf_ML4_2+sf_V4_2*(16/20*sf_L2)-sf_w4_2*(16/20*sf_L2)^2/2),(sf_ML5_2+sf_V5_2*(16/20*sf_L2)-sf_w5_2*(16/20*sf_L2)^2/2),(sf_ML6_2+sf_V6_2*(16/20*sf_L2)-sf_w6_2*(16/20*sf_L2)^2/2),(sf_ML7_2+sf_V7_2*(16/20*sf_L2)-sf_w7_2*(16/20*sf_L2)^2/2)),NA())</f>
        <v/>
      </c>
      <c r="EX40">
        <f>IF(inputs_ok,IF(AND(inputs_ok,sf_on2),sf_xn1+16/20*Lsf_2,NA()),NA())</f>
        <v/>
      </c>
      <c r="EY40">
        <f>IF(AND(inputs_ok,sf_on2),(-sf_Hdd-0.1*sf_D-(0.11*sf_D))-((0.11*sf_D)/sf_Mabs)*MIN((sf_ML1_2+sf_V1_2*(16/20*sf_L2)-sf_w1_2*(16/20*sf_L2)^2/2),(sf_ML2_2+sf_V2_2*(16/20*sf_L2)-sf_w2_2*(16/20*sf_L2)^2/2),(sf_ML3_2+sf_V3_2*(16/20*sf_L2)-sf_w3_2*(16/20*sf_L2)^2/2),(sf_ML4_2+sf_V4_2*(16/20*sf_L2)-sf_w4_2*(16/20*sf_L2)^2/2),(sf_ML5_2+sf_V5_2*(16/20*sf_L2)-sf_w5_2*(16/20*sf_L2)^2/2),(sf_ML6_2+sf_V6_2*(16/20*sf_L2)-sf_w6_2*(16/20*sf_L2)^2/2),(sf_ML7_2+sf_V7_2*(16/20*sf_L2)-sf_w7_2*(16/20*sf_L2)^2/2)),NA())</f>
        <v/>
      </c>
    </row>
    <row r="41">
      <c r="EU41">
        <f>IF(inputs_ok,IF(AND(inputs_ok,sf_on2),sf_xn1+17/20*Lsf_2,NA()),NA())</f>
        <v/>
      </c>
      <c r="EV41">
        <f>IF(AND(inputs_ok,sf_on2),(-sf_Hdd-0.1*sf_D-(0.11*sf_D))-((0.11*sf_D)/sf_Mabs)*MAX((sf_ML1_2+sf_V1_2*(17/20*sf_L2)-sf_w1_2*(17/20*sf_L2)^2/2),(sf_ML2_2+sf_V2_2*(17/20*sf_L2)-sf_w2_2*(17/20*sf_L2)^2/2),(sf_ML3_2+sf_V3_2*(17/20*sf_L2)-sf_w3_2*(17/20*sf_L2)^2/2),(sf_ML4_2+sf_V4_2*(17/20*sf_L2)-sf_w4_2*(17/20*sf_L2)^2/2),(sf_ML5_2+sf_V5_2*(17/20*sf_L2)-sf_w5_2*(17/20*sf_L2)^2/2),(sf_ML6_2+sf_V6_2*(17/20*sf_L2)-sf_w6_2*(17/20*sf_L2)^2/2),(sf_ML7_2+sf_V7_2*(17/20*sf_L2)-sf_w7_2*(17/20*sf_L2)^2/2)),NA())</f>
        <v/>
      </c>
      <c r="EX41">
        <f>IF(inputs_ok,IF(AND(inputs_ok,sf_on2),sf_xn1+17/20*Lsf_2,NA()),NA())</f>
        <v/>
      </c>
      <c r="EY41">
        <f>IF(AND(inputs_ok,sf_on2),(-sf_Hdd-0.1*sf_D-(0.11*sf_D))-((0.11*sf_D)/sf_Mabs)*MIN((sf_ML1_2+sf_V1_2*(17/20*sf_L2)-sf_w1_2*(17/20*sf_L2)^2/2),(sf_ML2_2+sf_V2_2*(17/20*sf_L2)-sf_w2_2*(17/20*sf_L2)^2/2),(sf_ML3_2+sf_V3_2*(17/20*sf_L2)-sf_w3_2*(17/20*sf_L2)^2/2),(sf_ML4_2+sf_V4_2*(17/20*sf_L2)-sf_w4_2*(17/20*sf_L2)^2/2),(sf_ML5_2+sf_V5_2*(17/20*sf_L2)-sf_w5_2*(17/20*sf_L2)^2/2),(sf_ML6_2+sf_V6_2*(17/20*sf_L2)-sf_w6_2*(17/20*sf_L2)^2/2),(sf_ML7_2+sf_V7_2*(17/20*sf_L2)-sf_w7_2*(17/20*sf_L2)^2/2)),NA())</f>
        <v/>
      </c>
    </row>
    <row r="42">
      <c r="EU42">
        <f>IF(inputs_ok,IF(AND(inputs_ok,sf_on2),sf_xn1+18/20*Lsf_2,NA()),NA())</f>
        <v/>
      </c>
      <c r="EV42">
        <f>IF(AND(inputs_ok,sf_on2),(-sf_Hdd-0.1*sf_D-(0.11*sf_D))-((0.11*sf_D)/sf_Mabs)*MAX((sf_ML1_2+sf_V1_2*(18/20*sf_L2)-sf_w1_2*(18/20*sf_L2)^2/2),(sf_ML2_2+sf_V2_2*(18/20*sf_L2)-sf_w2_2*(18/20*sf_L2)^2/2),(sf_ML3_2+sf_V3_2*(18/20*sf_L2)-sf_w3_2*(18/20*sf_L2)^2/2),(sf_ML4_2+sf_V4_2*(18/20*sf_L2)-sf_w4_2*(18/20*sf_L2)^2/2),(sf_ML5_2+sf_V5_2*(18/20*sf_L2)-sf_w5_2*(18/20*sf_L2)^2/2),(sf_ML6_2+sf_V6_2*(18/20*sf_L2)-sf_w6_2*(18/20*sf_L2)^2/2),(sf_ML7_2+sf_V7_2*(18/20*sf_L2)-sf_w7_2*(18/20*sf_L2)^2/2)),NA())</f>
        <v/>
      </c>
      <c r="EX42">
        <f>IF(inputs_ok,IF(AND(inputs_ok,sf_on2),sf_xn1+18/20*Lsf_2,NA()),NA())</f>
        <v/>
      </c>
      <c r="EY42">
        <f>IF(AND(inputs_ok,sf_on2),(-sf_Hdd-0.1*sf_D-(0.11*sf_D))-((0.11*sf_D)/sf_Mabs)*MIN((sf_ML1_2+sf_V1_2*(18/20*sf_L2)-sf_w1_2*(18/20*sf_L2)^2/2),(sf_ML2_2+sf_V2_2*(18/20*sf_L2)-sf_w2_2*(18/20*sf_L2)^2/2),(sf_ML3_2+sf_V3_2*(18/20*sf_L2)-sf_w3_2*(18/20*sf_L2)^2/2),(sf_ML4_2+sf_V4_2*(18/20*sf_L2)-sf_w4_2*(18/20*sf_L2)^2/2),(sf_ML5_2+sf_V5_2*(18/20*sf_L2)-sf_w5_2*(18/20*sf_L2)^2/2),(sf_ML6_2+sf_V6_2*(18/20*sf_L2)-sf_w6_2*(18/20*sf_L2)^2/2),(sf_ML7_2+sf_V7_2*(18/20*sf_L2)-sf_w7_2*(18/20*sf_L2)^2/2)),NA())</f>
        <v/>
      </c>
    </row>
    <row r="43">
      <c r="EU43">
        <f>IF(inputs_ok,IF(AND(inputs_ok,sf_on2),sf_xn1+19/20*Lsf_2,NA()),NA())</f>
        <v/>
      </c>
      <c r="EV43">
        <f>IF(AND(inputs_ok,sf_on2),(-sf_Hdd-0.1*sf_D-(0.11*sf_D))-((0.11*sf_D)/sf_Mabs)*MAX((sf_ML1_2+sf_V1_2*(19/20*sf_L2)-sf_w1_2*(19/20*sf_L2)^2/2),(sf_ML2_2+sf_V2_2*(19/20*sf_L2)-sf_w2_2*(19/20*sf_L2)^2/2),(sf_ML3_2+sf_V3_2*(19/20*sf_L2)-sf_w3_2*(19/20*sf_L2)^2/2),(sf_ML4_2+sf_V4_2*(19/20*sf_L2)-sf_w4_2*(19/20*sf_L2)^2/2),(sf_ML5_2+sf_V5_2*(19/20*sf_L2)-sf_w5_2*(19/20*sf_L2)^2/2),(sf_ML6_2+sf_V6_2*(19/20*sf_L2)-sf_w6_2*(19/20*sf_L2)^2/2),(sf_ML7_2+sf_V7_2*(19/20*sf_L2)-sf_w7_2*(19/20*sf_L2)^2/2)),NA())</f>
        <v/>
      </c>
      <c r="EX43">
        <f>IF(inputs_ok,IF(AND(inputs_ok,sf_on2),sf_xn1+19/20*Lsf_2,NA()),NA())</f>
        <v/>
      </c>
      <c r="EY43">
        <f>IF(AND(inputs_ok,sf_on2),(-sf_Hdd-0.1*sf_D-(0.11*sf_D))-((0.11*sf_D)/sf_Mabs)*MIN((sf_ML1_2+sf_V1_2*(19/20*sf_L2)-sf_w1_2*(19/20*sf_L2)^2/2),(sf_ML2_2+sf_V2_2*(19/20*sf_L2)-sf_w2_2*(19/20*sf_L2)^2/2),(sf_ML3_2+sf_V3_2*(19/20*sf_L2)-sf_w3_2*(19/20*sf_L2)^2/2),(sf_ML4_2+sf_V4_2*(19/20*sf_L2)-sf_w4_2*(19/20*sf_L2)^2/2),(sf_ML5_2+sf_V5_2*(19/20*sf_L2)-sf_w5_2*(19/20*sf_L2)^2/2),(sf_ML6_2+sf_V6_2*(19/20*sf_L2)-sf_w6_2*(19/20*sf_L2)^2/2),(sf_ML7_2+sf_V7_2*(19/20*sf_L2)-sf_w7_2*(19/20*sf_L2)^2/2)),NA())</f>
        <v/>
      </c>
    </row>
    <row r="44">
      <c r="EU44">
        <f>IF(inputs_ok,IF(AND(inputs_ok,sf_on2),sf_xn1+20/20*Lsf_2,NA()),NA())</f>
        <v/>
      </c>
      <c r="EV44">
        <f>IF(AND(inputs_ok,sf_on2),(-sf_Hdd-0.1*sf_D-(0.11*sf_D))-((0.11*sf_D)/sf_Mabs)*MAX((sf_ML1_2+sf_V1_2*(20/20*sf_L2)-sf_w1_2*(20/20*sf_L2)^2/2),(sf_ML2_2+sf_V2_2*(20/20*sf_L2)-sf_w2_2*(20/20*sf_L2)^2/2),(sf_ML3_2+sf_V3_2*(20/20*sf_L2)-sf_w3_2*(20/20*sf_L2)^2/2),(sf_ML4_2+sf_V4_2*(20/20*sf_L2)-sf_w4_2*(20/20*sf_L2)^2/2),(sf_ML5_2+sf_V5_2*(20/20*sf_L2)-sf_w5_2*(20/20*sf_L2)^2/2),(sf_ML6_2+sf_V6_2*(20/20*sf_L2)-sf_w6_2*(20/20*sf_L2)^2/2),(sf_ML7_2+sf_V7_2*(20/20*sf_L2)-sf_w7_2*(20/20*sf_L2)^2/2)),NA())</f>
        <v/>
      </c>
      <c r="EX44">
        <f>IF(inputs_ok,IF(AND(inputs_ok,sf_on2),sf_xn1+20/20*Lsf_2,NA()),NA())</f>
        <v/>
      </c>
      <c r="EY44">
        <f>IF(AND(inputs_ok,sf_on2),(-sf_Hdd-0.1*sf_D-(0.11*sf_D))-((0.11*sf_D)/sf_Mabs)*MIN((sf_ML1_2+sf_V1_2*(20/20*sf_L2)-sf_w1_2*(20/20*sf_L2)^2/2),(sf_ML2_2+sf_V2_2*(20/20*sf_L2)-sf_w2_2*(20/20*sf_L2)^2/2),(sf_ML3_2+sf_V3_2*(20/20*sf_L2)-sf_w3_2*(20/20*sf_L2)^2/2),(sf_ML4_2+sf_V4_2*(20/20*sf_L2)-sf_w4_2*(20/20*sf_L2)^2/2),(sf_ML5_2+sf_V5_2*(20/20*sf_L2)-sf_w5_2*(20/20*sf_L2)^2/2),(sf_ML6_2+sf_V6_2*(20/20*sf_L2)-sf_w6_2*(20/20*sf_L2)^2/2),(sf_ML7_2+sf_V7_2*(20/20*sf_L2)-sf_w7_2*(20/20*sf_L2)^2/2)),NA())</f>
        <v/>
      </c>
    </row>
    <row r="45">
      <c r="EU45">
        <f>IF(inputs_ok,IF(AND(inputs_ok,sf_on3),sf_xn2+0/20*Lsf_3,NA()),NA())</f>
        <v/>
      </c>
      <c r="EV45">
        <f>IF(AND(inputs_ok,sf_on3),(-sf_Hdd-0.1*sf_D-(0.11*sf_D))-((0.11*sf_D)/sf_Mabs)*MAX((sf_ML1_3+sf_V1_3*(0/20*sf_L3)-sf_w1_3*(0/20*sf_L3)^2/2),(sf_ML2_3+sf_V2_3*(0/20*sf_L3)-sf_w2_3*(0/20*sf_L3)^2/2),(sf_ML3_3+sf_V3_3*(0/20*sf_L3)-sf_w3_3*(0/20*sf_L3)^2/2),(sf_ML4_3+sf_V4_3*(0/20*sf_L3)-sf_w4_3*(0/20*sf_L3)^2/2),(sf_ML5_3+sf_V5_3*(0/20*sf_L3)-sf_w5_3*(0/20*sf_L3)^2/2),(sf_ML6_3+sf_V6_3*(0/20*sf_L3)-sf_w6_3*(0/20*sf_L3)^2/2),(sf_ML7_3+sf_V7_3*(0/20*sf_L3)-sf_w7_3*(0/20*sf_L3)^2/2)),NA())</f>
        <v/>
      </c>
      <c r="EX45">
        <f>IF(inputs_ok,IF(AND(inputs_ok,sf_on3),sf_xn2+0/20*Lsf_3,NA()),NA())</f>
        <v/>
      </c>
      <c r="EY45">
        <f>IF(AND(inputs_ok,sf_on3),(-sf_Hdd-0.1*sf_D-(0.11*sf_D))-((0.11*sf_D)/sf_Mabs)*MIN((sf_ML1_3+sf_V1_3*(0/20*sf_L3)-sf_w1_3*(0/20*sf_L3)^2/2),(sf_ML2_3+sf_V2_3*(0/20*sf_L3)-sf_w2_3*(0/20*sf_L3)^2/2),(sf_ML3_3+sf_V3_3*(0/20*sf_L3)-sf_w3_3*(0/20*sf_L3)^2/2),(sf_ML4_3+sf_V4_3*(0/20*sf_L3)-sf_w4_3*(0/20*sf_L3)^2/2),(sf_ML5_3+sf_V5_3*(0/20*sf_L3)-sf_w5_3*(0/20*sf_L3)^2/2),(sf_ML6_3+sf_V6_3*(0/20*sf_L3)-sf_w6_3*(0/20*sf_L3)^2/2),(sf_ML7_3+sf_V7_3*(0/20*sf_L3)-sf_w7_3*(0/20*sf_L3)^2/2)),NA())</f>
        <v/>
      </c>
    </row>
    <row r="46">
      <c r="EU46">
        <f>IF(inputs_ok,IF(AND(inputs_ok,sf_on3),sf_xn2+1/20*Lsf_3,NA()),NA())</f>
        <v/>
      </c>
      <c r="EV46">
        <f>IF(AND(inputs_ok,sf_on3),(-sf_Hdd-0.1*sf_D-(0.11*sf_D))-((0.11*sf_D)/sf_Mabs)*MAX((sf_ML1_3+sf_V1_3*(1/20*sf_L3)-sf_w1_3*(1/20*sf_L3)^2/2),(sf_ML2_3+sf_V2_3*(1/20*sf_L3)-sf_w2_3*(1/20*sf_L3)^2/2),(sf_ML3_3+sf_V3_3*(1/20*sf_L3)-sf_w3_3*(1/20*sf_L3)^2/2),(sf_ML4_3+sf_V4_3*(1/20*sf_L3)-sf_w4_3*(1/20*sf_L3)^2/2),(sf_ML5_3+sf_V5_3*(1/20*sf_L3)-sf_w5_3*(1/20*sf_L3)^2/2),(sf_ML6_3+sf_V6_3*(1/20*sf_L3)-sf_w6_3*(1/20*sf_L3)^2/2),(sf_ML7_3+sf_V7_3*(1/20*sf_L3)-sf_w7_3*(1/20*sf_L3)^2/2)),NA())</f>
        <v/>
      </c>
      <c r="EX46">
        <f>IF(inputs_ok,IF(AND(inputs_ok,sf_on3),sf_xn2+1/20*Lsf_3,NA()),NA())</f>
        <v/>
      </c>
      <c r="EY46">
        <f>IF(AND(inputs_ok,sf_on3),(-sf_Hdd-0.1*sf_D-(0.11*sf_D))-((0.11*sf_D)/sf_Mabs)*MIN((sf_ML1_3+sf_V1_3*(1/20*sf_L3)-sf_w1_3*(1/20*sf_L3)^2/2),(sf_ML2_3+sf_V2_3*(1/20*sf_L3)-sf_w2_3*(1/20*sf_L3)^2/2),(sf_ML3_3+sf_V3_3*(1/20*sf_L3)-sf_w3_3*(1/20*sf_L3)^2/2),(sf_ML4_3+sf_V4_3*(1/20*sf_L3)-sf_w4_3*(1/20*sf_L3)^2/2),(sf_ML5_3+sf_V5_3*(1/20*sf_L3)-sf_w5_3*(1/20*sf_L3)^2/2),(sf_ML6_3+sf_V6_3*(1/20*sf_L3)-sf_w6_3*(1/20*sf_L3)^2/2),(sf_ML7_3+sf_V7_3*(1/20*sf_L3)-sf_w7_3*(1/20*sf_L3)^2/2)),NA())</f>
        <v/>
      </c>
    </row>
    <row r="47">
      <c r="EU47">
        <f>IF(inputs_ok,IF(AND(inputs_ok,sf_on3),sf_xn2+2/20*Lsf_3,NA()),NA())</f>
        <v/>
      </c>
      <c r="EV47">
        <f>IF(AND(inputs_ok,sf_on3),(-sf_Hdd-0.1*sf_D-(0.11*sf_D))-((0.11*sf_D)/sf_Mabs)*MAX((sf_ML1_3+sf_V1_3*(2/20*sf_L3)-sf_w1_3*(2/20*sf_L3)^2/2),(sf_ML2_3+sf_V2_3*(2/20*sf_L3)-sf_w2_3*(2/20*sf_L3)^2/2),(sf_ML3_3+sf_V3_3*(2/20*sf_L3)-sf_w3_3*(2/20*sf_L3)^2/2),(sf_ML4_3+sf_V4_3*(2/20*sf_L3)-sf_w4_3*(2/20*sf_L3)^2/2),(sf_ML5_3+sf_V5_3*(2/20*sf_L3)-sf_w5_3*(2/20*sf_L3)^2/2),(sf_ML6_3+sf_V6_3*(2/20*sf_L3)-sf_w6_3*(2/20*sf_L3)^2/2),(sf_ML7_3+sf_V7_3*(2/20*sf_L3)-sf_w7_3*(2/20*sf_L3)^2/2)),NA())</f>
        <v/>
      </c>
      <c r="EX47">
        <f>IF(inputs_ok,IF(AND(inputs_ok,sf_on3),sf_xn2+2/20*Lsf_3,NA()),NA())</f>
        <v/>
      </c>
      <c r="EY47">
        <f>IF(AND(inputs_ok,sf_on3),(-sf_Hdd-0.1*sf_D-(0.11*sf_D))-((0.11*sf_D)/sf_Mabs)*MIN((sf_ML1_3+sf_V1_3*(2/20*sf_L3)-sf_w1_3*(2/20*sf_L3)^2/2),(sf_ML2_3+sf_V2_3*(2/20*sf_L3)-sf_w2_3*(2/20*sf_L3)^2/2),(sf_ML3_3+sf_V3_3*(2/20*sf_L3)-sf_w3_3*(2/20*sf_L3)^2/2),(sf_ML4_3+sf_V4_3*(2/20*sf_L3)-sf_w4_3*(2/20*sf_L3)^2/2),(sf_ML5_3+sf_V5_3*(2/20*sf_L3)-sf_w5_3*(2/20*sf_L3)^2/2),(sf_ML6_3+sf_V6_3*(2/20*sf_L3)-sf_w6_3*(2/20*sf_L3)^2/2),(sf_ML7_3+sf_V7_3*(2/20*sf_L3)-sf_w7_3*(2/20*sf_L3)^2/2)),NA())</f>
        <v/>
      </c>
    </row>
    <row r="48">
      <c r="EU48">
        <f>IF(inputs_ok,IF(AND(inputs_ok,sf_on3),sf_xn2+3/20*Lsf_3,NA()),NA())</f>
        <v/>
      </c>
      <c r="EV48">
        <f>IF(AND(inputs_ok,sf_on3),(-sf_Hdd-0.1*sf_D-(0.11*sf_D))-((0.11*sf_D)/sf_Mabs)*MAX((sf_ML1_3+sf_V1_3*(3/20*sf_L3)-sf_w1_3*(3/20*sf_L3)^2/2),(sf_ML2_3+sf_V2_3*(3/20*sf_L3)-sf_w2_3*(3/20*sf_L3)^2/2),(sf_ML3_3+sf_V3_3*(3/20*sf_L3)-sf_w3_3*(3/20*sf_L3)^2/2),(sf_ML4_3+sf_V4_3*(3/20*sf_L3)-sf_w4_3*(3/20*sf_L3)^2/2),(sf_ML5_3+sf_V5_3*(3/20*sf_L3)-sf_w5_3*(3/20*sf_L3)^2/2),(sf_ML6_3+sf_V6_3*(3/20*sf_L3)-sf_w6_3*(3/20*sf_L3)^2/2),(sf_ML7_3+sf_V7_3*(3/20*sf_L3)-sf_w7_3*(3/20*sf_L3)^2/2)),NA())</f>
        <v/>
      </c>
      <c r="EX48">
        <f>IF(inputs_ok,IF(AND(inputs_ok,sf_on3),sf_xn2+3/20*Lsf_3,NA()),NA())</f>
        <v/>
      </c>
      <c r="EY48">
        <f>IF(AND(inputs_ok,sf_on3),(-sf_Hdd-0.1*sf_D-(0.11*sf_D))-((0.11*sf_D)/sf_Mabs)*MIN((sf_ML1_3+sf_V1_3*(3/20*sf_L3)-sf_w1_3*(3/20*sf_L3)^2/2),(sf_ML2_3+sf_V2_3*(3/20*sf_L3)-sf_w2_3*(3/20*sf_L3)^2/2),(sf_ML3_3+sf_V3_3*(3/20*sf_L3)-sf_w3_3*(3/20*sf_L3)^2/2),(sf_ML4_3+sf_V4_3*(3/20*sf_L3)-sf_w4_3*(3/20*sf_L3)^2/2),(sf_ML5_3+sf_V5_3*(3/20*sf_L3)-sf_w5_3*(3/20*sf_L3)^2/2),(sf_ML6_3+sf_V6_3*(3/20*sf_L3)-sf_w6_3*(3/20*sf_L3)^2/2),(sf_ML7_3+sf_V7_3*(3/20*sf_L3)-sf_w7_3*(3/20*sf_L3)^2/2)),NA())</f>
        <v/>
      </c>
    </row>
    <row r="49">
      <c r="EU49">
        <f>IF(inputs_ok,IF(AND(inputs_ok,sf_on3),sf_xn2+4/20*Lsf_3,NA()),NA())</f>
        <v/>
      </c>
      <c r="EV49">
        <f>IF(AND(inputs_ok,sf_on3),(-sf_Hdd-0.1*sf_D-(0.11*sf_D))-((0.11*sf_D)/sf_Mabs)*MAX((sf_ML1_3+sf_V1_3*(4/20*sf_L3)-sf_w1_3*(4/20*sf_L3)^2/2),(sf_ML2_3+sf_V2_3*(4/20*sf_L3)-sf_w2_3*(4/20*sf_L3)^2/2),(sf_ML3_3+sf_V3_3*(4/20*sf_L3)-sf_w3_3*(4/20*sf_L3)^2/2),(sf_ML4_3+sf_V4_3*(4/20*sf_L3)-sf_w4_3*(4/20*sf_L3)^2/2),(sf_ML5_3+sf_V5_3*(4/20*sf_L3)-sf_w5_3*(4/20*sf_L3)^2/2),(sf_ML6_3+sf_V6_3*(4/20*sf_L3)-sf_w6_3*(4/20*sf_L3)^2/2),(sf_ML7_3+sf_V7_3*(4/20*sf_L3)-sf_w7_3*(4/20*sf_L3)^2/2)),NA())</f>
        <v/>
      </c>
      <c r="EX49">
        <f>IF(inputs_ok,IF(AND(inputs_ok,sf_on3),sf_xn2+4/20*Lsf_3,NA()),NA())</f>
        <v/>
      </c>
      <c r="EY49">
        <f>IF(AND(inputs_ok,sf_on3),(-sf_Hdd-0.1*sf_D-(0.11*sf_D))-((0.11*sf_D)/sf_Mabs)*MIN((sf_ML1_3+sf_V1_3*(4/20*sf_L3)-sf_w1_3*(4/20*sf_L3)^2/2),(sf_ML2_3+sf_V2_3*(4/20*sf_L3)-sf_w2_3*(4/20*sf_L3)^2/2),(sf_ML3_3+sf_V3_3*(4/20*sf_L3)-sf_w3_3*(4/20*sf_L3)^2/2),(sf_ML4_3+sf_V4_3*(4/20*sf_L3)-sf_w4_3*(4/20*sf_L3)^2/2),(sf_ML5_3+sf_V5_3*(4/20*sf_L3)-sf_w5_3*(4/20*sf_L3)^2/2),(sf_ML6_3+sf_V6_3*(4/20*sf_L3)-sf_w6_3*(4/20*sf_L3)^2/2),(sf_ML7_3+sf_V7_3*(4/20*sf_L3)-sf_w7_3*(4/20*sf_L3)^2/2)),NA())</f>
        <v/>
      </c>
    </row>
    <row r="50">
      <c r="EU50">
        <f>IF(inputs_ok,IF(AND(inputs_ok,sf_on3),sf_xn2+5/20*Lsf_3,NA()),NA())</f>
        <v/>
      </c>
      <c r="EV50">
        <f>IF(AND(inputs_ok,sf_on3),(-sf_Hdd-0.1*sf_D-(0.11*sf_D))-((0.11*sf_D)/sf_Mabs)*MAX((sf_ML1_3+sf_V1_3*(5/20*sf_L3)-sf_w1_3*(5/20*sf_L3)^2/2),(sf_ML2_3+sf_V2_3*(5/20*sf_L3)-sf_w2_3*(5/20*sf_L3)^2/2),(sf_ML3_3+sf_V3_3*(5/20*sf_L3)-sf_w3_3*(5/20*sf_L3)^2/2),(sf_ML4_3+sf_V4_3*(5/20*sf_L3)-sf_w4_3*(5/20*sf_L3)^2/2),(sf_ML5_3+sf_V5_3*(5/20*sf_L3)-sf_w5_3*(5/20*sf_L3)^2/2),(sf_ML6_3+sf_V6_3*(5/20*sf_L3)-sf_w6_3*(5/20*sf_L3)^2/2),(sf_ML7_3+sf_V7_3*(5/20*sf_L3)-sf_w7_3*(5/20*sf_L3)^2/2)),NA())</f>
        <v/>
      </c>
      <c r="EX50">
        <f>IF(inputs_ok,IF(AND(inputs_ok,sf_on3),sf_xn2+5/20*Lsf_3,NA()),NA())</f>
        <v/>
      </c>
      <c r="EY50">
        <f>IF(AND(inputs_ok,sf_on3),(-sf_Hdd-0.1*sf_D-(0.11*sf_D))-((0.11*sf_D)/sf_Mabs)*MIN((sf_ML1_3+sf_V1_3*(5/20*sf_L3)-sf_w1_3*(5/20*sf_L3)^2/2),(sf_ML2_3+sf_V2_3*(5/20*sf_L3)-sf_w2_3*(5/20*sf_L3)^2/2),(sf_ML3_3+sf_V3_3*(5/20*sf_L3)-sf_w3_3*(5/20*sf_L3)^2/2),(sf_ML4_3+sf_V4_3*(5/20*sf_L3)-sf_w4_3*(5/20*sf_L3)^2/2),(sf_ML5_3+sf_V5_3*(5/20*sf_L3)-sf_w5_3*(5/20*sf_L3)^2/2),(sf_ML6_3+sf_V6_3*(5/20*sf_L3)-sf_w6_3*(5/20*sf_L3)^2/2),(sf_ML7_3+sf_V7_3*(5/20*sf_L3)-sf_w7_3*(5/20*sf_L3)^2/2)),NA())</f>
        <v/>
      </c>
    </row>
    <row r="51">
      <c r="EU51">
        <f>IF(inputs_ok,IF(AND(inputs_ok,sf_on3),sf_xn2+6/20*Lsf_3,NA()),NA())</f>
        <v/>
      </c>
      <c r="EV51">
        <f>IF(AND(inputs_ok,sf_on3),(-sf_Hdd-0.1*sf_D-(0.11*sf_D))-((0.11*sf_D)/sf_Mabs)*MAX((sf_ML1_3+sf_V1_3*(6/20*sf_L3)-sf_w1_3*(6/20*sf_L3)^2/2),(sf_ML2_3+sf_V2_3*(6/20*sf_L3)-sf_w2_3*(6/20*sf_L3)^2/2),(sf_ML3_3+sf_V3_3*(6/20*sf_L3)-sf_w3_3*(6/20*sf_L3)^2/2),(sf_ML4_3+sf_V4_3*(6/20*sf_L3)-sf_w4_3*(6/20*sf_L3)^2/2),(sf_ML5_3+sf_V5_3*(6/20*sf_L3)-sf_w5_3*(6/20*sf_L3)^2/2),(sf_ML6_3+sf_V6_3*(6/20*sf_L3)-sf_w6_3*(6/20*sf_L3)^2/2),(sf_ML7_3+sf_V7_3*(6/20*sf_L3)-sf_w7_3*(6/20*sf_L3)^2/2)),NA())</f>
        <v/>
      </c>
      <c r="EX51">
        <f>IF(inputs_ok,IF(AND(inputs_ok,sf_on3),sf_xn2+6/20*Lsf_3,NA()),NA())</f>
        <v/>
      </c>
      <c r="EY51">
        <f>IF(AND(inputs_ok,sf_on3),(-sf_Hdd-0.1*sf_D-(0.11*sf_D))-((0.11*sf_D)/sf_Mabs)*MIN((sf_ML1_3+sf_V1_3*(6/20*sf_L3)-sf_w1_3*(6/20*sf_L3)^2/2),(sf_ML2_3+sf_V2_3*(6/20*sf_L3)-sf_w2_3*(6/20*sf_L3)^2/2),(sf_ML3_3+sf_V3_3*(6/20*sf_L3)-sf_w3_3*(6/20*sf_L3)^2/2),(sf_ML4_3+sf_V4_3*(6/20*sf_L3)-sf_w4_3*(6/20*sf_L3)^2/2),(sf_ML5_3+sf_V5_3*(6/20*sf_L3)-sf_w5_3*(6/20*sf_L3)^2/2),(sf_ML6_3+sf_V6_3*(6/20*sf_L3)-sf_w6_3*(6/20*sf_L3)^2/2),(sf_ML7_3+sf_V7_3*(6/20*sf_L3)-sf_w7_3*(6/20*sf_L3)^2/2)),NA())</f>
        <v/>
      </c>
    </row>
    <row r="52">
      <c r="EU52">
        <f>IF(inputs_ok,IF(AND(inputs_ok,sf_on3),sf_xn2+7/20*Lsf_3,NA()),NA())</f>
        <v/>
      </c>
      <c r="EV52">
        <f>IF(AND(inputs_ok,sf_on3),(-sf_Hdd-0.1*sf_D-(0.11*sf_D))-((0.11*sf_D)/sf_Mabs)*MAX((sf_ML1_3+sf_V1_3*(7/20*sf_L3)-sf_w1_3*(7/20*sf_L3)^2/2),(sf_ML2_3+sf_V2_3*(7/20*sf_L3)-sf_w2_3*(7/20*sf_L3)^2/2),(sf_ML3_3+sf_V3_3*(7/20*sf_L3)-sf_w3_3*(7/20*sf_L3)^2/2),(sf_ML4_3+sf_V4_3*(7/20*sf_L3)-sf_w4_3*(7/20*sf_L3)^2/2),(sf_ML5_3+sf_V5_3*(7/20*sf_L3)-sf_w5_3*(7/20*sf_L3)^2/2),(sf_ML6_3+sf_V6_3*(7/20*sf_L3)-sf_w6_3*(7/20*sf_L3)^2/2),(sf_ML7_3+sf_V7_3*(7/20*sf_L3)-sf_w7_3*(7/20*sf_L3)^2/2)),NA())</f>
        <v/>
      </c>
      <c r="EX52">
        <f>IF(inputs_ok,IF(AND(inputs_ok,sf_on3),sf_xn2+7/20*Lsf_3,NA()),NA())</f>
        <v/>
      </c>
      <c r="EY52">
        <f>IF(AND(inputs_ok,sf_on3),(-sf_Hdd-0.1*sf_D-(0.11*sf_D))-((0.11*sf_D)/sf_Mabs)*MIN((sf_ML1_3+sf_V1_3*(7/20*sf_L3)-sf_w1_3*(7/20*sf_L3)^2/2),(sf_ML2_3+sf_V2_3*(7/20*sf_L3)-sf_w2_3*(7/20*sf_L3)^2/2),(sf_ML3_3+sf_V3_3*(7/20*sf_L3)-sf_w3_3*(7/20*sf_L3)^2/2),(sf_ML4_3+sf_V4_3*(7/20*sf_L3)-sf_w4_3*(7/20*sf_L3)^2/2),(sf_ML5_3+sf_V5_3*(7/20*sf_L3)-sf_w5_3*(7/20*sf_L3)^2/2),(sf_ML6_3+sf_V6_3*(7/20*sf_L3)-sf_w6_3*(7/20*sf_L3)^2/2),(sf_ML7_3+sf_V7_3*(7/20*sf_L3)-sf_w7_3*(7/20*sf_L3)^2/2)),NA())</f>
        <v/>
      </c>
    </row>
    <row r="53">
      <c r="EU53">
        <f>IF(inputs_ok,IF(AND(inputs_ok,sf_on3),sf_xn2+8/20*Lsf_3,NA()),NA())</f>
        <v/>
      </c>
      <c r="EV53">
        <f>IF(AND(inputs_ok,sf_on3),(-sf_Hdd-0.1*sf_D-(0.11*sf_D))-((0.11*sf_D)/sf_Mabs)*MAX((sf_ML1_3+sf_V1_3*(8/20*sf_L3)-sf_w1_3*(8/20*sf_L3)^2/2),(sf_ML2_3+sf_V2_3*(8/20*sf_L3)-sf_w2_3*(8/20*sf_L3)^2/2),(sf_ML3_3+sf_V3_3*(8/20*sf_L3)-sf_w3_3*(8/20*sf_L3)^2/2),(sf_ML4_3+sf_V4_3*(8/20*sf_L3)-sf_w4_3*(8/20*sf_L3)^2/2),(sf_ML5_3+sf_V5_3*(8/20*sf_L3)-sf_w5_3*(8/20*sf_L3)^2/2),(sf_ML6_3+sf_V6_3*(8/20*sf_L3)-sf_w6_3*(8/20*sf_L3)^2/2),(sf_ML7_3+sf_V7_3*(8/20*sf_L3)-sf_w7_3*(8/20*sf_L3)^2/2)),NA())</f>
        <v/>
      </c>
      <c r="EX53">
        <f>IF(inputs_ok,IF(AND(inputs_ok,sf_on3),sf_xn2+8/20*Lsf_3,NA()),NA())</f>
        <v/>
      </c>
      <c r="EY53">
        <f>IF(AND(inputs_ok,sf_on3),(-sf_Hdd-0.1*sf_D-(0.11*sf_D))-((0.11*sf_D)/sf_Mabs)*MIN((sf_ML1_3+sf_V1_3*(8/20*sf_L3)-sf_w1_3*(8/20*sf_L3)^2/2),(sf_ML2_3+sf_V2_3*(8/20*sf_L3)-sf_w2_3*(8/20*sf_L3)^2/2),(sf_ML3_3+sf_V3_3*(8/20*sf_L3)-sf_w3_3*(8/20*sf_L3)^2/2),(sf_ML4_3+sf_V4_3*(8/20*sf_L3)-sf_w4_3*(8/20*sf_L3)^2/2),(sf_ML5_3+sf_V5_3*(8/20*sf_L3)-sf_w5_3*(8/20*sf_L3)^2/2),(sf_ML6_3+sf_V6_3*(8/20*sf_L3)-sf_w6_3*(8/20*sf_L3)^2/2),(sf_ML7_3+sf_V7_3*(8/20*sf_L3)-sf_w7_3*(8/20*sf_L3)^2/2)),NA())</f>
        <v/>
      </c>
    </row>
    <row r="54">
      <c r="EU54">
        <f>IF(inputs_ok,IF(AND(inputs_ok,sf_on3),sf_xn2+9/20*Lsf_3,NA()),NA())</f>
        <v/>
      </c>
      <c r="EV54">
        <f>IF(AND(inputs_ok,sf_on3),(-sf_Hdd-0.1*sf_D-(0.11*sf_D))-((0.11*sf_D)/sf_Mabs)*MAX((sf_ML1_3+sf_V1_3*(9/20*sf_L3)-sf_w1_3*(9/20*sf_L3)^2/2),(sf_ML2_3+sf_V2_3*(9/20*sf_L3)-sf_w2_3*(9/20*sf_L3)^2/2),(sf_ML3_3+sf_V3_3*(9/20*sf_L3)-sf_w3_3*(9/20*sf_L3)^2/2),(sf_ML4_3+sf_V4_3*(9/20*sf_L3)-sf_w4_3*(9/20*sf_L3)^2/2),(sf_ML5_3+sf_V5_3*(9/20*sf_L3)-sf_w5_3*(9/20*sf_L3)^2/2),(sf_ML6_3+sf_V6_3*(9/20*sf_L3)-sf_w6_3*(9/20*sf_L3)^2/2),(sf_ML7_3+sf_V7_3*(9/20*sf_L3)-sf_w7_3*(9/20*sf_L3)^2/2)),NA())</f>
        <v/>
      </c>
      <c r="EX54">
        <f>IF(inputs_ok,IF(AND(inputs_ok,sf_on3),sf_xn2+9/20*Lsf_3,NA()),NA())</f>
        <v/>
      </c>
      <c r="EY54">
        <f>IF(AND(inputs_ok,sf_on3),(-sf_Hdd-0.1*sf_D-(0.11*sf_D))-((0.11*sf_D)/sf_Mabs)*MIN((sf_ML1_3+sf_V1_3*(9/20*sf_L3)-sf_w1_3*(9/20*sf_L3)^2/2),(sf_ML2_3+sf_V2_3*(9/20*sf_L3)-sf_w2_3*(9/20*sf_L3)^2/2),(sf_ML3_3+sf_V3_3*(9/20*sf_L3)-sf_w3_3*(9/20*sf_L3)^2/2),(sf_ML4_3+sf_V4_3*(9/20*sf_L3)-sf_w4_3*(9/20*sf_L3)^2/2),(sf_ML5_3+sf_V5_3*(9/20*sf_L3)-sf_w5_3*(9/20*sf_L3)^2/2),(sf_ML6_3+sf_V6_3*(9/20*sf_L3)-sf_w6_3*(9/20*sf_L3)^2/2),(sf_ML7_3+sf_V7_3*(9/20*sf_L3)-sf_w7_3*(9/20*sf_L3)^2/2)),NA())</f>
        <v/>
      </c>
    </row>
    <row r="55">
      <c r="EU55">
        <f>IF(inputs_ok,IF(AND(inputs_ok,sf_on3),sf_xn2+10/20*Lsf_3,NA()),NA())</f>
        <v/>
      </c>
      <c r="EV55">
        <f>IF(AND(inputs_ok,sf_on3),(-sf_Hdd-0.1*sf_D-(0.11*sf_D))-((0.11*sf_D)/sf_Mabs)*MAX((sf_ML1_3+sf_V1_3*(10/20*sf_L3)-sf_w1_3*(10/20*sf_L3)^2/2),(sf_ML2_3+sf_V2_3*(10/20*sf_L3)-sf_w2_3*(10/20*sf_L3)^2/2),(sf_ML3_3+sf_V3_3*(10/20*sf_L3)-sf_w3_3*(10/20*sf_L3)^2/2),(sf_ML4_3+sf_V4_3*(10/20*sf_L3)-sf_w4_3*(10/20*sf_L3)^2/2),(sf_ML5_3+sf_V5_3*(10/20*sf_L3)-sf_w5_3*(10/20*sf_L3)^2/2),(sf_ML6_3+sf_V6_3*(10/20*sf_L3)-sf_w6_3*(10/20*sf_L3)^2/2),(sf_ML7_3+sf_V7_3*(10/20*sf_L3)-sf_w7_3*(10/20*sf_L3)^2/2)),NA())</f>
        <v/>
      </c>
      <c r="EX55">
        <f>IF(inputs_ok,IF(AND(inputs_ok,sf_on3),sf_xn2+10/20*Lsf_3,NA()),NA())</f>
        <v/>
      </c>
      <c r="EY55">
        <f>IF(AND(inputs_ok,sf_on3),(-sf_Hdd-0.1*sf_D-(0.11*sf_D))-((0.11*sf_D)/sf_Mabs)*MIN((sf_ML1_3+sf_V1_3*(10/20*sf_L3)-sf_w1_3*(10/20*sf_L3)^2/2),(sf_ML2_3+sf_V2_3*(10/20*sf_L3)-sf_w2_3*(10/20*sf_L3)^2/2),(sf_ML3_3+sf_V3_3*(10/20*sf_L3)-sf_w3_3*(10/20*sf_L3)^2/2),(sf_ML4_3+sf_V4_3*(10/20*sf_L3)-sf_w4_3*(10/20*sf_L3)^2/2),(sf_ML5_3+sf_V5_3*(10/20*sf_L3)-sf_w5_3*(10/20*sf_L3)^2/2),(sf_ML6_3+sf_V6_3*(10/20*sf_L3)-sf_w6_3*(10/20*sf_L3)^2/2),(sf_ML7_3+sf_V7_3*(10/20*sf_L3)-sf_w7_3*(10/20*sf_L3)^2/2)),NA())</f>
        <v/>
      </c>
    </row>
    <row r="56">
      <c r="EU56">
        <f>IF(inputs_ok,IF(AND(inputs_ok,sf_on3),sf_xn2+11/20*Lsf_3,NA()),NA())</f>
        <v/>
      </c>
      <c r="EV56">
        <f>IF(AND(inputs_ok,sf_on3),(-sf_Hdd-0.1*sf_D-(0.11*sf_D))-((0.11*sf_D)/sf_Mabs)*MAX((sf_ML1_3+sf_V1_3*(11/20*sf_L3)-sf_w1_3*(11/20*sf_L3)^2/2),(sf_ML2_3+sf_V2_3*(11/20*sf_L3)-sf_w2_3*(11/20*sf_L3)^2/2),(sf_ML3_3+sf_V3_3*(11/20*sf_L3)-sf_w3_3*(11/20*sf_L3)^2/2),(sf_ML4_3+sf_V4_3*(11/20*sf_L3)-sf_w4_3*(11/20*sf_L3)^2/2),(sf_ML5_3+sf_V5_3*(11/20*sf_L3)-sf_w5_3*(11/20*sf_L3)^2/2),(sf_ML6_3+sf_V6_3*(11/20*sf_L3)-sf_w6_3*(11/20*sf_L3)^2/2),(sf_ML7_3+sf_V7_3*(11/20*sf_L3)-sf_w7_3*(11/20*sf_L3)^2/2)),NA())</f>
        <v/>
      </c>
      <c r="EX56">
        <f>IF(inputs_ok,IF(AND(inputs_ok,sf_on3),sf_xn2+11/20*Lsf_3,NA()),NA())</f>
        <v/>
      </c>
      <c r="EY56">
        <f>IF(AND(inputs_ok,sf_on3),(-sf_Hdd-0.1*sf_D-(0.11*sf_D))-((0.11*sf_D)/sf_Mabs)*MIN((sf_ML1_3+sf_V1_3*(11/20*sf_L3)-sf_w1_3*(11/20*sf_L3)^2/2),(sf_ML2_3+sf_V2_3*(11/20*sf_L3)-sf_w2_3*(11/20*sf_L3)^2/2),(sf_ML3_3+sf_V3_3*(11/20*sf_L3)-sf_w3_3*(11/20*sf_L3)^2/2),(sf_ML4_3+sf_V4_3*(11/20*sf_L3)-sf_w4_3*(11/20*sf_L3)^2/2),(sf_ML5_3+sf_V5_3*(11/20*sf_L3)-sf_w5_3*(11/20*sf_L3)^2/2),(sf_ML6_3+sf_V6_3*(11/20*sf_L3)-sf_w6_3*(11/20*sf_L3)^2/2),(sf_ML7_3+sf_V7_3*(11/20*sf_L3)-sf_w7_3*(11/20*sf_L3)^2/2)),NA())</f>
        <v/>
      </c>
    </row>
    <row r="57">
      <c r="EU57">
        <f>IF(inputs_ok,IF(AND(inputs_ok,sf_on3),sf_xn2+12/20*Lsf_3,NA()),NA())</f>
        <v/>
      </c>
      <c r="EV57">
        <f>IF(AND(inputs_ok,sf_on3),(-sf_Hdd-0.1*sf_D-(0.11*sf_D))-((0.11*sf_D)/sf_Mabs)*MAX((sf_ML1_3+sf_V1_3*(12/20*sf_L3)-sf_w1_3*(12/20*sf_L3)^2/2),(sf_ML2_3+sf_V2_3*(12/20*sf_L3)-sf_w2_3*(12/20*sf_L3)^2/2),(sf_ML3_3+sf_V3_3*(12/20*sf_L3)-sf_w3_3*(12/20*sf_L3)^2/2),(sf_ML4_3+sf_V4_3*(12/20*sf_L3)-sf_w4_3*(12/20*sf_L3)^2/2),(sf_ML5_3+sf_V5_3*(12/20*sf_L3)-sf_w5_3*(12/20*sf_L3)^2/2),(sf_ML6_3+sf_V6_3*(12/20*sf_L3)-sf_w6_3*(12/20*sf_L3)^2/2),(sf_ML7_3+sf_V7_3*(12/20*sf_L3)-sf_w7_3*(12/20*sf_L3)^2/2)),NA())</f>
        <v/>
      </c>
      <c r="EX57">
        <f>IF(inputs_ok,IF(AND(inputs_ok,sf_on3),sf_xn2+12/20*Lsf_3,NA()),NA())</f>
        <v/>
      </c>
      <c r="EY57">
        <f>IF(AND(inputs_ok,sf_on3),(-sf_Hdd-0.1*sf_D-(0.11*sf_D))-((0.11*sf_D)/sf_Mabs)*MIN((sf_ML1_3+sf_V1_3*(12/20*sf_L3)-sf_w1_3*(12/20*sf_L3)^2/2),(sf_ML2_3+sf_V2_3*(12/20*sf_L3)-sf_w2_3*(12/20*sf_L3)^2/2),(sf_ML3_3+sf_V3_3*(12/20*sf_L3)-sf_w3_3*(12/20*sf_L3)^2/2),(sf_ML4_3+sf_V4_3*(12/20*sf_L3)-sf_w4_3*(12/20*sf_L3)^2/2),(sf_ML5_3+sf_V5_3*(12/20*sf_L3)-sf_w5_3*(12/20*sf_L3)^2/2),(sf_ML6_3+sf_V6_3*(12/20*sf_L3)-sf_w6_3*(12/20*sf_L3)^2/2),(sf_ML7_3+sf_V7_3*(12/20*sf_L3)-sf_w7_3*(12/20*sf_L3)^2/2)),NA())</f>
        <v/>
      </c>
    </row>
    <row r="58">
      <c r="EU58">
        <f>IF(inputs_ok,IF(AND(inputs_ok,sf_on3),sf_xn2+13/20*Lsf_3,NA()),NA())</f>
        <v/>
      </c>
      <c r="EV58">
        <f>IF(AND(inputs_ok,sf_on3),(-sf_Hdd-0.1*sf_D-(0.11*sf_D))-((0.11*sf_D)/sf_Mabs)*MAX((sf_ML1_3+sf_V1_3*(13/20*sf_L3)-sf_w1_3*(13/20*sf_L3)^2/2),(sf_ML2_3+sf_V2_3*(13/20*sf_L3)-sf_w2_3*(13/20*sf_L3)^2/2),(sf_ML3_3+sf_V3_3*(13/20*sf_L3)-sf_w3_3*(13/20*sf_L3)^2/2),(sf_ML4_3+sf_V4_3*(13/20*sf_L3)-sf_w4_3*(13/20*sf_L3)^2/2),(sf_ML5_3+sf_V5_3*(13/20*sf_L3)-sf_w5_3*(13/20*sf_L3)^2/2),(sf_ML6_3+sf_V6_3*(13/20*sf_L3)-sf_w6_3*(13/20*sf_L3)^2/2),(sf_ML7_3+sf_V7_3*(13/20*sf_L3)-sf_w7_3*(13/20*sf_L3)^2/2)),NA())</f>
        <v/>
      </c>
      <c r="EX58">
        <f>IF(inputs_ok,IF(AND(inputs_ok,sf_on3),sf_xn2+13/20*Lsf_3,NA()),NA())</f>
        <v/>
      </c>
      <c r="EY58">
        <f>IF(AND(inputs_ok,sf_on3),(-sf_Hdd-0.1*sf_D-(0.11*sf_D))-((0.11*sf_D)/sf_Mabs)*MIN((sf_ML1_3+sf_V1_3*(13/20*sf_L3)-sf_w1_3*(13/20*sf_L3)^2/2),(sf_ML2_3+sf_V2_3*(13/20*sf_L3)-sf_w2_3*(13/20*sf_L3)^2/2),(sf_ML3_3+sf_V3_3*(13/20*sf_L3)-sf_w3_3*(13/20*sf_L3)^2/2),(sf_ML4_3+sf_V4_3*(13/20*sf_L3)-sf_w4_3*(13/20*sf_L3)^2/2),(sf_ML5_3+sf_V5_3*(13/20*sf_L3)-sf_w5_3*(13/20*sf_L3)^2/2),(sf_ML6_3+sf_V6_3*(13/20*sf_L3)-sf_w6_3*(13/20*sf_L3)^2/2),(sf_ML7_3+sf_V7_3*(13/20*sf_L3)-sf_w7_3*(13/20*sf_L3)^2/2)),NA())</f>
        <v/>
      </c>
    </row>
    <row r="59">
      <c r="EU59">
        <f>IF(inputs_ok,IF(AND(inputs_ok,sf_on3),sf_xn2+14/20*Lsf_3,NA()),NA())</f>
        <v/>
      </c>
      <c r="EV59">
        <f>IF(AND(inputs_ok,sf_on3),(-sf_Hdd-0.1*sf_D-(0.11*sf_D))-((0.11*sf_D)/sf_Mabs)*MAX((sf_ML1_3+sf_V1_3*(14/20*sf_L3)-sf_w1_3*(14/20*sf_L3)^2/2),(sf_ML2_3+sf_V2_3*(14/20*sf_L3)-sf_w2_3*(14/20*sf_L3)^2/2),(sf_ML3_3+sf_V3_3*(14/20*sf_L3)-sf_w3_3*(14/20*sf_L3)^2/2),(sf_ML4_3+sf_V4_3*(14/20*sf_L3)-sf_w4_3*(14/20*sf_L3)^2/2),(sf_ML5_3+sf_V5_3*(14/20*sf_L3)-sf_w5_3*(14/20*sf_L3)^2/2),(sf_ML6_3+sf_V6_3*(14/20*sf_L3)-sf_w6_3*(14/20*sf_L3)^2/2),(sf_ML7_3+sf_V7_3*(14/20*sf_L3)-sf_w7_3*(14/20*sf_L3)^2/2)),NA())</f>
        <v/>
      </c>
      <c r="EX59">
        <f>IF(inputs_ok,IF(AND(inputs_ok,sf_on3),sf_xn2+14/20*Lsf_3,NA()),NA())</f>
        <v/>
      </c>
      <c r="EY59">
        <f>IF(AND(inputs_ok,sf_on3),(-sf_Hdd-0.1*sf_D-(0.11*sf_D))-((0.11*sf_D)/sf_Mabs)*MIN((sf_ML1_3+sf_V1_3*(14/20*sf_L3)-sf_w1_3*(14/20*sf_L3)^2/2),(sf_ML2_3+sf_V2_3*(14/20*sf_L3)-sf_w2_3*(14/20*sf_L3)^2/2),(sf_ML3_3+sf_V3_3*(14/20*sf_L3)-sf_w3_3*(14/20*sf_L3)^2/2),(sf_ML4_3+sf_V4_3*(14/20*sf_L3)-sf_w4_3*(14/20*sf_L3)^2/2),(sf_ML5_3+sf_V5_3*(14/20*sf_L3)-sf_w5_3*(14/20*sf_L3)^2/2),(sf_ML6_3+sf_V6_3*(14/20*sf_L3)-sf_w6_3*(14/20*sf_L3)^2/2),(sf_ML7_3+sf_V7_3*(14/20*sf_L3)-sf_w7_3*(14/20*sf_L3)^2/2)),NA())</f>
        <v/>
      </c>
    </row>
    <row r="60">
      <c r="EU60">
        <f>IF(inputs_ok,IF(AND(inputs_ok,sf_on3),sf_xn2+15/20*Lsf_3,NA()),NA())</f>
        <v/>
      </c>
      <c r="EV60">
        <f>IF(AND(inputs_ok,sf_on3),(-sf_Hdd-0.1*sf_D-(0.11*sf_D))-((0.11*sf_D)/sf_Mabs)*MAX((sf_ML1_3+sf_V1_3*(15/20*sf_L3)-sf_w1_3*(15/20*sf_L3)^2/2),(sf_ML2_3+sf_V2_3*(15/20*sf_L3)-sf_w2_3*(15/20*sf_L3)^2/2),(sf_ML3_3+sf_V3_3*(15/20*sf_L3)-sf_w3_3*(15/20*sf_L3)^2/2),(sf_ML4_3+sf_V4_3*(15/20*sf_L3)-sf_w4_3*(15/20*sf_L3)^2/2),(sf_ML5_3+sf_V5_3*(15/20*sf_L3)-sf_w5_3*(15/20*sf_L3)^2/2),(sf_ML6_3+sf_V6_3*(15/20*sf_L3)-sf_w6_3*(15/20*sf_L3)^2/2),(sf_ML7_3+sf_V7_3*(15/20*sf_L3)-sf_w7_3*(15/20*sf_L3)^2/2)),NA())</f>
        <v/>
      </c>
      <c r="EX60">
        <f>IF(inputs_ok,IF(AND(inputs_ok,sf_on3),sf_xn2+15/20*Lsf_3,NA()),NA())</f>
        <v/>
      </c>
      <c r="EY60">
        <f>IF(AND(inputs_ok,sf_on3),(-sf_Hdd-0.1*sf_D-(0.11*sf_D))-((0.11*sf_D)/sf_Mabs)*MIN((sf_ML1_3+sf_V1_3*(15/20*sf_L3)-sf_w1_3*(15/20*sf_L3)^2/2),(sf_ML2_3+sf_V2_3*(15/20*sf_L3)-sf_w2_3*(15/20*sf_L3)^2/2),(sf_ML3_3+sf_V3_3*(15/20*sf_L3)-sf_w3_3*(15/20*sf_L3)^2/2),(sf_ML4_3+sf_V4_3*(15/20*sf_L3)-sf_w4_3*(15/20*sf_L3)^2/2),(sf_ML5_3+sf_V5_3*(15/20*sf_L3)-sf_w5_3*(15/20*sf_L3)^2/2),(sf_ML6_3+sf_V6_3*(15/20*sf_L3)-sf_w6_3*(15/20*sf_L3)^2/2),(sf_ML7_3+sf_V7_3*(15/20*sf_L3)-sf_w7_3*(15/20*sf_L3)^2/2)),NA())</f>
        <v/>
      </c>
    </row>
    <row r="61">
      <c r="EU61">
        <f>IF(inputs_ok,IF(AND(inputs_ok,sf_on3),sf_xn2+16/20*Lsf_3,NA()),NA())</f>
        <v/>
      </c>
      <c r="EV61">
        <f>IF(AND(inputs_ok,sf_on3),(-sf_Hdd-0.1*sf_D-(0.11*sf_D))-((0.11*sf_D)/sf_Mabs)*MAX((sf_ML1_3+sf_V1_3*(16/20*sf_L3)-sf_w1_3*(16/20*sf_L3)^2/2),(sf_ML2_3+sf_V2_3*(16/20*sf_L3)-sf_w2_3*(16/20*sf_L3)^2/2),(sf_ML3_3+sf_V3_3*(16/20*sf_L3)-sf_w3_3*(16/20*sf_L3)^2/2),(sf_ML4_3+sf_V4_3*(16/20*sf_L3)-sf_w4_3*(16/20*sf_L3)^2/2),(sf_ML5_3+sf_V5_3*(16/20*sf_L3)-sf_w5_3*(16/20*sf_L3)^2/2),(sf_ML6_3+sf_V6_3*(16/20*sf_L3)-sf_w6_3*(16/20*sf_L3)^2/2),(sf_ML7_3+sf_V7_3*(16/20*sf_L3)-sf_w7_3*(16/20*sf_L3)^2/2)),NA())</f>
        <v/>
      </c>
      <c r="EX61">
        <f>IF(inputs_ok,IF(AND(inputs_ok,sf_on3),sf_xn2+16/20*Lsf_3,NA()),NA())</f>
        <v/>
      </c>
      <c r="EY61">
        <f>IF(AND(inputs_ok,sf_on3),(-sf_Hdd-0.1*sf_D-(0.11*sf_D))-((0.11*sf_D)/sf_Mabs)*MIN((sf_ML1_3+sf_V1_3*(16/20*sf_L3)-sf_w1_3*(16/20*sf_L3)^2/2),(sf_ML2_3+sf_V2_3*(16/20*sf_L3)-sf_w2_3*(16/20*sf_L3)^2/2),(sf_ML3_3+sf_V3_3*(16/20*sf_L3)-sf_w3_3*(16/20*sf_L3)^2/2),(sf_ML4_3+sf_V4_3*(16/20*sf_L3)-sf_w4_3*(16/20*sf_L3)^2/2),(sf_ML5_3+sf_V5_3*(16/20*sf_L3)-sf_w5_3*(16/20*sf_L3)^2/2),(sf_ML6_3+sf_V6_3*(16/20*sf_L3)-sf_w6_3*(16/20*sf_L3)^2/2),(sf_ML7_3+sf_V7_3*(16/20*sf_L3)-sf_w7_3*(16/20*sf_L3)^2/2)),NA())</f>
        <v/>
      </c>
    </row>
    <row r="62">
      <c r="EU62">
        <f>IF(inputs_ok,IF(AND(inputs_ok,sf_on3),sf_xn2+17/20*Lsf_3,NA()),NA())</f>
        <v/>
      </c>
      <c r="EV62">
        <f>IF(AND(inputs_ok,sf_on3),(-sf_Hdd-0.1*sf_D-(0.11*sf_D))-((0.11*sf_D)/sf_Mabs)*MAX((sf_ML1_3+sf_V1_3*(17/20*sf_L3)-sf_w1_3*(17/20*sf_L3)^2/2),(sf_ML2_3+sf_V2_3*(17/20*sf_L3)-sf_w2_3*(17/20*sf_L3)^2/2),(sf_ML3_3+sf_V3_3*(17/20*sf_L3)-sf_w3_3*(17/20*sf_L3)^2/2),(sf_ML4_3+sf_V4_3*(17/20*sf_L3)-sf_w4_3*(17/20*sf_L3)^2/2),(sf_ML5_3+sf_V5_3*(17/20*sf_L3)-sf_w5_3*(17/20*sf_L3)^2/2),(sf_ML6_3+sf_V6_3*(17/20*sf_L3)-sf_w6_3*(17/20*sf_L3)^2/2),(sf_ML7_3+sf_V7_3*(17/20*sf_L3)-sf_w7_3*(17/20*sf_L3)^2/2)),NA())</f>
        <v/>
      </c>
      <c r="EX62">
        <f>IF(inputs_ok,IF(AND(inputs_ok,sf_on3),sf_xn2+17/20*Lsf_3,NA()),NA())</f>
        <v/>
      </c>
      <c r="EY62">
        <f>IF(AND(inputs_ok,sf_on3),(-sf_Hdd-0.1*sf_D-(0.11*sf_D))-((0.11*sf_D)/sf_Mabs)*MIN((sf_ML1_3+sf_V1_3*(17/20*sf_L3)-sf_w1_3*(17/20*sf_L3)^2/2),(sf_ML2_3+sf_V2_3*(17/20*sf_L3)-sf_w2_3*(17/20*sf_L3)^2/2),(sf_ML3_3+sf_V3_3*(17/20*sf_L3)-sf_w3_3*(17/20*sf_L3)^2/2),(sf_ML4_3+sf_V4_3*(17/20*sf_L3)-sf_w4_3*(17/20*sf_L3)^2/2),(sf_ML5_3+sf_V5_3*(17/20*sf_L3)-sf_w5_3*(17/20*sf_L3)^2/2),(sf_ML6_3+sf_V6_3*(17/20*sf_L3)-sf_w6_3*(17/20*sf_L3)^2/2),(sf_ML7_3+sf_V7_3*(17/20*sf_L3)-sf_w7_3*(17/20*sf_L3)^2/2)),NA())</f>
        <v/>
      </c>
    </row>
    <row r="63">
      <c r="EU63">
        <f>IF(inputs_ok,IF(AND(inputs_ok,sf_on3),sf_xn2+18/20*Lsf_3,NA()),NA())</f>
        <v/>
      </c>
      <c r="EV63">
        <f>IF(AND(inputs_ok,sf_on3),(-sf_Hdd-0.1*sf_D-(0.11*sf_D))-((0.11*sf_D)/sf_Mabs)*MAX((sf_ML1_3+sf_V1_3*(18/20*sf_L3)-sf_w1_3*(18/20*sf_L3)^2/2),(sf_ML2_3+sf_V2_3*(18/20*sf_L3)-sf_w2_3*(18/20*sf_L3)^2/2),(sf_ML3_3+sf_V3_3*(18/20*sf_L3)-sf_w3_3*(18/20*sf_L3)^2/2),(sf_ML4_3+sf_V4_3*(18/20*sf_L3)-sf_w4_3*(18/20*sf_L3)^2/2),(sf_ML5_3+sf_V5_3*(18/20*sf_L3)-sf_w5_3*(18/20*sf_L3)^2/2),(sf_ML6_3+sf_V6_3*(18/20*sf_L3)-sf_w6_3*(18/20*sf_L3)^2/2),(sf_ML7_3+sf_V7_3*(18/20*sf_L3)-sf_w7_3*(18/20*sf_L3)^2/2)),NA())</f>
        <v/>
      </c>
      <c r="EX63">
        <f>IF(inputs_ok,IF(AND(inputs_ok,sf_on3),sf_xn2+18/20*Lsf_3,NA()),NA())</f>
        <v/>
      </c>
      <c r="EY63">
        <f>IF(AND(inputs_ok,sf_on3),(-sf_Hdd-0.1*sf_D-(0.11*sf_D))-((0.11*sf_D)/sf_Mabs)*MIN((sf_ML1_3+sf_V1_3*(18/20*sf_L3)-sf_w1_3*(18/20*sf_L3)^2/2),(sf_ML2_3+sf_V2_3*(18/20*sf_L3)-sf_w2_3*(18/20*sf_L3)^2/2),(sf_ML3_3+sf_V3_3*(18/20*sf_L3)-sf_w3_3*(18/20*sf_L3)^2/2),(sf_ML4_3+sf_V4_3*(18/20*sf_L3)-sf_w4_3*(18/20*sf_L3)^2/2),(sf_ML5_3+sf_V5_3*(18/20*sf_L3)-sf_w5_3*(18/20*sf_L3)^2/2),(sf_ML6_3+sf_V6_3*(18/20*sf_L3)-sf_w6_3*(18/20*sf_L3)^2/2),(sf_ML7_3+sf_V7_3*(18/20*sf_L3)-sf_w7_3*(18/20*sf_L3)^2/2)),NA())</f>
        <v/>
      </c>
    </row>
    <row r="64">
      <c r="EU64">
        <f>IF(inputs_ok,IF(AND(inputs_ok,sf_on3),sf_xn2+19/20*Lsf_3,NA()),NA())</f>
        <v/>
      </c>
      <c r="EV64">
        <f>IF(AND(inputs_ok,sf_on3),(-sf_Hdd-0.1*sf_D-(0.11*sf_D))-((0.11*sf_D)/sf_Mabs)*MAX((sf_ML1_3+sf_V1_3*(19/20*sf_L3)-sf_w1_3*(19/20*sf_L3)^2/2),(sf_ML2_3+sf_V2_3*(19/20*sf_L3)-sf_w2_3*(19/20*sf_L3)^2/2),(sf_ML3_3+sf_V3_3*(19/20*sf_L3)-sf_w3_3*(19/20*sf_L3)^2/2),(sf_ML4_3+sf_V4_3*(19/20*sf_L3)-sf_w4_3*(19/20*sf_L3)^2/2),(sf_ML5_3+sf_V5_3*(19/20*sf_L3)-sf_w5_3*(19/20*sf_L3)^2/2),(sf_ML6_3+sf_V6_3*(19/20*sf_L3)-sf_w6_3*(19/20*sf_L3)^2/2),(sf_ML7_3+sf_V7_3*(19/20*sf_L3)-sf_w7_3*(19/20*sf_L3)^2/2)),NA())</f>
        <v/>
      </c>
      <c r="EX64">
        <f>IF(inputs_ok,IF(AND(inputs_ok,sf_on3),sf_xn2+19/20*Lsf_3,NA()),NA())</f>
        <v/>
      </c>
      <c r="EY64">
        <f>IF(AND(inputs_ok,sf_on3),(-sf_Hdd-0.1*sf_D-(0.11*sf_D))-((0.11*sf_D)/sf_Mabs)*MIN((sf_ML1_3+sf_V1_3*(19/20*sf_L3)-sf_w1_3*(19/20*sf_L3)^2/2),(sf_ML2_3+sf_V2_3*(19/20*sf_L3)-sf_w2_3*(19/20*sf_L3)^2/2),(sf_ML3_3+sf_V3_3*(19/20*sf_L3)-sf_w3_3*(19/20*sf_L3)^2/2),(sf_ML4_3+sf_V4_3*(19/20*sf_L3)-sf_w4_3*(19/20*sf_L3)^2/2),(sf_ML5_3+sf_V5_3*(19/20*sf_L3)-sf_w5_3*(19/20*sf_L3)^2/2),(sf_ML6_3+sf_V6_3*(19/20*sf_L3)-sf_w6_3*(19/20*sf_L3)^2/2),(sf_ML7_3+sf_V7_3*(19/20*sf_L3)-sf_w7_3*(19/20*sf_L3)^2/2)),NA())</f>
        <v/>
      </c>
    </row>
    <row r="65">
      <c r="EU65">
        <f>IF(inputs_ok,IF(AND(inputs_ok,sf_on3),sf_xn2+20/20*Lsf_3,NA()),NA())</f>
        <v/>
      </c>
      <c r="EV65">
        <f>IF(AND(inputs_ok,sf_on3),(-sf_Hdd-0.1*sf_D-(0.11*sf_D))-((0.11*sf_D)/sf_Mabs)*MAX((sf_ML1_3+sf_V1_3*(20/20*sf_L3)-sf_w1_3*(20/20*sf_L3)^2/2),(sf_ML2_3+sf_V2_3*(20/20*sf_L3)-sf_w2_3*(20/20*sf_L3)^2/2),(sf_ML3_3+sf_V3_3*(20/20*sf_L3)-sf_w3_3*(20/20*sf_L3)^2/2),(sf_ML4_3+sf_V4_3*(20/20*sf_L3)-sf_w4_3*(20/20*sf_L3)^2/2),(sf_ML5_3+sf_V5_3*(20/20*sf_L3)-sf_w5_3*(20/20*sf_L3)^2/2),(sf_ML6_3+sf_V6_3*(20/20*sf_L3)-sf_w6_3*(20/20*sf_L3)^2/2),(sf_ML7_3+sf_V7_3*(20/20*sf_L3)-sf_w7_3*(20/20*sf_L3)^2/2)),NA())</f>
        <v/>
      </c>
      <c r="EX65">
        <f>IF(inputs_ok,IF(AND(inputs_ok,sf_on3),sf_xn2+20/20*Lsf_3,NA()),NA())</f>
        <v/>
      </c>
      <c r="EY65">
        <f>IF(AND(inputs_ok,sf_on3),(-sf_Hdd-0.1*sf_D-(0.11*sf_D))-((0.11*sf_D)/sf_Mabs)*MIN((sf_ML1_3+sf_V1_3*(20/20*sf_L3)-sf_w1_3*(20/20*sf_L3)^2/2),(sf_ML2_3+sf_V2_3*(20/20*sf_L3)-sf_w2_3*(20/20*sf_L3)^2/2),(sf_ML3_3+sf_V3_3*(20/20*sf_L3)-sf_w3_3*(20/20*sf_L3)^2/2),(sf_ML4_3+sf_V4_3*(20/20*sf_L3)-sf_w4_3*(20/20*sf_L3)^2/2),(sf_ML5_3+sf_V5_3*(20/20*sf_L3)-sf_w5_3*(20/20*sf_L3)^2/2),(sf_ML6_3+sf_V6_3*(20/20*sf_L3)-sf_w6_3*(20/20*sf_L3)^2/2),(sf_ML7_3+sf_V7_3*(20/20*sf_L3)-sf_w7_3*(20/20*sf_L3)^2/2)),NA())</f>
        <v/>
      </c>
    </row>
    <row r="66">
      <c r="EU66">
        <f>IF(inputs_ok,IF(AND(inputs_ok,sf_on4),sf_xn3+0/20*Lsf_4,NA()),NA())</f>
        <v/>
      </c>
      <c r="EV66">
        <f>IF(AND(inputs_ok,sf_on4),(-sf_Hdd-0.1*sf_D-(0.11*sf_D))-((0.11*sf_D)/sf_Mabs)*MAX((sf_ML1_4+sf_V1_4*(0/20*sf_L4)-sf_w1_4*(0/20*sf_L4)^2/2),(sf_ML2_4+sf_V2_4*(0/20*sf_L4)-sf_w2_4*(0/20*sf_L4)^2/2),(sf_ML3_4+sf_V3_4*(0/20*sf_L4)-sf_w3_4*(0/20*sf_L4)^2/2),(sf_ML4_4+sf_V4_4*(0/20*sf_L4)-sf_w4_4*(0/20*sf_L4)^2/2),(sf_ML5_4+sf_V5_4*(0/20*sf_L4)-sf_w5_4*(0/20*sf_L4)^2/2),(sf_ML6_4+sf_V6_4*(0/20*sf_L4)-sf_w6_4*(0/20*sf_L4)^2/2),(sf_ML7_4+sf_V7_4*(0/20*sf_L4)-sf_w7_4*(0/20*sf_L4)^2/2)),NA())</f>
        <v/>
      </c>
      <c r="EX66">
        <f>IF(inputs_ok,IF(AND(inputs_ok,sf_on4),sf_xn3+0/20*Lsf_4,NA()),NA())</f>
        <v/>
      </c>
      <c r="EY66">
        <f>IF(AND(inputs_ok,sf_on4),(-sf_Hdd-0.1*sf_D-(0.11*sf_D))-((0.11*sf_D)/sf_Mabs)*MIN((sf_ML1_4+sf_V1_4*(0/20*sf_L4)-sf_w1_4*(0/20*sf_L4)^2/2),(sf_ML2_4+sf_V2_4*(0/20*sf_L4)-sf_w2_4*(0/20*sf_L4)^2/2),(sf_ML3_4+sf_V3_4*(0/20*sf_L4)-sf_w3_4*(0/20*sf_L4)^2/2),(sf_ML4_4+sf_V4_4*(0/20*sf_L4)-sf_w4_4*(0/20*sf_L4)^2/2),(sf_ML5_4+sf_V5_4*(0/20*sf_L4)-sf_w5_4*(0/20*sf_L4)^2/2),(sf_ML6_4+sf_V6_4*(0/20*sf_L4)-sf_w6_4*(0/20*sf_L4)^2/2),(sf_ML7_4+sf_V7_4*(0/20*sf_L4)-sf_w7_4*(0/20*sf_L4)^2/2)),NA())</f>
        <v/>
      </c>
    </row>
    <row r="67">
      <c r="EU67">
        <f>IF(inputs_ok,IF(AND(inputs_ok,sf_on4),sf_xn3+1/20*Lsf_4,NA()),NA())</f>
        <v/>
      </c>
      <c r="EV67">
        <f>IF(AND(inputs_ok,sf_on4),(-sf_Hdd-0.1*sf_D-(0.11*sf_D))-((0.11*sf_D)/sf_Mabs)*MAX((sf_ML1_4+sf_V1_4*(1/20*sf_L4)-sf_w1_4*(1/20*sf_L4)^2/2),(sf_ML2_4+sf_V2_4*(1/20*sf_L4)-sf_w2_4*(1/20*sf_L4)^2/2),(sf_ML3_4+sf_V3_4*(1/20*sf_L4)-sf_w3_4*(1/20*sf_L4)^2/2),(sf_ML4_4+sf_V4_4*(1/20*sf_L4)-sf_w4_4*(1/20*sf_L4)^2/2),(sf_ML5_4+sf_V5_4*(1/20*sf_L4)-sf_w5_4*(1/20*sf_L4)^2/2),(sf_ML6_4+sf_V6_4*(1/20*sf_L4)-sf_w6_4*(1/20*sf_L4)^2/2),(sf_ML7_4+sf_V7_4*(1/20*sf_L4)-sf_w7_4*(1/20*sf_L4)^2/2)),NA())</f>
        <v/>
      </c>
      <c r="EX67">
        <f>IF(inputs_ok,IF(AND(inputs_ok,sf_on4),sf_xn3+1/20*Lsf_4,NA()),NA())</f>
        <v/>
      </c>
      <c r="EY67">
        <f>IF(AND(inputs_ok,sf_on4),(-sf_Hdd-0.1*sf_D-(0.11*sf_D))-((0.11*sf_D)/sf_Mabs)*MIN((sf_ML1_4+sf_V1_4*(1/20*sf_L4)-sf_w1_4*(1/20*sf_L4)^2/2),(sf_ML2_4+sf_V2_4*(1/20*sf_L4)-sf_w2_4*(1/20*sf_L4)^2/2),(sf_ML3_4+sf_V3_4*(1/20*sf_L4)-sf_w3_4*(1/20*sf_L4)^2/2),(sf_ML4_4+sf_V4_4*(1/20*sf_L4)-sf_w4_4*(1/20*sf_L4)^2/2),(sf_ML5_4+sf_V5_4*(1/20*sf_L4)-sf_w5_4*(1/20*sf_L4)^2/2),(sf_ML6_4+sf_V6_4*(1/20*sf_L4)-sf_w6_4*(1/20*sf_L4)^2/2),(sf_ML7_4+sf_V7_4*(1/20*sf_L4)-sf_w7_4*(1/20*sf_L4)^2/2)),NA())</f>
        <v/>
      </c>
    </row>
    <row r="68">
      <c r="EU68">
        <f>IF(inputs_ok,IF(AND(inputs_ok,sf_on4),sf_xn3+2/20*Lsf_4,NA()),NA())</f>
        <v/>
      </c>
      <c r="EV68">
        <f>IF(AND(inputs_ok,sf_on4),(-sf_Hdd-0.1*sf_D-(0.11*sf_D))-((0.11*sf_D)/sf_Mabs)*MAX((sf_ML1_4+sf_V1_4*(2/20*sf_L4)-sf_w1_4*(2/20*sf_L4)^2/2),(sf_ML2_4+sf_V2_4*(2/20*sf_L4)-sf_w2_4*(2/20*sf_L4)^2/2),(sf_ML3_4+sf_V3_4*(2/20*sf_L4)-sf_w3_4*(2/20*sf_L4)^2/2),(sf_ML4_4+sf_V4_4*(2/20*sf_L4)-sf_w4_4*(2/20*sf_L4)^2/2),(sf_ML5_4+sf_V5_4*(2/20*sf_L4)-sf_w5_4*(2/20*sf_L4)^2/2),(sf_ML6_4+sf_V6_4*(2/20*sf_L4)-sf_w6_4*(2/20*sf_L4)^2/2),(sf_ML7_4+sf_V7_4*(2/20*sf_L4)-sf_w7_4*(2/20*sf_L4)^2/2)),NA())</f>
        <v/>
      </c>
      <c r="EX68">
        <f>IF(inputs_ok,IF(AND(inputs_ok,sf_on4),sf_xn3+2/20*Lsf_4,NA()),NA())</f>
        <v/>
      </c>
      <c r="EY68">
        <f>IF(AND(inputs_ok,sf_on4),(-sf_Hdd-0.1*sf_D-(0.11*sf_D))-((0.11*sf_D)/sf_Mabs)*MIN((sf_ML1_4+sf_V1_4*(2/20*sf_L4)-sf_w1_4*(2/20*sf_L4)^2/2),(sf_ML2_4+sf_V2_4*(2/20*sf_L4)-sf_w2_4*(2/20*sf_L4)^2/2),(sf_ML3_4+sf_V3_4*(2/20*sf_L4)-sf_w3_4*(2/20*sf_L4)^2/2),(sf_ML4_4+sf_V4_4*(2/20*sf_L4)-sf_w4_4*(2/20*sf_L4)^2/2),(sf_ML5_4+sf_V5_4*(2/20*sf_L4)-sf_w5_4*(2/20*sf_L4)^2/2),(sf_ML6_4+sf_V6_4*(2/20*sf_L4)-sf_w6_4*(2/20*sf_L4)^2/2),(sf_ML7_4+sf_V7_4*(2/20*sf_L4)-sf_w7_4*(2/20*sf_L4)^2/2)),NA())</f>
        <v/>
      </c>
    </row>
    <row r="69">
      <c r="EU69">
        <f>IF(inputs_ok,IF(AND(inputs_ok,sf_on4),sf_xn3+3/20*Lsf_4,NA()),NA())</f>
        <v/>
      </c>
      <c r="EV69">
        <f>IF(AND(inputs_ok,sf_on4),(-sf_Hdd-0.1*sf_D-(0.11*sf_D))-((0.11*sf_D)/sf_Mabs)*MAX((sf_ML1_4+sf_V1_4*(3/20*sf_L4)-sf_w1_4*(3/20*sf_L4)^2/2),(sf_ML2_4+sf_V2_4*(3/20*sf_L4)-sf_w2_4*(3/20*sf_L4)^2/2),(sf_ML3_4+sf_V3_4*(3/20*sf_L4)-sf_w3_4*(3/20*sf_L4)^2/2),(sf_ML4_4+sf_V4_4*(3/20*sf_L4)-sf_w4_4*(3/20*sf_L4)^2/2),(sf_ML5_4+sf_V5_4*(3/20*sf_L4)-sf_w5_4*(3/20*sf_L4)^2/2),(sf_ML6_4+sf_V6_4*(3/20*sf_L4)-sf_w6_4*(3/20*sf_L4)^2/2),(sf_ML7_4+sf_V7_4*(3/20*sf_L4)-sf_w7_4*(3/20*sf_L4)^2/2)),NA())</f>
        <v/>
      </c>
      <c r="EX69">
        <f>IF(inputs_ok,IF(AND(inputs_ok,sf_on4),sf_xn3+3/20*Lsf_4,NA()),NA())</f>
        <v/>
      </c>
      <c r="EY69">
        <f>IF(AND(inputs_ok,sf_on4),(-sf_Hdd-0.1*sf_D-(0.11*sf_D))-((0.11*sf_D)/sf_Mabs)*MIN((sf_ML1_4+sf_V1_4*(3/20*sf_L4)-sf_w1_4*(3/20*sf_L4)^2/2),(sf_ML2_4+sf_V2_4*(3/20*sf_L4)-sf_w2_4*(3/20*sf_L4)^2/2),(sf_ML3_4+sf_V3_4*(3/20*sf_L4)-sf_w3_4*(3/20*sf_L4)^2/2),(sf_ML4_4+sf_V4_4*(3/20*sf_L4)-sf_w4_4*(3/20*sf_L4)^2/2),(sf_ML5_4+sf_V5_4*(3/20*sf_L4)-sf_w5_4*(3/20*sf_L4)^2/2),(sf_ML6_4+sf_V6_4*(3/20*sf_L4)-sf_w6_4*(3/20*sf_L4)^2/2),(sf_ML7_4+sf_V7_4*(3/20*sf_L4)-sf_w7_4*(3/20*sf_L4)^2/2)),NA())</f>
        <v/>
      </c>
    </row>
    <row r="70">
      <c r="EU70">
        <f>IF(inputs_ok,IF(AND(inputs_ok,sf_on4),sf_xn3+4/20*Lsf_4,NA()),NA())</f>
        <v/>
      </c>
      <c r="EV70">
        <f>IF(AND(inputs_ok,sf_on4),(-sf_Hdd-0.1*sf_D-(0.11*sf_D))-((0.11*sf_D)/sf_Mabs)*MAX((sf_ML1_4+sf_V1_4*(4/20*sf_L4)-sf_w1_4*(4/20*sf_L4)^2/2),(sf_ML2_4+sf_V2_4*(4/20*sf_L4)-sf_w2_4*(4/20*sf_L4)^2/2),(sf_ML3_4+sf_V3_4*(4/20*sf_L4)-sf_w3_4*(4/20*sf_L4)^2/2),(sf_ML4_4+sf_V4_4*(4/20*sf_L4)-sf_w4_4*(4/20*sf_L4)^2/2),(sf_ML5_4+sf_V5_4*(4/20*sf_L4)-sf_w5_4*(4/20*sf_L4)^2/2),(sf_ML6_4+sf_V6_4*(4/20*sf_L4)-sf_w6_4*(4/20*sf_L4)^2/2),(sf_ML7_4+sf_V7_4*(4/20*sf_L4)-sf_w7_4*(4/20*sf_L4)^2/2)),NA())</f>
        <v/>
      </c>
      <c r="EX70">
        <f>IF(inputs_ok,IF(AND(inputs_ok,sf_on4),sf_xn3+4/20*Lsf_4,NA()),NA())</f>
        <v/>
      </c>
      <c r="EY70">
        <f>IF(AND(inputs_ok,sf_on4),(-sf_Hdd-0.1*sf_D-(0.11*sf_D))-((0.11*sf_D)/sf_Mabs)*MIN((sf_ML1_4+sf_V1_4*(4/20*sf_L4)-sf_w1_4*(4/20*sf_L4)^2/2),(sf_ML2_4+sf_V2_4*(4/20*sf_L4)-sf_w2_4*(4/20*sf_L4)^2/2),(sf_ML3_4+sf_V3_4*(4/20*sf_L4)-sf_w3_4*(4/20*sf_L4)^2/2),(sf_ML4_4+sf_V4_4*(4/20*sf_L4)-sf_w4_4*(4/20*sf_L4)^2/2),(sf_ML5_4+sf_V5_4*(4/20*sf_L4)-sf_w5_4*(4/20*sf_L4)^2/2),(sf_ML6_4+sf_V6_4*(4/20*sf_L4)-sf_w6_4*(4/20*sf_L4)^2/2),(sf_ML7_4+sf_V7_4*(4/20*sf_L4)-sf_w7_4*(4/20*sf_L4)^2/2)),NA())</f>
        <v/>
      </c>
    </row>
    <row r="71">
      <c r="EU71">
        <f>IF(inputs_ok,IF(AND(inputs_ok,sf_on4),sf_xn3+5/20*Lsf_4,NA()),NA())</f>
        <v/>
      </c>
      <c r="EV71">
        <f>IF(AND(inputs_ok,sf_on4),(-sf_Hdd-0.1*sf_D-(0.11*sf_D))-((0.11*sf_D)/sf_Mabs)*MAX((sf_ML1_4+sf_V1_4*(5/20*sf_L4)-sf_w1_4*(5/20*sf_L4)^2/2),(sf_ML2_4+sf_V2_4*(5/20*sf_L4)-sf_w2_4*(5/20*sf_L4)^2/2),(sf_ML3_4+sf_V3_4*(5/20*sf_L4)-sf_w3_4*(5/20*sf_L4)^2/2),(sf_ML4_4+sf_V4_4*(5/20*sf_L4)-sf_w4_4*(5/20*sf_L4)^2/2),(sf_ML5_4+sf_V5_4*(5/20*sf_L4)-sf_w5_4*(5/20*sf_L4)^2/2),(sf_ML6_4+sf_V6_4*(5/20*sf_L4)-sf_w6_4*(5/20*sf_L4)^2/2),(sf_ML7_4+sf_V7_4*(5/20*sf_L4)-sf_w7_4*(5/20*sf_L4)^2/2)),NA())</f>
        <v/>
      </c>
      <c r="EX71">
        <f>IF(inputs_ok,IF(AND(inputs_ok,sf_on4),sf_xn3+5/20*Lsf_4,NA()),NA())</f>
        <v/>
      </c>
      <c r="EY71">
        <f>IF(AND(inputs_ok,sf_on4),(-sf_Hdd-0.1*sf_D-(0.11*sf_D))-((0.11*sf_D)/sf_Mabs)*MIN((sf_ML1_4+sf_V1_4*(5/20*sf_L4)-sf_w1_4*(5/20*sf_L4)^2/2),(sf_ML2_4+sf_V2_4*(5/20*sf_L4)-sf_w2_4*(5/20*sf_L4)^2/2),(sf_ML3_4+sf_V3_4*(5/20*sf_L4)-sf_w3_4*(5/20*sf_L4)^2/2),(sf_ML4_4+sf_V4_4*(5/20*sf_L4)-sf_w4_4*(5/20*sf_L4)^2/2),(sf_ML5_4+sf_V5_4*(5/20*sf_L4)-sf_w5_4*(5/20*sf_L4)^2/2),(sf_ML6_4+sf_V6_4*(5/20*sf_L4)-sf_w6_4*(5/20*sf_L4)^2/2),(sf_ML7_4+sf_V7_4*(5/20*sf_L4)-sf_w7_4*(5/20*sf_L4)^2/2)),NA())</f>
        <v/>
      </c>
    </row>
    <row r="72">
      <c r="EU72">
        <f>IF(inputs_ok,IF(AND(inputs_ok,sf_on4),sf_xn3+6/20*Lsf_4,NA()),NA())</f>
        <v/>
      </c>
      <c r="EV72">
        <f>IF(AND(inputs_ok,sf_on4),(-sf_Hdd-0.1*sf_D-(0.11*sf_D))-((0.11*sf_D)/sf_Mabs)*MAX((sf_ML1_4+sf_V1_4*(6/20*sf_L4)-sf_w1_4*(6/20*sf_L4)^2/2),(sf_ML2_4+sf_V2_4*(6/20*sf_L4)-sf_w2_4*(6/20*sf_L4)^2/2),(sf_ML3_4+sf_V3_4*(6/20*sf_L4)-sf_w3_4*(6/20*sf_L4)^2/2),(sf_ML4_4+sf_V4_4*(6/20*sf_L4)-sf_w4_4*(6/20*sf_L4)^2/2),(sf_ML5_4+sf_V5_4*(6/20*sf_L4)-sf_w5_4*(6/20*sf_L4)^2/2),(sf_ML6_4+sf_V6_4*(6/20*sf_L4)-sf_w6_4*(6/20*sf_L4)^2/2),(sf_ML7_4+sf_V7_4*(6/20*sf_L4)-sf_w7_4*(6/20*sf_L4)^2/2)),NA())</f>
        <v/>
      </c>
      <c r="EX72">
        <f>IF(inputs_ok,IF(AND(inputs_ok,sf_on4),sf_xn3+6/20*Lsf_4,NA()),NA())</f>
        <v/>
      </c>
      <c r="EY72">
        <f>IF(AND(inputs_ok,sf_on4),(-sf_Hdd-0.1*sf_D-(0.11*sf_D))-((0.11*sf_D)/sf_Mabs)*MIN((sf_ML1_4+sf_V1_4*(6/20*sf_L4)-sf_w1_4*(6/20*sf_L4)^2/2),(sf_ML2_4+sf_V2_4*(6/20*sf_L4)-sf_w2_4*(6/20*sf_L4)^2/2),(sf_ML3_4+sf_V3_4*(6/20*sf_L4)-sf_w3_4*(6/20*sf_L4)^2/2),(sf_ML4_4+sf_V4_4*(6/20*sf_L4)-sf_w4_4*(6/20*sf_L4)^2/2),(sf_ML5_4+sf_V5_4*(6/20*sf_L4)-sf_w5_4*(6/20*sf_L4)^2/2),(sf_ML6_4+sf_V6_4*(6/20*sf_L4)-sf_w6_4*(6/20*sf_L4)^2/2),(sf_ML7_4+sf_V7_4*(6/20*sf_L4)-sf_w7_4*(6/20*sf_L4)^2/2)),NA())</f>
        <v/>
      </c>
    </row>
    <row r="73">
      <c r="EU73">
        <f>IF(inputs_ok,IF(AND(inputs_ok,sf_on4),sf_xn3+7/20*Lsf_4,NA()),NA())</f>
        <v/>
      </c>
      <c r="EV73">
        <f>IF(AND(inputs_ok,sf_on4),(-sf_Hdd-0.1*sf_D-(0.11*sf_D))-((0.11*sf_D)/sf_Mabs)*MAX((sf_ML1_4+sf_V1_4*(7/20*sf_L4)-sf_w1_4*(7/20*sf_L4)^2/2),(sf_ML2_4+sf_V2_4*(7/20*sf_L4)-sf_w2_4*(7/20*sf_L4)^2/2),(sf_ML3_4+sf_V3_4*(7/20*sf_L4)-sf_w3_4*(7/20*sf_L4)^2/2),(sf_ML4_4+sf_V4_4*(7/20*sf_L4)-sf_w4_4*(7/20*sf_L4)^2/2),(sf_ML5_4+sf_V5_4*(7/20*sf_L4)-sf_w5_4*(7/20*sf_L4)^2/2),(sf_ML6_4+sf_V6_4*(7/20*sf_L4)-sf_w6_4*(7/20*sf_L4)^2/2),(sf_ML7_4+sf_V7_4*(7/20*sf_L4)-sf_w7_4*(7/20*sf_L4)^2/2)),NA())</f>
        <v/>
      </c>
      <c r="EX73">
        <f>IF(inputs_ok,IF(AND(inputs_ok,sf_on4),sf_xn3+7/20*Lsf_4,NA()),NA())</f>
        <v/>
      </c>
      <c r="EY73">
        <f>IF(AND(inputs_ok,sf_on4),(-sf_Hdd-0.1*sf_D-(0.11*sf_D))-((0.11*sf_D)/sf_Mabs)*MIN((sf_ML1_4+sf_V1_4*(7/20*sf_L4)-sf_w1_4*(7/20*sf_L4)^2/2),(sf_ML2_4+sf_V2_4*(7/20*sf_L4)-sf_w2_4*(7/20*sf_L4)^2/2),(sf_ML3_4+sf_V3_4*(7/20*sf_L4)-sf_w3_4*(7/20*sf_L4)^2/2),(sf_ML4_4+sf_V4_4*(7/20*sf_L4)-sf_w4_4*(7/20*sf_L4)^2/2),(sf_ML5_4+sf_V5_4*(7/20*sf_L4)-sf_w5_4*(7/20*sf_L4)^2/2),(sf_ML6_4+sf_V6_4*(7/20*sf_L4)-sf_w6_4*(7/20*sf_L4)^2/2),(sf_ML7_4+sf_V7_4*(7/20*sf_L4)-sf_w7_4*(7/20*sf_L4)^2/2)),NA())</f>
        <v/>
      </c>
    </row>
    <row r="74">
      <c r="EU74">
        <f>IF(inputs_ok,IF(AND(inputs_ok,sf_on4),sf_xn3+8/20*Lsf_4,NA()),NA())</f>
        <v/>
      </c>
      <c r="EV74">
        <f>IF(AND(inputs_ok,sf_on4),(-sf_Hdd-0.1*sf_D-(0.11*sf_D))-((0.11*sf_D)/sf_Mabs)*MAX((sf_ML1_4+sf_V1_4*(8/20*sf_L4)-sf_w1_4*(8/20*sf_L4)^2/2),(sf_ML2_4+sf_V2_4*(8/20*sf_L4)-sf_w2_4*(8/20*sf_L4)^2/2),(sf_ML3_4+sf_V3_4*(8/20*sf_L4)-sf_w3_4*(8/20*sf_L4)^2/2),(sf_ML4_4+sf_V4_4*(8/20*sf_L4)-sf_w4_4*(8/20*sf_L4)^2/2),(sf_ML5_4+sf_V5_4*(8/20*sf_L4)-sf_w5_4*(8/20*sf_L4)^2/2),(sf_ML6_4+sf_V6_4*(8/20*sf_L4)-sf_w6_4*(8/20*sf_L4)^2/2),(sf_ML7_4+sf_V7_4*(8/20*sf_L4)-sf_w7_4*(8/20*sf_L4)^2/2)),NA())</f>
        <v/>
      </c>
      <c r="EX74">
        <f>IF(inputs_ok,IF(AND(inputs_ok,sf_on4),sf_xn3+8/20*Lsf_4,NA()),NA())</f>
        <v/>
      </c>
      <c r="EY74">
        <f>IF(AND(inputs_ok,sf_on4),(-sf_Hdd-0.1*sf_D-(0.11*sf_D))-((0.11*sf_D)/sf_Mabs)*MIN((sf_ML1_4+sf_V1_4*(8/20*sf_L4)-sf_w1_4*(8/20*sf_L4)^2/2),(sf_ML2_4+sf_V2_4*(8/20*sf_L4)-sf_w2_4*(8/20*sf_L4)^2/2),(sf_ML3_4+sf_V3_4*(8/20*sf_L4)-sf_w3_4*(8/20*sf_L4)^2/2),(sf_ML4_4+sf_V4_4*(8/20*sf_L4)-sf_w4_4*(8/20*sf_L4)^2/2),(sf_ML5_4+sf_V5_4*(8/20*sf_L4)-sf_w5_4*(8/20*sf_L4)^2/2),(sf_ML6_4+sf_V6_4*(8/20*sf_L4)-sf_w6_4*(8/20*sf_L4)^2/2),(sf_ML7_4+sf_V7_4*(8/20*sf_L4)-sf_w7_4*(8/20*sf_L4)^2/2)),NA())</f>
        <v/>
      </c>
    </row>
    <row r="75">
      <c r="EU75">
        <f>IF(inputs_ok,IF(AND(inputs_ok,sf_on4),sf_xn3+9/20*Lsf_4,NA()),NA())</f>
        <v/>
      </c>
      <c r="EV75">
        <f>IF(AND(inputs_ok,sf_on4),(-sf_Hdd-0.1*sf_D-(0.11*sf_D))-((0.11*sf_D)/sf_Mabs)*MAX((sf_ML1_4+sf_V1_4*(9/20*sf_L4)-sf_w1_4*(9/20*sf_L4)^2/2),(sf_ML2_4+sf_V2_4*(9/20*sf_L4)-sf_w2_4*(9/20*sf_L4)^2/2),(sf_ML3_4+sf_V3_4*(9/20*sf_L4)-sf_w3_4*(9/20*sf_L4)^2/2),(sf_ML4_4+sf_V4_4*(9/20*sf_L4)-sf_w4_4*(9/20*sf_L4)^2/2),(sf_ML5_4+sf_V5_4*(9/20*sf_L4)-sf_w5_4*(9/20*sf_L4)^2/2),(sf_ML6_4+sf_V6_4*(9/20*sf_L4)-sf_w6_4*(9/20*sf_L4)^2/2),(sf_ML7_4+sf_V7_4*(9/20*sf_L4)-sf_w7_4*(9/20*sf_L4)^2/2)),NA())</f>
        <v/>
      </c>
      <c r="EX75">
        <f>IF(inputs_ok,IF(AND(inputs_ok,sf_on4),sf_xn3+9/20*Lsf_4,NA()),NA())</f>
        <v/>
      </c>
      <c r="EY75">
        <f>IF(AND(inputs_ok,sf_on4),(-sf_Hdd-0.1*sf_D-(0.11*sf_D))-((0.11*sf_D)/sf_Mabs)*MIN((sf_ML1_4+sf_V1_4*(9/20*sf_L4)-sf_w1_4*(9/20*sf_L4)^2/2),(sf_ML2_4+sf_V2_4*(9/20*sf_L4)-sf_w2_4*(9/20*sf_L4)^2/2),(sf_ML3_4+sf_V3_4*(9/20*sf_L4)-sf_w3_4*(9/20*sf_L4)^2/2),(sf_ML4_4+sf_V4_4*(9/20*sf_L4)-sf_w4_4*(9/20*sf_L4)^2/2),(sf_ML5_4+sf_V5_4*(9/20*sf_L4)-sf_w5_4*(9/20*sf_L4)^2/2),(sf_ML6_4+sf_V6_4*(9/20*sf_L4)-sf_w6_4*(9/20*sf_L4)^2/2),(sf_ML7_4+sf_V7_4*(9/20*sf_L4)-sf_w7_4*(9/20*sf_L4)^2/2)),NA())</f>
        <v/>
      </c>
    </row>
    <row r="76">
      <c r="EU76">
        <f>IF(inputs_ok,IF(AND(inputs_ok,sf_on4),sf_xn3+10/20*Lsf_4,NA()),NA())</f>
        <v/>
      </c>
      <c r="EV76">
        <f>IF(AND(inputs_ok,sf_on4),(-sf_Hdd-0.1*sf_D-(0.11*sf_D))-((0.11*sf_D)/sf_Mabs)*MAX((sf_ML1_4+sf_V1_4*(10/20*sf_L4)-sf_w1_4*(10/20*sf_L4)^2/2),(sf_ML2_4+sf_V2_4*(10/20*sf_L4)-sf_w2_4*(10/20*sf_L4)^2/2),(sf_ML3_4+sf_V3_4*(10/20*sf_L4)-sf_w3_4*(10/20*sf_L4)^2/2),(sf_ML4_4+sf_V4_4*(10/20*sf_L4)-sf_w4_4*(10/20*sf_L4)^2/2),(sf_ML5_4+sf_V5_4*(10/20*sf_L4)-sf_w5_4*(10/20*sf_L4)^2/2),(sf_ML6_4+sf_V6_4*(10/20*sf_L4)-sf_w6_4*(10/20*sf_L4)^2/2),(sf_ML7_4+sf_V7_4*(10/20*sf_L4)-sf_w7_4*(10/20*sf_L4)^2/2)),NA())</f>
        <v/>
      </c>
      <c r="EX76">
        <f>IF(inputs_ok,IF(AND(inputs_ok,sf_on4),sf_xn3+10/20*Lsf_4,NA()),NA())</f>
        <v/>
      </c>
      <c r="EY76">
        <f>IF(AND(inputs_ok,sf_on4),(-sf_Hdd-0.1*sf_D-(0.11*sf_D))-((0.11*sf_D)/sf_Mabs)*MIN((sf_ML1_4+sf_V1_4*(10/20*sf_L4)-sf_w1_4*(10/20*sf_L4)^2/2),(sf_ML2_4+sf_V2_4*(10/20*sf_L4)-sf_w2_4*(10/20*sf_L4)^2/2),(sf_ML3_4+sf_V3_4*(10/20*sf_L4)-sf_w3_4*(10/20*sf_L4)^2/2),(sf_ML4_4+sf_V4_4*(10/20*sf_L4)-sf_w4_4*(10/20*sf_L4)^2/2),(sf_ML5_4+sf_V5_4*(10/20*sf_L4)-sf_w5_4*(10/20*sf_L4)^2/2),(sf_ML6_4+sf_V6_4*(10/20*sf_L4)-sf_w6_4*(10/20*sf_L4)^2/2),(sf_ML7_4+sf_V7_4*(10/20*sf_L4)-sf_w7_4*(10/20*sf_L4)^2/2)),NA())</f>
        <v/>
      </c>
    </row>
    <row r="77">
      <c r="EU77">
        <f>IF(inputs_ok,IF(AND(inputs_ok,sf_on4),sf_xn3+11/20*Lsf_4,NA()),NA())</f>
        <v/>
      </c>
      <c r="EV77">
        <f>IF(AND(inputs_ok,sf_on4),(-sf_Hdd-0.1*sf_D-(0.11*sf_D))-((0.11*sf_D)/sf_Mabs)*MAX((sf_ML1_4+sf_V1_4*(11/20*sf_L4)-sf_w1_4*(11/20*sf_L4)^2/2),(sf_ML2_4+sf_V2_4*(11/20*sf_L4)-sf_w2_4*(11/20*sf_L4)^2/2),(sf_ML3_4+sf_V3_4*(11/20*sf_L4)-sf_w3_4*(11/20*sf_L4)^2/2),(sf_ML4_4+sf_V4_4*(11/20*sf_L4)-sf_w4_4*(11/20*sf_L4)^2/2),(sf_ML5_4+sf_V5_4*(11/20*sf_L4)-sf_w5_4*(11/20*sf_L4)^2/2),(sf_ML6_4+sf_V6_4*(11/20*sf_L4)-sf_w6_4*(11/20*sf_L4)^2/2),(sf_ML7_4+sf_V7_4*(11/20*sf_L4)-sf_w7_4*(11/20*sf_L4)^2/2)),NA())</f>
        <v/>
      </c>
      <c r="EX77">
        <f>IF(inputs_ok,IF(AND(inputs_ok,sf_on4),sf_xn3+11/20*Lsf_4,NA()),NA())</f>
        <v/>
      </c>
      <c r="EY77">
        <f>IF(AND(inputs_ok,sf_on4),(-sf_Hdd-0.1*sf_D-(0.11*sf_D))-((0.11*sf_D)/sf_Mabs)*MIN((sf_ML1_4+sf_V1_4*(11/20*sf_L4)-sf_w1_4*(11/20*sf_L4)^2/2),(sf_ML2_4+sf_V2_4*(11/20*sf_L4)-sf_w2_4*(11/20*sf_L4)^2/2),(sf_ML3_4+sf_V3_4*(11/20*sf_L4)-sf_w3_4*(11/20*sf_L4)^2/2),(sf_ML4_4+sf_V4_4*(11/20*sf_L4)-sf_w4_4*(11/20*sf_L4)^2/2),(sf_ML5_4+sf_V5_4*(11/20*sf_L4)-sf_w5_4*(11/20*sf_L4)^2/2),(sf_ML6_4+sf_V6_4*(11/20*sf_L4)-sf_w6_4*(11/20*sf_L4)^2/2),(sf_ML7_4+sf_V7_4*(11/20*sf_L4)-sf_w7_4*(11/20*sf_L4)^2/2)),NA())</f>
        <v/>
      </c>
    </row>
    <row r="78">
      <c r="EU78">
        <f>IF(inputs_ok,IF(AND(inputs_ok,sf_on4),sf_xn3+12/20*Lsf_4,NA()),NA())</f>
        <v/>
      </c>
      <c r="EV78">
        <f>IF(AND(inputs_ok,sf_on4),(-sf_Hdd-0.1*sf_D-(0.11*sf_D))-((0.11*sf_D)/sf_Mabs)*MAX((sf_ML1_4+sf_V1_4*(12/20*sf_L4)-sf_w1_4*(12/20*sf_L4)^2/2),(sf_ML2_4+sf_V2_4*(12/20*sf_L4)-sf_w2_4*(12/20*sf_L4)^2/2),(sf_ML3_4+sf_V3_4*(12/20*sf_L4)-sf_w3_4*(12/20*sf_L4)^2/2),(sf_ML4_4+sf_V4_4*(12/20*sf_L4)-sf_w4_4*(12/20*sf_L4)^2/2),(sf_ML5_4+sf_V5_4*(12/20*sf_L4)-sf_w5_4*(12/20*sf_L4)^2/2),(sf_ML6_4+sf_V6_4*(12/20*sf_L4)-sf_w6_4*(12/20*sf_L4)^2/2),(sf_ML7_4+sf_V7_4*(12/20*sf_L4)-sf_w7_4*(12/20*sf_L4)^2/2)),NA())</f>
        <v/>
      </c>
      <c r="EX78">
        <f>IF(inputs_ok,IF(AND(inputs_ok,sf_on4),sf_xn3+12/20*Lsf_4,NA()),NA())</f>
        <v/>
      </c>
      <c r="EY78">
        <f>IF(AND(inputs_ok,sf_on4),(-sf_Hdd-0.1*sf_D-(0.11*sf_D))-((0.11*sf_D)/sf_Mabs)*MIN((sf_ML1_4+sf_V1_4*(12/20*sf_L4)-sf_w1_4*(12/20*sf_L4)^2/2),(sf_ML2_4+sf_V2_4*(12/20*sf_L4)-sf_w2_4*(12/20*sf_L4)^2/2),(sf_ML3_4+sf_V3_4*(12/20*sf_L4)-sf_w3_4*(12/20*sf_L4)^2/2),(sf_ML4_4+sf_V4_4*(12/20*sf_L4)-sf_w4_4*(12/20*sf_L4)^2/2),(sf_ML5_4+sf_V5_4*(12/20*sf_L4)-sf_w5_4*(12/20*sf_L4)^2/2),(sf_ML6_4+sf_V6_4*(12/20*sf_L4)-sf_w6_4*(12/20*sf_L4)^2/2),(sf_ML7_4+sf_V7_4*(12/20*sf_L4)-sf_w7_4*(12/20*sf_L4)^2/2)),NA())</f>
        <v/>
      </c>
    </row>
    <row r="79">
      <c r="EU79">
        <f>IF(inputs_ok,IF(AND(inputs_ok,sf_on4),sf_xn3+13/20*Lsf_4,NA()),NA())</f>
        <v/>
      </c>
      <c r="EV79">
        <f>IF(AND(inputs_ok,sf_on4),(-sf_Hdd-0.1*sf_D-(0.11*sf_D))-((0.11*sf_D)/sf_Mabs)*MAX((sf_ML1_4+sf_V1_4*(13/20*sf_L4)-sf_w1_4*(13/20*sf_L4)^2/2),(sf_ML2_4+sf_V2_4*(13/20*sf_L4)-sf_w2_4*(13/20*sf_L4)^2/2),(sf_ML3_4+sf_V3_4*(13/20*sf_L4)-sf_w3_4*(13/20*sf_L4)^2/2),(sf_ML4_4+sf_V4_4*(13/20*sf_L4)-sf_w4_4*(13/20*sf_L4)^2/2),(sf_ML5_4+sf_V5_4*(13/20*sf_L4)-sf_w5_4*(13/20*sf_L4)^2/2),(sf_ML6_4+sf_V6_4*(13/20*sf_L4)-sf_w6_4*(13/20*sf_L4)^2/2),(sf_ML7_4+sf_V7_4*(13/20*sf_L4)-sf_w7_4*(13/20*sf_L4)^2/2)),NA())</f>
        <v/>
      </c>
      <c r="EX79">
        <f>IF(inputs_ok,IF(AND(inputs_ok,sf_on4),sf_xn3+13/20*Lsf_4,NA()),NA())</f>
        <v/>
      </c>
      <c r="EY79">
        <f>IF(AND(inputs_ok,sf_on4),(-sf_Hdd-0.1*sf_D-(0.11*sf_D))-((0.11*sf_D)/sf_Mabs)*MIN((sf_ML1_4+sf_V1_4*(13/20*sf_L4)-sf_w1_4*(13/20*sf_L4)^2/2),(sf_ML2_4+sf_V2_4*(13/20*sf_L4)-sf_w2_4*(13/20*sf_L4)^2/2),(sf_ML3_4+sf_V3_4*(13/20*sf_L4)-sf_w3_4*(13/20*sf_L4)^2/2),(sf_ML4_4+sf_V4_4*(13/20*sf_L4)-sf_w4_4*(13/20*sf_L4)^2/2),(sf_ML5_4+sf_V5_4*(13/20*sf_L4)-sf_w5_4*(13/20*sf_L4)^2/2),(sf_ML6_4+sf_V6_4*(13/20*sf_L4)-sf_w6_4*(13/20*sf_L4)^2/2),(sf_ML7_4+sf_V7_4*(13/20*sf_L4)-sf_w7_4*(13/20*sf_L4)^2/2)),NA())</f>
        <v/>
      </c>
    </row>
    <row r="80">
      <c r="EU80">
        <f>IF(inputs_ok,IF(AND(inputs_ok,sf_on4),sf_xn3+14/20*Lsf_4,NA()),NA())</f>
        <v/>
      </c>
      <c r="EV80">
        <f>IF(AND(inputs_ok,sf_on4),(-sf_Hdd-0.1*sf_D-(0.11*sf_D))-((0.11*sf_D)/sf_Mabs)*MAX((sf_ML1_4+sf_V1_4*(14/20*sf_L4)-sf_w1_4*(14/20*sf_L4)^2/2),(sf_ML2_4+sf_V2_4*(14/20*sf_L4)-sf_w2_4*(14/20*sf_L4)^2/2),(sf_ML3_4+sf_V3_4*(14/20*sf_L4)-sf_w3_4*(14/20*sf_L4)^2/2),(sf_ML4_4+sf_V4_4*(14/20*sf_L4)-sf_w4_4*(14/20*sf_L4)^2/2),(sf_ML5_4+sf_V5_4*(14/20*sf_L4)-sf_w5_4*(14/20*sf_L4)^2/2),(sf_ML6_4+sf_V6_4*(14/20*sf_L4)-sf_w6_4*(14/20*sf_L4)^2/2),(sf_ML7_4+sf_V7_4*(14/20*sf_L4)-sf_w7_4*(14/20*sf_L4)^2/2)),NA())</f>
        <v/>
      </c>
      <c r="EX80">
        <f>IF(inputs_ok,IF(AND(inputs_ok,sf_on4),sf_xn3+14/20*Lsf_4,NA()),NA())</f>
        <v/>
      </c>
      <c r="EY80">
        <f>IF(AND(inputs_ok,sf_on4),(-sf_Hdd-0.1*sf_D-(0.11*sf_D))-((0.11*sf_D)/sf_Mabs)*MIN((sf_ML1_4+sf_V1_4*(14/20*sf_L4)-sf_w1_4*(14/20*sf_L4)^2/2),(sf_ML2_4+sf_V2_4*(14/20*sf_L4)-sf_w2_4*(14/20*sf_L4)^2/2),(sf_ML3_4+sf_V3_4*(14/20*sf_L4)-sf_w3_4*(14/20*sf_L4)^2/2),(sf_ML4_4+sf_V4_4*(14/20*sf_L4)-sf_w4_4*(14/20*sf_L4)^2/2),(sf_ML5_4+sf_V5_4*(14/20*sf_L4)-sf_w5_4*(14/20*sf_L4)^2/2),(sf_ML6_4+sf_V6_4*(14/20*sf_L4)-sf_w6_4*(14/20*sf_L4)^2/2),(sf_ML7_4+sf_V7_4*(14/20*sf_L4)-sf_w7_4*(14/20*sf_L4)^2/2)),NA())</f>
        <v/>
      </c>
    </row>
    <row r="81">
      <c r="EU81">
        <f>IF(inputs_ok,IF(AND(inputs_ok,sf_on4),sf_xn3+15/20*Lsf_4,NA()),NA())</f>
        <v/>
      </c>
      <c r="EV81">
        <f>IF(AND(inputs_ok,sf_on4),(-sf_Hdd-0.1*sf_D-(0.11*sf_D))-((0.11*sf_D)/sf_Mabs)*MAX((sf_ML1_4+sf_V1_4*(15/20*sf_L4)-sf_w1_4*(15/20*sf_L4)^2/2),(sf_ML2_4+sf_V2_4*(15/20*sf_L4)-sf_w2_4*(15/20*sf_L4)^2/2),(sf_ML3_4+sf_V3_4*(15/20*sf_L4)-sf_w3_4*(15/20*sf_L4)^2/2),(sf_ML4_4+sf_V4_4*(15/20*sf_L4)-sf_w4_4*(15/20*sf_L4)^2/2),(sf_ML5_4+sf_V5_4*(15/20*sf_L4)-sf_w5_4*(15/20*sf_L4)^2/2),(sf_ML6_4+sf_V6_4*(15/20*sf_L4)-sf_w6_4*(15/20*sf_L4)^2/2),(sf_ML7_4+sf_V7_4*(15/20*sf_L4)-sf_w7_4*(15/20*sf_L4)^2/2)),NA())</f>
        <v/>
      </c>
      <c r="EX81">
        <f>IF(inputs_ok,IF(AND(inputs_ok,sf_on4),sf_xn3+15/20*Lsf_4,NA()),NA())</f>
        <v/>
      </c>
      <c r="EY81">
        <f>IF(AND(inputs_ok,sf_on4),(-sf_Hdd-0.1*sf_D-(0.11*sf_D))-((0.11*sf_D)/sf_Mabs)*MIN((sf_ML1_4+sf_V1_4*(15/20*sf_L4)-sf_w1_4*(15/20*sf_L4)^2/2),(sf_ML2_4+sf_V2_4*(15/20*sf_L4)-sf_w2_4*(15/20*sf_L4)^2/2),(sf_ML3_4+sf_V3_4*(15/20*sf_L4)-sf_w3_4*(15/20*sf_L4)^2/2),(sf_ML4_4+sf_V4_4*(15/20*sf_L4)-sf_w4_4*(15/20*sf_L4)^2/2),(sf_ML5_4+sf_V5_4*(15/20*sf_L4)-sf_w5_4*(15/20*sf_L4)^2/2),(sf_ML6_4+sf_V6_4*(15/20*sf_L4)-sf_w6_4*(15/20*sf_L4)^2/2),(sf_ML7_4+sf_V7_4*(15/20*sf_L4)-sf_w7_4*(15/20*sf_L4)^2/2)),NA())</f>
        <v/>
      </c>
    </row>
    <row r="82">
      <c r="EU82">
        <f>IF(inputs_ok,IF(AND(inputs_ok,sf_on4),sf_xn3+16/20*Lsf_4,NA()),NA())</f>
        <v/>
      </c>
      <c r="EV82">
        <f>IF(AND(inputs_ok,sf_on4),(-sf_Hdd-0.1*sf_D-(0.11*sf_D))-((0.11*sf_D)/sf_Mabs)*MAX((sf_ML1_4+sf_V1_4*(16/20*sf_L4)-sf_w1_4*(16/20*sf_L4)^2/2),(sf_ML2_4+sf_V2_4*(16/20*sf_L4)-sf_w2_4*(16/20*sf_L4)^2/2),(sf_ML3_4+sf_V3_4*(16/20*sf_L4)-sf_w3_4*(16/20*sf_L4)^2/2),(sf_ML4_4+sf_V4_4*(16/20*sf_L4)-sf_w4_4*(16/20*sf_L4)^2/2),(sf_ML5_4+sf_V5_4*(16/20*sf_L4)-sf_w5_4*(16/20*sf_L4)^2/2),(sf_ML6_4+sf_V6_4*(16/20*sf_L4)-sf_w6_4*(16/20*sf_L4)^2/2),(sf_ML7_4+sf_V7_4*(16/20*sf_L4)-sf_w7_4*(16/20*sf_L4)^2/2)),NA())</f>
        <v/>
      </c>
      <c r="EX82">
        <f>IF(inputs_ok,IF(AND(inputs_ok,sf_on4),sf_xn3+16/20*Lsf_4,NA()),NA())</f>
        <v/>
      </c>
      <c r="EY82">
        <f>IF(AND(inputs_ok,sf_on4),(-sf_Hdd-0.1*sf_D-(0.11*sf_D))-((0.11*sf_D)/sf_Mabs)*MIN((sf_ML1_4+sf_V1_4*(16/20*sf_L4)-sf_w1_4*(16/20*sf_L4)^2/2),(sf_ML2_4+sf_V2_4*(16/20*sf_L4)-sf_w2_4*(16/20*sf_L4)^2/2),(sf_ML3_4+sf_V3_4*(16/20*sf_L4)-sf_w3_4*(16/20*sf_L4)^2/2),(sf_ML4_4+sf_V4_4*(16/20*sf_L4)-sf_w4_4*(16/20*sf_L4)^2/2),(sf_ML5_4+sf_V5_4*(16/20*sf_L4)-sf_w5_4*(16/20*sf_L4)^2/2),(sf_ML6_4+sf_V6_4*(16/20*sf_L4)-sf_w6_4*(16/20*sf_L4)^2/2),(sf_ML7_4+sf_V7_4*(16/20*sf_L4)-sf_w7_4*(16/20*sf_L4)^2/2)),NA())</f>
        <v/>
      </c>
    </row>
    <row r="83">
      <c r="EU83">
        <f>IF(inputs_ok,IF(AND(inputs_ok,sf_on4),sf_xn3+17/20*Lsf_4,NA()),NA())</f>
        <v/>
      </c>
      <c r="EV83">
        <f>IF(AND(inputs_ok,sf_on4),(-sf_Hdd-0.1*sf_D-(0.11*sf_D))-((0.11*sf_D)/sf_Mabs)*MAX((sf_ML1_4+sf_V1_4*(17/20*sf_L4)-sf_w1_4*(17/20*sf_L4)^2/2),(sf_ML2_4+sf_V2_4*(17/20*sf_L4)-sf_w2_4*(17/20*sf_L4)^2/2),(sf_ML3_4+sf_V3_4*(17/20*sf_L4)-sf_w3_4*(17/20*sf_L4)^2/2),(sf_ML4_4+sf_V4_4*(17/20*sf_L4)-sf_w4_4*(17/20*sf_L4)^2/2),(sf_ML5_4+sf_V5_4*(17/20*sf_L4)-sf_w5_4*(17/20*sf_L4)^2/2),(sf_ML6_4+sf_V6_4*(17/20*sf_L4)-sf_w6_4*(17/20*sf_L4)^2/2),(sf_ML7_4+sf_V7_4*(17/20*sf_L4)-sf_w7_4*(17/20*sf_L4)^2/2)),NA())</f>
        <v/>
      </c>
      <c r="EX83">
        <f>IF(inputs_ok,IF(AND(inputs_ok,sf_on4),sf_xn3+17/20*Lsf_4,NA()),NA())</f>
        <v/>
      </c>
      <c r="EY83">
        <f>IF(AND(inputs_ok,sf_on4),(-sf_Hdd-0.1*sf_D-(0.11*sf_D))-((0.11*sf_D)/sf_Mabs)*MIN((sf_ML1_4+sf_V1_4*(17/20*sf_L4)-sf_w1_4*(17/20*sf_L4)^2/2),(sf_ML2_4+sf_V2_4*(17/20*sf_L4)-sf_w2_4*(17/20*sf_L4)^2/2),(sf_ML3_4+sf_V3_4*(17/20*sf_L4)-sf_w3_4*(17/20*sf_L4)^2/2),(sf_ML4_4+sf_V4_4*(17/20*sf_L4)-sf_w4_4*(17/20*sf_L4)^2/2),(sf_ML5_4+sf_V5_4*(17/20*sf_L4)-sf_w5_4*(17/20*sf_L4)^2/2),(sf_ML6_4+sf_V6_4*(17/20*sf_L4)-sf_w6_4*(17/20*sf_L4)^2/2),(sf_ML7_4+sf_V7_4*(17/20*sf_L4)-sf_w7_4*(17/20*sf_L4)^2/2)),NA())</f>
        <v/>
      </c>
    </row>
    <row r="84">
      <c r="EU84">
        <f>IF(inputs_ok,IF(AND(inputs_ok,sf_on4),sf_xn3+18/20*Lsf_4,NA()),NA())</f>
        <v/>
      </c>
      <c r="EV84">
        <f>IF(AND(inputs_ok,sf_on4),(-sf_Hdd-0.1*sf_D-(0.11*sf_D))-((0.11*sf_D)/sf_Mabs)*MAX((sf_ML1_4+sf_V1_4*(18/20*sf_L4)-sf_w1_4*(18/20*sf_L4)^2/2),(sf_ML2_4+sf_V2_4*(18/20*sf_L4)-sf_w2_4*(18/20*sf_L4)^2/2),(sf_ML3_4+sf_V3_4*(18/20*sf_L4)-sf_w3_4*(18/20*sf_L4)^2/2),(sf_ML4_4+sf_V4_4*(18/20*sf_L4)-sf_w4_4*(18/20*sf_L4)^2/2),(sf_ML5_4+sf_V5_4*(18/20*sf_L4)-sf_w5_4*(18/20*sf_L4)^2/2),(sf_ML6_4+sf_V6_4*(18/20*sf_L4)-sf_w6_4*(18/20*sf_L4)^2/2),(sf_ML7_4+sf_V7_4*(18/20*sf_L4)-sf_w7_4*(18/20*sf_L4)^2/2)),NA())</f>
        <v/>
      </c>
      <c r="EX84">
        <f>IF(inputs_ok,IF(AND(inputs_ok,sf_on4),sf_xn3+18/20*Lsf_4,NA()),NA())</f>
        <v/>
      </c>
      <c r="EY84">
        <f>IF(AND(inputs_ok,sf_on4),(-sf_Hdd-0.1*sf_D-(0.11*sf_D))-((0.11*sf_D)/sf_Mabs)*MIN((sf_ML1_4+sf_V1_4*(18/20*sf_L4)-sf_w1_4*(18/20*sf_L4)^2/2),(sf_ML2_4+sf_V2_4*(18/20*sf_L4)-sf_w2_4*(18/20*sf_L4)^2/2),(sf_ML3_4+sf_V3_4*(18/20*sf_L4)-sf_w3_4*(18/20*sf_L4)^2/2),(sf_ML4_4+sf_V4_4*(18/20*sf_L4)-sf_w4_4*(18/20*sf_L4)^2/2),(sf_ML5_4+sf_V5_4*(18/20*sf_L4)-sf_w5_4*(18/20*sf_L4)^2/2),(sf_ML6_4+sf_V6_4*(18/20*sf_L4)-sf_w6_4*(18/20*sf_L4)^2/2),(sf_ML7_4+sf_V7_4*(18/20*sf_L4)-sf_w7_4*(18/20*sf_L4)^2/2)),NA())</f>
        <v/>
      </c>
    </row>
    <row r="85">
      <c r="EU85">
        <f>IF(inputs_ok,IF(AND(inputs_ok,sf_on4),sf_xn3+19/20*Lsf_4,NA()),NA())</f>
        <v/>
      </c>
      <c r="EV85">
        <f>IF(AND(inputs_ok,sf_on4),(-sf_Hdd-0.1*sf_D-(0.11*sf_D))-((0.11*sf_D)/sf_Mabs)*MAX((sf_ML1_4+sf_V1_4*(19/20*sf_L4)-sf_w1_4*(19/20*sf_L4)^2/2),(sf_ML2_4+sf_V2_4*(19/20*sf_L4)-sf_w2_4*(19/20*sf_L4)^2/2),(sf_ML3_4+sf_V3_4*(19/20*sf_L4)-sf_w3_4*(19/20*sf_L4)^2/2),(sf_ML4_4+sf_V4_4*(19/20*sf_L4)-sf_w4_4*(19/20*sf_L4)^2/2),(sf_ML5_4+sf_V5_4*(19/20*sf_L4)-sf_w5_4*(19/20*sf_L4)^2/2),(sf_ML6_4+sf_V6_4*(19/20*sf_L4)-sf_w6_4*(19/20*sf_L4)^2/2),(sf_ML7_4+sf_V7_4*(19/20*sf_L4)-sf_w7_4*(19/20*sf_L4)^2/2)),NA())</f>
        <v/>
      </c>
      <c r="EX85">
        <f>IF(inputs_ok,IF(AND(inputs_ok,sf_on4),sf_xn3+19/20*Lsf_4,NA()),NA())</f>
        <v/>
      </c>
      <c r="EY85">
        <f>IF(AND(inputs_ok,sf_on4),(-sf_Hdd-0.1*sf_D-(0.11*sf_D))-((0.11*sf_D)/sf_Mabs)*MIN((sf_ML1_4+sf_V1_4*(19/20*sf_L4)-sf_w1_4*(19/20*sf_L4)^2/2),(sf_ML2_4+sf_V2_4*(19/20*sf_L4)-sf_w2_4*(19/20*sf_L4)^2/2),(sf_ML3_4+sf_V3_4*(19/20*sf_L4)-sf_w3_4*(19/20*sf_L4)^2/2),(sf_ML4_4+sf_V4_4*(19/20*sf_L4)-sf_w4_4*(19/20*sf_L4)^2/2),(sf_ML5_4+sf_V5_4*(19/20*sf_L4)-sf_w5_4*(19/20*sf_L4)^2/2),(sf_ML6_4+sf_V6_4*(19/20*sf_L4)-sf_w6_4*(19/20*sf_L4)^2/2),(sf_ML7_4+sf_V7_4*(19/20*sf_L4)-sf_w7_4*(19/20*sf_L4)^2/2)),NA())</f>
        <v/>
      </c>
    </row>
    <row r="86">
      <c r="EU86">
        <f>IF(inputs_ok,IF(AND(inputs_ok,sf_on4),sf_xn3+20/20*Lsf_4,NA()),NA())</f>
        <v/>
      </c>
      <c r="EV86">
        <f>IF(AND(inputs_ok,sf_on4),(-sf_Hdd-0.1*sf_D-(0.11*sf_D))-((0.11*sf_D)/sf_Mabs)*MAX((sf_ML1_4+sf_V1_4*(20/20*sf_L4)-sf_w1_4*(20/20*sf_L4)^2/2),(sf_ML2_4+sf_V2_4*(20/20*sf_L4)-sf_w2_4*(20/20*sf_L4)^2/2),(sf_ML3_4+sf_V3_4*(20/20*sf_L4)-sf_w3_4*(20/20*sf_L4)^2/2),(sf_ML4_4+sf_V4_4*(20/20*sf_L4)-sf_w4_4*(20/20*sf_L4)^2/2),(sf_ML5_4+sf_V5_4*(20/20*sf_L4)-sf_w5_4*(20/20*sf_L4)^2/2),(sf_ML6_4+sf_V6_4*(20/20*sf_L4)-sf_w6_4*(20/20*sf_L4)^2/2),(sf_ML7_4+sf_V7_4*(20/20*sf_L4)-sf_w7_4*(20/20*sf_L4)^2/2)),NA())</f>
        <v/>
      </c>
      <c r="EX86">
        <f>IF(inputs_ok,IF(AND(inputs_ok,sf_on4),sf_xn3+20/20*Lsf_4,NA()),NA())</f>
        <v/>
      </c>
      <c r="EY86">
        <f>IF(AND(inputs_ok,sf_on4),(-sf_Hdd-0.1*sf_D-(0.11*sf_D))-((0.11*sf_D)/sf_Mabs)*MIN((sf_ML1_4+sf_V1_4*(20/20*sf_L4)-sf_w1_4*(20/20*sf_L4)^2/2),(sf_ML2_4+sf_V2_4*(20/20*sf_L4)-sf_w2_4*(20/20*sf_L4)^2/2),(sf_ML3_4+sf_V3_4*(20/20*sf_L4)-sf_w3_4*(20/20*sf_L4)^2/2),(sf_ML4_4+sf_V4_4*(20/20*sf_L4)-sf_w4_4*(20/20*sf_L4)^2/2),(sf_ML5_4+sf_V5_4*(20/20*sf_L4)-sf_w5_4*(20/20*sf_L4)^2/2),(sf_ML6_4+sf_V6_4*(20/20*sf_L4)-sf_w6_4*(20/20*sf_L4)^2/2),(sf_ML7_4+sf_V7_4*(20/20*sf_L4)-sf_w7_4*(20/20*sf_L4)^2/2)),NA())</f>
        <v/>
      </c>
    </row>
    <row r="87">
      <c r="EU87">
        <f>IF(inputs_ok,IF(AND(inputs_ok,sf_on5),sf_xn4+0/20*Lsf_5,NA()),NA())</f>
        <v/>
      </c>
      <c r="EV87">
        <f>IF(AND(inputs_ok,sf_on5),(-sf_Hdd-0.1*sf_D-(0.11*sf_D))-((0.11*sf_D)/sf_Mabs)*MAX((sf_ML1_5+sf_V1_5*(0/20*sf_L5)-sf_w1_5*(0/20*sf_L5)^2/2),(sf_ML2_5+sf_V2_5*(0/20*sf_L5)-sf_w2_5*(0/20*sf_L5)^2/2),(sf_ML3_5+sf_V3_5*(0/20*sf_L5)-sf_w3_5*(0/20*sf_L5)^2/2),(sf_ML4_5+sf_V4_5*(0/20*sf_L5)-sf_w4_5*(0/20*sf_L5)^2/2),(sf_ML5_5+sf_V5_5*(0/20*sf_L5)-sf_w5_5*(0/20*sf_L5)^2/2),(sf_ML6_5+sf_V6_5*(0/20*sf_L5)-sf_w6_5*(0/20*sf_L5)^2/2),(sf_ML7_5+sf_V7_5*(0/20*sf_L5)-sf_w7_5*(0/20*sf_L5)^2/2)),NA())</f>
        <v/>
      </c>
      <c r="EX87">
        <f>IF(inputs_ok,IF(AND(inputs_ok,sf_on5),sf_xn4+0/20*Lsf_5,NA()),NA())</f>
        <v/>
      </c>
      <c r="EY87">
        <f>IF(AND(inputs_ok,sf_on5),(-sf_Hdd-0.1*sf_D-(0.11*sf_D))-((0.11*sf_D)/sf_Mabs)*MIN((sf_ML1_5+sf_V1_5*(0/20*sf_L5)-sf_w1_5*(0/20*sf_L5)^2/2),(sf_ML2_5+sf_V2_5*(0/20*sf_L5)-sf_w2_5*(0/20*sf_L5)^2/2),(sf_ML3_5+sf_V3_5*(0/20*sf_L5)-sf_w3_5*(0/20*sf_L5)^2/2),(sf_ML4_5+sf_V4_5*(0/20*sf_L5)-sf_w4_5*(0/20*sf_L5)^2/2),(sf_ML5_5+sf_V5_5*(0/20*sf_L5)-sf_w5_5*(0/20*sf_L5)^2/2),(sf_ML6_5+sf_V6_5*(0/20*sf_L5)-sf_w6_5*(0/20*sf_L5)^2/2),(sf_ML7_5+sf_V7_5*(0/20*sf_L5)-sf_w7_5*(0/20*sf_L5)^2/2)),NA())</f>
        <v/>
      </c>
    </row>
    <row r="88">
      <c r="EU88">
        <f>IF(inputs_ok,IF(AND(inputs_ok,sf_on5),sf_xn4+1/20*Lsf_5,NA()),NA())</f>
        <v/>
      </c>
      <c r="EV88">
        <f>IF(AND(inputs_ok,sf_on5),(-sf_Hdd-0.1*sf_D-(0.11*sf_D))-((0.11*sf_D)/sf_Mabs)*MAX((sf_ML1_5+sf_V1_5*(1/20*sf_L5)-sf_w1_5*(1/20*sf_L5)^2/2),(sf_ML2_5+sf_V2_5*(1/20*sf_L5)-sf_w2_5*(1/20*sf_L5)^2/2),(sf_ML3_5+sf_V3_5*(1/20*sf_L5)-sf_w3_5*(1/20*sf_L5)^2/2),(sf_ML4_5+sf_V4_5*(1/20*sf_L5)-sf_w4_5*(1/20*sf_L5)^2/2),(sf_ML5_5+sf_V5_5*(1/20*sf_L5)-sf_w5_5*(1/20*sf_L5)^2/2),(sf_ML6_5+sf_V6_5*(1/20*sf_L5)-sf_w6_5*(1/20*sf_L5)^2/2),(sf_ML7_5+sf_V7_5*(1/20*sf_L5)-sf_w7_5*(1/20*sf_L5)^2/2)),NA())</f>
        <v/>
      </c>
      <c r="EX88">
        <f>IF(inputs_ok,IF(AND(inputs_ok,sf_on5),sf_xn4+1/20*Lsf_5,NA()),NA())</f>
        <v/>
      </c>
      <c r="EY88">
        <f>IF(AND(inputs_ok,sf_on5),(-sf_Hdd-0.1*sf_D-(0.11*sf_D))-((0.11*sf_D)/sf_Mabs)*MIN((sf_ML1_5+sf_V1_5*(1/20*sf_L5)-sf_w1_5*(1/20*sf_L5)^2/2),(sf_ML2_5+sf_V2_5*(1/20*sf_L5)-sf_w2_5*(1/20*sf_L5)^2/2),(sf_ML3_5+sf_V3_5*(1/20*sf_L5)-sf_w3_5*(1/20*sf_L5)^2/2),(sf_ML4_5+sf_V4_5*(1/20*sf_L5)-sf_w4_5*(1/20*sf_L5)^2/2),(sf_ML5_5+sf_V5_5*(1/20*sf_L5)-sf_w5_5*(1/20*sf_L5)^2/2),(sf_ML6_5+sf_V6_5*(1/20*sf_L5)-sf_w6_5*(1/20*sf_L5)^2/2),(sf_ML7_5+sf_V7_5*(1/20*sf_L5)-sf_w7_5*(1/20*sf_L5)^2/2)),NA())</f>
        <v/>
      </c>
    </row>
    <row r="89">
      <c r="EU89">
        <f>IF(inputs_ok,IF(AND(inputs_ok,sf_on5),sf_xn4+2/20*Lsf_5,NA()),NA())</f>
        <v/>
      </c>
      <c r="EV89">
        <f>IF(AND(inputs_ok,sf_on5),(-sf_Hdd-0.1*sf_D-(0.11*sf_D))-((0.11*sf_D)/sf_Mabs)*MAX((sf_ML1_5+sf_V1_5*(2/20*sf_L5)-sf_w1_5*(2/20*sf_L5)^2/2),(sf_ML2_5+sf_V2_5*(2/20*sf_L5)-sf_w2_5*(2/20*sf_L5)^2/2),(sf_ML3_5+sf_V3_5*(2/20*sf_L5)-sf_w3_5*(2/20*sf_L5)^2/2),(sf_ML4_5+sf_V4_5*(2/20*sf_L5)-sf_w4_5*(2/20*sf_L5)^2/2),(sf_ML5_5+sf_V5_5*(2/20*sf_L5)-sf_w5_5*(2/20*sf_L5)^2/2),(sf_ML6_5+sf_V6_5*(2/20*sf_L5)-sf_w6_5*(2/20*sf_L5)^2/2),(sf_ML7_5+sf_V7_5*(2/20*sf_L5)-sf_w7_5*(2/20*sf_L5)^2/2)),NA())</f>
        <v/>
      </c>
      <c r="EX89">
        <f>IF(inputs_ok,IF(AND(inputs_ok,sf_on5),sf_xn4+2/20*Lsf_5,NA()),NA())</f>
        <v/>
      </c>
      <c r="EY89">
        <f>IF(AND(inputs_ok,sf_on5),(-sf_Hdd-0.1*sf_D-(0.11*sf_D))-((0.11*sf_D)/sf_Mabs)*MIN((sf_ML1_5+sf_V1_5*(2/20*sf_L5)-sf_w1_5*(2/20*sf_L5)^2/2),(sf_ML2_5+sf_V2_5*(2/20*sf_L5)-sf_w2_5*(2/20*sf_L5)^2/2),(sf_ML3_5+sf_V3_5*(2/20*sf_L5)-sf_w3_5*(2/20*sf_L5)^2/2),(sf_ML4_5+sf_V4_5*(2/20*sf_L5)-sf_w4_5*(2/20*sf_L5)^2/2),(sf_ML5_5+sf_V5_5*(2/20*sf_L5)-sf_w5_5*(2/20*sf_L5)^2/2),(sf_ML6_5+sf_V6_5*(2/20*sf_L5)-sf_w6_5*(2/20*sf_L5)^2/2),(sf_ML7_5+sf_V7_5*(2/20*sf_L5)-sf_w7_5*(2/20*sf_L5)^2/2)),NA())</f>
        <v/>
      </c>
    </row>
    <row r="90">
      <c r="EU90">
        <f>IF(inputs_ok,IF(AND(inputs_ok,sf_on5),sf_xn4+3/20*Lsf_5,NA()),NA())</f>
        <v/>
      </c>
      <c r="EV90">
        <f>IF(AND(inputs_ok,sf_on5),(-sf_Hdd-0.1*sf_D-(0.11*sf_D))-((0.11*sf_D)/sf_Mabs)*MAX((sf_ML1_5+sf_V1_5*(3/20*sf_L5)-sf_w1_5*(3/20*sf_L5)^2/2),(sf_ML2_5+sf_V2_5*(3/20*sf_L5)-sf_w2_5*(3/20*sf_L5)^2/2),(sf_ML3_5+sf_V3_5*(3/20*sf_L5)-sf_w3_5*(3/20*sf_L5)^2/2),(sf_ML4_5+sf_V4_5*(3/20*sf_L5)-sf_w4_5*(3/20*sf_L5)^2/2),(sf_ML5_5+sf_V5_5*(3/20*sf_L5)-sf_w5_5*(3/20*sf_L5)^2/2),(sf_ML6_5+sf_V6_5*(3/20*sf_L5)-sf_w6_5*(3/20*sf_L5)^2/2),(sf_ML7_5+sf_V7_5*(3/20*sf_L5)-sf_w7_5*(3/20*sf_L5)^2/2)),NA())</f>
        <v/>
      </c>
      <c r="EX90">
        <f>IF(inputs_ok,IF(AND(inputs_ok,sf_on5),sf_xn4+3/20*Lsf_5,NA()),NA())</f>
        <v/>
      </c>
      <c r="EY90">
        <f>IF(AND(inputs_ok,sf_on5),(-sf_Hdd-0.1*sf_D-(0.11*sf_D))-((0.11*sf_D)/sf_Mabs)*MIN((sf_ML1_5+sf_V1_5*(3/20*sf_L5)-sf_w1_5*(3/20*sf_L5)^2/2),(sf_ML2_5+sf_V2_5*(3/20*sf_L5)-sf_w2_5*(3/20*sf_L5)^2/2),(sf_ML3_5+sf_V3_5*(3/20*sf_L5)-sf_w3_5*(3/20*sf_L5)^2/2),(sf_ML4_5+sf_V4_5*(3/20*sf_L5)-sf_w4_5*(3/20*sf_L5)^2/2),(sf_ML5_5+sf_V5_5*(3/20*sf_L5)-sf_w5_5*(3/20*sf_L5)^2/2),(sf_ML6_5+sf_V6_5*(3/20*sf_L5)-sf_w6_5*(3/20*sf_L5)^2/2),(sf_ML7_5+sf_V7_5*(3/20*sf_L5)-sf_w7_5*(3/20*sf_L5)^2/2)),NA())</f>
        <v/>
      </c>
    </row>
    <row r="91">
      <c r="EU91">
        <f>IF(inputs_ok,IF(AND(inputs_ok,sf_on5),sf_xn4+4/20*Lsf_5,NA()),NA())</f>
        <v/>
      </c>
      <c r="EV91">
        <f>IF(AND(inputs_ok,sf_on5),(-sf_Hdd-0.1*sf_D-(0.11*sf_D))-((0.11*sf_D)/sf_Mabs)*MAX((sf_ML1_5+sf_V1_5*(4/20*sf_L5)-sf_w1_5*(4/20*sf_L5)^2/2),(sf_ML2_5+sf_V2_5*(4/20*sf_L5)-sf_w2_5*(4/20*sf_L5)^2/2),(sf_ML3_5+sf_V3_5*(4/20*sf_L5)-sf_w3_5*(4/20*sf_L5)^2/2),(sf_ML4_5+sf_V4_5*(4/20*sf_L5)-sf_w4_5*(4/20*sf_L5)^2/2),(sf_ML5_5+sf_V5_5*(4/20*sf_L5)-sf_w5_5*(4/20*sf_L5)^2/2),(sf_ML6_5+sf_V6_5*(4/20*sf_L5)-sf_w6_5*(4/20*sf_L5)^2/2),(sf_ML7_5+sf_V7_5*(4/20*sf_L5)-sf_w7_5*(4/20*sf_L5)^2/2)),NA())</f>
        <v/>
      </c>
      <c r="EX91">
        <f>IF(inputs_ok,IF(AND(inputs_ok,sf_on5),sf_xn4+4/20*Lsf_5,NA()),NA())</f>
        <v/>
      </c>
      <c r="EY91">
        <f>IF(AND(inputs_ok,sf_on5),(-sf_Hdd-0.1*sf_D-(0.11*sf_D))-((0.11*sf_D)/sf_Mabs)*MIN((sf_ML1_5+sf_V1_5*(4/20*sf_L5)-sf_w1_5*(4/20*sf_L5)^2/2),(sf_ML2_5+sf_V2_5*(4/20*sf_L5)-sf_w2_5*(4/20*sf_L5)^2/2),(sf_ML3_5+sf_V3_5*(4/20*sf_L5)-sf_w3_5*(4/20*sf_L5)^2/2),(sf_ML4_5+sf_V4_5*(4/20*sf_L5)-sf_w4_5*(4/20*sf_L5)^2/2),(sf_ML5_5+sf_V5_5*(4/20*sf_L5)-sf_w5_5*(4/20*sf_L5)^2/2),(sf_ML6_5+sf_V6_5*(4/20*sf_L5)-sf_w6_5*(4/20*sf_L5)^2/2),(sf_ML7_5+sf_V7_5*(4/20*sf_L5)-sf_w7_5*(4/20*sf_L5)^2/2)),NA())</f>
        <v/>
      </c>
    </row>
    <row r="92">
      <c r="EU92">
        <f>IF(inputs_ok,IF(AND(inputs_ok,sf_on5),sf_xn4+5/20*Lsf_5,NA()),NA())</f>
        <v/>
      </c>
      <c r="EV92">
        <f>IF(AND(inputs_ok,sf_on5),(-sf_Hdd-0.1*sf_D-(0.11*sf_D))-((0.11*sf_D)/sf_Mabs)*MAX((sf_ML1_5+sf_V1_5*(5/20*sf_L5)-sf_w1_5*(5/20*sf_L5)^2/2),(sf_ML2_5+sf_V2_5*(5/20*sf_L5)-sf_w2_5*(5/20*sf_L5)^2/2),(sf_ML3_5+sf_V3_5*(5/20*sf_L5)-sf_w3_5*(5/20*sf_L5)^2/2),(sf_ML4_5+sf_V4_5*(5/20*sf_L5)-sf_w4_5*(5/20*sf_L5)^2/2),(sf_ML5_5+sf_V5_5*(5/20*sf_L5)-sf_w5_5*(5/20*sf_L5)^2/2),(sf_ML6_5+sf_V6_5*(5/20*sf_L5)-sf_w6_5*(5/20*sf_L5)^2/2),(sf_ML7_5+sf_V7_5*(5/20*sf_L5)-sf_w7_5*(5/20*sf_L5)^2/2)),NA())</f>
        <v/>
      </c>
      <c r="EX92">
        <f>IF(inputs_ok,IF(AND(inputs_ok,sf_on5),sf_xn4+5/20*Lsf_5,NA()),NA())</f>
        <v/>
      </c>
      <c r="EY92">
        <f>IF(AND(inputs_ok,sf_on5),(-sf_Hdd-0.1*sf_D-(0.11*sf_D))-((0.11*sf_D)/sf_Mabs)*MIN((sf_ML1_5+sf_V1_5*(5/20*sf_L5)-sf_w1_5*(5/20*sf_L5)^2/2),(sf_ML2_5+sf_V2_5*(5/20*sf_L5)-sf_w2_5*(5/20*sf_L5)^2/2),(sf_ML3_5+sf_V3_5*(5/20*sf_L5)-sf_w3_5*(5/20*sf_L5)^2/2),(sf_ML4_5+sf_V4_5*(5/20*sf_L5)-sf_w4_5*(5/20*sf_L5)^2/2),(sf_ML5_5+sf_V5_5*(5/20*sf_L5)-sf_w5_5*(5/20*sf_L5)^2/2),(sf_ML6_5+sf_V6_5*(5/20*sf_L5)-sf_w6_5*(5/20*sf_L5)^2/2),(sf_ML7_5+sf_V7_5*(5/20*sf_L5)-sf_w7_5*(5/20*sf_L5)^2/2)),NA())</f>
        <v/>
      </c>
    </row>
    <row r="93">
      <c r="EU93">
        <f>IF(inputs_ok,IF(AND(inputs_ok,sf_on5),sf_xn4+6/20*Lsf_5,NA()),NA())</f>
        <v/>
      </c>
      <c r="EV93">
        <f>IF(AND(inputs_ok,sf_on5),(-sf_Hdd-0.1*sf_D-(0.11*sf_D))-((0.11*sf_D)/sf_Mabs)*MAX((sf_ML1_5+sf_V1_5*(6/20*sf_L5)-sf_w1_5*(6/20*sf_L5)^2/2),(sf_ML2_5+sf_V2_5*(6/20*sf_L5)-sf_w2_5*(6/20*sf_L5)^2/2),(sf_ML3_5+sf_V3_5*(6/20*sf_L5)-sf_w3_5*(6/20*sf_L5)^2/2),(sf_ML4_5+sf_V4_5*(6/20*sf_L5)-sf_w4_5*(6/20*sf_L5)^2/2),(sf_ML5_5+sf_V5_5*(6/20*sf_L5)-sf_w5_5*(6/20*sf_L5)^2/2),(sf_ML6_5+sf_V6_5*(6/20*sf_L5)-sf_w6_5*(6/20*sf_L5)^2/2),(sf_ML7_5+sf_V7_5*(6/20*sf_L5)-sf_w7_5*(6/20*sf_L5)^2/2)),NA())</f>
        <v/>
      </c>
      <c r="EX93">
        <f>IF(inputs_ok,IF(AND(inputs_ok,sf_on5),sf_xn4+6/20*Lsf_5,NA()),NA())</f>
        <v/>
      </c>
      <c r="EY93">
        <f>IF(AND(inputs_ok,sf_on5),(-sf_Hdd-0.1*sf_D-(0.11*sf_D))-((0.11*sf_D)/sf_Mabs)*MIN((sf_ML1_5+sf_V1_5*(6/20*sf_L5)-sf_w1_5*(6/20*sf_L5)^2/2),(sf_ML2_5+sf_V2_5*(6/20*sf_L5)-sf_w2_5*(6/20*sf_L5)^2/2),(sf_ML3_5+sf_V3_5*(6/20*sf_L5)-sf_w3_5*(6/20*sf_L5)^2/2),(sf_ML4_5+sf_V4_5*(6/20*sf_L5)-sf_w4_5*(6/20*sf_L5)^2/2),(sf_ML5_5+sf_V5_5*(6/20*sf_L5)-sf_w5_5*(6/20*sf_L5)^2/2),(sf_ML6_5+sf_V6_5*(6/20*sf_L5)-sf_w6_5*(6/20*sf_L5)^2/2),(sf_ML7_5+sf_V7_5*(6/20*sf_L5)-sf_w7_5*(6/20*sf_L5)^2/2)),NA())</f>
        <v/>
      </c>
    </row>
    <row r="94">
      <c r="EU94">
        <f>IF(inputs_ok,IF(AND(inputs_ok,sf_on5),sf_xn4+7/20*Lsf_5,NA()),NA())</f>
        <v/>
      </c>
      <c r="EV94">
        <f>IF(AND(inputs_ok,sf_on5),(-sf_Hdd-0.1*sf_D-(0.11*sf_D))-((0.11*sf_D)/sf_Mabs)*MAX((sf_ML1_5+sf_V1_5*(7/20*sf_L5)-sf_w1_5*(7/20*sf_L5)^2/2),(sf_ML2_5+sf_V2_5*(7/20*sf_L5)-sf_w2_5*(7/20*sf_L5)^2/2),(sf_ML3_5+sf_V3_5*(7/20*sf_L5)-sf_w3_5*(7/20*sf_L5)^2/2),(sf_ML4_5+sf_V4_5*(7/20*sf_L5)-sf_w4_5*(7/20*sf_L5)^2/2),(sf_ML5_5+sf_V5_5*(7/20*sf_L5)-sf_w5_5*(7/20*sf_L5)^2/2),(sf_ML6_5+sf_V6_5*(7/20*sf_L5)-sf_w6_5*(7/20*sf_L5)^2/2),(sf_ML7_5+sf_V7_5*(7/20*sf_L5)-sf_w7_5*(7/20*sf_L5)^2/2)),NA())</f>
        <v/>
      </c>
      <c r="EX94">
        <f>IF(inputs_ok,IF(AND(inputs_ok,sf_on5),sf_xn4+7/20*Lsf_5,NA()),NA())</f>
        <v/>
      </c>
      <c r="EY94">
        <f>IF(AND(inputs_ok,sf_on5),(-sf_Hdd-0.1*sf_D-(0.11*sf_D))-((0.11*sf_D)/sf_Mabs)*MIN((sf_ML1_5+sf_V1_5*(7/20*sf_L5)-sf_w1_5*(7/20*sf_L5)^2/2),(sf_ML2_5+sf_V2_5*(7/20*sf_L5)-sf_w2_5*(7/20*sf_L5)^2/2),(sf_ML3_5+sf_V3_5*(7/20*sf_L5)-sf_w3_5*(7/20*sf_L5)^2/2),(sf_ML4_5+sf_V4_5*(7/20*sf_L5)-sf_w4_5*(7/20*sf_L5)^2/2),(sf_ML5_5+sf_V5_5*(7/20*sf_L5)-sf_w5_5*(7/20*sf_L5)^2/2),(sf_ML6_5+sf_V6_5*(7/20*sf_L5)-sf_w6_5*(7/20*sf_L5)^2/2),(sf_ML7_5+sf_V7_5*(7/20*sf_L5)-sf_w7_5*(7/20*sf_L5)^2/2)),NA())</f>
        <v/>
      </c>
    </row>
    <row r="95">
      <c r="EU95">
        <f>IF(inputs_ok,IF(AND(inputs_ok,sf_on5),sf_xn4+8/20*Lsf_5,NA()),NA())</f>
        <v/>
      </c>
      <c r="EV95">
        <f>IF(AND(inputs_ok,sf_on5),(-sf_Hdd-0.1*sf_D-(0.11*sf_D))-((0.11*sf_D)/sf_Mabs)*MAX((sf_ML1_5+sf_V1_5*(8/20*sf_L5)-sf_w1_5*(8/20*sf_L5)^2/2),(sf_ML2_5+sf_V2_5*(8/20*sf_L5)-sf_w2_5*(8/20*sf_L5)^2/2),(sf_ML3_5+sf_V3_5*(8/20*sf_L5)-sf_w3_5*(8/20*sf_L5)^2/2),(sf_ML4_5+sf_V4_5*(8/20*sf_L5)-sf_w4_5*(8/20*sf_L5)^2/2),(sf_ML5_5+sf_V5_5*(8/20*sf_L5)-sf_w5_5*(8/20*sf_L5)^2/2),(sf_ML6_5+sf_V6_5*(8/20*sf_L5)-sf_w6_5*(8/20*sf_L5)^2/2),(sf_ML7_5+sf_V7_5*(8/20*sf_L5)-sf_w7_5*(8/20*sf_L5)^2/2)),NA())</f>
        <v/>
      </c>
      <c r="EX95">
        <f>IF(inputs_ok,IF(AND(inputs_ok,sf_on5),sf_xn4+8/20*Lsf_5,NA()),NA())</f>
        <v/>
      </c>
      <c r="EY95">
        <f>IF(AND(inputs_ok,sf_on5),(-sf_Hdd-0.1*sf_D-(0.11*sf_D))-((0.11*sf_D)/sf_Mabs)*MIN((sf_ML1_5+sf_V1_5*(8/20*sf_L5)-sf_w1_5*(8/20*sf_L5)^2/2),(sf_ML2_5+sf_V2_5*(8/20*sf_L5)-sf_w2_5*(8/20*sf_L5)^2/2),(sf_ML3_5+sf_V3_5*(8/20*sf_L5)-sf_w3_5*(8/20*sf_L5)^2/2),(sf_ML4_5+sf_V4_5*(8/20*sf_L5)-sf_w4_5*(8/20*sf_L5)^2/2),(sf_ML5_5+sf_V5_5*(8/20*sf_L5)-sf_w5_5*(8/20*sf_L5)^2/2),(sf_ML6_5+sf_V6_5*(8/20*sf_L5)-sf_w6_5*(8/20*sf_L5)^2/2),(sf_ML7_5+sf_V7_5*(8/20*sf_L5)-sf_w7_5*(8/20*sf_L5)^2/2)),NA())</f>
        <v/>
      </c>
    </row>
    <row r="96">
      <c r="EU96">
        <f>IF(inputs_ok,IF(AND(inputs_ok,sf_on5),sf_xn4+9/20*Lsf_5,NA()),NA())</f>
        <v/>
      </c>
      <c r="EV96">
        <f>IF(AND(inputs_ok,sf_on5),(-sf_Hdd-0.1*sf_D-(0.11*sf_D))-((0.11*sf_D)/sf_Mabs)*MAX((sf_ML1_5+sf_V1_5*(9/20*sf_L5)-sf_w1_5*(9/20*sf_L5)^2/2),(sf_ML2_5+sf_V2_5*(9/20*sf_L5)-sf_w2_5*(9/20*sf_L5)^2/2),(sf_ML3_5+sf_V3_5*(9/20*sf_L5)-sf_w3_5*(9/20*sf_L5)^2/2),(sf_ML4_5+sf_V4_5*(9/20*sf_L5)-sf_w4_5*(9/20*sf_L5)^2/2),(sf_ML5_5+sf_V5_5*(9/20*sf_L5)-sf_w5_5*(9/20*sf_L5)^2/2),(sf_ML6_5+sf_V6_5*(9/20*sf_L5)-sf_w6_5*(9/20*sf_L5)^2/2),(sf_ML7_5+sf_V7_5*(9/20*sf_L5)-sf_w7_5*(9/20*sf_L5)^2/2)),NA())</f>
        <v/>
      </c>
      <c r="EX96">
        <f>IF(inputs_ok,IF(AND(inputs_ok,sf_on5),sf_xn4+9/20*Lsf_5,NA()),NA())</f>
        <v/>
      </c>
      <c r="EY96">
        <f>IF(AND(inputs_ok,sf_on5),(-sf_Hdd-0.1*sf_D-(0.11*sf_D))-((0.11*sf_D)/sf_Mabs)*MIN((sf_ML1_5+sf_V1_5*(9/20*sf_L5)-sf_w1_5*(9/20*sf_L5)^2/2),(sf_ML2_5+sf_V2_5*(9/20*sf_L5)-sf_w2_5*(9/20*sf_L5)^2/2),(sf_ML3_5+sf_V3_5*(9/20*sf_L5)-sf_w3_5*(9/20*sf_L5)^2/2),(sf_ML4_5+sf_V4_5*(9/20*sf_L5)-sf_w4_5*(9/20*sf_L5)^2/2),(sf_ML5_5+sf_V5_5*(9/20*sf_L5)-sf_w5_5*(9/20*sf_L5)^2/2),(sf_ML6_5+sf_V6_5*(9/20*sf_L5)-sf_w6_5*(9/20*sf_L5)^2/2),(sf_ML7_5+sf_V7_5*(9/20*sf_L5)-sf_w7_5*(9/20*sf_L5)^2/2)),NA())</f>
        <v/>
      </c>
    </row>
    <row r="97">
      <c r="EU97">
        <f>IF(inputs_ok,IF(AND(inputs_ok,sf_on5),sf_xn4+10/20*Lsf_5,NA()),NA())</f>
        <v/>
      </c>
      <c r="EV97">
        <f>IF(AND(inputs_ok,sf_on5),(-sf_Hdd-0.1*sf_D-(0.11*sf_D))-((0.11*sf_D)/sf_Mabs)*MAX((sf_ML1_5+sf_V1_5*(10/20*sf_L5)-sf_w1_5*(10/20*sf_L5)^2/2),(sf_ML2_5+sf_V2_5*(10/20*sf_L5)-sf_w2_5*(10/20*sf_L5)^2/2),(sf_ML3_5+sf_V3_5*(10/20*sf_L5)-sf_w3_5*(10/20*sf_L5)^2/2),(sf_ML4_5+sf_V4_5*(10/20*sf_L5)-sf_w4_5*(10/20*sf_L5)^2/2),(sf_ML5_5+sf_V5_5*(10/20*sf_L5)-sf_w5_5*(10/20*sf_L5)^2/2),(sf_ML6_5+sf_V6_5*(10/20*sf_L5)-sf_w6_5*(10/20*sf_L5)^2/2),(sf_ML7_5+sf_V7_5*(10/20*sf_L5)-sf_w7_5*(10/20*sf_L5)^2/2)),NA())</f>
        <v/>
      </c>
      <c r="EX97">
        <f>IF(inputs_ok,IF(AND(inputs_ok,sf_on5),sf_xn4+10/20*Lsf_5,NA()),NA())</f>
        <v/>
      </c>
      <c r="EY97">
        <f>IF(AND(inputs_ok,sf_on5),(-sf_Hdd-0.1*sf_D-(0.11*sf_D))-((0.11*sf_D)/sf_Mabs)*MIN((sf_ML1_5+sf_V1_5*(10/20*sf_L5)-sf_w1_5*(10/20*sf_L5)^2/2),(sf_ML2_5+sf_V2_5*(10/20*sf_L5)-sf_w2_5*(10/20*sf_L5)^2/2),(sf_ML3_5+sf_V3_5*(10/20*sf_L5)-sf_w3_5*(10/20*sf_L5)^2/2),(sf_ML4_5+sf_V4_5*(10/20*sf_L5)-sf_w4_5*(10/20*sf_L5)^2/2),(sf_ML5_5+sf_V5_5*(10/20*sf_L5)-sf_w5_5*(10/20*sf_L5)^2/2),(sf_ML6_5+sf_V6_5*(10/20*sf_L5)-sf_w6_5*(10/20*sf_L5)^2/2),(sf_ML7_5+sf_V7_5*(10/20*sf_L5)-sf_w7_5*(10/20*sf_L5)^2/2)),NA())</f>
        <v/>
      </c>
    </row>
    <row r="98">
      <c r="EU98">
        <f>IF(inputs_ok,IF(AND(inputs_ok,sf_on5),sf_xn4+11/20*Lsf_5,NA()),NA())</f>
        <v/>
      </c>
      <c r="EV98">
        <f>IF(AND(inputs_ok,sf_on5),(-sf_Hdd-0.1*sf_D-(0.11*sf_D))-((0.11*sf_D)/sf_Mabs)*MAX((sf_ML1_5+sf_V1_5*(11/20*sf_L5)-sf_w1_5*(11/20*sf_L5)^2/2),(sf_ML2_5+sf_V2_5*(11/20*sf_L5)-sf_w2_5*(11/20*sf_L5)^2/2),(sf_ML3_5+sf_V3_5*(11/20*sf_L5)-sf_w3_5*(11/20*sf_L5)^2/2),(sf_ML4_5+sf_V4_5*(11/20*sf_L5)-sf_w4_5*(11/20*sf_L5)^2/2),(sf_ML5_5+sf_V5_5*(11/20*sf_L5)-sf_w5_5*(11/20*sf_L5)^2/2),(sf_ML6_5+sf_V6_5*(11/20*sf_L5)-sf_w6_5*(11/20*sf_L5)^2/2),(sf_ML7_5+sf_V7_5*(11/20*sf_L5)-sf_w7_5*(11/20*sf_L5)^2/2)),NA())</f>
        <v/>
      </c>
      <c r="EX98">
        <f>IF(inputs_ok,IF(AND(inputs_ok,sf_on5),sf_xn4+11/20*Lsf_5,NA()),NA())</f>
        <v/>
      </c>
      <c r="EY98">
        <f>IF(AND(inputs_ok,sf_on5),(-sf_Hdd-0.1*sf_D-(0.11*sf_D))-((0.11*sf_D)/sf_Mabs)*MIN((sf_ML1_5+sf_V1_5*(11/20*sf_L5)-sf_w1_5*(11/20*sf_L5)^2/2),(sf_ML2_5+sf_V2_5*(11/20*sf_L5)-sf_w2_5*(11/20*sf_L5)^2/2),(sf_ML3_5+sf_V3_5*(11/20*sf_L5)-sf_w3_5*(11/20*sf_L5)^2/2),(sf_ML4_5+sf_V4_5*(11/20*sf_L5)-sf_w4_5*(11/20*sf_L5)^2/2),(sf_ML5_5+sf_V5_5*(11/20*sf_L5)-sf_w5_5*(11/20*sf_L5)^2/2),(sf_ML6_5+sf_V6_5*(11/20*sf_L5)-sf_w6_5*(11/20*sf_L5)^2/2),(sf_ML7_5+sf_V7_5*(11/20*sf_L5)-sf_w7_5*(11/20*sf_L5)^2/2)),NA())</f>
        <v/>
      </c>
    </row>
    <row r="99">
      <c r="EU99">
        <f>IF(inputs_ok,IF(AND(inputs_ok,sf_on5),sf_xn4+12/20*Lsf_5,NA()),NA())</f>
        <v/>
      </c>
      <c r="EV99">
        <f>IF(AND(inputs_ok,sf_on5),(-sf_Hdd-0.1*sf_D-(0.11*sf_D))-((0.11*sf_D)/sf_Mabs)*MAX((sf_ML1_5+sf_V1_5*(12/20*sf_L5)-sf_w1_5*(12/20*sf_L5)^2/2),(sf_ML2_5+sf_V2_5*(12/20*sf_L5)-sf_w2_5*(12/20*sf_L5)^2/2),(sf_ML3_5+sf_V3_5*(12/20*sf_L5)-sf_w3_5*(12/20*sf_L5)^2/2),(sf_ML4_5+sf_V4_5*(12/20*sf_L5)-sf_w4_5*(12/20*sf_L5)^2/2),(sf_ML5_5+sf_V5_5*(12/20*sf_L5)-sf_w5_5*(12/20*sf_L5)^2/2),(sf_ML6_5+sf_V6_5*(12/20*sf_L5)-sf_w6_5*(12/20*sf_L5)^2/2),(sf_ML7_5+sf_V7_5*(12/20*sf_L5)-sf_w7_5*(12/20*sf_L5)^2/2)),NA())</f>
        <v/>
      </c>
      <c r="EX99">
        <f>IF(inputs_ok,IF(AND(inputs_ok,sf_on5),sf_xn4+12/20*Lsf_5,NA()),NA())</f>
        <v/>
      </c>
      <c r="EY99">
        <f>IF(AND(inputs_ok,sf_on5),(-sf_Hdd-0.1*sf_D-(0.11*sf_D))-((0.11*sf_D)/sf_Mabs)*MIN((sf_ML1_5+sf_V1_5*(12/20*sf_L5)-sf_w1_5*(12/20*sf_L5)^2/2),(sf_ML2_5+sf_V2_5*(12/20*sf_L5)-sf_w2_5*(12/20*sf_L5)^2/2),(sf_ML3_5+sf_V3_5*(12/20*sf_L5)-sf_w3_5*(12/20*sf_L5)^2/2),(sf_ML4_5+sf_V4_5*(12/20*sf_L5)-sf_w4_5*(12/20*sf_L5)^2/2),(sf_ML5_5+sf_V5_5*(12/20*sf_L5)-sf_w5_5*(12/20*sf_L5)^2/2),(sf_ML6_5+sf_V6_5*(12/20*sf_L5)-sf_w6_5*(12/20*sf_L5)^2/2),(sf_ML7_5+sf_V7_5*(12/20*sf_L5)-sf_w7_5*(12/20*sf_L5)^2/2)),NA())</f>
        <v/>
      </c>
    </row>
    <row r="100">
      <c r="EU100">
        <f>IF(inputs_ok,IF(AND(inputs_ok,sf_on5),sf_xn4+13/20*Lsf_5,NA()),NA())</f>
        <v/>
      </c>
      <c r="EV100">
        <f>IF(AND(inputs_ok,sf_on5),(-sf_Hdd-0.1*sf_D-(0.11*sf_D))-((0.11*sf_D)/sf_Mabs)*MAX((sf_ML1_5+sf_V1_5*(13/20*sf_L5)-sf_w1_5*(13/20*sf_L5)^2/2),(sf_ML2_5+sf_V2_5*(13/20*sf_L5)-sf_w2_5*(13/20*sf_L5)^2/2),(sf_ML3_5+sf_V3_5*(13/20*sf_L5)-sf_w3_5*(13/20*sf_L5)^2/2),(sf_ML4_5+sf_V4_5*(13/20*sf_L5)-sf_w4_5*(13/20*sf_L5)^2/2),(sf_ML5_5+sf_V5_5*(13/20*sf_L5)-sf_w5_5*(13/20*sf_L5)^2/2),(sf_ML6_5+sf_V6_5*(13/20*sf_L5)-sf_w6_5*(13/20*sf_L5)^2/2),(sf_ML7_5+sf_V7_5*(13/20*sf_L5)-sf_w7_5*(13/20*sf_L5)^2/2)),NA())</f>
        <v/>
      </c>
      <c r="EX100">
        <f>IF(inputs_ok,IF(AND(inputs_ok,sf_on5),sf_xn4+13/20*Lsf_5,NA()),NA())</f>
        <v/>
      </c>
      <c r="EY100">
        <f>IF(AND(inputs_ok,sf_on5),(-sf_Hdd-0.1*sf_D-(0.11*sf_D))-((0.11*sf_D)/sf_Mabs)*MIN((sf_ML1_5+sf_V1_5*(13/20*sf_L5)-sf_w1_5*(13/20*sf_L5)^2/2),(sf_ML2_5+sf_V2_5*(13/20*sf_L5)-sf_w2_5*(13/20*sf_L5)^2/2),(sf_ML3_5+sf_V3_5*(13/20*sf_L5)-sf_w3_5*(13/20*sf_L5)^2/2),(sf_ML4_5+sf_V4_5*(13/20*sf_L5)-sf_w4_5*(13/20*sf_L5)^2/2),(sf_ML5_5+sf_V5_5*(13/20*sf_L5)-sf_w5_5*(13/20*sf_L5)^2/2),(sf_ML6_5+sf_V6_5*(13/20*sf_L5)-sf_w6_5*(13/20*sf_L5)^2/2),(sf_ML7_5+sf_V7_5*(13/20*sf_L5)-sf_w7_5*(13/20*sf_L5)^2/2)),NA())</f>
        <v/>
      </c>
    </row>
    <row r="101">
      <c r="EU101">
        <f>IF(inputs_ok,IF(AND(inputs_ok,sf_on5),sf_xn4+14/20*Lsf_5,NA()),NA())</f>
        <v/>
      </c>
      <c r="EV101">
        <f>IF(AND(inputs_ok,sf_on5),(-sf_Hdd-0.1*sf_D-(0.11*sf_D))-((0.11*sf_D)/sf_Mabs)*MAX((sf_ML1_5+sf_V1_5*(14/20*sf_L5)-sf_w1_5*(14/20*sf_L5)^2/2),(sf_ML2_5+sf_V2_5*(14/20*sf_L5)-sf_w2_5*(14/20*sf_L5)^2/2),(sf_ML3_5+sf_V3_5*(14/20*sf_L5)-sf_w3_5*(14/20*sf_L5)^2/2),(sf_ML4_5+sf_V4_5*(14/20*sf_L5)-sf_w4_5*(14/20*sf_L5)^2/2),(sf_ML5_5+sf_V5_5*(14/20*sf_L5)-sf_w5_5*(14/20*sf_L5)^2/2),(sf_ML6_5+sf_V6_5*(14/20*sf_L5)-sf_w6_5*(14/20*sf_L5)^2/2),(sf_ML7_5+sf_V7_5*(14/20*sf_L5)-sf_w7_5*(14/20*sf_L5)^2/2)),NA())</f>
        <v/>
      </c>
      <c r="EX101">
        <f>IF(inputs_ok,IF(AND(inputs_ok,sf_on5),sf_xn4+14/20*Lsf_5,NA()),NA())</f>
        <v/>
      </c>
      <c r="EY101">
        <f>IF(AND(inputs_ok,sf_on5),(-sf_Hdd-0.1*sf_D-(0.11*sf_D))-((0.11*sf_D)/sf_Mabs)*MIN((sf_ML1_5+sf_V1_5*(14/20*sf_L5)-sf_w1_5*(14/20*sf_L5)^2/2),(sf_ML2_5+sf_V2_5*(14/20*sf_L5)-sf_w2_5*(14/20*sf_L5)^2/2),(sf_ML3_5+sf_V3_5*(14/20*sf_L5)-sf_w3_5*(14/20*sf_L5)^2/2),(sf_ML4_5+sf_V4_5*(14/20*sf_L5)-sf_w4_5*(14/20*sf_L5)^2/2),(sf_ML5_5+sf_V5_5*(14/20*sf_L5)-sf_w5_5*(14/20*sf_L5)^2/2),(sf_ML6_5+sf_V6_5*(14/20*sf_L5)-sf_w6_5*(14/20*sf_L5)^2/2),(sf_ML7_5+sf_V7_5*(14/20*sf_L5)-sf_w7_5*(14/20*sf_L5)^2/2)),NA())</f>
        <v/>
      </c>
    </row>
    <row r="102">
      <c r="EU102">
        <f>IF(inputs_ok,IF(AND(inputs_ok,sf_on5),sf_xn4+15/20*Lsf_5,NA()),NA())</f>
        <v/>
      </c>
      <c r="EV102">
        <f>IF(AND(inputs_ok,sf_on5),(-sf_Hdd-0.1*sf_D-(0.11*sf_D))-((0.11*sf_D)/sf_Mabs)*MAX((sf_ML1_5+sf_V1_5*(15/20*sf_L5)-sf_w1_5*(15/20*sf_L5)^2/2),(sf_ML2_5+sf_V2_5*(15/20*sf_L5)-sf_w2_5*(15/20*sf_L5)^2/2),(sf_ML3_5+sf_V3_5*(15/20*sf_L5)-sf_w3_5*(15/20*sf_L5)^2/2),(sf_ML4_5+sf_V4_5*(15/20*sf_L5)-sf_w4_5*(15/20*sf_L5)^2/2),(sf_ML5_5+sf_V5_5*(15/20*sf_L5)-sf_w5_5*(15/20*sf_L5)^2/2),(sf_ML6_5+sf_V6_5*(15/20*sf_L5)-sf_w6_5*(15/20*sf_L5)^2/2),(sf_ML7_5+sf_V7_5*(15/20*sf_L5)-sf_w7_5*(15/20*sf_L5)^2/2)),NA())</f>
        <v/>
      </c>
      <c r="EX102">
        <f>IF(inputs_ok,IF(AND(inputs_ok,sf_on5),sf_xn4+15/20*Lsf_5,NA()),NA())</f>
        <v/>
      </c>
      <c r="EY102">
        <f>IF(AND(inputs_ok,sf_on5),(-sf_Hdd-0.1*sf_D-(0.11*sf_D))-((0.11*sf_D)/sf_Mabs)*MIN((sf_ML1_5+sf_V1_5*(15/20*sf_L5)-sf_w1_5*(15/20*sf_L5)^2/2),(sf_ML2_5+sf_V2_5*(15/20*sf_L5)-sf_w2_5*(15/20*sf_L5)^2/2),(sf_ML3_5+sf_V3_5*(15/20*sf_L5)-sf_w3_5*(15/20*sf_L5)^2/2),(sf_ML4_5+sf_V4_5*(15/20*sf_L5)-sf_w4_5*(15/20*sf_L5)^2/2),(sf_ML5_5+sf_V5_5*(15/20*sf_L5)-sf_w5_5*(15/20*sf_L5)^2/2),(sf_ML6_5+sf_V6_5*(15/20*sf_L5)-sf_w6_5*(15/20*sf_L5)^2/2),(sf_ML7_5+sf_V7_5*(15/20*sf_L5)-sf_w7_5*(15/20*sf_L5)^2/2)),NA())</f>
        <v/>
      </c>
    </row>
    <row r="103">
      <c r="EU103">
        <f>IF(inputs_ok,IF(AND(inputs_ok,sf_on5),sf_xn4+16/20*Lsf_5,NA()),NA())</f>
        <v/>
      </c>
      <c r="EV103">
        <f>IF(AND(inputs_ok,sf_on5),(-sf_Hdd-0.1*sf_D-(0.11*sf_D))-((0.11*sf_D)/sf_Mabs)*MAX((sf_ML1_5+sf_V1_5*(16/20*sf_L5)-sf_w1_5*(16/20*sf_L5)^2/2),(sf_ML2_5+sf_V2_5*(16/20*sf_L5)-sf_w2_5*(16/20*sf_L5)^2/2),(sf_ML3_5+sf_V3_5*(16/20*sf_L5)-sf_w3_5*(16/20*sf_L5)^2/2),(sf_ML4_5+sf_V4_5*(16/20*sf_L5)-sf_w4_5*(16/20*sf_L5)^2/2),(sf_ML5_5+sf_V5_5*(16/20*sf_L5)-sf_w5_5*(16/20*sf_L5)^2/2),(sf_ML6_5+sf_V6_5*(16/20*sf_L5)-sf_w6_5*(16/20*sf_L5)^2/2),(sf_ML7_5+sf_V7_5*(16/20*sf_L5)-sf_w7_5*(16/20*sf_L5)^2/2)),NA())</f>
        <v/>
      </c>
      <c r="EX103">
        <f>IF(inputs_ok,IF(AND(inputs_ok,sf_on5),sf_xn4+16/20*Lsf_5,NA()),NA())</f>
        <v/>
      </c>
      <c r="EY103">
        <f>IF(AND(inputs_ok,sf_on5),(-sf_Hdd-0.1*sf_D-(0.11*sf_D))-((0.11*sf_D)/sf_Mabs)*MIN((sf_ML1_5+sf_V1_5*(16/20*sf_L5)-sf_w1_5*(16/20*sf_L5)^2/2),(sf_ML2_5+sf_V2_5*(16/20*sf_L5)-sf_w2_5*(16/20*sf_L5)^2/2),(sf_ML3_5+sf_V3_5*(16/20*sf_L5)-sf_w3_5*(16/20*sf_L5)^2/2),(sf_ML4_5+sf_V4_5*(16/20*sf_L5)-sf_w4_5*(16/20*sf_L5)^2/2),(sf_ML5_5+sf_V5_5*(16/20*sf_L5)-sf_w5_5*(16/20*sf_L5)^2/2),(sf_ML6_5+sf_V6_5*(16/20*sf_L5)-sf_w6_5*(16/20*sf_L5)^2/2),(sf_ML7_5+sf_V7_5*(16/20*sf_L5)-sf_w7_5*(16/20*sf_L5)^2/2)),NA())</f>
        <v/>
      </c>
    </row>
    <row r="104">
      <c r="EU104">
        <f>IF(inputs_ok,IF(AND(inputs_ok,sf_on5),sf_xn4+17/20*Lsf_5,NA()),NA())</f>
        <v/>
      </c>
      <c r="EV104">
        <f>IF(AND(inputs_ok,sf_on5),(-sf_Hdd-0.1*sf_D-(0.11*sf_D))-((0.11*sf_D)/sf_Mabs)*MAX((sf_ML1_5+sf_V1_5*(17/20*sf_L5)-sf_w1_5*(17/20*sf_L5)^2/2),(sf_ML2_5+sf_V2_5*(17/20*sf_L5)-sf_w2_5*(17/20*sf_L5)^2/2),(sf_ML3_5+sf_V3_5*(17/20*sf_L5)-sf_w3_5*(17/20*sf_L5)^2/2),(sf_ML4_5+sf_V4_5*(17/20*sf_L5)-sf_w4_5*(17/20*sf_L5)^2/2),(sf_ML5_5+sf_V5_5*(17/20*sf_L5)-sf_w5_5*(17/20*sf_L5)^2/2),(sf_ML6_5+sf_V6_5*(17/20*sf_L5)-sf_w6_5*(17/20*sf_L5)^2/2),(sf_ML7_5+sf_V7_5*(17/20*sf_L5)-sf_w7_5*(17/20*sf_L5)^2/2)),NA())</f>
        <v/>
      </c>
      <c r="EX104">
        <f>IF(inputs_ok,IF(AND(inputs_ok,sf_on5),sf_xn4+17/20*Lsf_5,NA()),NA())</f>
        <v/>
      </c>
      <c r="EY104">
        <f>IF(AND(inputs_ok,sf_on5),(-sf_Hdd-0.1*sf_D-(0.11*sf_D))-((0.11*sf_D)/sf_Mabs)*MIN((sf_ML1_5+sf_V1_5*(17/20*sf_L5)-sf_w1_5*(17/20*sf_L5)^2/2),(sf_ML2_5+sf_V2_5*(17/20*sf_L5)-sf_w2_5*(17/20*sf_L5)^2/2),(sf_ML3_5+sf_V3_5*(17/20*sf_L5)-sf_w3_5*(17/20*sf_L5)^2/2),(sf_ML4_5+sf_V4_5*(17/20*sf_L5)-sf_w4_5*(17/20*sf_L5)^2/2),(sf_ML5_5+sf_V5_5*(17/20*sf_L5)-sf_w5_5*(17/20*sf_L5)^2/2),(sf_ML6_5+sf_V6_5*(17/20*sf_L5)-sf_w6_5*(17/20*sf_L5)^2/2),(sf_ML7_5+sf_V7_5*(17/20*sf_L5)-sf_w7_5*(17/20*sf_L5)^2/2)),NA())</f>
        <v/>
      </c>
    </row>
    <row r="105">
      <c r="EU105">
        <f>IF(inputs_ok,IF(AND(inputs_ok,sf_on5),sf_xn4+18/20*Lsf_5,NA()),NA())</f>
        <v/>
      </c>
      <c r="EV105">
        <f>IF(AND(inputs_ok,sf_on5),(-sf_Hdd-0.1*sf_D-(0.11*sf_D))-((0.11*sf_D)/sf_Mabs)*MAX((sf_ML1_5+sf_V1_5*(18/20*sf_L5)-sf_w1_5*(18/20*sf_L5)^2/2),(sf_ML2_5+sf_V2_5*(18/20*sf_L5)-sf_w2_5*(18/20*sf_L5)^2/2),(sf_ML3_5+sf_V3_5*(18/20*sf_L5)-sf_w3_5*(18/20*sf_L5)^2/2),(sf_ML4_5+sf_V4_5*(18/20*sf_L5)-sf_w4_5*(18/20*sf_L5)^2/2),(sf_ML5_5+sf_V5_5*(18/20*sf_L5)-sf_w5_5*(18/20*sf_L5)^2/2),(sf_ML6_5+sf_V6_5*(18/20*sf_L5)-sf_w6_5*(18/20*sf_L5)^2/2),(sf_ML7_5+sf_V7_5*(18/20*sf_L5)-sf_w7_5*(18/20*sf_L5)^2/2)),NA())</f>
        <v/>
      </c>
      <c r="EX105">
        <f>IF(inputs_ok,IF(AND(inputs_ok,sf_on5),sf_xn4+18/20*Lsf_5,NA()),NA())</f>
        <v/>
      </c>
      <c r="EY105">
        <f>IF(AND(inputs_ok,sf_on5),(-sf_Hdd-0.1*sf_D-(0.11*sf_D))-((0.11*sf_D)/sf_Mabs)*MIN((sf_ML1_5+sf_V1_5*(18/20*sf_L5)-sf_w1_5*(18/20*sf_L5)^2/2),(sf_ML2_5+sf_V2_5*(18/20*sf_L5)-sf_w2_5*(18/20*sf_L5)^2/2),(sf_ML3_5+sf_V3_5*(18/20*sf_L5)-sf_w3_5*(18/20*sf_L5)^2/2),(sf_ML4_5+sf_V4_5*(18/20*sf_L5)-sf_w4_5*(18/20*sf_L5)^2/2),(sf_ML5_5+sf_V5_5*(18/20*sf_L5)-sf_w5_5*(18/20*sf_L5)^2/2),(sf_ML6_5+sf_V6_5*(18/20*sf_L5)-sf_w6_5*(18/20*sf_L5)^2/2),(sf_ML7_5+sf_V7_5*(18/20*sf_L5)-sf_w7_5*(18/20*sf_L5)^2/2)),NA())</f>
        <v/>
      </c>
    </row>
    <row r="106">
      <c r="EU106">
        <f>IF(inputs_ok,IF(AND(inputs_ok,sf_on5),sf_xn4+19/20*Lsf_5,NA()),NA())</f>
        <v/>
      </c>
      <c r="EV106">
        <f>IF(AND(inputs_ok,sf_on5),(-sf_Hdd-0.1*sf_D-(0.11*sf_D))-((0.11*sf_D)/sf_Mabs)*MAX((sf_ML1_5+sf_V1_5*(19/20*sf_L5)-sf_w1_5*(19/20*sf_L5)^2/2),(sf_ML2_5+sf_V2_5*(19/20*sf_L5)-sf_w2_5*(19/20*sf_L5)^2/2),(sf_ML3_5+sf_V3_5*(19/20*sf_L5)-sf_w3_5*(19/20*sf_L5)^2/2),(sf_ML4_5+sf_V4_5*(19/20*sf_L5)-sf_w4_5*(19/20*sf_L5)^2/2),(sf_ML5_5+sf_V5_5*(19/20*sf_L5)-sf_w5_5*(19/20*sf_L5)^2/2),(sf_ML6_5+sf_V6_5*(19/20*sf_L5)-sf_w6_5*(19/20*sf_L5)^2/2),(sf_ML7_5+sf_V7_5*(19/20*sf_L5)-sf_w7_5*(19/20*sf_L5)^2/2)),NA())</f>
        <v/>
      </c>
      <c r="EX106">
        <f>IF(inputs_ok,IF(AND(inputs_ok,sf_on5),sf_xn4+19/20*Lsf_5,NA()),NA())</f>
        <v/>
      </c>
      <c r="EY106">
        <f>IF(AND(inputs_ok,sf_on5),(-sf_Hdd-0.1*sf_D-(0.11*sf_D))-((0.11*sf_D)/sf_Mabs)*MIN((sf_ML1_5+sf_V1_5*(19/20*sf_L5)-sf_w1_5*(19/20*sf_L5)^2/2),(sf_ML2_5+sf_V2_5*(19/20*sf_L5)-sf_w2_5*(19/20*sf_L5)^2/2),(sf_ML3_5+sf_V3_5*(19/20*sf_L5)-sf_w3_5*(19/20*sf_L5)^2/2),(sf_ML4_5+sf_V4_5*(19/20*sf_L5)-sf_w4_5*(19/20*sf_L5)^2/2),(sf_ML5_5+sf_V5_5*(19/20*sf_L5)-sf_w5_5*(19/20*sf_L5)^2/2),(sf_ML6_5+sf_V6_5*(19/20*sf_L5)-sf_w6_5*(19/20*sf_L5)^2/2),(sf_ML7_5+sf_V7_5*(19/20*sf_L5)-sf_w7_5*(19/20*sf_L5)^2/2)),NA())</f>
        <v/>
      </c>
    </row>
    <row r="107">
      <c r="EU107">
        <f>IF(inputs_ok,IF(AND(inputs_ok,sf_on5),sf_xn4+20/20*Lsf_5,NA()),NA())</f>
        <v/>
      </c>
      <c r="EV107">
        <f>IF(AND(inputs_ok,sf_on5),(-sf_Hdd-0.1*sf_D-(0.11*sf_D))-((0.11*sf_D)/sf_Mabs)*MAX((sf_ML1_5+sf_V1_5*(20/20*sf_L5)-sf_w1_5*(20/20*sf_L5)^2/2),(sf_ML2_5+sf_V2_5*(20/20*sf_L5)-sf_w2_5*(20/20*sf_L5)^2/2),(sf_ML3_5+sf_V3_5*(20/20*sf_L5)-sf_w3_5*(20/20*sf_L5)^2/2),(sf_ML4_5+sf_V4_5*(20/20*sf_L5)-sf_w4_5*(20/20*sf_L5)^2/2),(sf_ML5_5+sf_V5_5*(20/20*sf_L5)-sf_w5_5*(20/20*sf_L5)^2/2),(sf_ML6_5+sf_V6_5*(20/20*sf_L5)-sf_w6_5*(20/20*sf_L5)^2/2),(sf_ML7_5+sf_V7_5*(20/20*sf_L5)-sf_w7_5*(20/20*sf_L5)^2/2)),NA())</f>
        <v/>
      </c>
      <c r="EX107">
        <f>IF(inputs_ok,IF(AND(inputs_ok,sf_on5),sf_xn4+20/20*Lsf_5,NA()),NA())</f>
        <v/>
      </c>
      <c r="EY107">
        <f>IF(AND(inputs_ok,sf_on5),(-sf_Hdd-0.1*sf_D-(0.11*sf_D))-((0.11*sf_D)/sf_Mabs)*MIN((sf_ML1_5+sf_V1_5*(20/20*sf_L5)-sf_w1_5*(20/20*sf_L5)^2/2),(sf_ML2_5+sf_V2_5*(20/20*sf_L5)-sf_w2_5*(20/20*sf_L5)^2/2),(sf_ML3_5+sf_V3_5*(20/20*sf_L5)-sf_w3_5*(20/20*sf_L5)^2/2),(sf_ML4_5+sf_V4_5*(20/20*sf_L5)-sf_w4_5*(20/20*sf_L5)^2/2),(sf_ML5_5+sf_V5_5*(20/20*sf_L5)-sf_w5_5*(20/20*sf_L5)^2/2),(sf_ML6_5+sf_V6_5*(20/20*sf_L5)-sf_w6_5*(20/20*sf_L5)^2/2),(sf_ML7_5+sf_V7_5*(20/20*sf_L5)-sf_w7_5*(20/20*sf_L5)^2/2)),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NAE-RC-025 Subframe analysis</dc:title>
  <dc:subject xmlns:dc="http://purl.org/dc/elements/1.1/">Floor beam of two to five spans with the columns above and below  ·  EN 1992-1-1 §5.1.3, §5.4  ·  UK NA / PN-EN</dc:subject>
  <dcterms:created xmlns:dcterms="http://purl.org/dc/terms/" xmlns:xsi="http://www.w3.org/2001/XMLSchema-instance" xsi:type="dcterms:W3CDTF">2026-10-30T10:58:38Z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