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a_lo">'Calculation'!$E$15</definedName>
    <definedName name="nr_lg">'Calculation'!$E$16</definedName>
    <definedName name="g_lg">'Calculation'!$E$17</definedName>
    <definedName name="r_lg">'Calculation'!$E$18</definedName>
    <definedName name="a_up">'Calculation'!$E$19</definedName>
    <definedName name="t_lg">'Calculation'!$E$20</definedName>
    <definedName name="hl_lg">'Calculation'!$E$21</definedName>
    <definedName name="c_nom">'Calculation'!$E$22</definedName>
    <definedName name="phi_lg">'Calculation'!$E$23</definedName>
    <definedName name="s_lg">'Calculation'!$E$24</definedName>
    <definedName name="phid_lg">'Calculation'!$E$25</definedName>
    <definedName name="sd_lg">'Calculation'!$E$26</definedName>
    <definedName name="gk_lg">'Calculation'!$E$29</definedName>
    <definedName name="qk_lg">'Calculation'!$E$30</definedName>
    <definedName name="gamma_G">'Calculation'!$E$31</definedName>
    <definedName name="gamma_Q">'Calculation'!$E$32</definedName>
    <definedName name="partitions">'Calculation'!$E$33</definedName>
    <definedName name="inputs_ok">IFERROR(AND(OR(NA_sel="UK NA (BS EN)",NA_sel="PL NA (PN-EN)"),OR(conc_class="C20/25",conc_class="C25/30",conc_class="C28/35",conc_class="C30/37",conc_class="C32/40",conc_class="C35/45",conc_class="C40/50",conc_class="C45/55",conc_class="C50/60"),ISNUMBER(f_yk),f_yk&gt;0,ISNUMBER(d_g),d_g&gt;0,ISNUMBER(a_lo),a_lo&gt;=0,ISNUMBER(nr_lg),nr_lg&gt;0,ISNUMBER(g_lg),g_lg&gt;0,ISNUMBER(r_lg),r_lg&gt;0,ISNUMBER(a_up),a_up&gt;=0,ISNUMBER(t_lg),t_lg&gt;0,ISNUMBER(hl_lg),hl_lg&gt;0,ISNUMBER(c_nom),c_nom&gt;0,OR(AND(ISNUMBER(phi_lg),phi_lg=8),AND(ISNUMBER(phi_lg),phi_lg=10),AND(ISNUMBER(phi_lg),phi_lg=12),AND(ISNUMBER(phi_lg),phi_lg=16),AND(ISNUMBER(phi_lg),phi_lg=20),AND(ISNUMBER(phi_lg),phi_lg=25),AND(ISNUMBER(phi_lg),phi_lg=32),AND(ISNUMBER(phi_lg),phi_lg=40)),ISNUMBER(s_lg),s_lg&gt;0,OR(AND(ISNUMBER(phid_lg),phid_lg=8),AND(ISNUMBER(phid_lg),phid_lg=10),AND(ISNUMBER(phid_lg),phid_lg=12),AND(ISNUMBER(phid_lg),phid_lg=16),AND(ISNUMBER(phid_lg),phid_lg=20),AND(ISNUMBER(phid_lg),phid_lg=25),AND(ISNUMBER(phid_lg),phid_lg=32),AND(ISNUMBER(phid_lg),phid_lg=40)),ISNUMBER(sd_lg),sd_lg&gt;0,ISNUMBER(gk_lg),gk_lg&gt;=0,ISNUMBER(qk_lg),qk_lg&gt;=0,ISNUMBER(gamma_G),gamma_G&gt;0,ISNUMBER(gamma_Q),gamma_Q&gt;0,OR(partitions="No",partitions="Yes"),AND(f_yk&gt;=400,f_yk&lt;=500,INT(nr_lg)=nr_lg,nr_lg&gt;=2,nr_lg&lt;=24,a_lo+a_up&gt;0,t_lg&gt;2*c_nom+phi_lg+phid_lg,hl_lg&gt;2*c_nom+phi_lg+phid_lg,s_lg&gt;=50,sd_lg&gt;=50,r_lg&lt;g_lg*1.2,IF(a_lo&gt;0,AND(a_lo+MIN(0,w_lg-hl_lg)*g_lg/r_lg&gt;=0,xb1_lg&gt;=0,a_lo+(w_lg-hl_lg)*g_lg/r_lg&lt;=xL_lg),TRUE),IF(a_up&gt;0,AND(xk2_lg&lt;L_lg,xb2_lg&lt;L_lg,xk2_lg&gt;=a_lo,xb2_lg&gt;a_lo),TRUE))),FALSE)</definedName>
    <definedName name="input_status">'Calculation'!$G$34</definedName>
    <definedName name="Lf_lg">(nr_lg-1)*g_lg</definedName>
    <definedName name="L_lg">a_lo+Lf_lg+a_up</definedName>
    <definedName name="H_lg">nr_lg*r_lg</definedName>
    <definedName name="w_lg">t_lg/COS(ATAN(r_lg/g_lg))</definedName>
    <definedName name="xk1_lg">MEDIAN(0,a_lo+(w_lg-hl_lg)*g_lg/r_lg,L_lg)</definedName>
    <definedName name="xk2_lg">a_lo+(H_lg-hl_lg+w_lg)*g_lg/r_lg</definedName>
    <definedName name="xb1_lg">a_lo+(w_lg-hl_lg+c_nom+phi_lg/2-(c_nom+phi_lg/2)/COS(ATAN(r_lg/g_lg)))*g_lg/r_lg</definedName>
    <definedName name="xb2_lg">a_lo+(H_lg-hl_lg+c_nom+phi_lg/2+w_lg-(c_nom+phi_lg/2)/COS(ATAN(r_lg/g_lg)))*g_lg/r_lg</definedName>
    <definedName name="e1_lg">MAX(0,MIN(ln1_lg,lav1_lg)*COS(ATAN(r_lg/g_lg)))</definedName>
    <definedName name="e2_lg">MAX(0,MIN(ln2_lg,lav2_lg))</definedName>
    <definedName name="xL_lg">a_lo+Lf_lg</definedName>
    <definedName name="ex_lg">IF(a_up&gt;0,r_lg+w_lg-hl_lg,0)</definedName>
    <definedName name="xc_lg">xL_lg+ex_lg*g_lg/r_lg/3</definedName>
    <definedName name="xk_m">MEDIAN(0,MEDIAN(xb2_lg-MIN(d_w,d_l),x0_m*1000,xb2_lg+MIN(d_w,d_l)),L_lg)/1000</definedName>
    <definedName name="ok_w">IFERROR(AND(Asp_lg&gt;=MAX(Asr_w,Asm_w),s_lg&lt;=MIN(2*t_lg,250)),FALSE)</definedName>
    <definedName name="ok_l">IFERROR(AND(Asp_lg&gt;=MAX(Asr_l,Asm_l),s_lg&lt;=MIN(2*hl_lg,250)),FALSE)</definedName>
    <definedName name="shear_ok">AND(RA_lg&lt;=VRA_lg,RB_lg&lt;=VRB_lg,MAX(ABS(Vf1_lg),ABS(Vf2_lg))&lt;=VRc_w)</definedName>
    <definedName name="defl_ok">AND(ok_w,ok_l,IFERROR(ldA_lg&lt;=ldL_lg,FALSE))</definedName>
    <definedName name="anch_ok">IFERROR(AND(ln1_lg&lt;=lav1_lg,ln2_lg&lt;=lav2_lg),FALSE)</definedName>
    <definedName name="flight_status">'Calculation'!$G$37</definedName>
    <definedName name="landing_status">'Calculation'!$G$38</definedName>
    <definedName name="shear_status">'Calculation'!$G$39</definedName>
    <definedName name="defl_status">'Calculation'!$G$40</definedName>
    <definedName name="det_lg">AND(Asp_dlg&gt;=0.2*Asp_lg,sd_lg&lt;=MIN(3*MIN(t_lg,hl_lg),400),s_lg-phi_lg&gt;=gap_lg,sd_lg-phid_lg&gt;=MAX(phid_lg,d_g+5,20),Asp_lg&lt;=0.04*1000*MIN(t_lg,hl_lg))</definedName>
    <definedName name="det_status">'Calculation'!$G$41</definedName>
    <definedName name="anch_status">'Calculation'!$G$42</definedName>
    <definedName name="comfort_status">'Calculation'!$G$43</definedName>
    <definedName name="gamma_c">'Calculation'!$E$68</definedName>
    <definedName name="gamma_s">'Calculation'!$E$69</definedName>
    <definedName name="alpha_cc">'Calculation'!$E$70</definedName>
    <definedName name="alpha_ct">'Calculation'!$E$71</definedName>
    <definedName name="C_Rdc">'Calculation'!$E$72</definedName>
    <definedName name="ld_mod_max">'Calculation'!$E$73</definedName>
    <definedName name="ld_cap_40K">'Calculation'!$E$74</definedName>
    <definedName name="f_ck">'Calculation'!$E$75</definedName>
    <definedName name="f_ctm">'Calculation'!$E$76</definedName>
    <definedName name="f_cd">'Calculation'!$E$77</definedName>
    <definedName name="f_yd">'Calculation'!$E$78</definedName>
    <definedName name="th_lg">'Calculation'!$E$79</definedName>
    <definedName name="Awg_lg">'Calculation'!$E$80</definedName>
    <definedName name="P_lg">'Calculation'!$E$81</definedName>
    <definedName name="xc_m">'Calculation'!$E$82</definedName>
    <definedName name="la_m">'Calculation'!$E$83</definedName>
    <definedName name="lf_m">'Calculation'!$E$84</definedName>
    <definedName name="lb_m">'Calculation'!$E$85</definedName>
    <definedName name="L_m">'Calculation'!$E$86</definedName>
    <definedName name="wl_lg">'Calculation'!$E$87</definedName>
    <definedName name="wf_lg">'Calculation'!$E$88</definedName>
    <definedName name="Wt_lg">'Calculation'!$E$89</definedName>
    <definedName name="RA_lg">'Calculation'!$E$90</definedName>
    <definedName name="RB_lg">'Calculation'!$E$91</definedName>
    <definedName name="x0_m">'Calculation'!$E$92</definedName>
    <definedName name="M_lg">'Calculation'!$E$93</definedName>
    <definedName name="Mf_lg">'Calculation'!$E$94</definedName>
    <definedName name="Ml_lg">'Calculation'!$E$95</definedName>
    <definedName name="Vf1_lg">'Calculation'!$E$96</definedName>
    <definedName name="Vf2_lg">'Calculation'!$E$97</definedName>
    <definedName name="d_w">'Calculation'!$E$100</definedName>
    <definedName name="d_l">'Calculation'!$E$101</definedName>
    <definedName name="Kl_lg">'Calculation'!$E$102</definedName>
    <definedName name="Asp_lg">'Calculation'!$E$103</definedName>
    <definedName name="K_w">'Calculation'!$E$104</definedName>
    <definedName name="Asr_w">'Calculation'!$E$105</definedName>
    <definedName name="Asm_w">'Calculation'!$E$106</definedName>
    <definedName name="VRc_w">'Calculation'!$E$107</definedName>
    <definedName name="chk_w">'Calculation'!$G$108</definedName>
    <definedName name="K_l">'Calculation'!$E$109</definedName>
    <definedName name="Asr_l">'Calculation'!$E$110</definedName>
    <definedName name="Asm_l">'Calculation'!$E$111</definedName>
    <definedName name="VRc_l">'Calculation'!$E$112</definedName>
    <definedName name="chk_l">'Calculation'!$G$113</definedName>
    <definedName name="VRA_lg">'Calculation'!$E$114</definedName>
    <definedName name="VRB_lg">'Calculation'!$E$115</definedName>
    <definedName name="chk_shear">'Calculation'!$G$116</definedName>
    <definedName name="d_def">'Calculation'!$E$119</definedName>
    <definedName name="K_def">'Calculation'!$E$120</definedName>
    <definedName name="Asr_def">'Calculation'!$E$121</definedName>
    <definedName name="rho_lg">'Calculation'!$E$122</definedName>
    <definedName name="rho0_lg">'Calculation'!$E$123</definedName>
    <definedName name="ldB_lg">'Calculation'!$E$124</definedName>
    <definedName name="F3_lg">'Calculation'!$E$125</definedName>
    <definedName name="F2_lg">'Calculation'!$E$126</definedName>
    <definedName name="ldL_lg">'Calculation'!$E$127</definedName>
    <definedName name="ldA_lg">'Calculation'!$E$128</definedName>
    <definedName name="chk_defl">'Calculation'!$G$129</definedName>
    <definedName name="gap_lg">'Calculation'!$E$130</definedName>
    <definedName name="Asp_dlg">'Calculation'!$E$131</definedName>
    <definedName name="chk_det">'Calculation'!$G$132</definedName>
    <definedName name="Mk_lg">'Calculation'!$E$133</definedName>
    <definedName name="zk_lg">'Calculation'!$E$134</definedName>
    <definedName name="sig_lg">'Calculation'!$E$135</definedName>
    <definedName name="fctd_lg">'Calculation'!$E$136</definedName>
    <definedName name="fbd_lg">'Calculation'!$E$137</definedName>
    <definedName name="lbd_lg">'Calculation'!$E$138</definedName>
    <definedName name="lav1_lg">'Calculation'!$E$139</definedName>
    <definedName name="lav2_lg">'Calculation'!$E$140</definedName>
    <definedName name="lg1_lg">'Calculation'!$E$141</definedName>
    <definedName name="lg2_lg">'Calculation'!$E$142</definedName>
    <definedName name="ln1_lg">'Calculation'!$E$143</definedName>
    <definedName name="ln2_lg">'Calculation'!$E$144</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'Calculation'!$A$1:$H$149</definedName>
    <definedName name="_xlnm.Print_Area" localSheetId="3">'NDP'!$A$1:$G$29</definedName>
  </definedNames>
  <calcPr calcId="124519" fullCalcOnLoad="1"/>
</workbook>
</file>

<file path=xl/styles.xml><?xml version="1.0" encoding="utf-8"?>
<styleSheet xmlns="http://schemas.openxmlformats.org/spreadsheetml/2006/main">
  <numFmts count="5">
    <numFmt numFmtId="164" formatCode="dd mmm yyyy"/>
    <numFmt numFmtId="165" formatCode="0.000"/>
    <numFmt numFmtId="166" formatCode="0.0"/>
    <numFmt numFmtId="167" formatCode="0.0000"/>
    <numFmt numFmtId="168" formatCode="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7" fontId="5" fillId="0" borderId="1" applyAlignment="1" pivotButton="0" quotePrefix="0" xfId="0">
      <alignment horizontal="center" vertical="center"/>
    </xf>
    <xf numFmtId="165" fontId="12" fillId="0" borderId="1" applyAlignment="1" pivotButton="0" quotePrefix="0" xfId="0">
      <alignment horizontal="center" vertical="center"/>
    </xf>
    <xf numFmtId="166" fontId="12" fillId="0" borderId="1" applyAlignment="1" pivotButton="0" quotePrefix="0" xfId="0">
      <alignment horizontal="center" vertical="center"/>
    </xf>
    <xf numFmtId="168"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steps</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'Geometry'!$D$3:$D$52</f>
            </numRef>
          </xVal>
          <yVal>
            <numRef>
              <f>'Geometry'!$E$3:$E$52</f>
            </numRef>
          </yVal>
          <smooth val="0"/>
        </ser>
        <ser>
          <idx val="2"/>
          <order val="2"/>
          <tx>
            <v>upper landing</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soffit</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'Geometry'!$J$3:$J$6</f>
            </numRef>
          </xVal>
          <yVal>
            <numRef>
              <f>'Geometry'!$K$3:$K$6</f>
            </numRef>
          </yVal>
          <smooth val="0"/>
        </ser>
        <ser>
          <idx val="4"/>
          <order val="4"/>
          <tx>
            <v>foot</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head</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waist bars</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'Geometry'!$S$3:$S$5</f>
            </numRef>
          </xVal>
          <yVal>
            <numRef>
              <f>'Geometry'!$T$3:$T$5</f>
            </numRef>
          </yVal>
          <smooth val="0"/>
        </ser>
        <ser>
          <idx val="7"/>
          <order val="7"/>
          <tx>
            <v>landing bars</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lower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'Geometry'!$Y$3:$Y$6</f>
            </numRef>
          </xVal>
          <yVal>
            <numRef>
              <f>'Geometry'!$Z$3:$Z$6</f>
            </numRef>
          </yVal>
          <smooth val="0"/>
        </ser>
        <ser>
          <idx val="9"/>
          <order val="9"/>
          <tx>
            <v>upper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'Geometry'!$AB$3:$AB$6</f>
            </numRef>
          </xVal>
          <yVal>
            <numRef>
              <f>'Geometry'!$AC$3:$AC$6</f>
            </numRef>
          </yVal>
          <smooth val="0"/>
        </ser>
        <ser>
          <idx val="10"/>
          <order val="1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'Geometry'!$AE$3:$AE$4</f>
            </numRef>
          </xVal>
          <yVal>
            <numRef>
              <f>'Geometry'!$AF$3:$AF$4</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'Geometry'!$AH$3</f>
            </numRef>
          </xVal>
          <yVal>
            <numRef>
              <f>'Geometry'!$AI$3</f>
            </numRef>
          </yVal>
          <smooth val="0"/>
        </ser>
        <ser>
          <idx val="12"/>
          <order val="1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'Geometry'!$AK$3:$AK$4</f>
            </numRef>
          </xVal>
          <yVal>
            <numRef>
              <f>'Geometry'!$AL$3:$AL$4</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'Geometry'!$AN$3</f>
            </numRef>
          </xVal>
          <yVal>
            <numRef>
              <f>'Geometry'!$AO$3</f>
            </numRef>
          </yVal>
          <smooth val="0"/>
        </ser>
        <ser>
          <idx val="14"/>
          <order val="1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'Geometry'!$AQ$3:$AQ$4</f>
            </numRef>
          </xVal>
          <yVal>
            <numRef>
              <f>'Geometry'!$AR$3:$AR$4</f>
            </numRef>
          </yVal>
          <smooth val="0"/>
        </ser>
        <ser>
          <idx val="15"/>
          <order val="15"/>
          <tx>
            <strRef>
              <f>'Geometry'!$AT$2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'Geometry'!$AT$3</f>
            </numRef>
          </xVal>
          <yVal>
            <numRef>
              <f>'Geometry'!$AU$3</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'Geometry'!$AW$3</f>
            </numRef>
          </xVal>
          <yVal>
            <numRef>
              <f>'Geometry'!$AX$3</f>
            </numRef>
          </yVal>
          <smooth val="0"/>
        </ser>
        <ser>
          <idx val="17"/>
          <order val="17"/>
          <tx>
            <strRef>
              <f>'Geometry'!$AZ$2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'Geometry'!$AZ$3</f>
            </numRef>
          </xVal>
          <yVal>
            <numRef>
              <f>'Geometry'!$BA$3</f>
            </numRef>
          </yVal>
          <smooth val="0"/>
        </ser>
        <ser>
          <idx val="18"/>
          <order val="18"/>
          <tx>
            <v>BMD</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'Geometry'!$BC$3:$BC$29</f>
            </numRef>
          </xVal>
          <yVal>
            <numRef>
              <f>'Geometry'!$BD$3:$BD$29</f>
            </numRef>
          </yVal>
          <smooth val="0"/>
        </ser>
        <ser>
          <idx val="19"/>
          <order val="19"/>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'Geometry'!$BF$3:$BF$4</f>
            </numRef>
          </xVal>
          <yVal>
            <numRef>
              <f>'Geometry'!$BG$3:$BG$4</f>
            </numRef>
          </yVal>
          <smooth val="0"/>
        </ser>
        <ser>
          <idx val="20"/>
          <order val="20"/>
          <tx>
            <v>M max</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'Geometry'!$BI$3:$BI$4</f>
            </numRef>
          </xVal>
          <yVal>
            <numRef>
              <f>'Geometry'!$BJ$3:$BJ$4</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b"/>
            <showLegendKey val="0"/>
            <showVal val="0"/>
            <showCatName val="0"/>
            <showSerName val="1"/>
            <showPercent val="0"/>
          </dLbls>
          <xVal>
            <numRef>
              <f>'Geometry'!$BL$3</f>
            </numRef>
          </xVal>
          <yVal>
            <numRef>
              <f>'Geometry'!$BM$3</f>
            </numRef>
          </yVal>
          <smooth val="0"/>
        </ser>
        <ser>
          <idx val="22"/>
          <order val="22"/>
          <tx>
            <v>frame</v>
          </tx>
          <spPr>
            <a:ln xmlns:a="http://schemas.openxmlformats.org/drawingml/2006/main">
              <a:noFill/>
              <a:prstDash val="solid"/>
            </a:ln>
          </spPr>
          <marker>
            <symbol val="none"/>
            <spPr>
              <a:ln xmlns:a="http://schemas.openxmlformats.org/drawingml/2006/main">
                <a:prstDash val="solid"/>
              </a:ln>
            </spPr>
          </marker>
          <xVal>
            <numRef>
              <f>'Geometry'!$BO$3:$BO$4</f>
            </numRef>
          </xVal>
          <yVal>
            <numRef>
              <f>'Geometry'!$BP$3:$BP$4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45</row>
      <rowOff>0</rowOff>
    </from>
    <ext cx="55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Stair with landings</t>
        </is>
      </c>
    </row>
    <row r="8" ht="20" customHeight="1">
      <c r="B8" s="4" t="inlineStr">
        <is>
          <t>Flight and landings spanning together between end supports  ·  EN 1992-1-1 §6.1, §6.2, §7.4, §9.3  ·  UK NA / PN-EN</t>
        </is>
      </c>
    </row>
    <row r="10">
      <c r="B10" s="5" t="inlineStr">
        <is>
          <t>Reference</t>
        </is>
      </c>
      <c r="C10" s="6" t="inlineStr">
        <is>
          <t>NAE-RC-024  ·  version 1.0</t>
        </is>
      </c>
    </row>
    <row r="11" ht="31" customHeight="1">
      <c r="B11" s="5" t="inlineStr">
        <is>
          <t>Standards</t>
        </is>
      </c>
      <c r="C11" s="7" t="inlineStr">
        <is>
          <t>BS EN 1992-1-1:2004 with UK NA  ·  PN-EN 1992-1-1:2008 with Polish NA (NDP sources listed on the NDP sheet)  ·  stair loads to EN 1991-1-1 (imposed load from the user)</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Design of a straight reinforced concrete flight with a landing at the foot, at the head or at both, spanning longitudinally as one member between supports at the ends of the landings: loads of the landings and of the flight, the reactions, the largest moment and where it occurs, the bars of the waist and of the landings, shear without links, deflection by the span to depth ratio and the detailing of the knees.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08.5" customHeight="1">
      <c r="B22" s="7" t="inlineStr">
        <is>
          <t>Simply supported 1 m wide strip on plan: lower landing a1, flight of n risers with (n − 1) goings, upper landing a2; the span adopted is L = a1 + (n − 1) g + a2 between the support centre lines (conservative where the effective span of 5.3.2.2 for the actual supports is shorter). Loads per m² on plan: landings γc h, flight γc t / cos θ + γc r / 2, finishes and the imposed load from the user (EN 1991-1-1 Table 6.2: stairs) over the whole length, changing at the first and the last riser; the concrete of the upper knee outside these zones (a triangle of height r + w − h at the last riser) is added as a point load at its centroid, and the smaller volume at the lower knee is ignored (conservative). The soffit knees and the bar crossings must lie within the member: the lower ones between the lower support and the last riser, the upper ones between the first riser and the upper support. The largest moment is found where the shear is zero; the waist (d at right angles to the soffit) is designed for the largest moment within the flight and the landings for the largest moment within them, with the same main bars throughout. Shear: each support reaction against the section at that support, and the vertical shear at the first and last risers against the waist (conservative: ≥ the component normal to the waist). Upper knee: bars crossed, straight anchorage (8.4.3, 8.4.4, α = 1; good bond within 250 mm of the soffit below the bar, η1 = 0.7 beyond, Figure 8.2) for the bar stress from the largest moment within d of the crossing (9.2.1.3(2)), compared with the room before the far face or the end of the member, less cover; otherwise a warning to bend the bars and check by hand. Deflection by (7.16) with K = 1.0 on L, conservatively with the smaller effective depth and the steel it needs for the largest moment, the (As,prov / As,req)(500 / fyk) factor (UK ≤ 1.5), 7/L for spans over 7 m with brittle partitions and the UK 40K cap; a span to depth check, so where the landings and the waist differ much in depth or deflection is critical, calculate it (7.4.3). Not checked here: partial fixity at the supports (top bars to 9.3.1.2(2) are listed), landings spanning across the stair or flights built into walls, the concentrated imposed load (EN 1991-1-1 6.2.1(3)) and free edges (9.3.1.4). fyk 400 – 500 MPa.
The second-generation EN 1992-1-1:2023 is not yet implemented.</t>
        </is>
      </c>
    </row>
    <row r="24" ht="20" customHeight="1">
      <c r="B24" s="8" t="inlineStr">
        <is>
          <t>Further reading and independent cross-check</t>
        </is>
      </c>
      <c r="C24" s="9" t="n"/>
    </row>
    <row r="25" ht="105.5" customHeight="1">
      <c r="B25" s="10" t="inlineStr">
        <is>
          <t>•  The Concrete Centre, How to design concrete structures using Eurocode 2: Slabs.
•  The Concrete Centre, Standard method of detailing structural concrete (IStructE / Concrete Society): stairs and knee joints.
•  The Concrete Centre, RC Spreadsheets v4, TCC72 Stairs with landings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&amp;K8A8A8ANAE-RC-024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48"/>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Stair with landings</t>
        </is>
      </c>
      <c r="H2" s="1" t="n"/>
    </row>
    <row r="3" ht="16" customHeight="1">
      <c r="A3" s="1" t="n"/>
      <c r="B3" s="1" t="n"/>
      <c r="C3" s="15" t="inlineStr">
        <is>
          <t>NAE-RC-024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 and bars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6" t="inlineStr">
        <is>
          <t>5.3.2.2</t>
        </is>
      </c>
      <c r="C15" s="24" t="inlineStr">
        <is>
          <t>Lower landing: support centre to the first riser  (0: none)</t>
        </is>
      </c>
      <c r="D15" s="27" t="inlineStr">
        <is>
          <r>
            <rPr>
              <rFont val="Calibri"/>
              <i val="1"/>
              <color rgb="002B2B2B"/>
              <sz val="10"/>
            </rPr>
            <t>a</t>
          </r>
          <r>
            <rPr>
              <rFont val="Calibri"/>
              <i val="1"/>
              <color rgb="002B2B2B"/>
              <sz val="10"/>
              <vertAlign val="subscript"/>
            </rPr>
            <t>1</t>
          </r>
        </is>
      </c>
      <c r="E15" s="25" t="n">
        <v>1000</v>
      </c>
      <c r="F15" s="28" t="inlineStr">
        <is>
          <t>mm</t>
        </is>
      </c>
      <c r="G15" s="23" t="n"/>
    </row>
    <row r="16" ht="17" customHeight="1">
      <c r="B16" s="23" t="n"/>
      <c r="C16" s="24" t="inlineStr">
        <is>
          <t>Number of risers in the flight  (2 – 24)</t>
        </is>
      </c>
      <c r="D16" s="27" t="inlineStr">
        <is>
          <r>
            <rPr>
              <rFont val="Calibri"/>
              <i val="1"/>
              <color rgb="002B2B2B"/>
              <sz val="10"/>
            </rPr>
            <t>n</t>
          </r>
        </is>
      </c>
      <c r="E16" s="25" t="n">
        <v>12</v>
      </c>
      <c r="F16" s="23" t="n"/>
      <c r="G16" s="23" t="n"/>
    </row>
    <row r="17" ht="17" customHeight="1">
      <c r="B17" s="23" t="n"/>
      <c r="C17" s="24" t="inlineStr">
        <is>
          <t>Going</t>
        </is>
      </c>
      <c r="D17" s="27" t="inlineStr">
        <is>
          <r>
            <rPr>
              <rFont val="Calibri"/>
              <i val="1"/>
              <color rgb="002B2B2B"/>
              <sz val="10"/>
            </rPr>
            <t>g</t>
          </r>
        </is>
      </c>
      <c r="E17" s="25" t="n">
        <v>250</v>
      </c>
      <c r="F17" s="28" t="inlineStr">
        <is>
          <t>mm</t>
        </is>
      </c>
      <c r="G17" s="23" t="n"/>
    </row>
    <row r="18" ht="17" customHeight="1">
      <c r="B18" s="23" t="n"/>
      <c r="C18" s="24" t="inlineStr">
        <is>
          <t>Rise</t>
        </is>
      </c>
      <c r="D18" s="27" t="inlineStr">
        <is>
          <r>
            <rPr>
              <rFont val="Calibri"/>
              <i val="1"/>
              <color rgb="002B2B2B"/>
              <sz val="10"/>
            </rPr>
            <t>r</t>
          </r>
        </is>
      </c>
      <c r="E18" s="25" t="n">
        <v>175</v>
      </c>
      <c r="F18" s="28" t="inlineStr">
        <is>
          <t>mm</t>
        </is>
      </c>
      <c r="G18" s="23" t="n"/>
    </row>
    <row r="19" ht="17" customHeight="1">
      <c r="B19" s="26" t="inlineStr">
        <is>
          <t>5.3.2.2</t>
        </is>
      </c>
      <c r="C19" s="24" t="inlineStr">
        <is>
          <t>Upper landing: last riser to the support centre  (0: none)</t>
        </is>
      </c>
      <c r="D19" s="27" t="inlineStr">
        <is>
          <r>
            <rPr>
              <rFont val="Calibri"/>
              <i val="1"/>
              <color rgb="002B2B2B"/>
              <sz val="10"/>
            </rPr>
            <t>a</t>
          </r>
          <r>
            <rPr>
              <rFont val="Calibri"/>
              <i val="1"/>
              <color rgb="002B2B2B"/>
              <sz val="10"/>
              <vertAlign val="subscript"/>
            </rPr>
            <t>2</t>
          </r>
        </is>
      </c>
      <c r="E19" s="25" t="n">
        <v>1000</v>
      </c>
      <c r="F19" s="28" t="inlineStr">
        <is>
          <t>mm</t>
        </is>
      </c>
      <c r="G19" s="23" t="n"/>
    </row>
    <row r="20" ht="17" customHeight="1">
      <c r="B20" s="23" t="n"/>
      <c r="C20" s="24" t="inlineStr">
        <is>
          <t>Waist thickness  (at right angles to the soffit)</t>
        </is>
      </c>
      <c r="D20" s="27" t="inlineStr">
        <is>
          <r>
            <rPr>
              <rFont val="Calibri"/>
              <i val="1"/>
              <color rgb="002B2B2B"/>
              <sz val="10"/>
            </rPr>
            <t>t</t>
          </r>
        </is>
      </c>
      <c r="E20" s="25" t="n">
        <v>200</v>
      </c>
      <c r="F20" s="28" t="inlineStr">
        <is>
          <t>mm</t>
        </is>
      </c>
      <c r="G20" s="23" t="n"/>
    </row>
    <row r="21" ht="17" customHeight="1">
      <c r="B21" s="23" t="n"/>
      <c r="C21" s="24" t="inlineStr">
        <is>
          <t>Landing thickness</t>
        </is>
      </c>
      <c r="D21" s="27" t="inlineStr">
        <is>
          <r>
            <rPr>
              <rFont val="Calibri"/>
              <i val="1"/>
              <color rgb="002B2B2B"/>
              <sz val="10"/>
            </rPr>
            <t>h</t>
          </r>
        </is>
      </c>
      <c r="E21" s="25" t="n">
        <v>200</v>
      </c>
      <c r="F21" s="28" t="inlineStr">
        <is>
          <t>mm</t>
        </is>
      </c>
      <c r="G21" s="23" t="n"/>
    </row>
    <row r="22" ht="17" customHeight="1">
      <c r="B22" s="26" t="inlineStr">
        <is>
          <t>4.4.1</t>
        </is>
      </c>
      <c r="C22" s="24" t="inlineStr">
        <is>
          <t>Nominal cover</t>
        </is>
      </c>
      <c r="D22" s="27" t="inlineStr">
        <is>
          <r>
            <rPr>
              <rFont val="Calibri"/>
              <i val="1"/>
              <color rgb="002B2B2B"/>
              <sz val="10"/>
            </rPr>
            <t>c</t>
          </r>
          <r>
            <rPr>
              <rFont val="Calibri"/>
              <i val="1"/>
              <color rgb="002B2B2B"/>
              <sz val="10"/>
              <vertAlign val="subscript"/>
            </rPr>
            <t>nom</t>
          </r>
        </is>
      </c>
      <c r="E22" s="25" t="n">
        <v>25</v>
      </c>
      <c r="F22" s="28" t="inlineStr">
        <is>
          <t>mm</t>
        </is>
      </c>
      <c r="G22" s="23" t="n"/>
    </row>
    <row r="23" ht="17" customHeight="1">
      <c r="B23" s="23" t="n"/>
      <c r="C23" s="24" t="inlineStr">
        <is>
          <t>Main bars: diameter  (waist and landings)</t>
        </is>
      </c>
      <c r="D23" s="27" t="inlineStr">
        <is>
          <r>
            <rPr>
              <rFont val="Calibri"/>
              <i val="1"/>
              <color rgb="002B2B2B"/>
              <sz val="10"/>
            </rPr>
            <t>φ</t>
          </r>
        </is>
      </c>
      <c r="E23" s="25" t="n">
        <v>12</v>
      </c>
      <c r="F23" s="28" t="inlineStr">
        <is>
          <t>mm</t>
        </is>
      </c>
      <c r="G23" s="23" t="n"/>
    </row>
    <row r="24" ht="17" customHeight="1">
      <c r="B24" s="23" t="n"/>
      <c r="C24" s="24" t="inlineStr">
        <is>
          <t>Main bars: spacing</t>
        </is>
      </c>
      <c r="D24" s="27" t="inlineStr">
        <is>
          <r>
            <rPr>
              <rFont val="Calibri"/>
              <i val="1"/>
              <color rgb="002B2B2B"/>
              <sz val="10"/>
            </rPr>
            <t>s</t>
          </r>
        </is>
      </c>
      <c r="E24" s="25" t="n">
        <v>125</v>
      </c>
      <c r="F24" s="28" t="inlineStr">
        <is>
          <t>mm</t>
        </is>
      </c>
      <c r="G24" s="23" t="n"/>
    </row>
    <row r="25" ht="17" customHeight="1">
      <c r="B25" s="23" t="n"/>
      <c r="C25" s="24" t="inlineStr">
        <is>
          <t>Distribution bars: diameter</t>
        </is>
      </c>
      <c r="D25" s="27" t="inlineStr">
        <is>
          <r>
            <rPr>
              <rFont val="Calibri"/>
              <i val="1"/>
              <color rgb="002B2B2B"/>
              <sz val="10"/>
            </rPr>
            <t>φ</t>
          </r>
          <r>
            <rPr>
              <rFont val="Calibri"/>
              <i val="1"/>
              <color rgb="002B2B2B"/>
              <sz val="10"/>
              <vertAlign val="subscript"/>
            </rPr>
            <t>d</t>
          </r>
        </is>
      </c>
      <c r="E25" s="25" t="n">
        <v>10</v>
      </c>
      <c r="F25" s="28" t="inlineStr">
        <is>
          <t>mm</t>
        </is>
      </c>
      <c r="G25" s="23" t="n"/>
    </row>
    <row r="26" ht="17" customHeight="1">
      <c r="B26" s="23" t="n"/>
      <c r="C26" s="24" t="inlineStr">
        <is>
          <t>Distribution bars: spacing</t>
        </is>
      </c>
      <c r="D26" s="27" t="inlineStr">
        <is>
          <r>
            <rPr>
              <rFont val="Calibri"/>
              <i val="1"/>
              <color rgb="002B2B2B"/>
              <sz val="10"/>
            </rPr>
            <t>s</t>
          </r>
          <r>
            <rPr>
              <rFont val="Calibri"/>
              <i val="1"/>
              <color rgb="002B2B2B"/>
              <sz val="10"/>
              <vertAlign val="subscript"/>
            </rPr>
            <t>d</t>
          </r>
        </is>
      </c>
      <c r="E26" s="25" t="n">
        <v>300</v>
      </c>
      <c r="F26" s="28" t="inlineStr">
        <is>
          <t>mm</t>
        </is>
      </c>
      <c r="G26" s="23" t="n"/>
    </row>
    <row r="28" ht="22" customHeight="1">
      <c r="B28" s="20" t="inlineStr">
        <is>
          <t>Inputs  ·  loads</t>
        </is>
      </c>
      <c r="C28" s="21" t="n"/>
      <c r="D28" s="21" t="n"/>
      <c r="E28" s="21" t="n"/>
      <c r="F28" s="21" t="n"/>
      <c r="G28" s="22" t="inlineStr">
        <is>
          <t>Characteristic, per m² on plan</t>
        </is>
      </c>
    </row>
    <row r="29" ht="17" customHeight="1">
      <c r="B29" s="23" t="n"/>
      <c r="C29" s="24" t="inlineStr">
        <is>
          <t>Finishes</t>
        </is>
      </c>
      <c r="D29" s="27" t="inlineStr">
        <is>
          <r>
            <rPr>
              <rFont val="Calibri"/>
              <i val="1"/>
              <color rgb="002B2B2B"/>
              <sz val="10"/>
            </rPr>
            <t>g</t>
          </r>
          <r>
            <rPr>
              <rFont val="Calibri"/>
              <i val="1"/>
              <color rgb="002B2B2B"/>
              <sz val="10"/>
              <vertAlign val="subscript"/>
            </rPr>
            <t>k</t>
          </r>
        </is>
      </c>
      <c r="E29" s="29" t="n">
        <v>1</v>
      </c>
      <c r="F29" s="28" t="inlineStr">
        <is>
          <t>kN/m²</t>
        </is>
      </c>
      <c r="G29" s="23" t="n"/>
    </row>
    <row r="30" ht="17" customHeight="1">
      <c r="B30" s="23" t="n"/>
      <c r="C30" s="24" t="inlineStr">
        <is>
          <t>Imposed load  (EN 1991-1-1 Table 6.2, stairs)</t>
        </is>
      </c>
      <c r="D30" s="27" t="inlineStr">
        <is>
          <r>
            <rPr>
              <rFont val="Calibri"/>
              <i val="1"/>
              <color rgb="002B2B2B"/>
              <sz val="10"/>
            </rPr>
            <t>q</t>
          </r>
          <r>
            <rPr>
              <rFont val="Calibri"/>
              <i val="1"/>
              <color rgb="002B2B2B"/>
              <sz val="10"/>
              <vertAlign val="subscript"/>
            </rPr>
            <t>k</t>
          </r>
        </is>
      </c>
      <c r="E30" s="29" t="n">
        <v>3</v>
      </c>
      <c r="F30" s="28" t="inlineStr">
        <is>
          <t>kN/m²</t>
        </is>
      </c>
      <c r="G30" s="23" t="n"/>
    </row>
    <row r="31" ht="17" customHeight="1">
      <c r="B31" s="26" t="inlineStr">
        <is>
          <t>EN 1990 A1.2(B)</t>
        </is>
      </c>
      <c r="C31" s="24" t="inlineStr">
        <is>
          <t>Partial factor, permanent</t>
        </is>
      </c>
      <c r="D31" s="27" t="inlineStr">
        <is>
          <r>
            <rPr>
              <rFont val="Calibri"/>
              <i val="1"/>
              <color rgb="002B2B2B"/>
              <sz val="10"/>
            </rPr>
            <t>γ</t>
          </r>
          <r>
            <rPr>
              <rFont val="Calibri"/>
              <i val="1"/>
              <color rgb="002B2B2B"/>
              <sz val="10"/>
              <vertAlign val="subscript"/>
            </rPr>
            <t>G</t>
          </r>
        </is>
      </c>
      <c r="E31" s="29" t="n">
        <v>1.35</v>
      </c>
      <c r="F31" s="23" t="n"/>
      <c r="G31" s="23" t="n"/>
    </row>
    <row r="32" ht="17" customHeight="1">
      <c r="B32" s="26" t="inlineStr">
        <is>
          <t>EN 1990 A1.2(B)</t>
        </is>
      </c>
      <c r="C32" s="24" t="inlineStr">
        <is>
          <t>Partial factor, variable</t>
        </is>
      </c>
      <c r="D32" s="27" t="inlineStr">
        <is>
          <r>
            <rPr>
              <rFont val="Calibri"/>
              <i val="1"/>
              <color rgb="002B2B2B"/>
              <sz val="10"/>
            </rPr>
            <t>γ</t>
          </r>
          <r>
            <rPr>
              <rFont val="Calibri"/>
              <i val="1"/>
              <color rgb="002B2B2B"/>
              <sz val="10"/>
              <vertAlign val="subscript"/>
            </rPr>
            <t>Q</t>
          </r>
        </is>
      </c>
      <c r="E32" s="29" t="n">
        <v>1.5</v>
      </c>
      <c r="F32" s="23" t="n"/>
      <c r="G32" s="23" t="n"/>
    </row>
    <row r="33" ht="17" customHeight="1">
      <c r="B33" s="26" t="inlineStr">
        <is>
          <t>7.4.2(2)</t>
        </is>
      </c>
      <c r="C33" s="24" t="inlineStr">
        <is>
          <t>Brittle partitions on a span over 7 m?</t>
        </is>
      </c>
      <c r="D33" s="23" t="n"/>
      <c r="E33" s="25" t="inlineStr">
        <is>
          <t>No</t>
        </is>
      </c>
      <c r="F33" s="23" t="n"/>
      <c r="G33" s="23" t="n"/>
    </row>
    <row r="34" ht="17" customHeight="1">
      <c r="B34" s="23" t="n"/>
      <c r="C34" s="24" t="inlineStr">
        <is>
          <t>Inputs valid and consistent</t>
        </is>
      </c>
      <c r="D34" s="23" t="n"/>
      <c r="E34" s="9" t="n"/>
      <c r="F34" s="23" t="n"/>
      <c r="G34" s="30">
        <f>IF(inputs_ok,"OK","FAIL")</f>
        <v/>
      </c>
    </row>
    <row r="36" ht="22" customHeight="1">
      <c r="B36" s="20" t="inlineStr">
        <is>
          <t>Results</t>
        </is>
      </c>
      <c r="C36" s="21" t="n"/>
      <c r="D36" s="21" t="n"/>
      <c r="E36" s="21" t="n"/>
      <c r="F36" s="21" t="n"/>
      <c r="G36" s="21" t="n"/>
    </row>
    <row r="37" ht="26" customHeight="1">
      <c r="B37" s="31" t="n"/>
      <c r="C37" s="32" t="inlineStr">
        <is>
          <t>Bending, flight  As,req / As,prov  (waist)</t>
        </is>
      </c>
      <c r="D37" s="31" t="n"/>
      <c r="E37" s="33">
        <f>IF(inputs_ok,IFERROR(MAX(Asr_w,Asm_w)/Asp_lg,"–"),"–")</f>
        <v/>
      </c>
      <c r="F37" s="34" t="inlineStr"/>
      <c r="G37" s="35">
        <f>IF(NOT(inputs_ok),"FAIL",IF(ok_w,"OK","FAIL"))</f>
        <v/>
      </c>
    </row>
    <row r="38" ht="26" customHeight="1">
      <c r="B38" s="31" t="n"/>
      <c r="C38" s="32" t="inlineStr">
        <is>
          <t>Bending, landings  As,req / As,prov</t>
        </is>
      </c>
      <c r="D38" s="31" t="n"/>
      <c r="E38" s="33">
        <f>IF(inputs_ok,IFERROR(MAX(Asr_l,Asm_l)/Asp_lg,"–"),"–")</f>
        <v/>
      </c>
      <c r="F38" s="34" t="inlineStr"/>
      <c r="G38" s="35">
        <f>IF(NOT(inputs_ok),"FAIL",IF(ok_l,"OK","FAIL"))</f>
        <v/>
      </c>
    </row>
    <row r="39" ht="26" customHeight="1">
      <c r="B39" s="31" t="n"/>
      <c r="C39" s="32" t="inlineStr">
        <is>
          <t>Shear without links  VEd / VRd,c  (worse support)</t>
        </is>
      </c>
      <c r="D39" s="31" t="n"/>
      <c r="E39" s="33">
        <f>IF(inputs_ok,MAX(RA_lg/VRA_lg,RB_lg/VRB_lg),"–")</f>
        <v/>
      </c>
      <c r="F39" s="34" t="inlineStr"/>
      <c r="G39" s="35">
        <f>IF(NOT(inputs_ok),"FAIL",IF(shear_ok,"OK","FAIL"))</f>
        <v/>
      </c>
    </row>
    <row r="40" ht="26" customHeight="1">
      <c r="B40" s="31" t="n"/>
      <c r="C40" s="32" t="inlineStr">
        <is>
          <t>Deflection  actual l/d ÷ limiting l/d</t>
        </is>
      </c>
      <c r="D40" s="31" t="n"/>
      <c r="E40" s="33">
        <f>IF(inputs_ok,IFERROR(ldA_lg/ldL_lg,"–"),"–")</f>
        <v/>
      </c>
      <c r="F40" s="34" t="inlineStr"/>
      <c r="G40" s="35">
        <f>IF(NOT(inputs_ok),"FAIL",IF(defl_ok,"OK","FAIL"))</f>
        <v/>
      </c>
    </row>
    <row r="41" ht="26" customHeight="1">
      <c r="B41" s="31" t="n"/>
      <c r="C41" s="32" t="inlineStr">
        <is>
          <t>Detailing  (distribution bars, spacing, As,max)</t>
        </is>
      </c>
      <c r="D41" s="31" t="n"/>
      <c r="E41" s="36">
        <f>IF(inputs_ok,Asp_dlg,"–")</f>
        <v/>
      </c>
      <c r="F41" s="34" t="inlineStr">
        <is>
          <t>mm²/m</t>
        </is>
      </c>
      <c r="G41" s="35">
        <f>IF(NOT(inputs_ok),"FAIL",IF(det_lg,"OK","FAIL"))</f>
        <v/>
      </c>
    </row>
    <row r="42" ht="26" customHeight="1">
      <c r="B42" s="31" t="n"/>
      <c r="C42" s="32" t="inlineStr">
        <is>
          <t>Upper knee: straight anchorage beyond the crossing  length / room</t>
        </is>
      </c>
      <c r="D42" s="31" t="n"/>
      <c r="E42" s="33">
        <f>IF(inputs_ok,IF(a_up&gt;0,IFERROR(MAX(ln1_lg/lav1_lg,ln2_lg/lav2_lg),"&gt;10"),"n/a"),"–")</f>
        <v/>
      </c>
      <c r="F42" s="34" t="inlineStr"/>
      <c r="G42" s="35">
        <f>IF(NOT(inputs_ok),"FAIL",IF(a_up=0,"n/a",IF(anch_ok,"OK","! Bend: by hand")))</f>
        <v/>
      </c>
    </row>
    <row r="43" ht="26" customHeight="1">
      <c r="B43" s="31" t="n"/>
      <c r="C43" s="32" t="inlineStr">
        <is>
          <t>Comfort  2r + g  (550 – 700 mm, usual range)</t>
        </is>
      </c>
      <c r="D43" s="31" t="n"/>
      <c r="E43" s="36">
        <f>IF(inputs_ok,2*r_lg+g_lg,"–")</f>
        <v/>
      </c>
      <c r="F43" s="34" t="inlineStr">
        <is>
          <t>mm</t>
        </is>
      </c>
      <c r="G43" s="35">
        <f>IF(NOT(inputs_ok),"FAIL",IF(AND(2*r_lg+g_lg&gt;=550,2*r_lg+g_lg&lt;=700),"OK","! Check"))</f>
        <v/>
      </c>
    </row>
    <row r="44"/>
    <row r="45">
      <c r="B45" s="37" t="inlineStr">
        <is>
          <t>Your stair, to scale  ·  landings, flight, waist, supports and main bars (crossed at the upper knee); bending moment below</t>
        </is>
      </c>
    </row>
    <row r="46"/>
    <row r="47"/>
    <row r="48"/>
    <row r="49"/>
    <row r="50"/>
    <row r="51"/>
    <row r="52"/>
    <row r="53"/>
    <row r="54"/>
    <row r="55"/>
    <row r="56"/>
    <row r="57"/>
    <row r="58"/>
    <row r="59"/>
    <row r="60"/>
    <row r="61"/>
    <row r="62"/>
    <row r="63"/>
    <row r="64"/>
    <row r="65"/>
    <row r="66"/>
    <row r="67" ht="22" customHeight="1">
      <c r="B67" s="20" t="inlineStr">
        <is>
          <t>Calculation  ·  loads and actions  (per m width)</t>
        </is>
      </c>
      <c r="C67" s="21" t="n"/>
      <c r="D67" s="21" t="n"/>
      <c r="E67" s="21" t="n"/>
      <c r="F67" s="21" t="n"/>
      <c r="G67" s="21" t="n"/>
    </row>
    <row r="68" ht="17" customHeight="1">
      <c r="B68" s="26" t="inlineStr">
        <is>
          <t>2.4.2.4(1)</t>
        </is>
      </c>
      <c r="C68" s="24" t="inlineStr">
        <is>
          <t>Partial factor, concrete</t>
        </is>
      </c>
      <c r="D68" s="27" t="inlineStr">
        <is>
          <r>
            <rPr>
              <rFont val="Calibri"/>
              <i val="1"/>
              <color rgb="002B2B2B"/>
              <sz val="10"/>
            </rPr>
            <t>γ</t>
          </r>
          <r>
            <rPr>
              <rFont val="Calibri"/>
              <i val="1"/>
              <color rgb="002B2B2B"/>
              <sz val="10"/>
              <vertAlign val="subscript"/>
            </rPr>
            <t>c</t>
          </r>
        </is>
      </c>
      <c r="E68" s="38">
        <f>IF(inputs_ok,ndp_gamma_c,NA())</f>
        <v/>
      </c>
      <c r="F68" s="23" t="n"/>
      <c r="G68" s="26" t="inlineStr">
        <is>
          <t>NDP sheet</t>
        </is>
      </c>
    </row>
    <row r="69" ht="17" customHeight="1">
      <c r="B69" s="26" t="inlineStr">
        <is>
          <t>2.4.2.4(1)</t>
        </is>
      </c>
      <c r="C69" s="24" t="inlineStr">
        <is>
          <t>Partial factor, reinforcement</t>
        </is>
      </c>
      <c r="D69" s="27" t="inlineStr">
        <is>
          <r>
            <rPr>
              <rFont val="Calibri"/>
              <i val="1"/>
              <color rgb="002B2B2B"/>
              <sz val="10"/>
            </rPr>
            <t>γ</t>
          </r>
          <r>
            <rPr>
              <rFont val="Calibri"/>
              <i val="1"/>
              <color rgb="002B2B2B"/>
              <sz val="10"/>
              <vertAlign val="subscript"/>
            </rPr>
            <t>s</t>
          </r>
        </is>
      </c>
      <c r="E69" s="38">
        <f>IF(inputs_ok,ndp_gamma_s,NA())</f>
        <v/>
      </c>
      <c r="F69" s="23" t="n"/>
      <c r="G69" s="26" t="inlineStr">
        <is>
          <t>NDP sheet</t>
        </is>
      </c>
    </row>
    <row r="70" ht="17" customHeight="1">
      <c r="B70" s="26" t="inlineStr">
        <is>
          <t>3.1.6(1)</t>
        </is>
      </c>
      <c r="C70" s="24" t="inlineStr">
        <is>
          <t>Coefficient on compressive strength (flexure)</t>
        </is>
      </c>
      <c r="D70" s="27" t="inlineStr">
        <is>
          <r>
            <rPr>
              <rFont val="Calibri"/>
              <i val="1"/>
              <color rgb="002B2B2B"/>
              <sz val="10"/>
            </rPr>
            <t>α</t>
          </r>
          <r>
            <rPr>
              <rFont val="Calibri"/>
              <i val="1"/>
              <color rgb="002B2B2B"/>
              <sz val="10"/>
              <vertAlign val="subscript"/>
            </rPr>
            <t>cc</t>
          </r>
        </is>
      </c>
      <c r="E70" s="38">
        <f>IF(inputs_ok,ndp_alpha_cc,NA())</f>
        <v/>
      </c>
      <c r="F70" s="23" t="n"/>
      <c r="G70" s="26" t="inlineStr">
        <is>
          <t>NDP sheet</t>
        </is>
      </c>
    </row>
    <row r="71" ht="17" customHeight="1">
      <c r="B71" s="26" t="inlineStr">
        <is>
          <t>3.1.6(2)</t>
        </is>
      </c>
      <c r="C71" s="24" t="inlineStr">
        <is>
          <t>Coefficient on tensile strength</t>
        </is>
      </c>
      <c r="D71" s="27" t="inlineStr">
        <is>
          <r>
            <rPr>
              <rFont val="Calibri"/>
              <i val="1"/>
              <color rgb="002B2B2B"/>
              <sz val="10"/>
            </rPr>
            <t>α</t>
          </r>
          <r>
            <rPr>
              <rFont val="Calibri"/>
              <i val="1"/>
              <color rgb="002B2B2B"/>
              <sz val="10"/>
              <vertAlign val="subscript"/>
            </rPr>
            <t>ct</t>
          </r>
        </is>
      </c>
      <c r="E71" s="38">
        <f>IF(inputs_ok,ndp_alpha_ct,NA())</f>
        <v/>
      </c>
      <c r="F71" s="23" t="n"/>
      <c r="G71" s="26" t="inlineStr">
        <is>
          <t>NDP sheet</t>
        </is>
      </c>
    </row>
    <row r="72" ht="17" customHeight="1">
      <c r="B72" s="26" t="inlineStr">
        <is>
          <t>6.2.2(1), 6.4.4(1)</t>
        </is>
      </c>
      <c r="C72" s="24" t="inlineStr">
        <is>
          <t>Coefficient  0.18 / γc</t>
        </is>
      </c>
      <c r="D72" s="27" t="inlineStr">
        <is>
          <r>
            <rPr>
              <rFont val="Calibri"/>
              <i val="1"/>
              <color rgb="002B2B2B"/>
              <sz val="10"/>
            </rPr>
            <t>C</t>
          </r>
          <r>
            <rPr>
              <rFont val="Calibri"/>
              <i val="1"/>
              <color rgb="002B2B2B"/>
              <sz val="10"/>
              <vertAlign val="subscript"/>
            </rPr>
            <t>Rd,c</t>
          </r>
        </is>
      </c>
      <c r="E72" s="39">
        <f>IF(inputs_ok,ndp_C_Rdc/ndp_gamma_c,NA())</f>
        <v/>
      </c>
      <c r="F72" s="23" t="n"/>
      <c r="G72" s="26" t="inlineStr">
        <is>
          <t>NDP sheet</t>
        </is>
      </c>
    </row>
    <row r="73" ht="17" customHeight="1">
      <c r="B73" s="26" t="inlineStr">
        <is>
          <t>7.4.2(2)</t>
        </is>
      </c>
      <c r="C73" s="24" t="inlineStr">
        <is>
          <t>Upper limit on the stress / area factor</t>
        </is>
      </c>
      <c r="D73" s="23" t="n"/>
      <c r="E73" s="38">
        <f>IF(inputs_ok,ndp_ld_mod_max,NA())</f>
        <v/>
      </c>
      <c r="F73" s="23" t="n"/>
      <c r="G73" s="26" t="inlineStr">
        <is>
          <t>NDP sheet</t>
        </is>
      </c>
    </row>
    <row r="74" ht="17" customHeight="1">
      <c r="B74" s="26" t="inlineStr">
        <is>
          <t>7.4.2(2)</t>
        </is>
      </c>
      <c r="C74" s="24" t="inlineStr">
        <is>
          <t>L/d ≤ 40K applies (1 = yes)</t>
        </is>
      </c>
      <c r="D74" s="23" t="n"/>
      <c r="E74" s="38">
        <f>IF(inputs_ok,ndp_ld_cap_40K,NA())</f>
        <v/>
      </c>
      <c r="F74" s="23" t="n"/>
      <c r="G74" s="26" t="inlineStr">
        <is>
          <t>NDP sheet</t>
        </is>
      </c>
    </row>
    <row r="75" ht="17" customHeight="1">
      <c r="B75" s="26" t="inlineStr">
        <is>
          <t>Table 3.1</t>
        </is>
      </c>
      <c r="C75" s="24" t="inlineStr">
        <is>
          <t>Characteristic cylinder strength</t>
        </is>
      </c>
      <c r="D75" s="27" t="inlineStr">
        <is>
          <r>
            <rPr>
              <rFont val="Calibri"/>
              <i val="1"/>
              <color rgb="002B2B2B"/>
              <sz val="10"/>
            </rPr>
            <t>f</t>
          </r>
          <r>
            <rPr>
              <rFont val="Calibri"/>
              <i val="1"/>
              <color rgb="002B2B2B"/>
              <sz val="10"/>
              <vertAlign val="subscript"/>
            </rPr>
            <t>ck</t>
          </r>
        </is>
      </c>
      <c r="E75" s="40">
        <f>IF(inputs_ok,VALUE(MID(conc_class,2,FIND("/",conc_class)-2)),NA())</f>
        <v/>
      </c>
      <c r="F75" s="28" t="inlineStr">
        <is>
          <t>MPa</t>
        </is>
      </c>
      <c r="G75" s="23" t="n"/>
    </row>
    <row r="76" ht="17" customHeight="1">
      <c r="B76" s="26" t="inlineStr">
        <is>
          <t>Table 3.1</t>
        </is>
      </c>
      <c r="C76" s="24" t="inlineStr">
        <is>
          <t>Mean tensile strength</t>
        </is>
      </c>
      <c r="D76" s="27" t="inlineStr">
        <is>
          <r>
            <rPr>
              <rFont val="Calibri"/>
              <i val="1"/>
              <color rgb="002B2B2B"/>
              <sz val="10"/>
            </rPr>
            <t>f</t>
          </r>
          <r>
            <rPr>
              <rFont val="Calibri"/>
              <i val="1"/>
              <color rgb="002B2B2B"/>
              <sz val="10"/>
              <vertAlign val="subscript"/>
            </rPr>
            <t>ctm</t>
          </r>
        </is>
      </c>
      <c r="E76" s="38">
        <f>IF(inputs_ok,IF(f_ck&lt;=50,0.3*f_ck^(2/3),2.12*LN(1+(f_ck+8)/10)),NA())</f>
        <v/>
      </c>
      <c r="F76" s="28" t="inlineStr">
        <is>
          <t>MPa</t>
        </is>
      </c>
      <c r="G76" s="23" t="n"/>
    </row>
    <row r="77" ht="17" customHeight="1">
      <c r="B77" s="26" t="inlineStr">
        <is>
          <t>3.1.6(1)</t>
        </is>
      </c>
      <c r="C77" s="24" t="inlineStr">
        <is>
          <t>Design compressive strength  αcc fck / γc</t>
        </is>
      </c>
      <c r="D77" s="27" t="inlineStr">
        <is>
          <r>
            <rPr>
              <rFont val="Calibri"/>
              <i val="1"/>
              <color rgb="002B2B2B"/>
              <sz val="10"/>
            </rPr>
            <t>f</t>
          </r>
          <r>
            <rPr>
              <rFont val="Calibri"/>
              <i val="1"/>
              <color rgb="002B2B2B"/>
              <sz val="10"/>
              <vertAlign val="subscript"/>
            </rPr>
            <t>cd</t>
          </r>
        </is>
      </c>
      <c r="E77" s="38">
        <f>IF(inputs_ok,alpha_cc*f_ck/gamma_c,NA())</f>
        <v/>
      </c>
      <c r="F77" s="28" t="inlineStr">
        <is>
          <t>MPa</t>
        </is>
      </c>
      <c r="G77" s="23" t="n"/>
    </row>
    <row r="78" ht="17" customHeight="1">
      <c r="B78" s="26" t="inlineStr">
        <is>
          <t>3.2.7</t>
        </is>
      </c>
      <c r="C78" s="24" t="inlineStr">
        <is>
          <t>Design yield strength</t>
        </is>
      </c>
      <c r="D78" s="27" t="inlineStr">
        <is>
          <r>
            <rPr>
              <rFont val="Calibri"/>
              <i val="1"/>
              <color rgb="002B2B2B"/>
              <sz val="10"/>
            </rPr>
            <t>f</t>
          </r>
          <r>
            <rPr>
              <rFont val="Calibri"/>
              <i val="1"/>
              <color rgb="002B2B2B"/>
              <sz val="10"/>
              <vertAlign val="subscript"/>
            </rPr>
            <t>yd</t>
          </r>
        </is>
      </c>
      <c r="E78" s="41">
        <f>IF(inputs_ok,f_yk/gamma_s,NA())</f>
        <v/>
      </c>
      <c r="F78" s="28" t="inlineStr">
        <is>
          <t>MPa</t>
        </is>
      </c>
      <c r="G78" s="23" t="n"/>
    </row>
    <row r="79" ht="17" customHeight="1">
      <c r="B79" s="23" t="n"/>
      <c r="C79" s="24" t="inlineStr">
        <is>
          <t>Pitch  θ = atan(r / g)</t>
        </is>
      </c>
      <c r="D79" s="27" t="inlineStr">
        <is>
          <r>
            <rPr>
              <rFont val="Calibri"/>
              <i val="1"/>
              <color rgb="002B2B2B"/>
              <sz val="10"/>
            </rPr>
            <t>θ</t>
          </r>
        </is>
      </c>
      <c r="E79" s="41">
        <f>IF(inputs_ok,DEGREES(ATAN(r_lg/g_lg)),NA())</f>
        <v/>
      </c>
      <c r="F79" s="28" t="inlineStr">
        <is>
          <t>°</t>
        </is>
      </c>
      <c r="G79" s="23" t="n"/>
    </row>
    <row r="80" ht="17" customHeight="1">
      <c r="B80" s="23" t="n"/>
      <c r="C80" s="24" t="inlineStr">
        <is>
          <t>Upper knee: extra concrete  (r + w − h)² g / (2r)</t>
        </is>
      </c>
      <c r="D80" s="27" t="inlineStr">
        <is>
          <r>
            <rPr>
              <rFont val="Calibri"/>
              <i val="1"/>
              <color rgb="002B2B2B"/>
              <sz val="10"/>
            </rPr>
            <t>A</t>
          </r>
          <r>
            <rPr>
              <rFont val="Calibri"/>
              <i val="1"/>
              <color rgb="002B2B2B"/>
              <sz val="10"/>
              <vertAlign val="subscript"/>
            </rPr>
            <t>k</t>
          </r>
        </is>
      </c>
      <c r="E80" s="42">
        <f>IF(inputs_ok,ex_lg^2*g_lg/(2*r_lg)/1E6,NA())</f>
        <v/>
      </c>
      <c r="F80" s="28" t="inlineStr">
        <is>
          <t>m²/m</t>
        </is>
      </c>
      <c r="G80" s="23" t="n"/>
    </row>
    <row r="81" ht="17" customHeight="1">
      <c r="B81" s="23" t="n"/>
      <c r="C81" s="24" t="inlineStr">
        <is>
          <t>Its weight γG 25 A_k, applied at its centroid</t>
        </is>
      </c>
      <c r="D81" s="27" t="inlineStr">
        <is>
          <r>
            <rPr>
              <rFont val="Calibri"/>
              <i val="1"/>
              <color rgb="002B2B2B"/>
              <sz val="10"/>
            </rPr>
            <t>P</t>
          </r>
          <r>
            <rPr>
              <rFont val="Calibri"/>
              <i val="1"/>
              <color rgb="002B2B2B"/>
              <sz val="10"/>
              <vertAlign val="subscript"/>
            </rPr>
            <t>k</t>
          </r>
        </is>
      </c>
      <c r="E81" s="38">
        <f>IF(inputs_ok,gamma_G*25*Awg_lg,NA())</f>
        <v/>
      </c>
      <c r="F81" s="28" t="inlineStr">
        <is>
          <t>kN/m</t>
        </is>
      </c>
      <c r="G81" s="23" t="n"/>
    </row>
    <row r="82" ht="17" customHeight="1">
      <c r="B82" s="23" t="n"/>
      <c r="C82" s="24" t="inlineStr">
        <is>
          <t>Centroid from the lower support  (last riser ± (r + w − h) g / (3r))</t>
        </is>
      </c>
      <c r="D82" s="27" t="inlineStr">
        <is>
          <r>
            <rPr>
              <rFont val="Calibri"/>
              <i val="1"/>
              <color rgb="002B2B2B"/>
              <sz val="10"/>
            </rPr>
            <t>x</t>
          </r>
          <r>
            <rPr>
              <rFont val="Calibri"/>
              <i val="1"/>
              <color rgb="002B2B2B"/>
              <sz val="10"/>
              <vertAlign val="subscript"/>
            </rPr>
            <t>k</t>
          </r>
        </is>
      </c>
      <c r="E82" s="39">
        <f>IF(inputs_ok,xc_lg/1000,NA())</f>
        <v/>
      </c>
      <c r="F82" s="28" t="inlineStr">
        <is>
          <t>m</t>
        </is>
      </c>
      <c r="G82" s="23" t="n"/>
    </row>
    <row r="83" ht="17" customHeight="1">
      <c r="B83" s="23" t="n"/>
      <c r="C83" s="24" t="inlineStr">
        <is>
          <t>Lower landing  a1</t>
        </is>
      </c>
      <c r="D83" s="27" t="inlineStr">
        <is>
          <r>
            <rPr>
              <rFont val="Calibri"/>
              <i val="1"/>
              <color rgb="002B2B2B"/>
              <sz val="10"/>
            </rPr>
            <t>a</t>
          </r>
          <r>
            <rPr>
              <rFont val="Calibri"/>
              <i val="1"/>
              <color rgb="002B2B2B"/>
              <sz val="10"/>
              <vertAlign val="subscript"/>
            </rPr>
            <t>1</t>
          </r>
        </is>
      </c>
      <c r="E83" s="39">
        <f>IF(inputs_ok,a_lo/1000,NA())</f>
        <v/>
      </c>
      <c r="F83" s="28" t="inlineStr">
        <is>
          <t>m</t>
        </is>
      </c>
      <c r="G83" s="23" t="n"/>
    </row>
    <row r="84" ht="17" customHeight="1">
      <c r="B84" s="23" t="n"/>
      <c r="C84" s="24" t="inlineStr">
        <is>
          <t>Flight on plan  (n − 1) g</t>
        </is>
      </c>
      <c r="D84" s="27" t="inlineStr">
        <is>
          <r>
            <rPr>
              <rFont val="Calibri"/>
              <i val="1"/>
              <color rgb="002B2B2B"/>
              <sz val="10"/>
            </rPr>
            <t>l</t>
          </r>
          <r>
            <rPr>
              <rFont val="Calibri"/>
              <i val="1"/>
              <color rgb="002B2B2B"/>
              <sz val="10"/>
              <vertAlign val="subscript"/>
            </rPr>
            <t>f</t>
          </r>
        </is>
      </c>
      <c r="E84" s="39">
        <f>IF(inputs_ok,Lf_lg/1000,NA())</f>
        <v/>
      </c>
      <c r="F84" s="28" t="inlineStr">
        <is>
          <t>m</t>
        </is>
      </c>
      <c r="G84" s="23" t="n"/>
    </row>
    <row r="85" ht="17" customHeight="1">
      <c r="B85" s="23" t="n"/>
      <c r="C85" s="24" t="inlineStr">
        <is>
          <t>Upper landing  a2</t>
        </is>
      </c>
      <c r="D85" s="27" t="inlineStr">
        <is>
          <r>
            <rPr>
              <rFont val="Calibri"/>
              <i val="1"/>
              <color rgb="002B2B2B"/>
              <sz val="10"/>
            </rPr>
            <t>a</t>
          </r>
          <r>
            <rPr>
              <rFont val="Calibri"/>
              <i val="1"/>
              <color rgb="002B2B2B"/>
              <sz val="10"/>
              <vertAlign val="subscript"/>
            </rPr>
            <t>2</t>
          </r>
        </is>
      </c>
      <c r="E85" s="39">
        <f>IF(inputs_ok,a_up/1000,NA())</f>
        <v/>
      </c>
      <c r="F85" s="28" t="inlineStr">
        <is>
          <t>m</t>
        </is>
      </c>
      <c r="G85" s="23" t="n"/>
    </row>
    <row r="86" ht="17" customHeight="1">
      <c r="B86" s="26" t="inlineStr">
        <is>
          <t>5.3.2.2</t>
        </is>
      </c>
      <c r="C86" s="24" t="inlineStr">
        <is>
          <t>Effective span  L = a1 + l_f + a2</t>
        </is>
      </c>
      <c r="D86" s="27" t="inlineStr">
        <is>
          <r>
            <rPr>
              <rFont val="Calibri"/>
              <i val="1"/>
              <color rgb="002B2B2B"/>
              <sz val="10"/>
            </rPr>
            <t>L</t>
          </r>
        </is>
      </c>
      <c r="E86" s="43">
        <f>IF(inputs_ok,la_m+lf_m+lb_m,NA())</f>
        <v/>
      </c>
      <c r="F86" s="28" t="inlineStr">
        <is>
          <t>m</t>
        </is>
      </c>
      <c r="G86" s="23" t="n"/>
    </row>
    <row r="87" ht="17" customHeight="1">
      <c r="B87" s="26" t="inlineStr">
        <is>
          <t>EN 1990 (6.10)</t>
        </is>
      </c>
      <c r="C87" s="24" t="inlineStr">
        <is>
          <t>Landings: design load  γG (25 h + gk) + γQ qk</t>
        </is>
      </c>
      <c r="D87" s="27" t="inlineStr">
        <is>
          <r>
            <rPr>
              <rFont val="Calibri"/>
              <i val="1"/>
              <color rgb="002B2B2B"/>
              <sz val="10"/>
            </rPr>
            <t>n</t>
          </r>
          <r>
            <rPr>
              <rFont val="Calibri"/>
              <i val="1"/>
              <color rgb="002B2B2B"/>
              <sz val="10"/>
              <vertAlign val="subscript"/>
            </rPr>
            <t>l</t>
          </r>
        </is>
      </c>
      <c r="E87" s="38">
        <f>IF(inputs_ok,gamma_G*(25*hl_lg/1000+gk_lg)+gamma_Q*qk_lg,NA())</f>
        <v/>
      </c>
      <c r="F87" s="28" t="inlineStr">
        <is>
          <t>kN/m²</t>
        </is>
      </c>
      <c r="G87" s="23" t="n"/>
    </row>
    <row r="88" ht="17" customHeight="1">
      <c r="B88" s="26" t="inlineStr">
        <is>
          <t>EN 1990 (6.10)</t>
        </is>
      </c>
      <c r="C88" s="24" t="inlineStr">
        <is>
          <t>Flight: design load  γG (25 t / cos θ + 25 r / 2 + gk) + γQ qk</t>
        </is>
      </c>
      <c r="D88" s="27" t="inlineStr">
        <is>
          <r>
            <rPr>
              <rFont val="Calibri"/>
              <i val="1"/>
              <color rgb="002B2B2B"/>
              <sz val="10"/>
            </rPr>
            <t>n</t>
          </r>
          <r>
            <rPr>
              <rFont val="Calibri"/>
              <i val="1"/>
              <color rgb="002B2B2B"/>
              <sz val="10"/>
              <vertAlign val="subscript"/>
            </rPr>
            <t>f</t>
          </r>
        </is>
      </c>
      <c r="E88" s="38">
        <f>IF(inputs_ok,gamma_G*(25*t_lg/1000/COS(RADIANS(th_lg))+25*r_lg/2000+gk_lg)+gamma_Q*qk_lg,NA())</f>
        <v/>
      </c>
      <c r="F88" s="28" t="inlineStr">
        <is>
          <t>kN/m²</t>
        </is>
      </c>
      <c r="G88" s="23" t="n"/>
    </row>
    <row r="89" ht="17" customHeight="1">
      <c r="B89" s="23" t="n"/>
      <c r="C89" s="24" t="inlineStr">
        <is>
          <t>Total load  n_l (a1 + a2) + n_f l_f + P_k</t>
        </is>
      </c>
      <c r="D89" s="27" t="inlineStr">
        <is>
          <r>
            <rPr>
              <rFont val="Calibri"/>
              <i val="1"/>
              <color rgb="002B2B2B"/>
              <sz val="10"/>
            </rPr>
            <t>W</t>
          </r>
        </is>
      </c>
      <c r="E89" s="41">
        <f>IF(inputs_ok,wl_lg*(la_m+lb_m)+wf_lg*lf_m+P_lg,NA())</f>
        <v/>
      </c>
      <c r="F89" s="28" t="inlineStr">
        <is>
          <t>kN/m</t>
        </is>
      </c>
      <c r="G89" s="23" t="n"/>
    </row>
    <row r="90" ht="17" customHeight="1">
      <c r="B90" s="23" t="n"/>
      <c r="C90" s="24" t="inlineStr">
        <is>
          <t>Reaction at the lower support  (moments about the upper)</t>
        </is>
      </c>
      <c r="D90" s="27" t="inlineStr">
        <is>
          <r>
            <rPr>
              <rFont val="Calibri"/>
              <i val="1"/>
              <color rgb="002B2B2B"/>
              <sz val="10"/>
            </rPr>
            <t>R</t>
          </r>
          <r>
            <rPr>
              <rFont val="Calibri"/>
              <i val="1"/>
              <color rgb="002B2B2B"/>
              <sz val="10"/>
              <vertAlign val="subscript"/>
            </rPr>
            <t>A</t>
          </r>
        </is>
      </c>
      <c r="E90" s="41">
        <f>IF(inputs_ok,(wl_lg*la_m*(L_m-la_m/2)+wf_lg*lf_m*(L_m-la_m-lf_m/2)+wl_lg*lb_m^2/2+P_lg*(L_m-xc_m))/L_m,NA())</f>
        <v/>
      </c>
      <c r="F90" s="28" t="inlineStr">
        <is>
          <t>kN/m</t>
        </is>
      </c>
      <c r="G90" s="23" t="n"/>
    </row>
    <row r="91" ht="17" customHeight="1">
      <c r="B91" s="23" t="n"/>
      <c r="C91" s="24" t="inlineStr">
        <is>
          <t>Reaction at the upper support  W − R_A</t>
        </is>
      </c>
      <c r="D91" s="27" t="inlineStr">
        <is>
          <r>
            <rPr>
              <rFont val="Calibri"/>
              <i val="1"/>
              <color rgb="002B2B2B"/>
              <sz val="10"/>
            </rPr>
            <t>R</t>
          </r>
          <r>
            <rPr>
              <rFont val="Calibri"/>
              <i val="1"/>
              <color rgb="002B2B2B"/>
              <sz val="10"/>
              <vertAlign val="subscript"/>
            </rPr>
            <t>B</t>
          </r>
        </is>
      </c>
      <c r="E91" s="41">
        <f>IF(inputs_ok,Wt_lg-RA_lg,NA())</f>
        <v/>
      </c>
      <c r="F91" s="28" t="inlineStr">
        <is>
          <t>kN/m</t>
        </is>
      </c>
      <c r="G91" s="23" t="n"/>
    </row>
    <row r="92" ht="17" customHeight="1">
      <c r="B92" s="23" t="n"/>
      <c r="C92" s="24" t="inlineStr">
        <is>
          <t>Zero shear, largest moment, from the lower support</t>
        </is>
      </c>
      <c r="D92" s="27" t="inlineStr">
        <is>
          <r>
            <rPr>
              <rFont val="Calibri"/>
              <i val="1"/>
              <color rgb="002B2B2B"/>
              <sz val="10"/>
            </rPr>
            <t>x</t>
          </r>
          <r>
            <rPr>
              <rFont val="Calibri"/>
              <i val="1"/>
              <color rgb="002B2B2B"/>
              <sz val="10"/>
              <vertAlign val="subscript"/>
            </rPr>
            <t>0</t>
          </r>
        </is>
      </c>
      <c r="E92" s="39">
        <f>IF(inputs_ok,IF(IF(RA_lg&lt;=wl_lg*la_m,RA_lg/wl_lg,IF(RA_lg&lt;=wl_lg*la_m+wf_lg*lf_m,la_m+(RA_lg-wl_lg*la_m)/wf_lg,la_m+lf_m+(RA_lg-wl_lg*la_m-wf_lg*lf_m)/wl_lg))&lt;xc_m,IF(RA_lg&lt;=wl_lg*la_m,RA_lg/wl_lg,IF(RA_lg&lt;=wl_lg*la_m+wf_lg*lf_m,la_m+(RA_lg-wl_lg*la_m)/wf_lg,la_m+lf_m+(RA_lg-wl_lg*la_m-wf_lg*lf_m)/wl_lg)),IF(RA_lg-(wl_lg*MIN(xc_m,la_m)+wf_lg*MEDIAN(0,xc_m-la_m,lf_m)+wl_lg*MAX(0,xc_m-la_m-lf_m))-P_lg&lt;=0,xc_m,IF(RA_lg-P_lg&lt;=wl_lg*la_m,RA_lg-P_lg/wl_lg,IF(RA_lg-P_lg&lt;=wl_lg*la_m+wf_lg*lf_m,la_m+(RA_lg-P_lg-wl_lg*la_m)/wf_lg,la_m+lf_m+(RA_lg-P_lg-wl_lg*la_m-wf_lg*lf_m)/wl_lg)))),NA())</f>
        <v/>
      </c>
      <c r="F92" s="28" t="inlineStr">
        <is>
          <t>m</t>
        </is>
      </c>
      <c r="G92" s="23" t="n"/>
    </row>
    <row r="93" ht="17" customHeight="1">
      <c r="B93" s="23" t="n"/>
      <c r="C93" s="24" t="inlineStr">
        <is>
          <t>Largest moment  M(x0)</t>
        </is>
      </c>
      <c r="D93" s="27" t="inlineStr">
        <is>
          <r>
            <rPr>
              <rFont val="Calibri"/>
              <i val="1"/>
              <color rgb="002B2B2B"/>
              <sz val="10"/>
            </rPr>
            <t>M</t>
          </r>
          <r>
            <rPr>
              <rFont val="Calibri"/>
              <i val="1"/>
              <color rgb="002B2B2B"/>
              <sz val="10"/>
              <vertAlign val="subscript"/>
            </rPr>
            <t>Ed</t>
          </r>
        </is>
      </c>
      <c r="E93" s="44">
        <f>IF(inputs_ok,(RA_lg*x0_m-wl_lg*MIN(x0_m,la_m)*(x0_m-MIN(x0_m,la_m)/2)-wf_lg*MEDIAN(0,x0_m-la_m,lf_m)*(x0_m-la_m-MEDIAN(0,x0_m-la_m,lf_m)/2)-wl_lg*MAX(0,x0_m-la_m-lf_m)*(x0_m-la_m-lf_m-MAX(0,x0_m-la_m-lf_m)/2)-P_lg*MAX(0,x0_m-xc_m)),NA())</f>
        <v/>
      </c>
      <c r="F93" s="28" t="inlineStr">
        <is>
          <t>kNm/m</t>
        </is>
      </c>
      <c r="G93" s="23" t="n"/>
    </row>
    <row r="94" ht="17" customHeight="1">
      <c r="B94" s="23" t="n"/>
      <c r="C94" s="24" t="inlineStr">
        <is>
          <t>Largest moment within the flight  (x0 kept within it)</t>
        </is>
      </c>
      <c r="D94" s="27" t="inlineStr">
        <is>
          <r>
            <rPr>
              <rFont val="Calibri"/>
              <i val="1"/>
              <color rgb="002B2B2B"/>
              <sz val="10"/>
            </rPr>
            <t>M</t>
          </r>
          <r>
            <rPr>
              <rFont val="Calibri"/>
              <i val="1"/>
              <color rgb="002B2B2B"/>
              <sz val="10"/>
              <vertAlign val="subscript"/>
            </rPr>
            <t>f</t>
          </r>
        </is>
      </c>
      <c r="E94" s="41">
        <f>IF(inputs_ok,(RA_lg*MEDIAN(la_m,x0_m,la_m+lf_m)-wl_lg*MIN(MEDIAN(la_m,x0_m,la_m+lf_m),la_m)*(MEDIAN(la_m,x0_m,la_m+lf_m)-MIN(MEDIAN(la_m,x0_m,la_m+lf_m),la_m)/2)-wf_lg*MEDIAN(0,MEDIAN(la_m,x0_m,la_m+lf_m)-la_m,lf_m)*(MEDIAN(la_m,x0_m,la_m+lf_m)-la_m-MEDIAN(0,MEDIAN(la_m,x0_m,la_m+lf_m)-la_m,lf_m)/2)-wl_lg*MAX(0,MEDIAN(la_m,x0_m,la_m+lf_m)-la_m-lf_m)*(MEDIAN(la_m,x0_m,la_m+lf_m)-la_m-lf_m-MAX(0,MEDIAN(la_m,x0_m,la_m+lf_m)-la_m-lf_m)/2)-P_lg*MAX(0,MEDIAN(la_m,x0_m,la_m+lf_m)-xc_m)),NA())</f>
        <v/>
      </c>
      <c r="F94" s="28" t="inlineStr">
        <is>
          <t>kNm/m</t>
        </is>
      </c>
      <c r="G94" s="23" t="n"/>
    </row>
    <row r="95" ht="17" customHeight="1">
      <c r="B95" s="23" t="n"/>
      <c r="C95" s="24" t="inlineStr">
        <is>
          <t>Largest moment within the landings  (next to the flight)</t>
        </is>
      </c>
      <c r="D95" s="27" t="inlineStr">
        <is>
          <r>
            <rPr>
              <rFont val="Calibri"/>
              <i val="1"/>
              <color rgb="002B2B2B"/>
              <sz val="10"/>
            </rPr>
            <t>M</t>
          </r>
          <r>
            <rPr>
              <rFont val="Calibri"/>
              <i val="1"/>
              <color rgb="002B2B2B"/>
              <sz val="10"/>
              <vertAlign val="subscript"/>
            </rPr>
            <t>l</t>
          </r>
        </is>
      </c>
      <c r="E95" s="41">
        <f>IF(inputs_ok,MAX((RA_lg*MIN(x0_m,la_m)-wl_lg*MIN(MIN(x0_m,la_m),la_m)*(MIN(x0_m,la_m)-MIN(MIN(x0_m,la_m),la_m)/2)-wf_lg*MEDIAN(0,MIN(x0_m,la_m)-la_m,lf_m)*(MIN(x0_m,la_m)-la_m-MEDIAN(0,MIN(x0_m,la_m)-la_m,lf_m)/2)-wl_lg*MAX(0,MIN(x0_m,la_m)-la_m-lf_m)*(MIN(x0_m,la_m)-la_m-lf_m-MAX(0,MIN(x0_m,la_m)-la_m-lf_m)/2)-P_lg*MAX(0,MIN(x0_m,la_m)-xc_m)),(RA_lg*MAX(x0_m,la_m+lf_m)-wl_lg*MIN(MAX(x0_m,la_m+lf_m),la_m)*(MAX(x0_m,la_m+lf_m)-MIN(MAX(x0_m,la_m+lf_m),la_m)/2)-wf_lg*MEDIAN(0,MAX(x0_m,la_m+lf_m)-la_m,lf_m)*(MAX(x0_m,la_m+lf_m)-la_m-MEDIAN(0,MAX(x0_m,la_m+lf_m)-la_m,lf_m)/2)-wl_lg*MAX(0,MAX(x0_m,la_m+lf_m)-la_m-lf_m)*(MAX(x0_m,la_m+lf_m)-la_m-lf_m-MAX(0,MAX(x0_m,la_m+lf_m)-la_m-lf_m)/2)-P_lg*MAX(0,MAX(x0_m,la_m+lf_m)-xc_m))),NA())</f>
        <v/>
      </c>
      <c r="F95" s="28" t="inlineStr">
        <is>
          <t>kNm/m</t>
        </is>
      </c>
      <c r="G95" s="23" t="n"/>
    </row>
    <row r="96" ht="17" customHeight="1">
      <c r="B96" s="23" t="n"/>
      <c r="C96" s="24" t="inlineStr">
        <is>
          <t>Shear in the waist at the first riser  R_A − n_l a1</t>
        </is>
      </c>
      <c r="D96" s="27" t="inlineStr">
        <is>
          <r>
            <rPr>
              <rFont val="Calibri"/>
              <i val="1"/>
              <color rgb="002B2B2B"/>
              <sz val="10"/>
            </rPr>
            <t>V</t>
          </r>
          <r>
            <rPr>
              <rFont val="Calibri"/>
              <i val="1"/>
              <color rgb="002B2B2B"/>
              <sz val="10"/>
              <vertAlign val="subscript"/>
            </rPr>
            <t>f1</t>
          </r>
        </is>
      </c>
      <c r="E96" s="41">
        <f>IF(inputs_ok,RA_lg-wl_lg*la_m,NA())</f>
        <v/>
      </c>
      <c r="F96" s="28" t="inlineStr">
        <is>
          <t>kN/m</t>
        </is>
      </c>
      <c r="G96" s="23" t="n"/>
    </row>
    <row r="97" ht="17" customHeight="1">
      <c r="B97" s="23" t="n"/>
      <c r="C97" s="24" t="inlineStr">
        <is>
          <t>Shear in the waist at the last riser  R_B − n_l a2 (− P_k on the landing side)</t>
        </is>
      </c>
      <c r="D97" s="27" t="inlineStr">
        <is>
          <r>
            <rPr>
              <rFont val="Calibri"/>
              <i val="1"/>
              <color rgb="002B2B2B"/>
              <sz val="10"/>
            </rPr>
            <t>V</t>
          </r>
          <r>
            <rPr>
              <rFont val="Calibri"/>
              <i val="1"/>
              <color rgb="002B2B2B"/>
              <sz val="10"/>
              <vertAlign val="subscript"/>
            </rPr>
            <t>f2</t>
          </r>
        </is>
      </c>
      <c r="E97" s="41">
        <f>IF(inputs_ok,RB_lg-wl_lg*lb_m-IF(xc_lg&gt;xL_lg,P_lg,0),NA())</f>
        <v/>
      </c>
      <c r="F97" s="28" t="inlineStr">
        <is>
          <t>kN/m</t>
        </is>
      </c>
      <c r="G97" s="23" t="n"/>
    </row>
    <row r="98"/>
    <row r="99" ht="22" customHeight="1">
      <c r="B99" s="20" t="inlineStr">
        <is>
          <t>Calculation  ·  sections</t>
        </is>
      </c>
      <c r="C99" s="21" t="n"/>
      <c r="D99" s="21" t="n"/>
      <c r="E99" s="21" t="n"/>
      <c r="F99" s="21" t="n"/>
      <c r="G99" s="21" t="n"/>
    </row>
    <row r="100" ht="17" customHeight="1">
      <c r="B100" s="23" t="n"/>
      <c r="C100" s="24" t="inlineStr">
        <is>
          <t>Waist: effective depth  t − c − φ/2  (at right angles to the soffit)</t>
        </is>
      </c>
      <c r="D100" s="27" t="inlineStr">
        <is>
          <r>
            <rPr>
              <rFont val="Calibri"/>
              <i val="1"/>
              <color rgb="002B2B2B"/>
              <sz val="10"/>
            </rPr>
            <t>d</t>
          </r>
          <r>
            <rPr>
              <rFont val="Calibri"/>
              <i val="1"/>
              <color rgb="002B2B2B"/>
              <sz val="10"/>
              <vertAlign val="subscript"/>
            </rPr>
            <t>w</t>
          </r>
        </is>
      </c>
      <c r="E100" s="40">
        <f>IF(inputs_ok,t_lg-c_nom-phi_lg/2,NA())</f>
        <v/>
      </c>
      <c r="F100" s="28" t="inlineStr">
        <is>
          <t>mm</t>
        </is>
      </c>
      <c r="G100" s="23" t="n"/>
    </row>
    <row r="101" ht="17" customHeight="1">
      <c r="B101" s="23" t="n"/>
      <c r="C101" s="24" t="inlineStr">
        <is>
          <t>Landing: effective depth  h − c − φ/2</t>
        </is>
      </c>
      <c r="D101" s="27" t="inlineStr">
        <is>
          <r>
            <rPr>
              <rFont val="Calibri"/>
              <i val="1"/>
              <color rgb="002B2B2B"/>
              <sz val="10"/>
            </rPr>
            <t>d</t>
          </r>
          <r>
            <rPr>
              <rFont val="Calibri"/>
              <i val="1"/>
              <color rgb="002B2B2B"/>
              <sz val="10"/>
              <vertAlign val="subscript"/>
            </rPr>
            <t>l</t>
          </r>
        </is>
      </c>
      <c r="E101" s="40">
        <f>IF(inputs_ok,hl_lg-c_nom-phi_lg/2,NA())</f>
        <v/>
      </c>
      <c r="F101" s="28" t="inlineStr">
        <is>
          <t>mm</t>
        </is>
      </c>
      <c r="G101" s="23" t="n"/>
    </row>
    <row r="102" ht="17" customHeight="1">
      <c r="B102" s="26" t="inlineStr">
        <is>
          <t>3.1.7(3)</t>
        </is>
      </c>
      <c r="C102" s="24" t="inlineStr">
        <is>
          <t>Limit on K without compression bars  (ξ ≤ 0.45)</t>
        </is>
      </c>
      <c r="D102" s="27" t="inlineStr">
        <is>
          <r>
            <rPr>
              <rFont val="Calibri"/>
              <i val="1"/>
              <color rgb="002B2B2B"/>
              <sz val="10"/>
            </rPr>
            <t>K'</t>
          </r>
        </is>
      </c>
      <c r="E102" s="39">
        <f>IF(inputs_ok,alpha_cc/gamma_c*0.8*0.45*(1-0.4*0.45),NA())</f>
        <v/>
      </c>
      <c r="F102" s="23" t="n"/>
      <c r="G102" s="23" t="n"/>
    </row>
    <row r="103" ht="17" customHeight="1">
      <c r="B103" s="23" t="n"/>
      <c r="C103" s="24" t="inlineStr">
        <is>
          <t>As provided  1000 π φ² / (4 s)</t>
        </is>
      </c>
      <c r="D103" s="27" t="inlineStr">
        <is>
          <r>
            <rPr>
              <rFont val="Calibri"/>
              <i val="1"/>
              <color rgb="002B2B2B"/>
              <sz val="10"/>
            </rPr>
            <t>A</t>
          </r>
          <r>
            <rPr>
              <rFont val="Calibri"/>
              <i val="1"/>
              <color rgb="002B2B2B"/>
              <sz val="10"/>
              <vertAlign val="subscript"/>
            </rPr>
            <t>s,prov</t>
          </r>
        </is>
      </c>
      <c r="E103" s="40">
        <f>IF(inputs_ok,1000*PI()*phi_lg^2/4/s_lg,NA())</f>
        <v/>
      </c>
      <c r="F103" s="28" t="inlineStr">
        <is>
          <t>mm²/m</t>
        </is>
      </c>
      <c r="G103" s="23" t="n"/>
    </row>
    <row r="104" ht="17" customHeight="1">
      <c r="B104" s="23" t="n"/>
      <c r="C104" s="24" t="inlineStr">
        <is>
          <t>Waist: K = M / (b d² fck)</t>
        </is>
      </c>
      <c r="D104" s="27" t="inlineStr">
        <is>
          <r>
            <rPr>
              <rFont val="Calibri"/>
              <i val="1"/>
              <color rgb="002B2B2B"/>
              <sz val="10"/>
            </rPr>
            <t>K</t>
          </r>
        </is>
      </c>
      <c r="E104" s="39">
        <f>IF(inputs_ok,Mf_lg*1E6/(1000*d_w^2*f_ck),NA())</f>
        <v/>
      </c>
      <c r="F104" s="23" t="n"/>
      <c r="G104" s="23" t="n"/>
    </row>
    <row r="105" ht="17" customHeight="1">
      <c r="B105" s="23" t="n"/>
      <c r="C105" s="24" t="inlineStr">
        <is>
          <t>Waist: As required  M / (fyd z),  z ≤ 0.95 d</t>
        </is>
      </c>
      <c r="D105" s="27" t="inlineStr">
        <is>
          <r>
            <rPr>
              <rFont val="Calibri"/>
              <i val="1"/>
              <color rgb="002B2B2B"/>
              <sz val="10"/>
            </rPr>
            <t>A</t>
          </r>
          <r>
            <rPr>
              <rFont val="Calibri"/>
              <i val="1"/>
              <color rgb="002B2B2B"/>
              <sz val="10"/>
              <vertAlign val="subscript"/>
            </rPr>
            <t>s,req</t>
          </r>
        </is>
      </c>
      <c r="E105" s="40">
        <f>IF(inputs_ok,IF(K_w&lt;=Kl_lg,Mf_lg*1E6/(f_yd*MIN(0.95*d_w,d_w*(1-0.5*(1-SQRT(1-2*K_w/(alpha_cc/gamma_c)))))),NA()),NA())</f>
        <v/>
      </c>
      <c r="F105" s="28" t="inlineStr">
        <is>
          <t>mm²/m</t>
        </is>
      </c>
      <c r="G105" s="23" t="n"/>
    </row>
    <row r="106" ht="17" customHeight="1">
      <c r="B106" s="26" t="inlineStr">
        <is>
          <t>(9.1N)</t>
        </is>
      </c>
      <c r="C106" s="24" t="inlineStr">
        <is>
          <t>Waist: As,min  max(0.26 fctm/fyk; 0.0013) b d</t>
        </is>
      </c>
      <c r="D106" s="27" t="inlineStr">
        <is>
          <r>
            <rPr>
              <rFont val="Calibri"/>
              <i val="1"/>
              <color rgb="002B2B2B"/>
              <sz val="10"/>
            </rPr>
            <t>A</t>
          </r>
          <r>
            <rPr>
              <rFont val="Calibri"/>
              <i val="1"/>
              <color rgb="002B2B2B"/>
              <sz val="10"/>
              <vertAlign val="subscript"/>
            </rPr>
            <t>s,min</t>
          </r>
        </is>
      </c>
      <c r="E106" s="40">
        <f>IF(inputs_ok,MAX(0.26*f_ctm/f_yk,0.0013)*1000*d_w,NA())</f>
        <v/>
      </c>
      <c r="F106" s="28" t="inlineStr">
        <is>
          <t>mm²/m</t>
        </is>
      </c>
      <c r="G106" s="23" t="n"/>
    </row>
    <row r="107" ht="17" customHeight="1">
      <c r="B107" s="26" t="inlineStr">
        <is>
          <t>(6.2)</t>
        </is>
      </c>
      <c r="C107" s="24" t="inlineStr">
        <is>
          <t>Waist: shear resistance without links</t>
        </is>
      </c>
      <c r="D107" s="27" t="inlineStr">
        <is>
          <r>
            <rPr>
              <rFont val="Calibri"/>
              <i val="1"/>
              <color rgb="002B2B2B"/>
              <sz val="10"/>
            </rPr>
            <t>V</t>
          </r>
          <r>
            <rPr>
              <rFont val="Calibri"/>
              <i val="1"/>
              <color rgb="002B2B2B"/>
              <sz val="10"/>
              <vertAlign val="subscript"/>
            </rPr>
            <t>Rd,c</t>
          </r>
        </is>
      </c>
      <c r="E107" s="41">
        <f>IF(inputs_ok,MAX(C_Rdc*MIN(2,1+SQRT(200/d_w))*(100*MIN(0.02,Asp_lg/(1000*d_w))*f_ck)^(1/3),0.035*MIN(2,1+SQRT(200/d_w))^1.5*SQRT(f_ck))*d_w,NA())</f>
        <v/>
      </c>
      <c r="F107" s="28" t="inlineStr">
        <is>
          <t>kN/m</t>
        </is>
      </c>
      <c r="G107" s="23" t="n"/>
    </row>
    <row r="108" ht="17" customHeight="1">
      <c r="B108" s="26" t="inlineStr">
        <is>
          <t>9.3.1.1(3)</t>
        </is>
      </c>
      <c r="C108" s="24" t="inlineStr">
        <is>
          <t>Waist: As,prov ≥ max(As,req; As,min), s ≤ min(2h; 250)</t>
        </is>
      </c>
      <c r="D108" s="27" t="inlineStr">
        <is>
          <r>
            <rPr>
              <rFont val="Calibri"/>
              <i val="1"/>
              <color rgb="002B2B2B"/>
              <sz val="10"/>
            </rPr>
            <t>A</t>
          </r>
          <r>
            <rPr>
              <rFont val="Calibri"/>
              <i val="1"/>
              <color rgb="002B2B2B"/>
              <sz val="10"/>
              <vertAlign val="subscript"/>
            </rPr>
            <t>s</t>
          </r>
        </is>
      </c>
      <c r="E108" s="40">
        <f>IF(inputs_ok,Asp_lg,NA())</f>
        <v/>
      </c>
      <c r="F108" s="28" t="inlineStr">
        <is>
          <t>mm²/m</t>
        </is>
      </c>
      <c r="G108" s="30">
        <f>IF(NOT(inputs_ok),"FAIL",IF(ok_w,"OK","FAIL"))</f>
        <v/>
      </c>
    </row>
    <row r="109" ht="17" customHeight="1">
      <c r="B109" s="23" t="n"/>
      <c r="C109" s="24" t="inlineStr">
        <is>
          <t>Landing: K = M / (b d² fck)</t>
        </is>
      </c>
      <c r="D109" s="27" t="inlineStr">
        <is>
          <r>
            <rPr>
              <rFont val="Calibri"/>
              <i val="1"/>
              <color rgb="002B2B2B"/>
              <sz val="10"/>
            </rPr>
            <t>K</t>
          </r>
        </is>
      </c>
      <c r="E109" s="39">
        <f>IF(inputs_ok,Ml_lg*1E6/(1000*d_l^2*f_ck),NA())</f>
        <v/>
      </c>
      <c r="F109" s="23" t="n"/>
      <c r="G109" s="23" t="n"/>
    </row>
    <row r="110" ht="17" customHeight="1">
      <c r="B110" s="23" t="n"/>
      <c r="C110" s="24" t="inlineStr">
        <is>
          <t>Landing: As required  M / (fyd z),  z ≤ 0.95 d</t>
        </is>
      </c>
      <c r="D110" s="27" t="inlineStr">
        <is>
          <r>
            <rPr>
              <rFont val="Calibri"/>
              <i val="1"/>
              <color rgb="002B2B2B"/>
              <sz val="10"/>
            </rPr>
            <t>A</t>
          </r>
          <r>
            <rPr>
              <rFont val="Calibri"/>
              <i val="1"/>
              <color rgb="002B2B2B"/>
              <sz val="10"/>
              <vertAlign val="subscript"/>
            </rPr>
            <t>s,req</t>
          </r>
        </is>
      </c>
      <c r="E110" s="40">
        <f>IF(inputs_ok,IF(K_l&lt;=Kl_lg,Ml_lg*1E6/(f_yd*MIN(0.95*d_l,d_l*(1-0.5*(1-SQRT(1-2*K_l/(alpha_cc/gamma_c)))))),NA()),NA())</f>
        <v/>
      </c>
      <c r="F110" s="28" t="inlineStr">
        <is>
          <t>mm²/m</t>
        </is>
      </c>
      <c r="G110" s="23" t="n"/>
    </row>
    <row r="111" ht="17" customHeight="1">
      <c r="B111" s="26" t="inlineStr">
        <is>
          <t>(9.1N)</t>
        </is>
      </c>
      <c r="C111" s="24" t="inlineStr">
        <is>
          <t>Landing: As,min  max(0.26 fctm/fyk; 0.0013) b d</t>
        </is>
      </c>
      <c r="D111" s="27" t="inlineStr">
        <is>
          <r>
            <rPr>
              <rFont val="Calibri"/>
              <i val="1"/>
              <color rgb="002B2B2B"/>
              <sz val="10"/>
            </rPr>
            <t>A</t>
          </r>
          <r>
            <rPr>
              <rFont val="Calibri"/>
              <i val="1"/>
              <color rgb="002B2B2B"/>
              <sz val="10"/>
              <vertAlign val="subscript"/>
            </rPr>
            <t>s,min</t>
          </r>
        </is>
      </c>
      <c r="E111" s="40">
        <f>IF(inputs_ok,MAX(0.26*f_ctm/f_yk,0.0013)*1000*d_l,NA())</f>
        <v/>
      </c>
      <c r="F111" s="28" t="inlineStr">
        <is>
          <t>mm²/m</t>
        </is>
      </c>
      <c r="G111" s="23" t="n"/>
    </row>
    <row r="112" ht="17" customHeight="1">
      <c r="B112" s="26" t="inlineStr">
        <is>
          <t>(6.2)</t>
        </is>
      </c>
      <c r="C112" s="24" t="inlineStr">
        <is>
          <t>Landing: shear resistance without links</t>
        </is>
      </c>
      <c r="D112" s="27" t="inlineStr">
        <is>
          <r>
            <rPr>
              <rFont val="Calibri"/>
              <i val="1"/>
              <color rgb="002B2B2B"/>
              <sz val="10"/>
            </rPr>
            <t>V</t>
          </r>
          <r>
            <rPr>
              <rFont val="Calibri"/>
              <i val="1"/>
              <color rgb="002B2B2B"/>
              <sz val="10"/>
              <vertAlign val="subscript"/>
            </rPr>
            <t>Rd,c</t>
          </r>
        </is>
      </c>
      <c r="E112" s="41">
        <f>IF(inputs_ok,MAX(C_Rdc*MIN(2,1+SQRT(200/d_l))*(100*MIN(0.02,Asp_lg/(1000*d_l))*f_ck)^(1/3),0.035*MIN(2,1+SQRT(200/d_l))^1.5*SQRT(f_ck))*d_l,NA())</f>
        <v/>
      </c>
      <c r="F112" s="28" t="inlineStr">
        <is>
          <t>kN/m</t>
        </is>
      </c>
      <c r="G112" s="23" t="n"/>
    </row>
    <row r="113" ht="17" customHeight="1">
      <c r="B113" s="26" t="inlineStr">
        <is>
          <t>9.3.1.1(3)</t>
        </is>
      </c>
      <c r="C113" s="24" t="inlineStr">
        <is>
          <t>Landing: As,prov ≥ max(As,req; As,min), s ≤ min(2h; 250)</t>
        </is>
      </c>
      <c r="D113" s="27" t="inlineStr">
        <is>
          <r>
            <rPr>
              <rFont val="Calibri"/>
              <i val="1"/>
              <color rgb="002B2B2B"/>
              <sz val="10"/>
            </rPr>
            <t>A</t>
          </r>
          <r>
            <rPr>
              <rFont val="Calibri"/>
              <i val="1"/>
              <color rgb="002B2B2B"/>
              <sz val="10"/>
              <vertAlign val="subscript"/>
            </rPr>
            <t>s</t>
          </r>
        </is>
      </c>
      <c r="E113" s="40">
        <f>IF(inputs_ok,Asp_lg,NA())</f>
        <v/>
      </c>
      <c r="F113" s="28" t="inlineStr">
        <is>
          <t>mm²/m</t>
        </is>
      </c>
      <c r="G113" s="30">
        <f>IF(NOT(inputs_ok),"FAIL",IF(ok_l,"OK","FAIL"))</f>
        <v/>
      </c>
    </row>
    <row r="114" ht="17" customHeight="1">
      <c r="B114" s="26" t="inlineStr">
        <is>
          <t>(6.2)</t>
        </is>
      </c>
      <c r="C114" s="24" t="inlineStr">
        <is>
          <t>Lower support: VRd,c of the section there  (landing if a1 &gt; 0)</t>
        </is>
      </c>
      <c r="D114" s="27" t="inlineStr">
        <is>
          <r>
            <rPr>
              <rFont val="Calibri"/>
              <i val="1"/>
              <color rgb="002B2B2B"/>
              <sz val="10"/>
            </rPr>
            <t>V</t>
          </r>
          <r>
            <rPr>
              <rFont val="Calibri"/>
              <i val="1"/>
              <color rgb="002B2B2B"/>
              <sz val="10"/>
              <vertAlign val="subscript"/>
            </rPr>
            <t>Rd,A</t>
          </r>
        </is>
      </c>
      <c r="E114" s="41">
        <f>IF(inputs_ok,IF(a_lo&gt;0,VRc_l,VRc_w),NA())</f>
        <v/>
      </c>
      <c r="F114" s="28" t="inlineStr">
        <is>
          <t>kN/m</t>
        </is>
      </c>
      <c r="G114" s="23" t="n"/>
    </row>
    <row r="115" ht="17" customHeight="1">
      <c r="B115" s="26" t="inlineStr">
        <is>
          <t>(6.2)</t>
        </is>
      </c>
      <c r="C115" s="24" t="inlineStr">
        <is>
          <t>Upper support: VRd,c of the section there  (landing if a2 &gt; 0)</t>
        </is>
      </c>
      <c r="D115" s="27" t="inlineStr">
        <is>
          <r>
            <rPr>
              <rFont val="Calibri"/>
              <i val="1"/>
              <color rgb="002B2B2B"/>
              <sz val="10"/>
            </rPr>
            <t>V</t>
          </r>
          <r>
            <rPr>
              <rFont val="Calibri"/>
              <i val="1"/>
              <color rgb="002B2B2B"/>
              <sz val="10"/>
              <vertAlign val="subscript"/>
            </rPr>
            <t>Rd,B</t>
          </r>
        </is>
      </c>
      <c r="E115" s="41">
        <f>IF(inputs_ok,IF(a_up&gt;0,VRc_l,VRc_w),NA())</f>
        <v/>
      </c>
      <c r="F115" s="28" t="inlineStr">
        <is>
          <t>kN/m</t>
        </is>
      </c>
      <c r="G115" s="23" t="n"/>
    </row>
    <row r="116" ht="17" customHeight="1">
      <c r="B116" s="26" t="inlineStr">
        <is>
          <t>(6.2)</t>
        </is>
      </c>
      <c r="C116" s="24" t="inlineStr">
        <is>
          <t>Shear  R_A ≤ VRd,A, R_B ≤ VRd,B and the waist at both risers ≤ VRd,c</t>
        </is>
      </c>
      <c r="D116" s="27" t="inlineStr">
        <is>
          <r>
            <rPr>
              <rFont val="Calibri"/>
              <i val="1"/>
              <color rgb="002B2B2B"/>
              <sz val="10"/>
            </rPr>
            <t>V</t>
          </r>
          <r>
            <rPr>
              <rFont val="Calibri"/>
              <i val="1"/>
              <color rgb="002B2B2B"/>
              <sz val="10"/>
              <vertAlign val="subscript"/>
            </rPr>
            <t>Ed</t>
          </r>
        </is>
      </c>
      <c r="E116" s="41">
        <f>IF(inputs_ok,MAX(RA_lg,RB_lg),NA())</f>
        <v/>
      </c>
      <c r="F116" s="28" t="inlineStr">
        <is>
          <t>kN/m</t>
        </is>
      </c>
      <c r="G116" s="30">
        <f>IF(NOT(inputs_ok),"FAIL",IF(shear_ok,"OK","FAIL"))</f>
        <v/>
      </c>
    </row>
    <row r="117"/>
    <row r="118" ht="22" customHeight="1">
      <c r="B118" s="20" t="inlineStr">
        <is>
          <t>Calculation  ·  deflection and detailing</t>
        </is>
      </c>
      <c r="C118" s="21" t="n"/>
      <c r="D118" s="21" t="n"/>
      <c r="E118" s="21" t="n"/>
      <c r="F118" s="21" t="n"/>
      <c r="G118" s="21" t="n"/>
    </row>
    <row r="119" ht="17" customHeight="1">
      <c r="B119" s="26" t="inlineStr">
        <is>
          <t>7.4.2</t>
        </is>
      </c>
      <c r="C119" s="24" t="inlineStr">
        <is>
          <t>Smaller effective depth  min(d_w; d_l)  (conservative)</t>
        </is>
      </c>
      <c r="D119" s="27" t="inlineStr">
        <is>
          <r>
            <rPr>
              <rFont val="Calibri"/>
              <i val="1"/>
              <color rgb="002B2B2B"/>
              <sz val="10"/>
            </rPr>
            <t>d</t>
          </r>
        </is>
      </c>
      <c r="E119" s="40">
        <f>IF(inputs_ok,MIN(d_w,d_l),NA())</f>
        <v/>
      </c>
      <c r="F119" s="28" t="inlineStr">
        <is>
          <t>mm</t>
        </is>
      </c>
      <c r="G119" s="23" t="n"/>
    </row>
    <row r="120" ht="17" customHeight="1">
      <c r="B120" s="23" t="n"/>
      <c r="C120" s="24" t="inlineStr">
        <is>
          <t>K for the largest moment on that depth</t>
        </is>
      </c>
      <c r="D120" s="27" t="inlineStr">
        <is>
          <r>
            <rPr>
              <rFont val="Calibri"/>
              <i val="1"/>
              <color rgb="002B2B2B"/>
              <sz val="10"/>
            </rPr>
            <t>K</t>
          </r>
        </is>
      </c>
      <c r="E120" s="39">
        <f>IF(inputs_ok,M_lg*1E6/(1000*d_def^2*f_ck),NA())</f>
        <v/>
      </c>
      <c r="F120" s="23" t="n"/>
      <c r="G120" s="23" t="n"/>
    </row>
    <row r="121" ht="17" customHeight="1">
      <c r="B121" s="23" t="n"/>
      <c r="C121" s="24" t="inlineStr">
        <is>
          <t>As required for it  (z ≤ 0.95 d)</t>
        </is>
      </c>
      <c r="D121" s="27" t="inlineStr">
        <is>
          <r>
            <rPr>
              <rFont val="Calibri"/>
              <i val="1"/>
              <color rgb="002B2B2B"/>
              <sz val="10"/>
            </rPr>
            <t>A</t>
          </r>
          <r>
            <rPr>
              <rFont val="Calibri"/>
              <i val="1"/>
              <color rgb="002B2B2B"/>
              <sz val="10"/>
              <vertAlign val="subscript"/>
            </rPr>
            <t>s,req</t>
          </r>
        </is>
      </c>
      <c r="E121" s="40">
        <f>IF(inputs_ok,IF(K_def&lt;=Kl_lg,M_lg*1E6/(f_yd*MIN(0.95*d_def,d_def*(1-0.5*(1-SQRT(1-2*K_def/(alpha_cc/gamma_c)))))),NA()),NA())</f>
        <v/>
      </c>
      <c r="F121" s="28" t="inlineStr">
        <is>
          <t>mm²/m</t>
        </is>
      </c>
      <c r="G121" s="23" t="n"/>
    </row>
    <row r="122" ht="17" customHeight="1">
      <c r="B122" s="26" t="inlineStr">
        <is>
          <t>7.4.2</t>
        </is>
      </c>
      <c r="C122" s="24" t="inlineStr">
        <is>
          <t>ρ = max(As,req; As,min) / (b d)</t>
        </is>
      </c>
      <c r="D122" s="27" t="inlineStr">
        <is>
          <r>
            <rPr>
              <rFont val="Calibri"/>
              <i val="1"/>
              <color rgb="002B2B2B"/>
              <sz val="10"/>
            </rPr>
            <t>ρ</t>
          </r>
        </is>
      </c>
      <c r="E122" s="45">
        <f>IF(inputs_ok,MAX(Asr_def,MAX(0.26*f_ctm/f_yk,0.0013)*1000*d_def)/(1000*d_def),NA())</f>
        <v/>
      </c>
      <c r="F122" s="23" t="n"/>
      <c r="G122" s="26" t="inlineStr">
        <is>
          <t>N/A: bending fails</t>
        </is>
      </c>
    </row>
    <row r="123" ht="17" customHeight="1">
      <c r="B123" s="26" t="inlineStr">
        <is>
          <t>(7.16)</t>
        </is>
      </c>
      <c r="C123" s="24" t="inlineStr">
        <is>
          <t>ρ0 = √fck · 10⁻³</t>
        </is>
      </c>
      <c r="D123" s="27" t="inlineStr">
        <is>
          <r>
            <rPr>
              <rFont val="Calibri"/>
              <i val="1"/>
              <color rgb="002B2B2B"/>
              <sz val="10"/>
            </rPr>
            <t>ρ</t>
          </r>
          <r>
            <rPr>
              <rFont val="Calibri"/>
              <i val="1"/>
              <color rgb="002B2B2B"/>
              <sz val="10"/>
              <vertAlign val="subscript"/>
            </rPr>
            <t>0</t>
          </r>
        </is>
      </c>
      <c r="E123" s="45">
        <f>IF(inputs_ok,SQRT(f_ck)/1000,NA())</f>
        <v/>
      </c>
      <c r="F123" s="23" t="n"/>
      <c r="G123" s="23" t="n"/>
    </row>
    <row r="124" ht="17" customHeight="1">
      <c r="B124" s="26" t="inlineStr">
        <is>
          <t>(7.16)</t>
        </is>
      </c>
      <c r="C124" s="24" t="inlineStr">
        <is>
          <t>Basic span to depth ratio  (K = 1.0)</t>
        </is>
      </c>
      <c r="D124" s="27" t="inlineStr">
        <is>
          <r>
            <rPr>
              <rFont val="Calibri"/>
              <i val="1"/>
              <color rgb="002B2B2B"/>
              <sz val="10"/>
            </rPr>
            <t>l/d</t>
          </r>
        </is>
      </c>
      <c r="E124" s="41">
        <f>IF(inputs_ok,IF(rho_lg&lt;=rho0_lg,11+1.5*SQRT(f_ck)*rho0_lg/rho_lg+3.2*SQRT(f_ck)*(rho0_lg/rho_lg-1)^1.5,11+1.5*SQRT(f_ck)*rho0_lg/rho_lg),NA())</f>
        <v/>
      </c>
      <c r="F124" s="23" t="n"/>
      <c r="G124" s="23" t="n"/>
    </row>
    <row r="125" ht="17" customHeight="1">
      <c r="B125" s="26" t="inlineStr">
        <is>
          <t>7.4.2(2)</t>
        </is>
      </c>
      <c r="C125" s="24" t="inlineStr">
        <is>
          <t>Steel stress factor  (As,prov / As,req)(500 / fyk)  (UK ≤ 1.5)</t>
        </is>
      </c>
      <c r="D125" s="27" t="inlineStr">
        <is>
          <r>
            <rPr>
              <rFont val="Calibri"/>
              <i val="1"/>
              <color rgb="002B2B2B"/>
              <sz val="10"/>
            </rPr>
            <t>F</t>
          </r>
          <r>
            <rPr>
              <rFont val="Calibri"/>
              <i val="1"/>
              <color rgb="002B2B2B"/>
              <sz val="10"/>
              <vertAlign val="subscript"/>
            </rPr>
            <t>3</t>
          </r>
        </is>
      </c>
      <c r="E125" s="39">
        <f>IF(inputs_ok,IF(ld_mod_max&gt;0,MIN(ld_mod_max,Asp_lg/(rho_lg*1000*d_def)*500/f_yk),Asp_lg/(rho_lg*1000*d_def)*500/f_yk),NA())</f>
        <v/>
      </c>
      <c r="F125" s="23" t="n"/>
      <c r="G125" s="23" t="n"/>
    </row>
    <row r="126" ht="17" customHeight="1">
      <c r="B126" s="26" t="inlineStr">
        <is>
          <t>7.4.2(2)</t>
        </is>
      </c>
      <c r="C126" s="24" t="inlineStr">
        <is>
          <t>Long span factor  7 / L  (L &gt; 7 m, brittle partitions)</t>
        </is>
      </c>
      <c r="D126" s="27" t="inlineStr">
        <is>
          <r>
            <rPr>
              <rFont val="Calibri"/>
              <i val="1"/>
              <color rgb="002B2B2B"/>
              <sz val="10"/>
            </rPr>
            <t>F</t>
          </r>
          <r>
            <rPr>
              <rFont val="Calibri"/>
              <i val="1"/>
              <color rgb="002B2B2B"/>
              <sz val="10"/>
              <vertAlign val="subscript"/>
            </rPr>
            <t>2</t>
          </r>
        </is>
      </c>
      <c r="E126" s="39">
        <f>IF(inputs_ok,IF(AND(partitions="Yes",L_lg&gt;7000),7000/L_lg,1),NA())</f>
        <v/>
      </c>
      <c r="F126" s="23" t="n"/>
      <c r="G126" s="23" t="n"/>
    </row>
    <row r="127" ht="17" customHeight="1">
      <c r="B127" s="26" t="inlineStr">
        <is>
          <t>7.4.2</t>
        </is>
      </c>
      <c r="C127" s="24" t="inlineStr">
        <is>
          <t>Limiting span to depth ratio  (UK NA: ≤ 40)</t>
        </is>
      </c>
      <c r="D127" s="27" t="inlineStr">
        <is>
          <r>
            <rPr>
              <rFont val="Calibri"/>
              <i val="1"/>
              <color rgb="002B2B2B"/>
              <sz val="10"/>
            </rPr>
            <t>l/d</t>
          </r>
          <r>
            <rPr>
              <rFont val="Calibri"/>
              <i val="1"/>
              <color rgb="002B2B2B"/>
              <sz val="10"/>
              <vertAlign val="subscript"/>
            </rPr>
            <t>lim</t>
          </r>
        </is>
      </c>
      <c r="E127" s="44">
        <f>IF(inputs_ok,IF(ld_cap_40K=1,MIN(40,ldB_lg*F2_lg*F3_lg),ldB_lg*F2_lg*F3_lg),NA())</f>
        <v/>
      </c>
      <c r="F127" s="23" t="n"/>
      <c r="G127" s="23" t="n"/>
    </row>
    <row r="128" ht="17" customHeight="1">
      <c r="B128" s="23" t="n"/>
      <c r="C128" s="24" t="inlineStr">
        <is>
          <t>Actual  L / d</t>
        </is>
      </c>
      <c r="D128" s="27" t="inlineStr">
        <is>
          <r>
            <rPr>
              <rFont val="Calibri"/>
              <i val="1"/>
              <color rgb="002B2B2B"/>
              <sz val="10"/>
            </rPr>
            <t>l/d</t>
          </r>
        </is>
      </c>
      <c r="E128" s="41">
        <f>IF(inputs_ok,L_lg/d_def,NA())</f>
        <v/>
      </c>
      <c r="F128" s="23" t="n"/>
      <c r="G128" s="23" t="n"/>
    </row>
    <row r="129" ht="17" customHeight="1">
      <c r="B129" s="26" t="inlineStr">
        <is>
          <t>7.4.2</t>
        </is>
      </c>
      <c r="C129" s="24" t="inlineStr">
        <is>
          <t>Deflection  l/d ≤ limit  (with the bending checks passing)</t>
        </is>
      </c>
      <c r="D129" s="27" t="inlineStr">
        <is>
          <r>
            <rPr>
              <rFont val="Calibri"/>
              <i val="1"/>
              <color rgb="002B2B2B"/>
              <sz val="10"/>
            </rPr>
            <t>l/d</t>
          </r>
        </is>
      </c>
      <c r="E129" s="41">
        <f>IF(inputs_ok,ldA_lg,NA())</f>
        <v/>
      </c>
      <c r="F129" s="23" t="n"/>
      <c r="G129" s="30">
        <f>IF(NOT(inputs_ok),"FAIL",IF(defl_ok,"OK","FAIL"))</f>
        <v/>
      </c>
    </row>
    <row r="130" ht="17" customHeight="1">
      <c r="B130" s="26" t="inlineStr">
        <is>
          <t>8.2(2)</t>
        </is>
      </c>
      <c r="C130" s="24" t="inlineStr">
        <is>
          <t>Minimum clear gap  max(φ; dg + 5; 20)</t>
        </is>
      </c>
      <c r="D130" s="27" t="inlineStr">
        <is>
          <r>
            <rPr>
              <rFont val="Calibri"/>
              <i val="1"/>
              <color rgb="002B2B2B"/>
              <sz val="10"/>
            </rPr>
            <t>a</t>
          </r>
          <r>
            <rPr>
              <rFont val="Calibri"/>
              <i val="1"/>
              <color rgb="002B2B2B"/>
              <sz val="10"/>
              <vertAlign val="subscript"/>
            </rPr>
            <t>min</t>
          </r>
        </is>
      </c>
      <c r="E130" s="40">
        <f>IF(inputs_ok,MAX(phi_lg,d_g+5,20),NA())</f>
        <v/>
      </c>
      <c r="F130" s="28" t="inlineStr">
        <is>
          <t>mm</t>
        </is>
      </c>
      <c r="G130" s="23" t="n"/>
    </row>
    <row r="131" ht="17" customHeight="1">
      <c r="B131" s="23" t="n"/>
      <c r="C131" s="24" t="inlineStr">
        <is>
          <t>Distribution bars provided</t>
        </is>
      </c>
      <c r="D131" s="27" t="inlineStr">
        <is>
          <r>
            <rPr>
              <rFont val="Calibri"/>
              <i val="1"/>
              <color rgb="002B2B2B"/>
              <sz val="10"/>
            </rPr>
            <t>A</t>
          </r>
          <r>
            <rPr>
              <rFont val="Calibri"/>
              <i val="1"/>
              <color rgb="002B2B2B"/>
              <sz val="10"/>
              <vertAlign val="subscript"/>
            </rPr>
            <t>s,d</t>
          </r>
        </is>
      </c>
      <c r="E131" s="40">
        <f>IF(inputs_ok,1000*PI()*phid_lg^2/4/sd_lg,NA())</f>
        <v/>
      </c>
      <c r="F131" s="28" t="inlineStr">
        <is>
          <t>mm²/m</t>
        </is>
      </c>
      <c r="G131" s="23" t="n"/>
    </row>
    <row r="132" ht="17" customHeight="1">
      <c r="B132" s="26" t="inlineStr">
        <is>
          <t>9.3.1.1</t>
        </is>
      </c>
      <c r="C132" s="24" t="inlineStr">
        <is>
          <t>Distribution ≥ 20 % main, spacings, clear gaps, As ≤ 0.04 Ac</t>
        </is>
      </c>
      <c r="D132" s="23" t="n"/>
      <c r="E132" s="40">
        <f>IF(inputs_ok,Asp_dlg,NA())</f>
        <v/>
      </c>
      <c r="F132" s="28" t="inlineStr">
        <is>
          <t>mm²/m</t>
        </is>
      </c>
      <c r="G132" s="30">
        <f>IF(NOT(inputs_ok),"FAIL",IF(det_lg,"OK","FAIL"))</f>
        <v/>
      </c>
    </row>
    <row r="133" ht="17" customHeight="1">
      <c r="B133" s="26" t="inlineStr">
        <is>
          <t>9.2.1.3(2)</t>
        </is>
      </c>
      <c r="C133" s="24" t="inlineStr">
        <is>
          <t>Upper knee: largest moment within a_l = d of the bar crossing</t>
        </is>
      </c>
      <c r="D133" s="27" t="inlineStr">
        <is>
          <r>
            <rPr>
              <rFont val="Calibri"/>
              <i val="1"/>
              <color rgb="002B2B2B"/>
              <sz val="10"/>
            </rPr>
            <t>M</t>
          </r>
          <r>
            <rPr>
              <rFont val="Calibri"/>
              <i val="1"/>
              <color rgb="002B2B2B"/>
              <sz val="10"/>
              <vertAlign val="subscript"/>
            </rPr>
            <t>k</t>
          </r>
        </is>
      </c>
      <c r="E133" s="41">
        <f>IF(inputs_ok,IF(a_up&gt;0,(RA_lg*xk_m-wl_lg*MIN(xk_m,la_m)*(xk_m-MIN(xk_m,la_m)/2)-wf_lg*MEDIAN(0,xk_m-la_m,lf_m)*(xk_m-la_m-MEDIAN(0,xk_m-la_m,lf_m)/2)-wl_lg*MAX(0,xk_m-la_m-lf_m)*(xk_m-la_m-lf_m-MAX(0,xk_m-la_m-lf_m)/2)-P_lg*MAX(0,xk_m-xc_m)),0),NA())</f>
        <v/>
      </c>
      <c r="F133" s="28" t="inlineStr">
        <is>
          <t>kNm/m</t>
        </is>
      </c>
      <c r="G133" s="23" t="n"/>
    </row>
    <row r="134" ht="17" customHeight="1">
      <c r="B134" s="23" t="n"/>
      <c r="C134" s="24" t="inlineStr">
        <is>
          <t>Lever arm with As,prov at fyd  d − 0.4 x,  x = As fyd / (0.8 fcd b)</t>
        </is>
      </c>
      <c r="D134" s="27" t="inlineStr">
        <is>
          <r>
            <rPr>
              <rFont val="Calibri"/>
              <i val="1"/>
              <color rgb="002B2B2B"/>
              <sz val="10"/>
            </rPr>
            <t>z</t>
          </r>
        </is>
      </c>
      <c r="E134" s="40">
        <f>IF(inputs_ok,MIN(d_w,d_l)-0.4*Asp_lg*f_yd/(0.8*f_cd*1000),NA())</f>
        <v/>
      </c>
      <c r="F134" s="28" t="inlineStr">
        <is>
          <t>mm</t>
        </is>
      </c>
      <c r="G134" s="23" t="n"/>
    </row>
    <row r="135" ht="17" customHeight="1">
      <c r="B135" s="26" t="inlineStr">
        <is>
          <t>8.4.3(2)</t>
        </is>
      </c>
      <c r="C135" s="24" t="inlineStr">
        <is>
          <t>Bar stress at the knee  M_k / (As,prov z) ≤ fyd</t>
        </is>
      </c>
      <c r="D135" s="27" t="inlineStr">
        <is>
          <r>
            <rPr>
              <rFont val="Calibri"/>
              <i val="1"/>
              <color rgb="002B2B2B"/>
              <sz val="10"/>
            </rPr>
            <t>σ</t>
          </r>
          <r>
            <rPr>
              <rFont val="Calibri"/>
              <i val="1"/>
              <color rgb="002B2B2B"/>
              <sz val="10"/>
              <vertAlign val="subscript"/>
            </rPr>
            <t>sd</t>
          </r>
        </is>
      </c>
      <c r="E135" s="40">
        <f>IF(inputs_ok,IF(zk_lg&gt;0,MIN(f_yd,Mk_lg*1E6/(Asp_lg*zk_lg)),f_yd),NA())</f>
        <v/>
      </c>
      <c r="F135" s="28" t="inlineStr">
        <is>
          <t>MPa</t>
        </is>
      </c>
      <c r="G135" s="23" t="n"/>
    </row>
    <row r="136" ht="17" customHeight="1">
      <c r="B136" s="26" t="inlineStr">
        <is>
          <t>3.1.6(2)</t>
        </is>
      </c>
      <c r="C136" s="24" t="inlineStr">
        <is>
          <t>Design tensile strength  αct 0.7 fctm / γc</t>
        </is>
      </c>
      <c r="D136" s="27" t="inlineStr">
        <is>
          <r>
            <rPr>
              <rFont val="Calibri"/>
              <i val="1"/>
              <color rgb="002B2B2B"/>
              <sz val="10"/>
            </rPr>
            <t>f</t>
          </r>
          <r>
            <rPr>
              <rFont val="Calibri"/>
              <i val="1"/>
              <color rgb="002B2B2B"/>
              <sz val="10"/>
              <vertAlign val="subscript"/>
            </rPr>
            <t>ctd</t>
          </r>
        </is>
      </c>
      <c r="E136" s="38">
        <f>IF(inputs_ok,alpha_ct*0.7*f_ctm/gamma_c,NA())</f>
        <v/>
      </c>
      <c r="F136" s="28" t="inlineStr">
        <is>
          <t>MPa</t>
        </is>
      </c>
      <c r="G136" s="23" t="n"/>
    </row>
    <row r="137" ht="17" customHeight="1">
      <c r="B137" s="26" t="inlineStr">
        <is>
          <t>(8.2)</t>
        </is>
      </c>
      <c r="C137" s="24" t="inlineStr">
        <is>
          <t>Bond stress, good conditions  2.25 η2 fctd  (η1 = 1)</t>
        </is>
      </c>
      <c r="D137" s="27" t="inlineStr">
        <is>
          <r>
            <rPr>
              <rFont val="Calibri"/>
              <i val="1"/>
              <color rgb="002B2B2B"/>
              <sz val="10"/>
            </rPr>
            <t>f</t>
          </r>
          <r>
            <rPr>
              <rFont val="Calibri"/>
              <i val="1"/>
              <color rgb="002B2B2B"/>
              <sz val="10"/>
              <vertAlign val="subscript"/>
            </rPr>
            <t>bd</t>
          </r>
        </is>
      </c>
      <c r="E137" s="38">
        <f>IF(inputs_ok,2.25*IF(phi_lg&lt;=32,1,(132-phi_lg)/100)*fctd_lg,NA())</f>
        <v/>
      </c>
      <c r="F137" s="28" t="inlineStr">
        <is>
          <t>MPa</t>
        </is>
      </c>
      <c r="G137" s="23" t="n"/>
    </row>
    <row r="138" ht="17" customHeight="1">
      <c r="B138" s="26" t="inlineStr">
        <is>
          <t>(8.3), (8.4)</t>
        </is>
      </c>
      <c r="C138" s="24" t="inlineStr">
        <is>
          <t>Anchorage  max(φ σsd / (4 fbd); 0.3 lb,rqd; 10φ; 100)  (α = 1)</t>
        </is>
      </c>
      <c r="D138" s="27" t="inlineStr">
        <is>
          <r>
            <rPr>
              <rFont val="Calibri"/>
              <i val="1"/>
              <color rgb="002B2B2B"/>
              <sz val="10"/>
            </rPr>
            <t>l</t>
          </r>
          <r>
            <rPr>
              <rFont val="Calibri"/>
              <i val="1"/>
              <color rgb="002B2B2B"/>
              <sz val="10"/>
              <vertAlign val="subscript"/>
            </rPr>
            <t>bd</t>
          </r>
        </is>
      </c>
      <c r="E138" s="40">
        <f>IF(inputs_ok,MAX(phi_lg/4*sig_lg/fbd_lg,0.3*phi_lg/4*sig_lg/fbd_lg,10*phi_lg,100),NA())</f>
        <v/>
      </c>
      <c r="F138" s="28" t="inlineStr">
        <is>
          <t>mm</t>
        </is>
      </c>
      <c r="G138" s="23" t="n"/>
    </row>
    <row r="139" ht="17" customHeight="1">
      <c r="B139" s="23" t="n"/>
      <c r="C139" s="24" t="inlineStr">
        <is>
          <t>Room for the waist bars into the landing: top face or end face, less c</t>
        </is>
      </c>
      <c r="D139" s="27" t="inlineStr">
        <is>
          <r>
            <rPr>
              <rFont val="Calibri"/>
              <i val="1"/>
              <color rgb="002B2B2B"/>
              <sz val="10"/>
            </rPr>
            <t>l</t>
          </r>
          <r>
            <rPr>
              <rFont val="Calibri"/>
              <i val="1"/>
              <color rgb="002B2B2B"/>
              <sz val="10"/>
              <vertAlign val="subscript"/>
            </rPr>
            <t>1</t>
          </r>
        </is>
      </c>
      <c r="E139" s="40">
        <f>IF(inputs_ok,MAX(0,MIN((hl_lg-2*c_nom-phi_lg)/SIN(ATAN(r_lg/g_lg)),(L_lg-c_nom-xb2_lg)/COS(ATAN(r_lg/g_lg)))),NA())</f>
        <v/>
      </c>
      <c r="F139" s="28" t="inlineStr">
        <is>
          <t>mm</t>
        </is>
      </c>
      <c r="G139" s="23" t="n"/>
    </row>
    <row r="140" ht="17" customHeight="1">
      <c r="B140" s="23" t="n"/>
      <c r="C140" s="24" t="inlineStr">
        <is>
          <t>Room for the landing bars into the waist: steps or end face, less c</t>
        </is>
      </c>
      <c r="D140" s="27" t="inlineStr">
        <is>
          <r>
            <rPr>
              <rFont val="Calibri"/>
              <i val="1"/>
              <color rgb="002B2B2B"/>
              <sz val="10"/>
            </rPr>
            <t>l</t>
          </r>
          <r>
            <rPr>
              <rFont val="Calibri"/>
              <i val="1"/>
              <color rgb="002B2B2B"/>
              <sz val="10"/>
              <vertAlign val="subscript"/>
            </rPr>
            <t>2</t>
          </r>
        </is>
      </c>
      <c r="E140" s="40">
        <f>IF(inputs_ok,MAX(0,MIN((t_lg-2*c_nom-phi_lg)/COS(ATAN(r_lg/g_lg))*g_lg/r_lg,xb2_lg-c_nom)),NA())</f>
        <v/>
      </c>
      <c r="F140" s="28" t="inlineStr">
        <is>
          <t>mm</t>
        </is>
      </c>
      <c r="G140" s="23" t="n"/>
    </row>
    <row r="141" ht="17" customHeight="1">
      <c r="B141" s="26" t="inlineStr">
        <is>
          <t>8.4.2(2)</t>
        </is>
      </c>
      <c r="C141" s="24" t="inlineStr">
        <is>
          <t>Waist bars: length within 250 mm of the soffit  (250 − o/cos θ) / sin θ</t>
        </is>
      </c>
      <c r="D141" s="27" t="inlineStr">
        <is>
          <r>
            <rPr>
              <rFont val="Calibri"/>
              <i val="1"/>
              <color rgb="002B2B2B"/>
              <sz val="10"/>
            </rPr>
            <t>l</t>
          </r>
          <r>
            <rPr>
              <rFont val="Calibri"/>
              <i val="1"/>
              <color rgb="002B2B2B"/>
              <sz val="10"/>
              <vertAlign val="subscript"/>
            </rPr>
            <t>g1</t>
          </r>
        </is>
      </c>
      <c r="E141" s="40">
        <f>IF(inputs_ok,MAX(0,(250-(c_nom+phi_lg/2)/COS(ATAN(r_lg/g_lg)))/SIN(ATAN(r_lg/g_lg))),NA())</f>
        <v/>
      </c>
      <c r="F141" s="28" t="inlineStr">
        <is>
          <t>mm</t>
        </is>
      </c>
      <c r="G141" s="23" t="n"/>
    </row>
    <row r="142" ht="17" customHeight="1">
      <c r="B142" s="26" t="inlineStr">
        <is>
          <t>8.4.2(2)</t>
        </is>
      </c>
      <c r="C142" s="24" t="inlineStr">
        <is>
          <t>Landing bars: length within 250 mm of the soffit  (250 − o/cos θ) g / r</t>
        </is>
      </c>
      <c r="D142" s="27" t="inlineStr">
        <is>
          <r>
            <rPr>
              <rFont val="Calibri"/>
              <i val="1"/>
              <color rgb="002B2B2B"/>
              <sz val="10"/>
            </rPr>
            <t>l</t>
          </r>
          <r>
            <rPr>
              <rFont val="Calibri"/>
              <i val="1"/>
              <color rgb="002B2B2B"/>
              <sz val="10"/>
              <vertAlign val="subscript"/>
            </rPr>
            <t>g2</t>
          </r>
        </is>
      </c>
      <c r="E142" s="40">
        <f>IF(inputs_ok,MAX(0,(250-(c_nom+phi_lg/2)/COS(ATAN(r_lg/g_lg)))*g_lg/r_lg),NA())</f>
        <v/>
      </c>
      <c r="F142" s="28" t="inlineStr">
        <is>
          <t>mm</t>
        </is>
      </c>
      <c r="G142" s="23" t="n"/>
    </row>
    <row r="143" ht="17" customHeight="1">
      <c r="B143" s="26" t="inlineStr">
        <is>
          <t>8.4.2(2)</t>
        </is>
      </c>
      <c r="C143" s="24" t="inlineStr">
        <is>
          <t>Waist bars: length needed  (beyond l_g at l_bd / 0.7, poor bond)</t>
        </is>
      </c>
      <c r="D143" s="27" t="inlineStr">
        <is>
          <r>
            <rPr>
              <rFont val="Calibri"/>
              <i val="1"/>
              <color rgb="002B2B2B"/>
              <sz val="10"/>
            </rPr>
            <t>l</t>
          </r>
          <r>
            <rPr>
              <rFont val="Calibri"/>
              <i val="1"/>
              <color rgb="002B2B2B"/>
              <sz val="10"/>
              <vertAlign val="subscript"/>
            </rPr>
            <t>1</t>
          </r>
        </is>
      </c>
      <c r="E143" s="40">
        <f>IF(inputs_ok,IF(lbd_lg&lt;=lg1_lg,lbd_lg,lg1_lg+(lbd_lg-lg1_lg)/0.7),NA())</f>
        <v/>
      </c>
      <c r="F143" s="28" t="inlineStr">
        <is>
          <t>mm</t>
        </is>
      </c>
      <c r="G143" s="23" t="n"/>
    </row>
    <row r="144" ht="17" customHeight="1">
      <c r="B144" s="26" t="inlineStr">
        <is>
          <t>8.4.2(2)</t>
        </is>
      </c>
      <c r="C144" s="24" t="inlineStr">
        <is>
          <t>Landing bars: length needed  (beyond l_g at l_bd / 0.7, poor bond)</t>
        </is>
      </c>
      <c r="D144" s="27" t="inlineStr">
        <is>
          <r>
            <rPr>
              <rFont val="Calibri"/>
              <i val="1"/>
              <color rgb="002B2B2B"/>
              <sz val="10"/>
            </rPr>
            <t>l</t>
          </r>
          <r>
            <rPr>
              <rFont val="Calibri"/>
              <i val="1"/>
              <color rgb="002B2B2B"/>
              <sz val="10"/>
              <vertAlign val="subscript"/>
            </rPr>
            <t>2</t>
          </r>
        </is>
      </c>
      <c r="E144" s="40">
        <f>IF(inputs_ok,IF(lbd_lg&lt;=lg2_lg,lbd_lg,lg2_lg+(lbd_lg-lg2_lg)/0.7),NA())</f>
        <v/>
      </c>
      <c r="F144" s="28" t="inlineStr">
        <is>
          <t>mm</t>
        </is>
      </c>
      <c r="G144" s="23" t="n"/>
    </row>
    <row r="145" ht="17" customHeight="1">
      <c r="B145" s="26" t="inlineStr">
        <is>
          <t>8.4.4</t>
        </is>
      </c>
      <c r="C145" s="24" t="inlineStr">
        <is>
          <t>Upper knee: lengths needed ≤ room for straight bars  (else bend: by hand)</t>
        </is>
      </c>
      <c r="D145" s="27" t="inlineStr">
        <is>
          <r>
            <rPr>
              <rFont val="Calibri"/>
              <i val="1"/>
              <color rgb="002B2B2B"/>
              <sz val="10"/>
            </rPr>
            <t>l</t>
          </r>
        </is>
      </c>
      <c r="E145" s="40">
        <f>IF(inputs_ok,MAX(ln1_lg,ln2_lg),NA())</f>
        <v/>
      </c>
      <c r="F145" s="28" t="inlineStr">
        <is>
          <t>mm</t>
        </is>
      </c>
      <c r="G145" s="30">
        <f>IF(NOT(inputs_ok),"FAIL",IF(OR(a_up=0,anch_ok),"OK","FAIL"))</f>
        <v/>
      </c>
    </row>
    <row r="146" ht="79" customHeight="1">
      <c r="B146" s="46" t="inlineStr">
        <is>
          <t>Knees: at the upper knee the soffit is re-entrant, so do not bend the bottom bars round it; run the waist bars straight into the upper landing and the landing bars straight into the waist, crossing, each anchored beyond the crossing by l_bd (drawn up to the room available; where it does not fit, bend the bars along the far face and check the bent anchorage by hand). At the lower knee the bars may follow the soffit, bent on the mandrel of 8.3. Anchor the bottom bars at the supports (9.3.1.2(1), 9.2.1.4), not checked here. Also detail top bars over both supports for 25 % of the span moment, extending 0.2 L (9.3.1.2(2)), and the local check of the concentrated imposed load (EN 1991-1-1 6.2.1(3)).</t>
        </is>
      </c>
    </row>
    <row r="147"/>
    <row r="148" ht="29" customHeight="1">
      <c r="B148" s="46"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146:G146"/>
    <mergeCell ref="B148:G148"/>
    <mergeCell ref="D2:G2"/>
    <mergeCell ref="E7:G7"/>
    <mergeCell ref="E6:G6"/>
    <mergeCell ref="C3:G3"/>
  </mergeCells>
  <conditionalFormatting sqref="G9:G149">
    <cfRule type="expression" priority="1" dxfId="0">
      <formula>G9="OK"</formula>
    </cfRule>
    <cfRule type="expression" priority="2" dxfId="1">
      <formula>G9="FAIL"</formula>
    </cfRule>
    <cfRule type="expression" priority="3" dxfId="2">
      <formula>LEFT(G9,1)="!"</formula>
    </cfRule>
  </conditionalFormatting>
  <dataValidations count="20">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 0." type="decimal" errorStyle="stop" operator="greaterThanOrEqual">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E25" showDropDown="0" showInputMessage="0" showErrorMessage="1" allowBlank="0" errorTitle="NA Engineering" error="Pick a value from the list." type="list" errorStyle="stop">
      <formula1>"8,10,12,16,20,25,32,40"</formula1>
    </dataValidation>
    <dataValidation sqref="E24" showDropDown="0" showInputMessage="0" showErrorMessage="1" allowBlank="0" errorTitle="NA Engineering" error="Enter a number greater than 0." type="decimal" errorStyle="stop" operator="greaterThan">
      <formula1>0</formula1>
    </dataValidation>
    <dataValidation sqref="E26"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 0." type="decimal" errorStyle="stop" operator="greaterThanOrEqual">
      <formula1>0</formula1>
    </dataValidation>
    <dataValidation sqref="E30" showDropDown="0" showInputMessage="0" showErrorMessage="1" allowBlank="0" errorTitle="NA Engineering" error="Enter a number ≥ 0." type="decimal" errorStyle="stop" operator="greaterThanOrEqual">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Enter a number greater than 0." type="decimal" errorStyle="stop" operator="greaterThan">
      <formula1>0</formula1>
    </dataValidation>
    <dataValidation sqref="E33" showDropDown="0" showInputMessage="0" showErrorMessage="1" allowBlank="0" errorTitle="NA Engineering" error="Pick a value from the list." type="list" errorStyle="stop">
      <formula1>"No,Yes"</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&amp;K8A8A8ANAE-RC-024  v1.0</oddFooter>
    <evenHeader/>
    <evenFooter/>
    <firstHeader/>
    <firstFooter/>
  </headerFooter>
  <rowBreaks count="1" manualBreakCount="1">
    <brk id="35"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P52"/>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steps</t>
        </is>
      </c>
      <c r="G2" t="inlineStr">
        <is>
          <t>upper landing</t>
        </is>
      </c>
      <c r="J2" t="inlineStr">
        <is>
          <t>soffit</t>
        </is>
      </c>
      <c r="M2" t="inlineStr">
        <is>
          <t>foot</t>
        </is>
      </c>
      <c r="P2" t="inlineStr">
        <is>
          <t>head</t>
        </is>
      </c>
      <c r="S2" t="inlineStr">
        <is>
          <t>waist bars</t>
        </is>
      </c>
      <c r="V2" t="inlineStr">
        <is>
          <t>landing bars</t>
        </is>
      </c>
      <c r="Y2" t="inlineStr">
        <is>
          <t>lower support</t>
        </is>
      </c>
      <c r="AB2" t="inlineStr">
        <is>
          <t>upper support</t>
        </is>
      </c>
      <c r="AE2" t="inlineStr">
        <is>
          <t>dim</t>
        </is>
      </c>
      <c r="AH2">
        <f>IF(inputs_ok,IF(a_lo&gt;0,"a1 = "&amp;TEXT(a_lo,"0"),""),"")</f>
        <v/>
      </c>
      <c r="AK2" t="inlineStr">
        <is>
          <t>dim</t>
        </is>
      </c>
      <c r="AN2">
        <f>IF(inputs_ok,"flight "&amp;TEXT(Lf_lg,"0"),"")</f>
        <v/>
      </c>
      <c r="AQ2" t="inlineStr">
        <is>
          <t>dim</t>
        </is>
      </c>
      <c r="AT2">
        <f>IF(inputs_ok,IF(a_up&gt;0,"a2 = "&amp;TEXT(a_up,"0"),""),"")</f>
        <v/>
      </c>
      <c r="AW2">
        <f>IF(inputs_ok,nr_lg&amp;" risers "&amp;r_lg&amp;" · going "&amp;g_lg,"")</f>
        <v/>
      </c>
      <c r="AZ2">
        <f>IF(inputs_ok,"φ"&amp;phi_lg&amp;" @ "&amp;s_lg&amp;" · waist "&amp;t_lg&amp;" · landings "&amp;hl_lg,"")</f>
        <v/>
      </c>
      <c r="BC2" t="inlineStr">
        <is>
          <t>BMD</t>
        </is>
      </c>
      <c r="BF2" t="inlineStr">
        <is>
          <t>BMD axis</t>
        </is>
      </c>
      <c r="BI2" t="inlineStr">
        <is>
          <t>M max</t>
        </is>
      </c>
      <c r="BL2">
        <f>IF(inputs_ok,"M = "&amp;TEXT(M_lg,"0.0")&amp;" kNm/m","")</f>
        <v/>
      </c>
      <c r="BO2" t="inlineStr">
        <is>
          <t>frame</t>
        </is>
      </c>
    </row>
    <row r="3">
      <c r="A3">
        <f>0</f>
        <v/>
      </c>
      <c r="B3">
        <f>0</f>
        <v/>
      </c>
      <c r="D3">
        <f>IF(inputs_ok,0,NA())</f>
        <v/>
      </c>
      <c r="E3">
        <f>0</f>
        <v/>
      </c>
      <c r="G3">
        <f>IF(inputs_ok,a_lo+Lf_lg,NA())</f>
        <v/>
      </c>
      <c r="H3">
        <f>H_lg</f>
        <v/>
      </c>
      <c r="J3">
        <f>IF(inputs_ok,0,NA())</f>
        <v/>
      </c>
      <c r="K3">
        <f>MEDIAN(IF(a_lo&gt;0,-hl_lg,-1E9),(0-a_lo)*r_lg/g_lg-w_lg,IF(a_up&gt;0,H_lg-hl_lg,1E9))</f>
        <v/>
      </c>
      <c r="M3">
        <f>IF(inputs_ok,0,NA())</f>
        <v/>
      </c>
      <c r="N3">
        <f>MEDIAN(IF(a_lo&gt;0,-hl_lg,-1E9),(0-a_lo)*r_lg/g_lg-w_lg,IF(a_up&gt;0,H_lg-hl_lg,1E9))</f>
        <v/>
      </c>
      <c r="P3">
        <f>IF(inputs_ok,L_lg,NA())</f>
        <v/>
      </c>
      <c r="Q3">
        <f>MEDIAN(IF(a_lo&gt;0,-hl_lg,-1E9),(L_lg-a_lo)*r_lg/g_lg-w_lg,IF(a_up&gt;0,H_lg-hl_lg,1E9))</f>
        <v/>
      </c>
      <c r="S3">
        <f>IF(inputs_ok,0,NA())</f>
        <v/>
      </c>
      <c r="T3">
        <f>MAX(IF(a_lo&gt;0,-hl_lg+(c_nom+phi_lg/2),-1E9),((0-a_lo)*r_lg/g_lg-w_lg+(c_nom+phi_lg/2)/COS(ATAN(r_lg/g_lg))))</f>
        <v/>
      </c>
      <c r="V3">
        <f>IF(inputs_ok,IF(a_up&gt;0,MAX(0,xb2_lg-e2_lg),NA()),NA())</f>
        <v/>
      </c>
      <c r="W3">
        <f>H_lg-hl_lg+(c_nom+phi_lg/2)</f>
        <v/>
      </c>
      <c r="Y3">
        <f>IF(inputs_ok,0-0.025*L_lg,NA())</f>
        <v/>
      </c>
      <c r="Z3">
        <f>MEDIAN(IF(a_lo&gt;0,-hl_lg,-1E9),(0-a_lo)*r_lg/g_lg-w_lg,IF(a_up&gt;0,H_lg-hl_lg,1E9))-2*0.025*L_lg</f>
        <v/>
      </c>
      <c r="AB3">
        <f>IF(inputs_ok,L_lg-0.025*L_lg,NA())</f>
        <v/>
      </c>
      <c r="AC3">
        <f>MEDIAN(IF(a_lo&gt;0,-hl_lg,-1E9),(L_lg-a_lo)*r_lg/g_lg-w_lg,IF(a_up&gt;0,H_lg-hl_lg,1E9))-2*0.025*L_lg</f>
        <v/>
      </c>
      <c r="AE3">
        <f>IF(inputs_ok,IF(TRUE,0,NA()),NA())</f>
        <v/>
      </c>
      <c r="AF3">
        <f>IF(TRUE,(MIN(-hl_lg,-w_lg)-0.1*L_lg),NA())</f>
        <v/>
      </c>
      <c r="AH3">
        <f>IF(inputs_ok,IF(TRUE,((0)+(a_lo))/2,NA()),NA())</f>
        <v/>
      </c>
      <c r="AI3">
        <f>IF(TRUE,(((MIN(-hl_lg,-w_lg)-0.1*L_lg))+((MIN(-hl_lg,-w_lg)-0.1*L_lg)))/2,NA())</f>
        <v/>
      </c>
      <c r="AK3">
        <f>IF(inputs_ok,IF(TRUE,a_lo,NA()),NA())</f>
        <v/>
      </c>
      <c r="AL3">
        <f>IF(TRUE,(MIN(-hl_lg,-w_lg)-0.1*L_lg),NA())</f>
        <v/>
      </c>
      <c r="AN3">
        <f>IF(inputs_ok,IF(TRUE,((a_lo)+(a_lo+Lf_lg))/2,NA()),NA())</f>
        <v/>
      </c>
      <c r="AO3">
        <f>IF(TRUE,(((MIN(-hl_lg,-w_lg)-0.1*L_lg))+((MIN(-hl_lg,-w_lg)-0.1*L_lg)))/2,NA())</f>
        <v/>
      </c>
      <c r="AQ3">
        <f>IF(inputs_ok,IF(TRUE,a_lo+Lf_lg,NA()),NA())</f>
        <v/>
      </c>
      <c r="AR3">
        <f>IF(TRUE,(MIN(-hl_lg,-w_lg)-0.1*L_lg),NA())</f>
        <v/>
      </c>
      <c r="AT3">
        <f>IF(inputs_ok,IF(TRUE,((a_lo+Lf_lg)+(L_lg))/2,NA()),NA())</f>
        <v/>
      </c>
      <c r="AU3">
        <f>IF(TRUE,(((MIN(-hl_lg,-w_lg)-0.1*L_lg))+((MIN(-hl_lg,-w_lg)-0.1*L_lg)))/2,NA())</f>
        <v/>
      </c>
      <c r="AW3">
        <f>IF(inputs_ok,a_lo+Lf_lg/2,NA())</f>
        <v/>
      </c>
      <c r="AX3">
        <f>H_lg+0.04*L_lg</f>
        <v/>
      </c>
      <c r="AZ3">
        <f>IF(inputs_ok,a_lo+0.75*Lf_lg,NA())</f>
        <v/>
      </c>
      <c r="BA3">
        <f>MEDIAN(IF(a_lo&gt;0,-hl_lg,-1E9),(a_lo+0.75*Lf_lg-a_lo)*r_lg/g_lg-w_lg,IF(a_up&gt;0,H_lg-hl_lg,1E9))</f>
        <v/>
      </c>
      <c r="BC3">
        <f>IF(inputs_ok,0,NA())</f>
        <v/>
      </c>
      <c r="BD3">
        <f>((MIN(-hl_lg,-w_lg)-0.1*L_lg)-0.12*L_lg)</f>
        <v/>
      </c>
      <c r="BF3">
        <f>IF(inputs_ok,0,NA())</f>
        <v/>
      </c>
      <c r="BG3">
        <f>((MIN(-hl_lg,-w_lg)-0.1*L_lg)-0.12*L_lg)</f>
        <v/>
      </c>
      <c r="BI3">
        <f>IF(inputs_ok,x0_m*1000,NA())</f>
        <v/>
      </c>
      <c r="BJ3">
        <f>((MIN(-hl_lg,-w_lg)-0.1*L_lg)-0.12*L_lg)</f>
        <v/>
      </c>
      <c r="BL3">
        <f>IF(inputs_ok,x0_m*1000,NA())</f>
        <v/>
      </c>
      <c r="BM3">
        <f>((MIN(-hl_lg,-w_lg)-0.1*L_lg)-0.12*L_lg)-(0.16*L_lg/MAX(M_lg,0.001))*M_lg</f>
        <v/>
      </c>
      <c r="BO3">
        <f>((-0.06*L_lg)+(1.06*L_lg))/2-MAX((H_lg+0.1*L_lg)-(((MIN(-hl_lg,-w_lg)-0.1*L_lg)-0.12*L_lg)-0.24*L_lg),((1.06*L_lg)-(-0.06*L_lg))/1.55)*0.53*1.55</f>
        <v/>
      </c>
      <c r="BP3">
        <f>((((MIN(-hl_lg,-w_lg)-0.1*L_lg)-0.12*L_lg)-0.24*L_lg)+(H_lg+0.1*L_lg))/2-MAX((H_lg+0.1*L_lg)-(((MIN(-hl_lg,-w_lg)-0.1*L_lg)-0.12*L_lg)-0.24*L_lg),((1.06*L_lg)-(-0.06*L_lg))/1.55)*0.53</f>
        <v/>
      </c>
    </row>
    <row r="4">
      <c r="D4">
        <f>IF(inputs_ok,a_lo,NA())</f>
        <v/>
      </c>
      <c r="E4">
        <f>0</f>
        <v/>
      </c>
      <c r="G4">
        <f>IF(inputs_ok,L_lg,NA())</f>
        <v/>
      </c>
      <c r="H4">
        <f>H_lg</f>
        <v/>
      </c>
      <c r="J4">
        <f>IF(inputs_ok,xk1_lg,NA())</f>
        <v/>
      </c>
      <c r="K4">
        <f>MEDIAN(IF(a_lo&gt;0,-hl_lg,-1E9),(xk1_lg-a_lo)*r_lg/g_lg-w_lg,IF(a_up&gt;0,H_lg-hl_lg,1E9))</f>
        <v/>
      </c>
      <c r="M4">
        <f>IF(inputs_ok,0,NA())</f>
        <v/>
      </c>
      <c r="N4">
        <f>0</f>
        <v/>
      </c>
      <c r="P4">
        <f>IF(inputs_ok,L_lg,NA())</f>
        <v/>
      </c>
      <c r="Q4">
        <f>H_lg</f>
        <v/>
      </c>
      <c r="S4">
        <f>IF(inputs_ok,MEDIAN(0,xb1_lg,L_lg),NA())</f>
        <v/>
      </c>
      <c r="T4">
        <f>MAX(IF(a_lo&gt;0,-hl_lg+(c_nom+phi_lg/2),-1E9),((MEDIAN(0,xb1_lg,L_lg)-a_lo)*r_lg/g_lg-w_lg+(c_nom+phi_lg/2)/COS(ATAN(r_lg/g_lg))))</f>
        <v/>
      </c>
      <c r="V4">
        <f>IF(inputs_ok,IF(a_up&gt;0,L_lg,NA()),NA())</f>
        <v/>
      </c>
      <c r="W4">
        <f>H_lg-hl_lg+(c_nom+phi_lg/2)</f>
        <v/>
      </c>
      <c r="Y4">
        <f>IF(inputs_ok,0,NA())</f>
        <v/>
      </c>
      <c r="Z4">
        <f>MEDIAN(IF(a_lo&gt;0,-hl_lg,-1E9),(0-a_lo)*r_lg/g_lg-w_lg,IF(a_up&gt;0,H_lg-hl_lg,1E9))</f>
        <v/>
      </c>
      <c r="AB4">
        <f>IF(inputs_ok,L_lg,NA())</f>
        <v/>
      </c>
      <c r="AC4">
        <f>MEDIAN(IF(a_lo&gt;0,-hl_lg,-1E9),(L_lg-a_lo)*r_lg/g_lg-w_lg,IF(a_up&gt;0,H_lg-hl_lg,1E9))</f>
        <v/>
      </c>
      <c r="AE4">
        <f>IF(inputs_ok,IF(TRUE,a_lo,NA()),NA())</f>
        <v/>
      </c>
      <c r="AF4">
        <f>IF(TRUE,(MIN(-hl_lg,-w_lg)-0.1*L_lg),NA())</f>
        <v/>
      </c>
      <c r="AK4">
        <f>IF(inputs_ok,IF(TRUE,a_lo+Lf_lg,NA()),NA())</f>
        <v/>
      </c>
      <c r="AL4">
        <f>IF(TRUE,(MIN(-hl_lg,-w_lg)-0.1*L_lg),NA())</f>
        <v/>
      </c>
      <c r="AQ4">
        <f>IF(inputs_ok,IF(TRUE,L_lg,NA()),NA())</f>
        <v/>
      </c>
      <c r="AR4">
        <f>IF(TRUE,(MIN(-hl_lg,-w_lg)-0.1*L_lg),NA())</f>
        <v/>
      </c>
      <c r="BC4">
        <f>IF(inputs_ok,0/24*L_lg,NA())</f>
        <v/>
      </c>
      <c r="BD4">
        <f>((MIN(-hl_lg,-w_lg)-0.1*L_lg)-0.12*L_lg)-(0.16*L_lg/MAX(M_lg,0.001))*(RA_lg*(0/24*L_m)-wl_lg*MIN((0/24*L_m),la_m)*((0/24*L_m)-MIN((0/24*L_m),la_m)/2)-wf_lg*MEDIAN(0,(0/24*L_m)-la_m,lf_m)*((0/24*L_m)-la_m-MEDIAN(0,(0/24*L_m)-la_m,lf_m)/2)-wl_lg*MAX(0,(0/24*L_m)-la_m-lf_m)*((0/24*L_m)-la_m-lf_m-MAX(0,(0/24*L_m)-la_m-lf_m)/2)-P_lg*MAX(0,(0/24*L_m)-xc_m))</f>
        <v/>
      </c>
      <c r="BF4">
        <f>IF(inputs_ok,L_lg,NA())</f>
        <v/>
      </c>
      <c r="BG4">
        <f>((MIN(-hl_lg,-w_lg)-0.1*L_lg)-0.12*L_lg)</f>
        <v/>
      </c>
      <c r="BI4">
        <f>IF(inputs_ok,x0_m*1000,NA())</f>
        <v/>
      </c>
      <c r="BJ4">
        <f>((MIN(-hl_lg,-w_lg)-0.1*L_lg)-0.12*L_lg)-(0.16*L_lg/MAX(M_lg,0.001))*M_lg</f>
        <v/>
      </c>
      <c r="BO4">
        <f>((-0.06*L_lg)+(1.06*L_lg))/2+MAX((H_lg+0.1*L_lg)-(((MIN(-hl_lg,-w_lg)-0.1*L_lg)-0.12*L_lg)-0.24*L_lg),((1.06*L_lg)-(-0.06*L_lg))/1.55)*0.53*1.55</f>
        <v/>
      </c>
      <c r="BP4">
        <f>((((MIN(-hl_lg,-w_lg)-0.1*L_lg)-0.12*L_lg)-0.24*L_lg)+(H_lg+0.1*L_lg))/2+MAX((H_lg+0.1*L_lg)-(((MIN(-hl_lg,-w_lg)-0.1*L_lg)-0.12*L_lg)-0.24*L_lg),((1.06*L_lg)-(-0.06*L_lg))/1.55)*0.53</f>
        <v/>
      </c>
    </row>
    <row r="5">
      <c r="D5">
        <f>IF(inputs_ok,IF(0&lt;nr_lg,a_lo+0*g_lg,NA()),NA())</f>
        <v/>
      </c>
      <c r="E5">
        <f>IF(0&lt;nr_lg,(0+1)*r_lg,NA())</f>
        <v/>
      </c>
      <c r="J5">
        <f>IF(inputs_ok,MEDIAN(0,xk2_lg,L_lg),NA())</f>
        <v/>
      </c>
      <c r="K5">
        <f>MEDIAN(IF(a_lo&gt;0,-hl_lg,-1E9),(MEDIAN(0,xk2_lg,L_lg)-a_lo)*r_lg/g_lg-w_lg,IF(a_up&gt;0,H_lg-hl_lg,1E9))</f>
        <v/>
      </c>
      <c r="S5">
        <f>IF(inputs_ok,IF(a_up&gt;0,MIN(L_lg,xb2_lg+e1_lg),L_lg),NA())</f>
        <v/>
      </c>
      <c r="T5">
        <f>((IF(a_up&gt;0,MIN(L_lg,xb2_lg+e1_lg),L_lg)-a_lo)*r_lg/g_lg-w_lg+(c_nom+phi_lg/2)/COS(ATAN(r_lg/g_lg)))</f>
        <v/>
      </c>
      <c r="Y5">
        <f>IF(inputs_ok,0+0.025*L_lg,NA())</f>
        <v/>
      </c>
      <c r="Z5">
        <f>MEDIAN(IF(a_lo&gt;0,-hl_lg,-1E9),(0-a_lo)*r_lg/g_lg-w_lg,IF(a_up&gt;0,H_lg-hl_lg,1E9))-2*0.025*L_lg</f>
        <v/>
      </c>
      <c r="AB5">
        <f>IF(inputs_ok,L_lg+0.025*L_lg,NA())</f>
        <v/>
      </c>
      <c r="AC5">
        <f>MEDIAN(IF(a_lo&gt;0,-hl_lg,-1E9),(L_lg-a_lo)*r_lg/g_lg-w_lg,IF(a_up&gt;0,H_lg-hl_lg,1E9))-2*0.025*L_lg</f>
        <v/>
      </c>
      <c r="BC5">
        <f>IF(inputs_ok,1/24*L_lg,NA())</f>
        <v/>
      </c>
      <c r="BD5">
        <f>((MIN(-hl_lg,-w_lg)-0.1*L_lg)-0.12*L_lg)-(0.16*L_lg/MAX(M_lg,0.001))*(RA_lg*(1/24*L_m)-wl_lg*MIN((1/24*L_m),la_m)*((1/24*L_m)-MIN((1/24*L_m),la_m)/2)-wf_lg*MEDIAN(0,(1/24*L_m)-la_m,lf_m)*((1/24*L_m)-la_m-MEDIAN(0,(1/24*L_m)-la_m,lf_m)/2)-wl_lg*MAX(0,(1/24*L_m)-la_m-lf_m)*((1/24*L_m)-la_m-lf_m-MAX(0,(1/24*L_m)-la_m-lf_m)/2)-P_lg*MAX(0,(1/24*L_m)-xc_m))</f>
        <v/>
      </c>
    </row>
    <row r="6">
      <c r="D6">
        <f>IF(inputs_ok,IF(0&lt;nr_lg-1,a_lo+(0+1)*g_lg,NA()),NA())</f>
        <v/>
      </c>
      <c r="E6">
        <f>IF(0&lt;nr_lg-1,(0+1)*r_lg,NA())</f>
        <v/>
      </c>
      <c r="J6">
        <f>IF(inputs_ok,L_lg,NA())</f>
        <v/>
      </c>
      <c r="K6">
        <f>MEDIAN(IF(a_lo&gt;0,-hl_lg,-1E9),(L_lg-a_lo)*r_lg/g_lg-w_lg,IF(a_up&gt;0,H_lg-hl_lg,1E9))</f>
        <v/>
      </c>
      <c r="Y6">
        <f>IF(inputs_ok,0-0.025*L_lg,NA())</f>
        <v/>
      </c>
      <c r="Z6">
        <f>MEDIAN(IF(a_lo&gt;0,-hl_lg,-1E9),(0-a_lo)*r_lg/g_lg-w_lg,IF(a_up&gt;0,H_lg-hl_lg,1E9))-2*0.025*L_lg</f>
        <v/>
      </c>
      <c r="AB6">
        <f>IF(inputs_ok,L_lg-0.025*L_lg,NA())</f>
        <v/>
      </c>
      <c r="AC6">
        <f>MEDIAN(IF(a_lo&gt;0,-hl_lg,-1E9),(L_lg-a_lo)*r_lg/g_lg-w_lg,IF(a_up&gt;0,H_lg-hl_lg,1E9))-2*0.025*L_lg</f>
        <v/>
      </c>
      <c r="BC6">
        <f>IF(inputs_ok,2/24*L_lg,NA())</f>
        <v/>
      </c>
      <c r="BD6">
        <f>((MIN(-hl_lg,-w_lg)-0.1*L_lg)-0.12*L_lg)-(0.16*L_lg/MAX(M_lg,0.001))*(RA_lg*(2/24*L_m)-wl_lg*MIN((2/24*L_m),la_m)*((2/24*L_m)-MIN((2/24*L_m),la_m)/2)-wf_lg*MEDIAN(0,(2/24*L_m)-la_m,lf_m)*((2/24*L_m)-la_m-MEDIAN(0,(2/24*L_m)-la_m,lf_m)/2)-wl_lg*MAX(0,(2/24*L_m)-la_m-lf_m)*((2/24*L_m)-la_m-lf_m-MAX(0,(2/24*L_m)-la_m-lf_m)/2)-P_lg*MAX(0,(2/24*L_m)-xc_m))</f>
        <v/>
      </c>
    </row>
    <row r="7">
      <c r="D7">
        <f>IF(inputs_ok,IF(1&lt;nr_lg,a_lo+1*g_lg,NA()),NA())</f>
        <v/>
      </c>
      <c r="E7">
        <f>IF(1&lt;nr_lg,(1+1)*r_lg,NA())</f>
        <v/>
      </c>
      <c r="BC7">
        <f>IF(inputs_ok,3/24*L_lg,NA())</f>
        <v/>
      </c>
      <c r="BD7">
        <f>((MIN(-hl_lg,-w_lg)-0.1*L_lg)-0.12*L_lg)-(0.16*L_lg/MAX(M_lg,0.001))*(RA_lg*(3/24*L_m)-wl_lg*MIN((3/24*L_m),la_m)*((3/24*L_m)-MIN((3/24*L_m),la_m)/2)-wf_lg*MEDIAN(0,(3/24*L_m)-la_m,lf_m)*((3/24*L_m)-la_m-MEDIAN(0,(3/24*L_m)-la_m,lf_m)/2)-wl_lg*MAX(0,(3/24*L_m)-la_m-lf_m)*((3/24*L_m)-la_m-lf_m-MAX(0,(3/24*L_m)-la_m-lf_m)/2)-P_lg*MAX(0,(3/24*L_m)-xc_m))</f>
        <v/>
      </c>
    </row>
    <row r="8">
      <c r="D8">
        <f>IF(inputs_ok,IF(1&lt;nr_lg-1,a_lo+(1+1)*g_lg,NA()),NA())</f>
        <v/>
      </c>
      <c r="E8">
        <f>IF(1&lt;nr_lg-1,(1+1)*r_lg,NA())</f>
        <v/>
      </c>
      <c r="BC8">
        <f>IF(inputs_ok,4/24*L_lg,NA())</f>
        <v/>
      </c>
      <c r="BD8">
        <f>((MIN(-hl_lg,-w_lg)-0.1*L_lg)-0.12*L_lg)-(0.16*L_lg/MAX(M_lg,0.001))*(RA_lg*(4/24*L_m)-wl_lg*MIN((4/24*L_m),la_m)*((4/24*L_m)-MIN((4/24*L_m),la_m)/2)-wf_lg*MEDIAN(0,(4/24*L_m)-la_m,lf_m)*((4/24*L_m)-la_m-MEDIAN(0,(4/24*L_m)-la_m,lf_m)/2)-wl_lg*MAX(0,(4/24*L_m)-la_m-lf_m)*((4/24*L_m)-la_m-lf_m-MAX(0,(4/24*L_m)-la_m-lf_m)/2)-P_lg*MAX(0,(4/24*L_m)-xc_m))</f>
        <v/>
      </c>
    </row>
    <row r="9">
      <c r="D9">
        <f>IF(inputs_ok,IF(2&lt;nr_lg,a_lo+2*g_lg,NA()),NA())</f>
        <v/>
      </c>
      <c r="E9">
        <f>IF(2&lt;nr_lg,(2+1)*r_lg,NA())</f>
        <v/>
      </c>
      <c r="BC9">
        <f>IF(inputs_ok,5/24*L_lg,NA())</f>
        <v/>
      </c>
      <c r="BD9">
        <f>((MIN(-hl_lg,-w_lg)-0.1*L_lg)-0.12*L_lg)-(0.16*L_lg/MAX(M_lg,0.001))*(RA_lg*(5/24*L_m)-wl_lg*MIN((5/24*L_m),la_m)*((5/24*L_m)-MIN((5/24*L_m),la_m)/2)-wf_lg*MEDIAN(0,(5/24*L_m)-la_m,lf_m)*((5/24*L_m)-la_m-MEDIAN(0,(5/24*L_m)-la_m,lf_m)/2)-wl_lg*MAX(0,(5/24*L_m)-la_m-lf_m)*((5/24*L_m)-la_m-lf_m-MAX(0,(5/24*L_m)-la_m-lf_m)/2)-P_lg*MAX(0,(5/24*L_m)-xc_m))</f>
        <v/>
      </c>
    </row>
    <row r="10">
      <c r="D10">
        <f>IF(inputs_ok,IF(2&lt;nr_lg-1,a_lo+(2+1)*g_lg,NA()),NA())</f>
        <v/>
      </c>
      <c r="E10">
        <f>IF(2&lt;nr_lg-1,(2+1)*r_lg,NA())</f>
        <v/>
      </c>
      <c r="BC10">
        <f>IF(inputs_ok,6/24*L_lg,NA())</f>
        <v/>
      </c>
      <c r="BD10">
        <f>((MIN(-hl_lg,-w_lg)-0.1*L_lg)-0.12*L_lg)-(0.16*L_lg/MAX(M_lg,0.001))*(RA_lg*(6/24*L_m)-wl_lg*MIN((6/24*L_m),la_m)*((6/24*L_m)-MIN((6/24*L_m),la_m)/2)-wf_lg*MEDIAN(0,(6/24*L_m)-la_m,lf_m)*((6/24*L_m)-la_m-MEDIAN(0,(6/24*L_m)-la_m,lf_m)/2)-wl_lg*MAX(0,(6/24*L_m)-la_m-lf_m)*((6/24*L_m)-la_m-lf_m-MAX(0,(6/24*L_m)-la_m-lf_m)/2)-P_lg*MAX(0,(6/24*L_m)-xc_m))</f>
        <v/>
      </c>
    </row>
    <row r="11">
      <c r="D11">
        <f>IF(inputs_ok,IF(3&lt;nr_lg,a_lo+3*g_lg,NA()),NA())</f>
        <v/>
      </c>
      <c r="E11">
        <f>IF(3&lt;nr_lg,(3+1)*r_lg,NA())</f>
        <v/>
      </c>
      <c r="BC11">
        <f>IF(inputs_ok,7/24*L_lg,NA())</f>
        <v/>
      </c>
      <c r="BD11">
        <f>((MIN(-hl_lg,-w_lg)-0.1*L_lg)-0.12*L_lg)-(0.16*L_lg/MAX(M_lg,0.001))*(RA_lg*(7/24*L_m)-wl_lg*MIN((7/24*L_m),la_m)*((7/24*L_m)-MIN((7/24*L_m),la_m)/2)-wf_lg*MEDIAN(0,(7/24*L_m)-la_m,lf_m)*((7/24*L_m)-la_m-MEDIAN(0,(7/24*L_m)-la_m,lf_m)/2)-wl_lg*MAX(0,(7/24*L_m)-la_m-lf_m)*((7/24*L_m)-la_m-lf_m-MAX(0,(7/24*L_m)-la_m-lf_m)/2)-P_lg*MAX(0,(7/24*L_m)-xc_m))</f>
        <v/>
      </c>
    </row>
    <row r="12">
      <c r="D12">
        <f>IF(inputs_ok,IF(3&lt;nr_lg-1,a_lo+(3+1)*g_lg,NA()),NA())</f>
        <v/>
      </c>
      <c r="E12">
        <f>IF(3&lt;nr_lg-1,(3+1)*r_lg,NA())</f>
        <v/>
      </c>
      <c r="BC12">
        <f>IF(inputs_ok,8/24*L_lg,NA())</f>
        <v/>
      </c>
      <c r="BD12">
        <f>((MIN(-hl_lg,-w_lg)-0.1*L_lg)-0.12*L_lg)-(0.16*L_lg/MAX(M_lg,0.001))*(RA_lg*(8/24*L_m)-wl_lg*MIN((8/24*L_m),la_m)*((8/24*L_m)-MIN((8/24*L_m),la_m)/2)-wf_lg*MEDIAN(0,(8/24*L_m)-la_m,lf_m)*((8/24*L_m)-la_m-MEDIAN(0,(8/24*L_m)-la_m,lf_m)/2)-wl_lg*MAX(0,(8/24*L_m)-la_m-lf_m)*((8/24*L_m)-la_m-lf_m-MAX(0,(8/24*L_m)-la_m-lf_m)/2)-P_lg*MAX(0,(8/24*L_m)-xc_m))</f>
        <v/>
      </c>
    </row>
    <row r="13">
      <c r="D13">
        <f>IF(inputs_ok,IF(4&lt;nr_lg,a_lo+4*g_lg,NA()),NA())</f>
        <v/>
      </c>
      <c r="E13">
        <f>IF(4&lt;nr_lg,(4+1)*r_lg,NA())</f>
        <v/>
      </c>
      <c r="BC13">
        <f>IF(inputs_ok,9/24*L_lg,NA())</f>
        <v/>
      </c>
      <c r="BD13">
        <f>((MIN(-hl_lg,-w_lg)-0.1*L_lg)-0.12*L_lg)-(0.16*L_lg/MAX(M_lg,0.001))*(RA_lg*(9/24*L_m)-wl_lg*MIN((9/24*L_m),la_m)*((9/24*L_m)-MIN((9/24*L_m),la_m)/2)-wf_lg*MEDIAN(0,(9/24*L_m)-la_m,lf_m)*((9/24*L_m)-la_m-MEDIAN(0,(9/24*L_m)-la_m,lf_m)/2)-wl_lg*MAX(0,(9/24*L_m)-la_m-lf_m)*((9/24*L_m)-la_m-lf_m-MAX(0,(9/24*L_m)-la_m-lf_m)/2)-P_lg*MAX(0,(9/24*L_m)-xc_m))</f>
        <v/>
      </c>
    </row>
    <row r="14">
      <c r="D14">
        <f>IF(inputs_ok,IF(4&lt;nr_lg-1,a_lo+(4+1)*g_lg,NA()),NA())</f>
        <v/>
      </c>
      <c r="E14">
        <f>IF(4&lt;nr_lg-1,(4+1)*r_lg,NA())</f>
        <v/>
      </c>
      <c r="BC14">
        <f>IF(inputs_ok,10/24*L_lg,NA())</f>
        <v/>
      </c>
      <c r="BD14">
        <f>((MIN(-hl_lg,-w_lg)-0.1*L_lg)-0.12*L_lg)-(0.16*L_lg/MAX(M_lg,0.001))*(RA_lg*(10/24*L_m)-wl_lg*MIN((10/24*L_m),la_m)*((10/24*L_m)-MIN((10/24*L_m),la_m)/2)-wf_lg*MEDIAN(0,(10/24*L_m)-la_m,lf_m)*((10/24*L_m)-la_m-MEDIAN(0,(10/24*L_m)-la_m,lf_m)/2)-wl_lg*MAX(0,(10/24*L_m)-la_m-lf_m)*((10/24*L_m)-la_m-lf_m-MAX(0,(10/24*L_m)-la_m-lf_m)/2)-P_lg*MAX(0,(10/24*L_m)-xc_m))</f>
        <v/>
      </c>
    </row>
    <row r="15">
      <c r="D15">
        <f>IF(inputs_ok,IF(5&lt;nr_lg,a_lo+5*g_lg,NA()),NA())</f>
        <v/>
      </c>
      <c r="E15">
        <f>IF(5&lt;nr_lg,(5+1)*r_lg,NA())</f>
        <v/>
      </c>
      <c r="BC15">
        <f>IF(inputs_ok,11/24*L_lg,NA())</f>
        <v/>
      </c>
      <c r="BD15">
        <f>((MIN(-hl_lg,-w_lg)-0.1*L_lg)-0.12*L_lg)-(0.16*L_lg/MAX(M_lg,0.001))*(RA_lg*(11/24*L_m)-wl_lg*MIN((11/24*L_m),la_m)*((11/24*L_m)-MIN((11/24*L_m),la_m)/2)-wf_lg*MEDIAN(0,(11/24*L_m)-la_m,lf_m)*((11/24*L_m)-la_m-MEDIAN(0,(11/24*L_m)-la_m,lf_m)/2)-wl_lg*MAX(0,(11/24*L_m)-la_m-lf_m)*((11/24*L_m)-la_m-lf_m-MAX(0,(11/24*L_m)-la_m-lf_m)/2)-P_lg*MAX(0,(11/24*L_m)-xc_m))</f>
        <v/>
      </c>
    </row>
    <row r="16">
      <c r="D16">
        <f>IF(inputs_ok,IF(5&lt;nr_lg-1,a_lo+(5+1)*g_lg,NA()),NA())</f>
        <v/>
      </c>
      <c r="E16">
        <f>IF(5&lt;nr_lg-1,(5+1)*r_lg,NA())</f>
        <v/>
      </c>
      <c r="BC16">
        <f>IF(inputs_ok,12/24*L_lg,NA())</f>
        <v/>
      </c>
      <c r="BD16">
        <f>((MIN(-hl_lg,-w_lg)-0.1*L_lg)-0.12*L_lg)-(0.16*L_lg/MAX(M_lg,0.001))*(RA_lg*(12/24*L_m)-wl_lg*MIN((12/24*L_m),la_m)*((12/24*L_m)-MIN((12/24*L_m),la_m)/2)-wf_lg*MEDIAN(0,(12/24*L_m)-la_m,lf_m)*((12/24*L_m)-la_m-MEDIAN(0,(12/24*L_m)-la_m,lf_m)/2)-wl_lg*MAX(0,(12/24*L_m)-la_m-lf_m)*((12/24*L_m)-la_m-lf_m-MAX(0,(12/24*L_m)-la_m-lf_m)/2)-P_lg*MAX(0,(12/24*L_m)-xc_m))</f>
        <v/>
      </c>
    </row>
    <row r="17">
      <c r="D17">
        <f>IF(inputs_ok,IF(6&lt;nr_lg,a_lo+6*g_lg,NA()),NA())</f>
        <v/>
      </c>
      <c r="E17">
        <f>IF(6&lt;nr_lg,(6+1)*r_lg,NA())</f>
        <v/>
      </c>
      <c r="BC17">
        <f>IF(inputs_ok,13/24*L_lg,NA())</f>
        <v/>
      </c>
      <c r="BD17">
        <f>((MIN(-hl_lg,-w_lg)-0.1*L_lg)-0.12*L_lg)-(0.16*L_lg/MAX(M_lg,0.001))*(RA_lg*(13/24*L_m)-wl_lg*MIN((13/24*L_m),la_m)*((13/24*L_m)-MIN((13/24*L_m),la_m)/2)-wf_lg*MEDIAN(0,(13/24*L_m)-la_m,lf_m)*((13/24*L_m)-la_m-MEDIAN(0,(13/24*L_m)-la_m,lf_m)/2)-wl_lg*MAX(0,(13/24*L_m)-la_m-lf_m)*((13/24*L_m)-la_m-lf_m-MAX(0,(13/24*L_m)-la_m-lf_m)/2)-P_lg*MAX(0,(13/24*L_m)-xc_m))</f>
        <v/>
      </c>
    </row>
    <row r="18">
      <c r="D18">
        <f>IF(inputs_ok,IF(6&lt;nr_lg-1,a_lo+(6+1)*g_lg,NA()),NA())</f>
        <v/>
      </c>
      <c r="E18">
        <f>IF(6&lt;nr_lg-1,(6+1)*r_lg,NA())</f>
        <v/>
      </c>
      <c r="BC18">
        <f>IF(inputs_ok,14/24*L_lg,NA())</f>
        <v/>
      </c>
      <c r="BD18">
        <f>((MIN(-hl_lg,-w_lg)-0.1*L_lg)-0.12*L_lg)-(0.16*L_lg/MAX(M_lg,0.001))*(RA_lg*(14/24*L_m)-wl_lg*MIN((14/24*L_m),la_m)*((14/24*L_m)-MIN((14/24*L_m),la_m)/2)-wf_lg*MEDIAN(0,(14/24*L_m)-la_m,lf_m)*((14/24*L_m)-la_m-MEDIAN(0,(14/24*L_m)-la_m,lf_m)/2)-wl_lg*MAX(0,(14/24*L_m)-la_m-lf_m)*((14/24*L_m)-la_m-lf_m-MAX(0,(14/24*L_m)-la_m-lf_m)/2)-P_lg*MAX(0,(14/24*L_m)-xc_m))</f>
        <v/>
      </c>
    </row>
    <row r="19">
      <c r="D19">
        <f>IF(inputs_ok,IF(7&lt;nr_lg,a_lo+7*g_lg,NA()),NA())</f>
        <v/>
      </c>
      <c r="E19">
        <f>IF(7&lt;nr_lg,(7+1)*r_lg,NA())</f>
        <v/>
      </c>
      <c r="BC19">
        <f>IF(inputs_ok,15/24*L_lg,NA())</f>
        <v/>
      </c>
      <c r="BD19">
        <f>((MIN(-hl_lg,-w_lg)-0.1*L_lg)-0.12*L_lg)-(0.16*L_lg/MAX(M_lg,0.001))*(RA_lg*(15/24*L_m)-wl_lg*MIN((15/24*L_m),la_m)*((15/24*L_m)-MIN((15/24*L_m),la_m)/2)-wf_lg*MEDIAN(0,(15/24*L_m)-la_m,lf_m)*((15/24*L_m)-la_m-MEDIAN(0,(15/24*L_m)-la_m,lf_m)/2)-wl_lg*MAX(0,(15/24*L_m)-la_m-lf_m)*((15/24*L_m)-la_m-lf_m-MAX(0,(15/24*L_m)-la_m-lf_m)/2)-P_lg*MAX(0,(15/24*L_m)-xc_m))</f>
        <v/>
      </c>
    </row>
    <row r="20">
      <c r="D20">
        <f>IF(inputs_ok,IF(7&lt;nr_lg-1,a_lo+(7+1)*g_lg,NA()),NA())</f>
        <v/>
      </c>
      <c r="E20">
        <f>IF(7&lt;nr_lg-1,(7+1)*r_lg,NA())</f>
        <v/>
      </c>
      <c r="BC20">
        <f>IF(inputs_ok,16/24*L_lg,NA())</f>
        <v/>
      </c>
      <c r="BD20">
        <f>((MIN(-hl_lg,-w_lg)-0.1*L_lg)-0.12*L_lg)-(0.16*L_lg/MAX(M_lg,0.001))*(RA_lg*(16/24*L_m)-wl_lg*MIN((16/24*L_m),la_m)*((16/24*L_m)-MIN((16/24*L_m),la_m)/2)-wf_lg*MEDIAN(0,(16/24*L_m)-la_m,lf_m)*((16/24*L_m)-la_m-MEDIAN(0,(16/24*L_m)-la_m,lf_m)/2)-wl_lg*MAX(0,(16/24*L_m)-la_m-lf_m)*((16/24*L_m)-la_m-lf_m-MAX(0,(16/24*L_m)-la_m-lf_m)/2)-P_lg*MAX(0,(16/24*L_m)-xc_m))</f>
        <v/>
      </c>
    </row>
    <row r="21">
      <c r="D21">
        <f>IF(inputs_ok,IF(8&lt;nr_lg,a_lo+8*g_lg,NA()),NA())</f>
        <v/>
      </c>
      <c r="E21">
        <f>IF(8&lt;nr_lg,(8+1)*r_lg,NA())</f>
        <v/>
      </c>
      <c r="BC21">
        <f>IF(inputs_ok,17/24*L_lg,NA())</f>
        <v/>
      </c>
      <c r="BD21">
        <f>((MIN(-hl_lg,-w_lg)-0.1*L_lg)-0.12*L_lg)-(0.16*L_lg/MAX(M_lg,0.001))*(RA_lg*(17/24*L_m)-wl_lg*MIN((17/24*L_m),la_m)*((17/24*L_m)-MIN((17/24*L_m),la_m)/2)-wf_lg*MEDIAN(0,(17/24*L_m)-la_m,lf_m)*((17/24*L_m)-la_m-MEDIAN(0,(17/24*L_m)-la_m,lf_m)/2)-wl_lg*MAX(0,(17/24*L_m)-la_m-lf_m)*((17/24*L_m)-la_m-lf_m-MAX(0,(17/24*L_m)-la_m-lf_m)/2)-P_lg*MAX(0,(17/24*L_m)-xc_m))</f>
        <v/>
      </c>
    </row>
    <row r="22">
      <c r="D22">
        <f>IF(inputs_ok,IF(8&lt;nr_lg-1,a_lo+(8+1)*g_lg,NA()),NA())</f>
        <v/>
      </c>
      <c r="E22">
        <f>IF(8&lt;nr_lg-1,(8+1)*r_lg,NA())</f>
        <v/>
      </c>
      <c r="BC22">
        <f>IF(inputs_ok,18/24*L_lg,NA())</f>
        <v/>
      </c>
      <c r="BD22">
        <f>((MIN(-hl_lg,-w_lg)-0.1*L_lg)-0.12*L_lg)-(0.16*L_lg/MAX(M_lg,0.001))*(RA_lg*(18/24*L_m)-wl_lg*MIN((18/24*L_m),la_m)*((18/24*L_m)-MIN((18/24*L_m),la_m)/2)-wf_lg*MEDIAN(0,(18/24*L_m)-la_m,lf_m)*((18/24*L_m)-la_m-MEDIAN(0,(18/24*L_m)-la_m,lf_m)/2)-wl_lg*MAX(0,(18/24*L_m)-la_m-lf_m)*((18/24*L_m)-la_m-lf_m-MAX(0,(18/24*L_m)-la_m-lf_m)/2)-P_lg*MAX(0,(18/24*L_m)-xc_m))</f>
        <v/>
      </c>
    </row>
    <row r="23">
      <c r="D23">
        <f>IF(inputs_ok,IF(9&lt;nr_lg,a_lo+9*g_lg,NA()),NA())</f>
        <v/>
      </c>
      <c r="E23">
        <f>IF(9&lt;nr_lg,(9+1)*r_lg,NA())</f>
        <v/>
      </c>
      <c r="BC23">
        <f>IF(inputs_ok,19/24*L_lg,NA())</f>
        <v/>
      </c>
      <c r="BD23">
        <f>((MIN(-hl_lg,-w_lg)-0.1*L_lg)-0.12*L_lg)-(0.16*L_lg/MAX(M_lg,0.001))*(RA_lg*(19/24*L_m)-wl_lg*MIN((19/24*L_m),la_m)*((19/24*L_m)-MIN((19/24*L_m),la_m)/2)-wf_lg*MEDIAN(0,(19/24*L_m)-la_m,lf_m)*((19/24*L_m)-la_m-MEDIAN(0,(19/24*L_m)-la_m,lf_m)/2)-wl_lg*MAX(0,(19/24*L_m)-la_m-lf_m)*((19/24*L_m)-la_m-lf_m-MAX(0,(19/24*L_m)-la_m-lf_m)/2)-P_lg*MAX(0,(19/24*L_m)-xc_m))</f>
        <v/>
      </c>
    </row>
    <row r="24">
      <c r="D24">
        <f>IF(inputs_ok,IF(9&lt;nr_lg-1,a_lo+(9+1)*g_lg,NA()),NA())</f>
        <v/>
      </c>
      <c r="E24">
        <f>IF(9&lt;nr_lg-1,(9+1)*r_lg,NA())</f>
        <v/>
      </c>
      <c r="BC24">
        <f>IF(inputs_ok,20/24*L_lg,NA())</f>
        <v/>
      </c>
      <c r="BD24">
        <f>((MIN(-hl_lg,-w_lg)-0.1*L_lg)-0.12*L_lg)-(0.16*L_lg/MAX(M_lg,0.001))*(RA_lg*(20/24*L_m)-wl_lg*MIN((20/24*L_m),la_m)*((20/24*L_m)-MIN((20/24*L_m),la_m)/2)-wf_lg*MEDIAN(0,(20/24*L_m)-la_m,lf_m)*((20/24*L_m)-la_m-MEDIAN(0,(20/24*L_m)-la_m,lf_m)/2)-wl_lg*MAX(0,(20/24*L_m)-la_m-lf_m)*((20/24*L_m)-la_m-lf_m-MAX(0,(20/24*L_m)-la_m-lf_m)/2)-P_lg*MAX(0,(20/24*L_m)-xc_m))</f>
        <v/>
      </c>
    </row>
    <row r="25">
      <c r="D25">
        <f>IF(inputs_ok,IF(10&lt;nr_lg,a_lo+10*g_lg,NA()),NA())</f>
        <v/>
      </c>
      <c r="E25">
        <f>IF(10&lt;nr_lg,(10+1)*r_lg,NA())</f>
        <v/>
      </c>
      <c r="BC25">
        <f>IF(inputs_ok,21/24*L_lg,NA())</f>
        <v/>
      </c>
      <c r="BD25">
        <f>((MIN(-hl_lg,-w_lg)-0.1*L_lg)-0.12*L_lg)-(0.16*L_lg/MAX(M_lg,0.001))*(RA_lg*(21/24*L_m)-wl_lg*MIN((21/24*L_m),la_m)*((21/24*L_m)-MIN((21/24*L_m),la_m)/2)-wf_lg*MEDIAN(0,(21/24*L_m)-la_m,lf_m)*((21/24*L_m)-la_m-MEDIAN(0,(21/24*L_m)-la_m,lf_m)/2)-wl_lg*MAX(0,(21/24*L_m)-la_m-lf_m)*((21/24*L_m)-la_m-lf_m-MAX(0,(21/24*L_m)-la_m-lf_m)/2)-P_lg*MAX(0,(21/24*L_m)-xc_m))</f>
        <v/>
      </c>
    </row>
    <row r="26">
      <c r="D26">
        <f>IF(inputs_ok,IF(10&lt;nr_lg-1,a_lo+(10+1)*g_lg,NA()),NA())</f>
        <v/>
      </c>
      <c r="E26">
        <f>IF(10&lt;nr_lg-1,(10+1)*r_lg,NA())</f>
        <v/>
      </c>
      <c r="BC26">
        <f>IF(inputs_ok,22/24*L_lg,NA())</f>
        <v/>
      </c>
      <c r="BD26">
        <f>((MIN(-hl_lg,-w_lg)-0.1*L_lg)-0.12*L_lg)-(0.16*L_lg/MAX(M_lg,0.001))*(RA_lg*(22/24*L_m)-wl_lg*MIN((22/24*L_m),la_m)*((22/24*L_m)-MIN((22/24*L_m),la_m)/2)-wf_lg*MEDIAN(0,(22/24*L_m)-la_m,lf_m)*((22/24*L_m)-la_m-MEDIAN(0,(22/24*L_m)-la_m,lf_m)/2)-wl_lg*MAX(0,(22/24*L_m)-la_m-lf_m)*((22/24*L_m)-la_m-lf_m-MAX(0,(22/24*L_m)-la_m-lf_m)/2)-P_lg*MAX(0,(22/24*L_m)-xc_m))</f>
        <v/>
      </c>
    </row>
    <row r="27">
      <c r="D27">
        <f>IF(inputs_ok,IF(11&lt;nr_lg,a_lo+11*g_lg,NA()),NA())</f>
        <v/>
      </c>
      <c r="E27">
        <f>IF(11&lt;nr_lg,(11+1)*r_lg,NA())</f>
        <v/>
      </c>
      <c r="BC27">
        <f>IF(inputs_ok,23/24*L_lg,NA())</f>
        <v/>
      </c>
      <c r="BD27">
        <f>((MIN(-hl_lg,-w_lg)-0.1*L_lg)-0.12*L_lg)-(0.16*L_lg/MAX(M_lg,0.001))*(RA_lg*(23/24*L_m)-wl_lg*MIN((23/24*L_m),la_m)*((23/24*L_m)-MIN((23/24*L_m),la_m)/2)-wf_lg*MEDIAN(0,(23/24*L_m)-la_m,lf_m)*((23/24*L_m)-la_m-MEDIAN(0,(23/24*L_m)-la_m,lf_m)/2)-wl_lg*MAX(0,(23/24*L_m)-la_m-lf_m)*((23/24*L_m)-la_m-lf_m-MAX(0,(23/24*L_m)-la_m-lf_m)/2)-P_lg*MAX(0,(23/24*L_m)-xc_m))</f>
        <v/>
      </c>
    </row>
    <row r="28">
      <c r="D28">
        <f>IF(inputs_ok,IF(11&lt;nr_lg-1,a_lo+(11+1)*g_lg,NA()),NA())</f>
        <v/>
      </c>
      <c r="E28">
        <f>IF(11&lt;nr_lg-1,(11+1)*r_lg,NA())</f>
        <v/>
      </c>
      <c r="BC28">
        <f>IF(inputs_ok,24/24*L_lg,NA())</f>
        <v/>
      </c>
      <c r="BD28">
        <f>((MIN(-hl_lg,-w_lg)-0.1*L_lg)-0.12*L_lg)-(0.16*L_lg/MAX(M_lg,0.001))*(RA_lg*(24/24*L_m)-wl_lg*MIN((24/24*L_m),la_m)*((24/24*L_m)-MIN((24/24*L_m),la_m)/2)-wf_lg*MEDIAN(0,(24/24*L_m)-la_m,lf_m)*((24/24*L_m)-la_m-MEDIAN(0,(24/24*L_m)-la_m,lf_m)/2)-wl_lg*MAX(0,(24/24*L_m)-la_m-lf_m)*((24/24*L_m)-la_m-lf_m-MAX(0,(24/24*L_m)-la_m-lf_m)/2)-P_lg*MAX(0,(24/24*L_m)-xc_m))</f>
        <v/>
      </c>
    </row>
    <row r="29">
      <c r="D29">
        <f>IF(inputs_ok,IF(12&lt;nr_lg,a_lo+12*g_lg,NA()),NA())</f>
        <v/>
      </c>
      <c r="E29">
        <f>IF(12&lt;nr_lg,(12+1)*r_lg,NA())</f>
        <v/>
      </c>
      <c r="BC29">
        <f>IF(inputs_ok,L_lg,NA())</f>
        <v/>
      </c>
      <c r="BD29">
        <f>((MIN(-hl_lg,-w_lg)-0.1*L_lg)-0.12*L_lg)</f>
        <v/>
      </c>
    </row>
    <row r="30">
      <c r="D30">
        <f>IF(inputs_ok,IF(12&lt;nr_lg-1,a_lo+(12+1)*g_lg,NA()),NA())</f>
        <v/>
      </c>
      <c r="E30">
        <f>IF(12&lt;nr_lg-1,(12+1)*r_lg,NA())</f>
        <v/>
      </c>
    </row>
    <row r="31">
      <c r="D31">
        <f>IF(inputs_ok,IF(13&lt;nr_lg,a_lo+13*g_lg,NA()),NA())</f>
        <v/>
      </c>
      <c r="E31">
        <f>IF(13&lt;nr_lg,(13+1)*r_lg,NA())</f>
        <v/>
      </c>
    </row>
    <row r="32">
      <c r="D32">
        <f>IF(inputs_ok,IF(13&lt;nr_lg-1,a_lo+(13+1)*g_lg,NA()),NA())</f>
        <v/>
      </c>
      <c r="E32">
        <f>IF(13&lt;nr_lg-1,(13+1)*r_lg,NA())</f>
        <v/>
      </c>
    </row>
    <row r="33">
      <c r="D33">
        <f>IF(inputs_ok,IF(14&lt;nr_lg,a_lo+14*g_lg,NA()),NA())</f>
        <v/>
      </c>
      <c r="E33">
        <f>IF(14&lt;nr_lg,(14+1)*r_lg,NA())</f>
        <v/>
      </c>
    </row>
    <row r="34">
      <c r="D34">
        <f>IF(inputs_ok,IF(14&lt;nr_lg-1,a_lo+(14+1)*g_lg,NA()),NA())</f>
        <v/>
      </c>
      <c r="E34">
        <f>IF(14&lt;nr_lg-1,(14+1)*r_lg,NA())</f>
        <v/>
      </c>
    </row>
    <row r="35">
      <c r="D35">
        <f>IF(inputs_ok,IF(15&lt;nr_lg,a_lo+15*g_lg,NA()),NA())</f>
        <v/>
      </c>
      <c r="E35">
        <f>IF(15&lt;nr_lg,(15+1)*r_lg,NA())</f>
        <v/>
      </c>
    </row>
    <row r="36">
      <c r="D36">
        <f>IF(inputs_ok,IF(15&lt;nr_lg-1,a_lo+(15+1)*g_lg,NA()),NA())</f>
        <v/>
      </c>
      <c r="E36">
        <f>IF(15&lt;nr_lg-1,(15+1)*r_lg,NA())</f>
        <v/>
      </c>
    </row>
    <row r="37">
      <c r="D37">
        <f>IF(inputs_ok,IF(16&lt;nr_lg,a_lo+16*g_lg,NA()),NA())</f>
        <v/>
      </c>
      <c r="E37">
        <f>IF(16&lt;nr_lg,(16+1)*r_lg,NA())</f>
        <v/>
      </c>
    </row>
    <row r="38">
      <c r="D38">
        <f>IF(inputs_ok,IF(16&lt;nr_lg-1,a_lo+(16+1)*g_lg,NA()),NA())</f>
        <v/>
      </c>
      <c r="E38">
        <f>IF(16&lt;nr_lg-1,(16+1)*r_lg,NA())</f>
        <v/>
      </c>
    </row>
    <row r="39">
      <c r="D39">
        <f>IF(inputs_ok,IF(17&lt;nr_lg,a_lo+17*g_lg,NA()),NA())</f>
        <v/>
      </c>
      <c r="E39">
        <f>IF(17&lt;nr_lg,(17+1)*r_lg,NA())</f>
        <v/>
      </c>
    </row>
    <row r="40">
      <c r="D40">
        <f>IF(inputs_ok,IF(17&lt;nr_lg-1,a_lo+(17+1)*g_lg,NA()),NA())</f>
        <v/>
      </c>
      <c r="E40">
        <f>IF(17&lt;nr_lg-1,(17+1)*r_lg,NA())</f>
        <v/>
      </c>
    </row>
    <row r="41">
      <c r="D41">
        <f>IF(inputs_ok,IF(18&lt;nr_lg,a_lo+18*g_lg,NA()),NA())</f>
        <v/>
      </c>
      <c r="E41">
        <f>IF(18&lt;nr_lg,(18+1)*r_lg,NA())</f>
        <v/>
      </c>
    </row>
    <row r="42">
      <c r="D42">
        <f>IF(inputs_ok,IF(18&lt;nr_lg-1,a_lo+(18+1)*g_lg,NA()),NA())</f>
        <v/>
      </c>
      <c r="E42">
        <f>IF(18&lt;nr_lg-1,(18+1)*r_lg,NA())</f>
        <v/>
      </c>
    </row>
    <row r="43">
      <c r="D43">
        <f>IF(inputs_ok,IF(19&lt;nr_lg,a_lo+19*g_lg,NA()),NA())</f>
        <v/>
      </c>
      <c r="E43">
        <f>IF(19&lt;nr_lg,(19+1)*r_lg,NA())</f>
        <v/>
      </c>
    </row>
    <row r="44">
      <c r="D44">
        <f>IF(inputs_ok,IF(19&lt;nr_lg-1,a_lo+(19+1)*g_lg,NA()),NA())</f>
        <v/>
      </c>
      <c r="E44">
        <f>IF(19&lt;nr_lg-1,(19+1)*r_lg,NA())</f>
        <v/>
      </c>
    </row>
    <row r="45">
      <c r="D45">
        <f>IF(inputs_ok,IF(20&lt;nr_lg,a_lo+20*g_lg,NA()),NA())</f>
        <v/>
      </c>
      <c r="E45">
        <f>IF(20&lt;nr_lg,(20+1)*r_lg,NA())</f>
        <v/>
      </c>
    </row>
    <row r="46">
      <c r="D46">
        <f>IF(inputs_ok,IF(20&lt;nr_lg-1,a_lo+(20+1)*g_lg,NA()),NA())</f>
        <v/>
      </c>
      <c r="E46">
        <f>IF(20&lt;nr_lg-1,(20+1)*r_lg,NA())</f>
        <v/>
      </c>
    </row>
    <row r="47">
      <c r="D47">
        <f>IF(inputs_ok,IF(21&lt;nr_lg,a_lo+21*g_lg,NA()),NA())</f>
        <v/>
      </c>
      <c r="E47">
        <f>IF(21&lt;nr_lg,(21+1)*r_lg,NA())</f>
        <v/>
      </c>
    </row>
    <row r="48">
      <c r="D48">
        <f>IF(inputs_ok,IF(21&lt;nr_lg-1,a_lo+(21+1)*g_lg,NA()),NA())</f>
        <v/>
      </c>
      <c r="E48">
        <f>IF(21&lt;nr_lg-1,(21+1)*r_lg,NA())</f>
        <v/>
      </c>
    </row>
    <row r="49">
      <c r="D49">
        <f>IF(inputs_ok,IF(22&lt;nr_lg,a_lo+22*g_lg,NA()),NA())</f>
        <v/>
      </c>
      <c r="E49">
        <f>IF(22&lt;nr_lg,(22+1)*r_lg,NA())</f>
        <v/>
      </c>
    </row>
    <row r="50">
      <c r="D50">
        <f>IF(inputs_ok,IF(22&lt;nr_lg-1,a_lo+(22+1)*g_lg,NA()),NA())</f>
        <v/>
      </c>
      <c r="E50">
        <f>IF(22&lt;nr_lg-1,(22+1)*r_lg,NA())</f>
        <v/>
      </c>
    </row>
    <row r="51">
      <c r="D51">
        <f>IF(inputs_ok,IF(23&lt;nr_lg,a_lo+23*g_lg,NA()),NA())</f>
        <v/>
      </c>
      <c r="E51">
        <f>IF(23&lt;nr_lg,(23+1)*r_lg,NA())</f>
        <v/>
      </c>
    </row>
    <row r="52">
      <c r="D52">
        <f>IF(inputs_ok,IF(23&lt;nr_lg-1,a_lo+(23+1)*g_lg,NA()),NA())</f>
        <v/>
      </c>
      <c r="E52">
        <f>IF(23&lt;nr_lg-1,(23+1)*r_lg,NA())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7"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8" t="inlineStr">
        <is>
          <t>Parameter</t>
        </is>
      </c>
      <c r="C5" s="48" t="inlineStr">
        <is>
          <t>Clause</t>
        </is>
      </c>
      <c r="D5" s="48" t="inlineStr">
        <is>
          <t>UK NA</t>
        </is>
      </c>
      <c r="E5" s="48" t="inlineStr">
        <is>
          <t>PL NA</t>
        </is>
      </c>
      <c r="F5" s="48" t="inlineStr">
        <is>
          <t>Notes</t>
        </is>
      </c>
    </row>
    <row r="6">
      <c r="B6" s="49" t="inlineStr">
        <is>
          <t>Partial factor, concrete  γc</t>
        </is>
      </c>
      <c r="C6" s="50" t="inlineStr">
        <is>
          <t>2.4.2.4(1)</t>
        </is>
      </c>
      <c r="D6" s="51" t="n">
        <v>1.5</v>
      </c>
      <c r="E6" s="51" t="n">
        <v>1.4</v>
      </c>
      <c r="F6" s="50" t="inlineStr">
        <is>
          <t>Persistent &amp; transient. UK NA: recommended; PL: NA.2, Table NA.2</t>
        </is>
      </c>
    </row>
    <row r="7">
      <c r="B7" s="49" t="inlineStr">
        <is>
          <t>Partial factor, reinforcement  γs</t>
        </is>
      </c>
      <c r="C7" s="50" t="inlineStr">
        <is>
          <t>2.4.2.4(1)</t>
        </is>
      </c>
      <c r="D7" s="51" t="n">
        <v>1.15</v>
      </c>
      <c r="E7" s="51" t="n">
        <v>1.15</v>
      </c>
      <c r="F7" s="50" t="inlineStr">
        <is>
          <t>UK NA: recommended; PL: NA.2, Table NA.2</t>
        </is>
      </c>
    </row>
    <row r="8">
      <c r="B8" s="49" t="inlineStr">
        <is>
          <t>αcc  (compression in flexure / axial)</t>
        </is>
      </c>
      <c r="C8" s="50" t="inlineStr">
        <is>
          <t>3.1.6(1)</t>
        </is>
      </c>
      <c r="D8" s="51" t="n">
        <v>0.85</v>
      </c>
      <c r="E8" s="51" t="n">
        <v>1</v>
      </c>
      <c r="F8" s="50" t="inlineStr">
        <is>
          <t>UK NA: 0.85; PL: recommended (NA.9)</t>
        </is>
      </c>
    </row>
    <row r="9">
      <c r="B9" s="49" t="inlineStr">
        <is>
          <t>αcc,pl  (plain concrete, compression)</t>
        </is>
      </c>
      <c r="C9" s="50" t="inlineStr">
        <is>
          <t>12.3.1(1)</t>
        </is>
      </c>
      <c r="D9" s="51" t="n">
        <v>0.6</v>
      </c>
      <c r="E9" s="51" t="n">
        <v>0.8</v>
      </c>
      <c r="F9" s="50" t="inlineStr">
        <is>
          <t>UK NA Table NA.1: 0.6; PL: recommended (NA.9)</t>
        </is>
      </c>
    </row>
    <row r="10">
      <c r="B10" s="49" t="inlineStr">
        <is>
          <t>αcc  (shear and punching)</t>
        </is>
      </c>
      <c r="C10" s="50" t="inlineStr">
        <is>
          <t>3.1.6(1)</t>
        </is>
      </c>
      <c r="D10" s="51" t="n">
        <v>1</v>
      </c>
      <c r="E10" s="51" t="n">
        <v>1</v>
      </c>
      <c r="F10" s="50" t="inlineStr">
        <is>
          <t>UK NA: 1.0 for other phenomena; PL: recommended (NA.9)</t>
        </is>
      </c>
    </row>
    <row r="11">
      <c r="B11" s="49" t="inlineStr">
        <is>
          <t>αct  (design tensile strength)</t>
        </is>
      </c>
      <c r="C11" s="50" t="inlineStr">
        <is>
          <t>3.1.6(2)</t>
        </is>
      </c>
      <c r="D11" s="51" t="n">
        <v>1</v>
      </c>
      <c r="E11" s="51" t="n">
        <v>1</v>
      </c>
      <c r="F11" s="50" t="inlineStr">
        <is>
          <t>Recommended value in both annexes</t>
        </is>
      </c>
    </row>
    <row r="12">
      <c r="B12" s="49" t="inlineStr">
        <is>
          <t>CRd,c numerator  (CRd,c = value / γc)</t>
        </is>
      </c>
      <c r="C12" s="50" t="inlineStr">
        <is>
          <t>6.2.2(1), 6.4.4(1)</t>
        </is>
      </c>
      <c r="D12" s="51" t="n">
        <v>0.18</v>
      </c>
      <c r="E12" s="51" t="n">
        <v>0.18</v>
      </c>
      <c r="F12" s="50" t="inlineStr">
        <is>
          <t>Recommended value in both annexes</t>
        </is>
      </c>
    </row>
    <row r="13">
      <c r="B13" s="49" t="inlineStr">
        <is>
          <t>k1  (axial stress term, punching)</t>
        </is>
      </c>
      <c r="C13" s="50" t="inlineStr">
        <is>
          <t>6.4.4(1)</t>
        </is>
      </c>
      <c r="D13" s="51" t="n">
        <v>0.1</v>
      </c>
      <c r="E13" s="51" t="n">
        <v>0.1</v>
      </c>
      <c r="F13" s="50" t="inlineStr">
        <is>
          <t>Recommended value in both annexes</t>
        </is>
      </c>
    </row>
    <row r="14">
      <c r="B14" s="49" t="inlineStr">
        <is>
          <t>vRd,max factor  (vRd,max = factor · ν · fcd)</t>
        </is>
      </c>
      <c r="C14" s="50" t="inlineStr">
        <is>
          <t>6.4.5(3)</t>
        </is>
      </c>
      <c r="D14" s="51" t="n">
        <v>0.5</v>
      </c>
      <c r="E14" s="51" t="n">
        <v>0.4</v>
      </c>
      <c r="F14" s="50" t="inlineStr">
        <is>
          <t>UK NA: 0.5 ν fcd; PL: recommended value (NA.9), 0.4 ν fcd since EN 1992-1-1 AC:2010 (PN-EN 1992-1-1:2008/AC:2011)</t>
        </is>
      </c>
    </row>
    <row r="15">
      <c r="B15" s="49" t="inlineStr">
        <is>
          <t>kmax  (vEd ≤ kmax · vRd,c at u1)</t>
        </is>
      </c>
      <c r="C15" s="50" t="inlineStr">
        <is>
          <t>6.4.5</t>
        </is>
      </c>
      <c r="D15" s="51" t="n">
        <v>2</v>
      </c>
      <c r="E15" s="51" t="n">
        <v>1.5</v>
      </c>
      <c r="F15" s="50" t="inlineStr">
        <is>
          <t>UK NA 6.4.5(3): 2 vRd,c. PL: no limit in PN-EN 1992-1-1:2008; 1.5 (A1:2014 recommendation) applied conservatively</t>
        </is>
      </c>
    </row>
    <row r="16">
      <c r="B16" s="49" t="inlineStr">
        <is>
          <t>φlarge  (large bar threshold, mm)</t>
        </is>
      </c>
      <c r="C16" s="50" t="inlineStr">
        <is>
          <t>8.8(1)</t>
        </is>
      </c>
      <c r="D16" s="51" t="n">
        <v>40</v>
      </c>
      <c r="E16" s="51" t="n">
        <v>32</v>
      </c>
      <c r="F16" s="50" t="inlineStr">
        <is>
          <t>UK NA: 40 mm; PL: 32 mm recommended (NA.9)</t>
        </is>
      </c>
    </row>
    <row r="17">
      <c r="B17" s="49" t="inlineStr">
        <is>
          <t>cot θ upper limit  (variable strut)</t>
        </is>
      </c>
      <c r="C17" s="50" t="inlineStr">
        <is>
          <t>6.2.3(2)</t>
        </is>
      </c>
      <c r="D17" s="51" t="n">
        <v>2.5</v>
      </c>
      <c r="E17" s="51" t="n">
        <v>2</v>
      </c>
      <c r="F17" s="50" t="inlineStr">
        <is>
          <t>UK NA: 2.5 (1.25 with axial tension); PL: NA.4, 1 ≤ cot θ ≤ 2.0</t>
        </is>
      </c>
    </row>
    <row r="18">
      <c r="B18" s="49" t="inlineStr">
        <is>
          <t>k1  (x/d limit, δ ≥ k1 + k2 xu/d)</t>
        </is>
      </c>
      <c r="C18" s="50" t="inlineStr">
        <is>
          <t>5.5(4)</t>
        </is>
      </c>
      <c r="D18" s="51" t="n">
        <v>0.4</v>
      </c>
      <c r="E18" s="51" t="n">
        <v>0.44</v>
      </c>
      <c r="F18" s="50" t="inlineStr">
        <is>
          <t>UK NA for fyk ≤ 500 MPa; PL: recommended (NA.9)</t>
        </is>
      </c>
    </row>
    <row r="19">
      <c r="B19" s="49" t="inlineStr">
        <is>
          <t>k2  (x/d limit, εcu2 = 0.0035)</t>
        </is>
      </c>
      <c r="C19" s="50" t="inlineStr">
        <is>
          <t>5.5(4)</t>
        </is>
      </c>
      <c r="D19" s="51" t="n">
        <v>1</v>
      </c>
      <c r="E19" s="51" t="n">
        <v>1.25</v>
      </c>
      <c r="F19" s="50" t="inlineStr">
        <is>
          <t>UK NA: 0.6 + 0.0014/εcu2; PL: 1.25(0.6 + 0.0014/εcu2)</t>
        </is>
      </c>
    </row>
    <row r="20">
      <c r="B20" s="49" t="inlineStr">
        <is>
          <t>Upper limit on the (310/σs) factor  (0 = none)</t>
        </is>
      </c>
      <c r="C20" s="50" t="inlineStr">
        <is>
          <t>7.4.2(2)</t>
        </is>
      </c>
      <c r="D20" s="51" t="n">
        <v>1.5</v>
      </c>
      <c r="E20" s="51" t="n">
        <v>0</v>
      </c>
      <c r="F20" s="50" t="inlineStr">
        <is>
          <t>UK NA Table NA.5 Note 5: (310/σs) or (500/fyk)(As,prov/As,req) ≤ 1.5; PL: none</t>
        </is>
      </c>
    </row>
    <row r="21">
      <c r="B21" s="49" t="inlineStr">
        <is>
          <t>L/d not to exceed 40 K  (1 = applies)</t>
        </is>
      </c>
      <c r="C21" s="50" t="inlineStr">
        <is>
          <t>7.4.2(2)</t>
        </is>
      </c>
      <c r="D21" s="51" t="n">
        <v>1</v>
      </c>
      <c r="E21" s="51" t="n">
        <v>0</v>
      </c>
      <c r="F21" s="50" t="inlineStr">
        <is>
          <t>UK NA Table NA.5 Note 6; not in EN text</t>
        </is>
      </c>
    </row>
    <row r="22">
      <c r="B22" s="49" t="inlineStr">
        <is>
          <t>φmin  (longitudinal bars in columns, mm)</t>
        </is>
      </c>
      <c r="C22" s="50" t="inlineStr">
        <is>
          <t>9.5.2(1)</t>
        </is>
      </c>
      <c r="D22" s="51" t="n">
        <v>12</v>
      </c>
      <c r="E22" s="51" t="n">
        <v>6</v>
      </c>
      <c r="F22" s="50" t="inlineStr">
        <is>
          <t>UK NA: 12 mm; PL: NA.6, 6 mm</t>
        </is>
      </c>
    </row>
    <row r="23">
      <c r="B23" s="49" t="inlineStr">
        <is>
          <t>k3  (crack spacing)</t>
        </is>
      </c>
      <c r="C23" s="50" t="inlineStr">
        <is>
          <t>7.3.4(3)</t>
        </is>
      </c>
      <c r="D23" s="51" t="n">
        <v>3.4</v>
      </c>
      <c r="E23" s="51" t="n">
        <v>3.4</v>
      </c>
      <c r="F23" s="50" t="inlineStr">
        <is>
          <t>Recommended value in both annexes</t>
        </is>
      </c>
    </row>
    <row r="24">
      <c r="B24" s="49" t="inlineStr">
        <is>
          <t>k4  (crack spacing)</t>
        </is>
      </c>
      <c r="C24" s="50" t="inlineStr">
        <is>
          <t>7.3.4(3)</t>
        </is>
      </c>
      <c r="D24" s="51" t="n">
        <v>0.425</v>
      </c>
      <c r="E24" s="51" t="n">
        <v>0.425</v>
      </c>
      <c r="F24" s="50" t="inlineStr">
        <is>
          <t>Recommended value in both annexes</t>
        </is>
      </c>
    </row>
    <row r="25">
      <c r="B25" s="49" t="inlineStr">
        <is>
          <t>k1  (concrete stress, characteristic; XD, XF, XS)</t>
        </is>
      </c>
      <c r="C25" s="50" t="inlineStr">
        <is>
          <t>7.2(2)</t>
        </is>
      </c>
      <c r="D25" s="51" t="n">
        <v>0.6</v>
      </c>
      <c r="E25" s="51" t="n">
        <v>1</v>
      </c>
      <c r="F25" s="50" t="inlineStr">
        <is>
          <t>UK NA: recommended; PL: NA.5, k1 = 1.0</t>
        </is>
      </c>
    </row>
    <row r="26">
      <c r="B26" s="49" t="inlineStr">
        <is>
          <t>k2  (concrete stress, quasi-permanent; linear creep)</t>
        </is>
      </c>
      <c r="C26" s="50" t="inlineStr">
        <is>
          <t>7.2(3)</t>
        </is>
      </c>
      <c r="D26" s="51" t="n">
        <v>0.45</v>
      </c>
      <c r="E26" s="51" t="n">
        <v>0.45</v>
      </c>
      <c r="F26" s="50" t="inlineStr">
        <is>
          <t>Recommended value in both annexes (UK NA; PL NA.9)</t>
        </is>
      </c>
    </row>
    <row r="27">
      <c r="B27" s="49" t="inlineStr">
        <is>
          <t>k3  (steel stress, characteristic)</t>
        </is>
      </c>
      <c r="C27" s="50" t="inlineStr">
        <is>
          <t>7.2(5)</t>
        </is>
      </c>
      <c r="D27" s="51" t="n">
        <v>0.8</v>
      </c>
      <c r="E27" s="51" t="n">
        <v>0.8</v>
      </c>
      <c r="F27" s="50" t="inlineStr">
        <is>
          <t>Recommended value in both annexes (UK NA; PL NA.9)</t>
        </is>
      </c>
    </row>
    <row r="28">
      <c r="B28" s="49" t="inlineStr">
        <is>
          <t>k4  (steel stress, imposed deformation)</t>
        </is>
      </c>
      <c r="C28" s="50" t="inlineStr">
        <is>
          <t>7.2(5)</t>
        </is>
      </c>
      <c r="D28" s="51" t="n">
        <v>1</v>
      </c>
      <c r="E28" s="51" t="n">
        <v>1</v>
      </c>
      <c r="F28" s="50"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&amp;K8A8A8ANAE-RC-024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NAE-RC-024 Stair with landings</dc:title>
  <dc:subject xmlns:dc="http://purl.org/dc/elements/1.1/">Flight and landings spanning together between end supports  ·  EN 1992-1-1 §6.1, §6.2, §7.4, §9.3  ·  UK NA / PN-EN</dc:subject>
  <dcterms:created xmlns:dcterms="http://purl.org/dc/terms/" xmlns:xsi="http://www.w3.org/2001/XMLSchema-instance" xsi:type="dcterms:W3CDTF">2026-10-30T10:58:38Z</dcterms:created>
  <dcterms:modified xmlns:dcterms="http://purl.org/dc/terms/" xmlns:xsi="http://www.w3.org/2001/XMLSchema-instance" xsi:type="dcterms:W3CDTF">2026-10-30T10:58:38Z</dcterms:modified>
  <cp:lastModifiedBy>NA Engineering sp. z o.o.</cp:lastModifiedBy>
  <cp:keywords>NA Engineering; Eurocode 2; EN 1992-1-1</cp:keywords>
</cp:coreProperties>
</file>