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system">'Calculation'!$E$15</definedName>
    <definedName name="coef_conf">'Calculation'!$E$16</definedName>
    <definedName name="L_x">'Calculation'!$E$17</definedName>
    <definedName name="L_y">'Calculation'!$E$18</definedName>
    <definedName name="h_fs">'Calculation'!$E$19</definedName>
    <definedName name="c_nom">'Calculation'!$E$20</definedName>
    <definedName name="outer">'Calculation'!$E$21</definedName>
    <definedName name="phi_o">'Calculation'!$E$22</definedName>
    <definedName name="c_col">'Calculation'!$E$23</definedName>
    <definedName name="cs_hog">'Calculation'!$E$24</definedName>
    <definedName name="cs_sag">'Calculation'!$E$25</definedName>
    <definedName name="phi_ct">'Calculation'!$E$26</definedName>
    <definedName name="s_ct">'Calculation'!$E$27</definedName>
    <definedName name="phi_cb">'Calculation'!$E$28</definedName>
    <definedName name="s_cb">'Calculation'!$E$29</definedName>
    <definedName name="phi_mt">'Calculation'!$E$30</definedName>
    <definedName name="s_mt">'Calculation'!$E$31</definedName>
    <definedName name="phi_mb">'Calculation'!$E$32</definedName>
    <definedName name="s_mb">'Calculation'!$E$33</definedName>
    <definedName name="same_nb">'Calculation'!$E$34</definedName>
    <definedName name="cx_e">'Calculation'!$E$35</definedName>
    <definedName name="y_e">'Calculation'!$E$36</definedName>
    <definedName name="gk_fs">'Calculation'!$E$39</definedName>
    <definedName name="qk_fs">'Calculation'!$E$40</definedName>
    <definedName name="gamma_G">'Calculation'!$E$41</definedName>
    <definedName name="gamma_Q">'Calculation'!$E$42</definedName>
    <definedName name="partitions">'Calculation'!$E$43</definedName>
    <definedName name="inputs_ok">IFERROR(AND(OR(NA_sel="UK NA (BS EN)",NA_sel="PL NA (PN-EN)"),OR(conc_class="C20/25",conc_class="C25/30",conc_class="C28/35",conc_class="C30/37",conc_class="C32/40",conc_class="C35/45",conc_class="C40/50",conc_class="C45/55",conc_class="C50/60"),ISNUMBER(f_yk),f_yk&gt;0,ISNUMBER(d_g),d_g&gt;0,OR(system="End span – pinned end",system="End span – continuous end",system="Interior span next to an end span",system="Interior span",system="Interior span between two end spans"),OR(coef_conf="Yes",coef_conf="No"),ISNUMBER(L_x),L_x&gt;0,ISNUMBER(L_y),L_y&gt;0,ISNUMBER(h_fs),h_fs&gt;0,ISNUMBER(c_nom),c_nom&gt;0,OR(outer="Yes",outer="No"),OR(AND(ISNUMBER(phi_o),phi_o=8),AND(ISNUMBER(phi_o),phi_o=10),AND(ISNUMBER(phi_o),phi_o=12),AND(ISNUMBER(phi_o),phi_o=16),AND(ISNUMBER(phi_o),phi_o=20),AND(ISNUMBER(phi_o),phi_o=25),AND(ISNUMBER(phi_o),phi_o=32),AND(ISNUMBER(phi_o),phi_o=40)),ISNUMBER(c_col),c_col&gt;0,ISNUMBER(cs_hog),cs_hog&gt;0,ISNUMBER(cs_sag),cs_sag&gt;0,OR(AND(ISNUMBER(phi_ct),phi_ct=8),AND(ISNUMBER(phi_ct),phi_ct=10),AND(ISNUMBER(phi_ct),phi_ct=12),AND(ISNUMBER(phi_ct),phi_ct=16),AND(ISNUMBER(phi_ct),phi_ct=20),AND(ISNUMBER(phi_ct),phi_ct=25),AND(ISNUMBER(phi_ct),phi_ct=32),AND(ISNUMBER(phi_ct),phi_ct=40)),ISNUMBER(s_ct),s_ct&gt;0,OR(AND(ISNUMBER(phi_cb),phi_cb=8),AND(ISNUMBER(phi_cb),phi_cb=10),AND(ISNUMBER(phi_cb),phi_cb=12),AND(ISNUMBER(phi_cb),phi_cb=16),AND(ISNUMBER(phi_cb),phi_cb=20),AND(ISNUMBER(phi_cb),phi_cb=25),AND(ISNUMBER(phi_cb),phi_cb=32),AND(ISNUMBER(phi_cb),phi_cb=40)),ISNUMBER(s_cb),s_cb&gt;0,OR(AND(ISNUMBER(phi_mt),phi_mt=8),AND(ISNUMBER(phi_mt),phi_mt=10),AND(ISNUMBER(phi_mt),phi_mt=12),AND(ISNUMBER(phi_mt),phi_mt=16),AND(ISNUMBER(phi_mt),phi_mt=20),AND(ISNUMBER(phi_mt),phi_mt=25),AND(ISNUMBER(phi_mt),phi_mt=32),AND(ISNUMBER(phi_mt),phi_mt=40)),ISNUMBER(s_mt),s_mt&gt;0,OR(AND(ISNUMBER(phi_mb),phi_mb=8),AND(ISNUMBER(phi_mb),phi_mb=10),AND(ISNUMBER(phi_mb),phi_mb=12),AND(ISNUMBER(phi_mb),phi_mb=16),AND(ISNUMBER(phi_mb),phi_mb=20),AND(ISNUMBER(phi_mb),phi_mb=25),AND(ISNUMBER(phi_mb),phi_mb=32),AND(ISNUMBER(phi_mb),phi_mb=40)),ISNUMBER(s_mb),s_mb&gt;0,OR(same_nb="Yes",same_nb="No"),IF(sys_i=2,IF(ISNUMBER(cx_e),cx_e&gt;0,FALSE),TRUE),IF(sys_i=2,IF(ISNUMBER(y_e),y_e&gt;0,FALSE),TRUE),ISNUMBER(gk_fs),gk_fs&gt;=0,ISNUMBER(qk_fs),qk_fs&gt;=0,ISNUMBER(gamma_G),gamma_G&gt;0,ISNUMBER(gamma_Q),gamma_Q&gt;0,OR(partitions="No",partitions="Yes"),AND(f_yk&gt;=400,f_yk&lt;=500,cs_hog&gt;=0.6,cs_hog&lt;=0.8,cs_sag&gt;=0.5,cs_sag&lt;=0.7,h_fs&gt;2*c_nom+2*phi_o+MAX(phi_ct,phi_mt)+MAX(phi_cb,phi_mb),c_col&lt;MIN(L_x,L_y)/2,s_ct&gt;=50,s_cb&gt;=50,s_mt&gt;=50,s_mb&gt;=50,MAX(L_x,L_y)&lt;=2*MIN(L_x,L_y))),FALSE)</definedName>
    <definedName name="input_status">'Calculation'!$G$44</definedName>
    <definedName name="sys_i">MATCH(system,{"End span – pinned end","End span – continuous end","Interior span next to an end span","Interior span","Interior span between two end spans"},0)</definedName>
    <definedName name="coef_ok">AND(coef_conf="Yes",qk_fs&lt;=1.25*(gk_fs+g_sw),qk_fs&lt;=5,L_x*L_y&gt;30E6)</definedName>
    <definedName name="ok_ch">IFERROR(AND(Asp_ch&gt;=MAX(Asr_ch,Asmin_ch),s_ct&lt;=s_maxm,xd_ch&lt;=xi_sl),FALSE)</definedName>
    <definedName name="ok_cs">IFERROR(AND(Asp_cs&gt;=MAX(Asr_cs,Asmin_cs),s_cb&lt;=s_maxm),FALSE)</definedName>
    <definedName name="ok_mh">IFERROR(AND(Asp_mh&gt;=MAX(Asr_mh,Asmin_mh),s_mt&lt;=s_maxm,xd_mh&lt;=xi_sl),FALSE)</definedName>
    <definedName name="ok_ms">IFERROR(AND(Asp_ms&gt;=MAX(Asr_ms,Asmin_ms),s_mb&lt;=s_maxm),FALSE)</definedName>
    <definedName name="conc_ok">IFERROR(Asp_ch*0.25*L_y/1000&gt;=0.5*(Asr_ch*w_cs+Asr_mh*w_ms)/1000,FALSE)</definedName>
    <definedName name="edge_ok">IF(sys_i=2,IFERROR(AND(M_lt&lt;=M_trmax,Ase_prov&gt;=Ase_req),FALSE),TRUE)</definedName>
    <definedName name="defl_ok">AND(ok_cs,ok_ms,ok_ch,ok_mh,IFERROR(ld_act&lt;=ld_lim,FALSE))</definedName>
    <definedName name="ch_status">'Calculation'!$G$47</definedName>
    <definedName name="cs_status">'Calculation'!$G$48</definedName>
    <definedName name="mh_status">'Calculation'!$G$49</definedName>
    <definedName name="ms_status">'Calculation'!$G$50</definedName>
    <definedName name="conc_status">'Calculation'!$G$51</definedName>
    <definedName name="edge_status">'Calculation'!$G$52</definedName>
    <definedName name="defl_status">'Calculation'!$G$53</definedName>
    <definedName name="det_status">'Calculation'!$G$54</definedName>
    <definedName name="coef_status">'Calculation'!$G$55</definedName>
    <definedName name="gamma_c">'Calculation'!$E$81</definedName>
    <definedName name="gamma_s">'Calculation'!$E$82</definedName>
    <definedName name="alpha_cc">'Calculation'!$E$83</definedName>
    <definedName name="k1_red">'Calculation'!$E$84</definedName>
    <definedName name="k2_red">'Calculation'!$E$85</definedName>
    <definedName name="ld_mod_max">'Calculation'!$E$86</definedName>
    <definedName name="ld_cap_40K">'Calculation'!$E$87</definedName>
    <definedName name="f_ck">'Calculation'!$E$88</definedName>
    <definedName name="f_ctm">'Calculation'!$E$89</definedName>
    <definedName name="f_cd">'Calculation'!$E$90</definedName>
    <definedName name="f_yd">'Calculation'!$E$91</definedName>
    <definedName name="g_sw">'Calculation'!$E$92</definedName>
    <definedName name="n_fs">'Calculation'!$E$93</definedName>
    <definedName name="F_fs">'Calculation'!$E$94</definedName>
    <definedName name="M_sp">'Calculation'!$E$95</definedName>
    <definedName name="M_lt">'Calculation'!$E$96</definedName>
    <definedName name="M_rt">'Calculation'!$E$97</definedName>
    <definedName name="M_hog">'Calculation'!$E$98</definedName>
    <definedName name="w_cs">'Calculation'!$E$99</definedName>
    <definedName name="w_ms">'Calculation'!$E$100</definedName>
    <definedName name="m_ch">'Calculation'!$E$101</definedName>
    <definedName name="m_cs">'Calculation'!$E$102</definedName>
    <definedName name="m_mh">'Calculation'!$E$103</definedName>
    <definedName name="m_ms">'Calculation'!$E$104</definedName>
    <definedName name="delta_sl">'Calculation'!$E$107</definedName>
    <definedName name="xi_sl">'Calculation'!$E$108</definedName>
    <definedName name="K_sl">'Calculation'!$E$109</definedName>
    <definedName name="d_t">'Calculation'!$E$110</definedName>
    <definedName name="d_b">'Calculation'!$E$111</definedName>
    <definedName name="s_maxm">'Calculation'!$E$112</definedName>
    <definedName name="K_ch">'Calculation'!$E$113</definedName>
    <definedName name="z_ch">'Calculation'!$E$114</definedName>
    <definedName name="Asr_ch">'Calculation'!$E$115</definedName>
    <definedName name="Asmin_ch">'Calculation'!$E$116</definedName>
    <definedName name="Asp_ch">'Calculation'!$E$117</definedName>
    <definedName name="xd_ch">'Calculation'!$E$118</definedName>
    <definedName name="K_cs">'Calculation'!$E$120</definedName>
    <definedName name="z_cs">'Calculation'!$E$121</definedName>
    <definedName name="Asr_cs">'Calculation'!$E$122</definedName>
    <definedName name="Asmin_cs">'Calculation'!$E$123</definedName>
    <definedName name="Asp_cs">'Calculation'!$E$124</definedName>
    <definedName name="xd_cs">'Calculation'!$E$125</definedName>
    <definedName name="K_mh">'Calculation'!$E$127</definedName>
    <definedName name="z_mh">'Calculation'!$E$128</definedName>
    <definedName name="Asr_mh">'Calculation'!$E$129</definedName>
    <definedName name="Asmin_mh">'Calculation'!$E$130</definedName>
    <definedName name="Asp_mh">'Calculation'!$E$131</definedName>
    <definedName name="xd_mh">'Calculation'!$E$132</definedName>
    <definedName name="K_ms">'Calculation'!$E$134</definedName>
    <definedName name="z_ms">'Calculation'!$E$135</definedName>
    <definedName name="Asr_ms">'Calculation'!$E$136</definedName>
    <definedName name="Asmin_ms">'Calculation'!$E$137</definedName>
    <definedName name="Asp_ms">'Calculation'!$E$138</definedName>
    <definedName name="xd_ms">'Calculation'!$E$139</definedName>
    <definedName name="conc_row">'Calculation'!$G$144</definedName>
    <definedName name="be_fs">'Calculation'!$E$145</definedName>
    <definedName name="M_trmax">'Calculation'!$E$146</definedName>
    <definedName name="Ase_req">'Calculation'!$E$147</definedName>
    <definedName name="Ase_prov">'Calculation'!$E$148</definedName>
    <definedName name="l_def">'Calculation'!$E$150</definedName>
    <definedName name="rho_d">'Calculation'!$E$151</definedName>
    <definedName name="rho_0">'Calculation'!$E$152</definedName>
    <definedName name="ld_bas">'Calculation'!$E$153</definedName>
    <definedName name="F2_fs">'Calculation'!$E$154</definedName>
    <definedName name="F3_fs">'Calculation'!$E$155</definedName>
    <definedName name="ld_lim">'Calculation'!$E$156</definedName>
    <definedName name="ld_act">'Calculation'!$E$157</definedName>
    <definedName name="gap_fs">'Calculation'!$E$159</definedName>
    <definedName name="gap_vfs">'Calculation'!$E$160</definedName>
    <definedName name="As_maxfs">'Calculation'!$E$161</definedName>
    <definedName name="det_fs">AND(gap_vfs&gt;=gap_fs,s_ct-phi_ct&gt;=gap_fs,s_cb-phi_cb&gt;=gap_fs,s_mt-phi_mt&gt;=gap_fs,s_mb-phi_mb&gt;=gap_fs,MAX(Asp_ch,Asp_cs,Asp_mh,Asp_ms)&lt;=As_maxfs)</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'Calculation'!$A$1:$H$166</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i val="1"/>
      <color rgb="008A8A8A"/>
      <sz val="8.5"/>
    </font>
    <font>
      <name val="Calibri"/>
      <family val="2"/>
      <i val="1"/>
      <color rgb="008A8A8A"/>
      <sz val="9"/>
      <scheme val="minor"/>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1">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9"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applyAlignment="1" pivotButton="0" quotePrefix="0" xfId="0">
      <alignment vertical="top" wrapText="1"/>
    </xf>
    <xf numFmtId="0" fontId="18"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5" fontId="12" fillId="0" borderId="1" applyAlignment="1" pivotButton="0" quotePrefix="0" xfId="0">
      <alignment horizontal="center" vertical="center"/>
    </xf>
    <xf numFmtId="166" fontId="5" fillId="0" borderId="1" applyAlignment="1" pivotButton="0" quotePrefix="0" xfId="0">
      <alignment horizontal="center" vertical="center"/>
    </xf>
    <xf numFmtId="167"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panel</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cs boundary 1</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'Geometry'!$G$3:$G$4</f>
            </numRef>
          </xVal>
          <yVal>
            <numRef>
              <f>'Geometry'!$H$3:$H$4</f>
            </numRef>
          </yVal>
          <smooth val="0"/>
        </ser>
        <ser>
          <idx val="3"/>
          <order val="3"/>
          <tx>
            <v>cs boundary 2</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'Geometry'!$J$3:$J$4</f>
            </numRef>
          </xVal>
          <yVal>
            <numRef>
              <f>'Geometry'!$K$3:$K$4</f>
            </numRef>
          </yVal>
          <smooth val="0"/>
        </ser>
        <ser>
          <idx val="4"/>
          <order val="4"/>
          <tx>
            <v>band 1l</v>
          </tx>
          <spPr>
            <a:ln xmlns:a="http://schemas.openxmlformats.org/drawingml/2006/main" w="12700">
              <a:solidFill>
                <a:srgbClr val="5B7F8A"/>
              </a:solidFill>
              <a:prstDash val="sysDot"/>
            </a:ln>
          </spPr>
          <marker>
            <symbol val="none"/>
            <spPr>
              <a:ln xmlns:a="http://schemas.openxmlformats.org/drawingml/2006/main">
                <a:prstDash val="solid"/>
              </a:ln>
            </spPr>
          </marker>
          <xVal>
            <numRef>
              <f>'Geometry'!$M$3:$M$4</f>
            </numRef>
          </xVal>
          <yVal>
            <numRef>
              <f>'Geometry'!$N$3:$N$4</f>
            </numRef>
          </yVal>
          <smooth val="0"/>
        </ser>
        <ser>
          <idx val="5"/>
          <order val="5"/>
          <tx>
            <v>band 1r</v>
          </tx>
          <spPr>
            <a:ln xmlns:a="http://schemas.openxmlformats.org/drawingml/2006/main" w="12700">
              <a:solidFill>
                <a:srgbClr val="5B7F8A"/>
              </a:solidFill>
              <a:prstDash val="sysDot"/>
            </a:ln>
          </spPr>
          <marker>
            <symbol val="none"/>
            <spPr>
              <a:ln xmlns:a="http://schemas.openxmlformats.org/drawingml/2006/main">
                <a:prstDash val="solid"/>
              </a:ln>
            </spPr>
          </marker>
          <xVal>
            <numRef>
              <f>'Geometry'!$P$3:$P$4</f>
            </numRef>
          </xVal>
          <yVal>
            <numRef>
              <f>'Geometry'!$Q$3:$Q$4</f>
            </numRef>
          </yVal>
          <smooth val="0"/>
        </ser>
        <ser>
          <idx val="6"/>
          <order val="6"/>
          <tx>
            <v>band 2l</v>
          </tx>
          <spPr>
            <a:ln xmlns:a="http://schemas.openxmlformats.org/drawingml/2006/main" w="12700">
              <a:solidFill>
                <a:srgbClr val="5B7F8A"/>
              </a:solidFill>
              <a:prstDash val="sysDot"/>
            </a:ln>
          </spPr>
          <marker>
            <symbol val="none"/>
            <spPr>
              <a:ln xmlns:a="http://schemas.openxmlformats.org/drawingml/2006/main">
                <a:prstDash val="solid"/>
              </a:ln>
            </spPr>
          </marker>
          <xVal>
            <numRef>
              <f>'Geometry'!$S$3:$S$4</f>
            </numRef>
          </xVal>
          <yVal>
            <numRef>
              <f>'Geometry'!$T$3:$T$4</f>
            </numRef>
          </yVal>
          <smooth val="0"/>
        </ser>
        <ser>
          <idx val="7"/>
          <order val="7"/>
          <tx>
            <v>band 2r</v>
          </tx>
          <spPr>
            <a:ln xmlns:a="http://schemas.openxmlformats.org/drawingml/2006/main" w="12700">
              <a:solidFill>
                <a:srgbClr val="5B7F8A"/>
              </a:solidFill>
              <a:prstDash val="sysDot"/>
            </a:ln>
          </spPr>
          <marker>
            <symbol val="none"/>
            <spPr>
              <a:ln xmlns:a="http://schemas.openxmlformats.org/drawingml/2006/main">
                <a:prstDash val="solid"/>
              </a:ln>
            </spPr>
          </marker>
          <xVal>
            <numRef>
              <f>'Geometry'!$V$3:$V$4</f>
            </numRef>
          </xVal>
          <yVal>
            <numRef>
              <f>'Geometry'!$W$3:$W$4</f>
            </numRef>
          </yVal>
          <smooth val="0"/>
        </ser>
        <ser>
          <idx val="8"/>
          <order val="8"/>
          <tx>
            <v>column 0</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'Geometry'!$Y$3:$Y$7</f>
            </numRef>
          </xVal>
          <yVal>
            <numRef>
              <f>'Geometry'!$Z$3:$Z$7</f>
            </numRef>
          </yVal>
          <smooth val="0"/>
        </ser>
        <ser>
          <idx val="9"/>
          <order val="9"/>
          <tx>
            <v>column 1</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'Geometry'!$AB$3:$AB$7</f>
            </numRef>
          </xVal>
          <yVal>
            <numRef>
              <f>'Geometry'!$AC$3:$AC$7</f>
            </numRef>
          </yVal>
          <smooth val="0"/>
        </ser>
        <ser>
          <idx val="10"/>
          <order val="10"/>
          <tx>
            <v>column 2</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'Geometry'!$AE$3:$AE$7</f>
            </numRef>
          </xVal>
          <yVal>
            <numRef>
              <f>'Geometry'!$AF$3:$AF$7</f>
            </numRef>
          </yVal>
          <smooth val="0"/>
        </ser>
        <ser>
          <idx val="11"/>
          <order val="11"/>
          <tx>
            <v>column 3</v>
          </tx>
          <spPr>
            <a:ln xmlns:a="http://schemas.openxmlformats.org/drawingml/2006/main" w="31750">
              <a:solidFill>
                <a:srgbClr val="2B2B2B"/>
              </a:solidFill>
              <a:prstDash val="solid"/>
            </a:ln>
          </spPr>
          <marker>
            <symbol val="none"/>
            <spPr>
              <a:ln xmlns:a="http://schemas.openxmlformats.org/drawingml/2006/main">
                <a:prstDash val="solid"/>
              </a:ln>
            </spPr>
          </marker>
          <xVal>
            <numRef>
              <f>'Geometry'!$AH$3:$AH$7</f>
            </numRef>
          </xVal>
          <yVal>
            <numRef>
              <f>'Geometry'!$AI$3:$AI$7</f>
            </numRef>
          </yVal>
          <smooth val="0"/>
        </ser>
        <ser>
          <idx val="12"/>
          <order val="12"/>
          <tx>
            <v>hatch a0</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hatch b0</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hatch a1</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hatch b1</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hatch a2</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hatch b2</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'Geometry'!$AZ$3:$AZ$4</f>
            </numRef>
          </xVal>
          <yVal>
            <numRef>
              <f>'Geometry'!$BA$3:$BA$4</f>
            </numRef>
          </yVal>
          <smooth val="0"/>
        </ser>
        <ser>
          <idx val="18"/>
          <order val="18"/>
          <tx>
            <v>hatch a3</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'Geometry'!$BC$3:$BC$4</f>
            </numRef>
          </xVal>
          <yVal>
            <numRef>
              <f>'Geometry'!$BD$3:$BD$4</f>
            </numRef>
          </yVal>
          <smooth val="0"/>
        </ser>
        <ser>
          <idx val="19"/>
          <order val="19"/>
          <tx>
            <v>hatch b3</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'Geometry'!$BF$3:$BF$4</f>
            </numRef>
          </xVal>
          <yVal>
            <numRef>
              <f>'Geometry'!$BG$3:$BG$4</f>
            </numRef>
          </yVal>
          <smooth val="0"/>
        </ser>
        <ser>
          <idx val="20"/>
          <order val="20"/>
          <tx>
            <v>hatch a4</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'Geometry'!$BI$3:$BI$4</f>
            </numRef>
          </xVal>
          <yVal>
            <numRef>
              <f>'Geometry'!$BJ$3:$BJ$4</f>
            </numRef>
          </yVal>
          <smooth val="0"/>
        </ser>
        <ser>
          <idx val="21"/>
          <order val="21"/>
          <tx>
            <v>hatch b4</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'Geometry'!$BL$3:$BL$4</f>
            </numRef>
          </xVal>
          <yVal>
            <numRef>
              <f>'Geometry'!$BM$3:$BM$4</f>
            </numRef>
          </yVal>
          <smooth val="0"/>
        </ser>
        <ser>
          <idx val="22"/>
          <order val="22"/>
          <tx>
            <v>hatch a5</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'Geometry'!$BO$3:$BO$4</f>
            </numRef>
          </xVal>
          <yVal>
            <numRef>
              <f>'Geometry'!$BP$3:$BP$4</f>
            </numRef>
          </yVal>
          <smooth val="0"/>
        </ser>
        <ser>
          <idx val="23"/>
          <order val="23"/>
          <tx>
            <v>hatch b5</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'Geometry'!$BR$3:$BR$4</f>
            </numRef>
          </xVal>
          <yVal>
            <numRef>
              <f>'Geometry'!$BS$3:$BS$4</f>
            </numRef>
          </yVal>
          <smooth val="0"/>
        </ser>
        <ser>
          <idx val="24"/>
          <order val="24"/>
          <tx>
            <v>hatch a6</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'Geometry'!$BU$3:$BU$4</f>
            </numRef>
          </xVal>
          <yVal>
            <numRef>
              <f>'Geometry'!$BV$3:$BV$4</f>
            </numRef>
          </yVal>
          <smooth val="0"/>
        </ser>
        <ser>
          <idx val="25"/>
          <order val="25"/>
          <tx>
            <v>hatch b6</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'Geometry'!$BX$3:$BX$4</f>
            </numRef>
          </xVal>
          <yVal>
            <numRef>
              <f>'Geometry'!$BY$3:$BY$4</f>
            </numRef>
          </yVal>
          <smooth val="0"/>
        </ser>
        <ser>
          <idx val="26"/>
          <order val="26"/>
          <tx>
            <v>hatch a7</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'Geometry'!$CA$3:$CA$4</f>
            </numRef>
          </xVal>
          <yVal>
            <numRef>
              <f>'Geometry'!$CB$3:$CB$4</f>
            </numRef>
          </yVal>
          <smooth val="0"/>
        </ser>
        <ser>
          <idx val="27"/>
          <order val="27"/>
          <tx>
            <v>hatch b7</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'Geometry'!$CD$3:$CD$4</f>
            </numRef>
          </xVal>
          <yVal>
            <numRef>
              <f>'Geometry'!$CE$3:$CE$4</f>
            </numRef>
          </yVal>
          <smooth val="0"/>
        </ser>
        <ser>
          <idx val="28"/>
          <order val="28"/>
          <tx>
            <v>hatch a8</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'Geometry'!$CG$3:$CG$4</f>
            </numRef>
          </xVal>
          <yVal>
            <numRef>
              <f>'Geometry'!$CH$3:$CH$4</f>
            </numRef>
          </yVal>
          <smooth val="0"/>
        </ser>
        <ser>
          <idx val="29"/>
          <order val="29"/>
          <tx>
            <v>hatch b8</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'Geometry'!$CJ$3:$CJ$4</f>
            </numRef>
          </xVal>
          <yVal>
            <numRef>
              <f>'Geometry'!$CK$3:$CK$4</f>
            </numRef>
          </yVal>
          <smooth val="0"/>
        </ser>
        <ser>
          <idx val="30"/>
          <order val="30"/>
          <tx>
            <v>hatch a9</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'Geometry'!$CM$3:$CM$4</f>
            </numRef>
          </xVal>
          <yVal>
            <numRef>
              <f>'Geometry'!$CN$3:$CN$4</f>
            </numRef>
          </yVal>
          <smooth val="0"/>
        </ser>
        <ser>
          <idx val="31"/>
          <order val="31"/>
          <tx>
            <v>hatch b9</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'Geometry'!$CP$3:$CP$4</f>
            </numRef>
          </xVal>
          <yVal>
            <numRef>
              <f>'Geometry'!$CQ$3:$CQ$4</f>
            </numRef>
          </yVal>
          <smooth val="0"/>
        </ser>
        <ser>
          <idx val="32"/>
          <order val="32"/>
          <tx>
            <v>hatch a10</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'Geometry'!$CS$3:$CS$4</f>
            </numRef>
          </xVal>
          <yVal>
            <numRef>
              <f>'Geometry'!$CT$3:$CT$4</f>
            </numRef>
          </yVal>
          <smooth val="0"/>
        </ser>
        <ser>
          <idx val="33"/>
          <order val="33"/>
          <tx>
            <v>hatch b10</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'Geometry'!$CV$3:$CV$4</f>
            </numRef>
          </xVal>
          <yVal>
            <numRef>
              <f>'Geometry'!$CW$3:$CW$4</f>
            </numRef>
          </yVal>
          <smooth val="0"/>
        </ser>
        <ser>
          <idx val="34"/>
          <order val="34"/>
          <tx>
            <v>hatch a11</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'Geometry'!$CY$3:$CY$4</f>
            </numRef>
          </xVal>
          <yVal>
            <numRef>
              <f>'Geometry'!$CZ$3:$CZ$4</f>
            </numRef>
          </yVal>
          <smooth val="0"/>
        </ser>
        <ser>
          <idx val="35"/>
          <order val="35"/>
          <tx>
            <v>hatch b11</v>
          </tx>
          <spPr>
            <a:ln xmlns:a="http://schemas.openxmlformats.org/drawingml/2006/main" w="6350">
              <a:solidFill>
                <a:srgbClr val="9A9A9A"/>
              </a:solidFill>
              <a:prstDash val="solid"/>
            </a:ln>
          </spPr>
          <marker>
            <symbol val="none"/>
            <spPr>
              <a:ln xmlns:a="http://schemas.openxmlformats.org/drawingml/2006/main">
                <a:prstDash val="solid"/>
              </a:ln>
            </spPr>
          </marker>
          <xVal>
            <numRef>
              <f>'Geometry'!$DB$3:$DB$4</f>
            </numRef>
          </xVal>
          <yVal>
            <numRef>
              <f>'Geometry'!$DC$3:$DC$4</f>
            </numRef>
          </yVal>
          <smooth val="0"/>
        </ser>
        <ser>
          <idx val="36"/>
          <order val="36"/>
          <tx>
            <strRef>
              <f>'Geometry'!$DE$2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ctr"/>
            <showLegendKey val="0"/>
            <showVal val="0"/>
            <showCatName val="0"/>
            <showSerName val="1"/>
            <showPercent val="0"/>
          </dLbls>
          <xVal>
            <numRef>
              <f>'Geometry'!$DE$3</f>
            </numRef>
          </xVal>
          <yVal>
            <numRef>
              <f>'Geometry'!$DF$3</f>
            </numRef>
          </yVal>
          <smooth val="0"/>
        </ser>
        <ser>
          <idx val="37"/>
          <order val="37"/>
          <tx>
            <strRef>
              <f>'Geometry'!$DH$2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ctr"/>
            <showLegendKey val="0"/>
            <showVal val="0"/>
            <showCatName val="0"/>
            <showSerName val="1"/>
            <showPercent val="0"/>
          </dLbls>
          <xVal>
            <numRef>
              <f>'Geometry'!$DH$3</f>
            </numRef>
          </xVal>
          <yVal>
            <numRef>
              <f>'Geometry'!$DI$3</f>
            </numRef>
          </yVal>
          <smooth val="0"/>
        </ser>
        <ser>
          <idx val="38"/>
          <order val="3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'Geometry'!$DK$3:$DK$4</f>
            </numRef>
          </xVal>
          <yVal>
            <numRef>
              <f>'Geometry'!$DL$3:$DL$4</f>
            </numRef>
          </yVal>
          <smooth val="0"/>
        </ser>
        <ser>
          <idx val="39"/>
          <order val="39"/>
          <tx>
            <strRef>
              <f>'Geometry'!$DN$2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'Geometry'!$DN$3</f>
            </numRef>
          </xVal>
          <yVal>
            <numRef>
              <f>'Geometry'!$DO$3</f>
            </numRef>
          </yVal>
          <smooth val="0"/>
        </ser>
        <ser>
          <idx val="40"/>
          <order val="4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'Geometry'!$DQ$3:$DQ$4</f>
            </numRef>
          </xVal>
          <yVal>
            <numRef>
              <f>'Geometry'!$DR$3:$DR$4</f>
            </numRef>
          </yVal>
          <smooth val="0"/>
        </ser>
        <ser>
          <idx val="41"/>
          <order val="41"/>
          <tx>
            <strRef>
              <f>'Geometry'!$DT$2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'Geometry'!$DT$3</f>
            </numRef>
          </xVal>
          <yVal>
            <numRef>
              <f>'Geometry'!$DU$3</f>
            </numRef>
          </yVal>
          <smooth val="0"/>
        </ser>
        <ser>
          <idx val="42"/>
          <order val="42"/>
          <tx>
            <v>span arrow</v>
          </tx>
          <spPr>
            <a:ln xmlns:a="http://schemas.openxmlformats.org/drawingml/2006/main" w="15875">
              <a:solidFill>
                <a:srgbClr val="B3261E"/>
              </a:solidFill>
              <a:prstDash val="solid"/>
              <a:headEnd type="triangle" w="sm" len="sm"/>
              <a:tailEnd type="triangle" w="sm" len="sm"/>
            </a:ln>
          </spPr>
          <marker>
            <symbol val="none"/>
            <spPr>
              <a:ln xmlns:a="http://schemas.openxmlformats.org/drawingml/2006/main">
                <a:prstDash val="solid"/>
              </a:ln>
            </spPr>
          </marker>
          <xVal>
            <numRef>
              <f>'Geometry'!$DW$3:$DW$4</f>
            </numRef>
          </xVal>
          <yVal>
            <numRef>
              <f>'Geometry'!$DX$3:$DX$4</f>
            </numRef>
          </yVal>
          <smooth val="0"/>
        </ser>
        <ser>
          <idx val="43"/>
          <order val="43"/>
          <tx>
            <strRef>
              <f>'Geometry'!$DZ$2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'Geometry'!$DZ$3</f>
            </numRef>
          </xVal>
          <yVal>
            <numRef>
              <f>'Geometry'!$EA$3</f>
            </numRef>
          </yVal>
          <smooth val="0"/>
        </ser>
        <ser>
          <idx val="44"/>
          <order val="44"/>
          <tx>
            <v>frame</v>
          </tx>
          <spPr>
            <a:ln xmlns:a="http://schemas.openxmlformats.org/drawingml/2006/main">
              <a:noFill/>
              <a:prstDash val="solid"/>
            </a:ln>
          </spPr>
          <marker>
            <symbol val="none"/>
            <spPr>
              <a:ln xmlns:a="http://schemas.openxmlformats.org/drawingml/2006/main">
                <a:prstDash val="solid"/>
              </a:ln>
            </spPr>
          </marker>
          <xVal>
            <numRef>
              <f>'Geometry'!$EC$3:$EC$4</f>
            </numRef>
          </xVal>
          <yVal>
            <numRef>
              <f>'Geometry'!$ED$3:$ED$4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58</row>
      <rowOff>0</rowOff>
    </from>
    <ext cx="55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Flat slab</t>
        </is>
      </c>
    </row>
    <row r="8" ht="20" customHeight="1">
      <c r="B8" s="4" t="inlineStr">
        <is>
          <t>Flat slab panel, one direction  ·  coefficients, column and middle strips  ·  EN 1992-1-1 §6.1, §7.4, §9.4, Annex I  ·  UK NA / PN-EN</t>
        </is>
      </c>
    </row>
    <row r="10">
      <c r="B10" s="5" t="inlineStr">
        <is>
          <t>Reference</t>
        </is>
      </c>
      <c r="C10" s="6" t="inlineStr">
        <is>
          <t>NAE-RC-023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Bending design of a flat slab panel in one direction: total moments across the panel width from coefficients, their split into column and middle strips, the top and bottom bars of each strip, the concentration of top steel over the columns, the moment transferred to an edge column and deflection by the span to depth ratio. Run the sheet once for each direction; punching at the columns is checked with RC-002.</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79.5" customHeight="1">
      <c r="B22" s="7" t="inlineStr">
        <is>
          <t>Uniformly loaded flat slab of constant thickness without drops, on a rectangular grid of columns, no lateral load on the slab-column frame. Total moments across the panel width ly: F l times the coefficients of TCC How to design concrete structures using Eurocode 2, chapter 7 (Flat slabs), Table 3, the same as Concise Eurocode 2 Table 15.2 (20 % redistribution at the supports, δ = 0.8, 5.5), which apply only where the bays exceed 30 m², Qk ≤ 1.25 Gk, qk ≤ 5 kN/m², at least three spans with the shortest more than 0.85 the longest and a substantially uniform load: the load ratios are checked and the rest must be confirmed, otherwise every coefficient result fails; their use under the PL annex is the designer's decision. Moments at the column centrelines, not reduced to the column face (conservative). Column strip 0.5 min(lx, ly) wide (EN 1992-1-1 Figure I.1), taking the percentage entered of the hogging (60 to 80 %) and sagging (50 to 70 %) moments (Table I.1; the BS 8110 split 75 / 55 % is allowed by Concise EC2 5.7.2.1). Each strip designed as a 1 m slab strip: rectangular stress block, no compression bars, x/d of the bars provided at the supports within the 5.5(4) limit for δ = 0.8, As,min (9.1N), spacing ≤ min(2h, 250) (9.3.1.1(3)). Over the columns half the total top steel lies within 0.125 ly of the column line (9.4.1(2)), checked with the column strip bars spread evenly and only where the panels on both sides of the column line are alike (otherwise a warning: combine the two half panels by hand); at an edge column the transferred moment is limited to 0.17 be d² fck with be = cx + y (9.4.2(1), Annex I.1.2(5)) and carried by the column strip top bars within be (rectangular section of width be; anchor them at the edge). Deflection by (7.16) on the longer span with K = 1.2 (flat slab, Table 7.4N), the 8.5/l factor for brittle partitions and the steel stress factor (UK ≤ 1.5, ≤ 40 K), using the column strip bottom bars. Concrete classes up to C50/60, fyk ≤ 500 MPa. Punching (RC-002), crack widths, fire and openings are separate checks.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chapter 7: Flat slabs.
•  The Concrete Centre, Concise Eurocode 2, 5.7 and Table 15.2.
•  The Concrete Centre, RC Spreadsheets v4, TCC33 Flat slabs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&amp;K8A8A8ANAE-RC-023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65"/>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Flat slab</t>
        </is>
      </c>
      <c r="H2" s="1" t="n"/>
    </row>
    <row r="3" ht="16" customHeight="1">
      <c r="A3" s="1" t="n"/>
      <c r="B3" s="1" t="n"/>
      <c r="C3" s="15" t="inlineStr">
        <is>
          <t>NAE-RC-023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panel and reinforcement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Span type in the direction designed</t>
        </is>
      </c>
      <c r="D15" s="23" t="n"/>
      <c r="E15" s="25" t="inlineStr">
        <is>
          <t>Interior span</t>
        </is>
      </c>
      <c r="F15" s="23" t="n"/>
      <c r="G15" s="26" t="inlineStr">
        <is>
          <t>TCC flat slabs Table 3</t>
        </is>
      </c>
    </row>
    <row r="16" ht="17" customHeight="1">
      <c r="B16" s="23" t="n"/>
      <c r="C16" s="24" t="inlineStr">
        <is>
          <t>Table 3 conditions met  (bays &gt; 30 m², ≥ 3 similar spans, uniform load)</t>
        </is>
      </c>
      <c r="D16" s="23" t="n"/>
      <c r="E16" s="25" t="inlineStr">
        <is>
          <t>Yes</t>
        </is>
      </c>
      <c r="F16" s="23" t="n"/>
      <c r="G16" s="23" t="n"/>
    </row>
    <row r="17" ht="17" customHeight="1">
      <c r="B17" s="23" t="n"/>
      <c r="C17" s="24" t="inlineStr">
        <is>
          <t>Span in the direction designed  (column centres)</t>
        </is>
      </c>
      <c r="D17" s="27" t="inlineStr">
        <is>
          <r>
            <rPr>
              <rFont val="Calibri"/>
              <i val="1"/>
              <color rgb="002B2B2B"/>
              <sz val="10"/>
            </rPr>
            <t>l</t>
          </r>
          <r>
            <rPr>
              <rFont val="Calibri"/>
              <i val="1"/>
              <color rgb="002B2B2B"/>
              <sz val="10"/>
              <vertAlign val="subscript"/>
            </rPr>
            <t>x</t>
          </r>
        </is>
      </c>
      <c r="E17" s="25" t="n">
        <v>7500</v>
      </c>
      <c r="F17" s="28" t="inlineStr">
        <is>
          <t>mm</t>
        </is>
      </c>
      <c r="G17" s="23" t="n"/>
    </row>
    <row r="18" ht="17" customHeight="1">
      <c r="B18" s="23" t="n"/>
      <c r="C18" s="24" t="inlineStr">
        <is>
          <t>Panel width across it  (column centres)</t>
        </is>
      </c>
      <c r="D18" s="27" t="inlineStr">
        <is>
          <r>
            <rPr>
              <rFont val="Calibri"/>
              <i val="1"/>
              <color rgb="002B2B2B"/>
              <sz val="10"/>
            </rPr>
            <t>l</t>
          </r>
          <r>
            <rPr>
              <rFont val="Calibri"/>
              <i val="1"/>
              <color rgb="002B2B2B"/>
              <sz val="10"/>
              <vertAlign val="subscript"/>
            </rPr>
            <t>y</t>
          </r>
        </is>
      </c>
      <c r="E18" s="25" t="n">
        <v>7500</v>
      </c>
      <c r="F18" s="28" t="inlineStr">
        <is>
          <t>mm</t>
        </is>
      </c>
      <c r="G18" s="23" t="n"/>
    </row>
    <row r="19" ht="17" customHeight="1">
      <c r="B19" s="23" t="n"/>
      <c r="C19" s="24" t="inlineStr">
        <is>
          <t>Slab thickness</t>
        </is>
      </c>
      <c r="D19" s="27" t="inlineStr">
        <is>
          <r>
            <rPr>
              <rFont val="Calibri"/>
              <i val="1"/>
              <color rgb="002B2B2B"/>
              <sz val="10"/>
            </rPr>
            <t>h</t>
          </r>
        </is>
      </c>
      <c r="E19" s="25" t="n">
        <v>275</v>
      </c>
      <c r="F19" s="28" t="inlineStr">
        <is>
          <t>mm</t>
        </is>
      </c>
      <c r="G19" s="23" t="n"/>
    </row>
    <row r="20" ht="17" customHeight="1">
      <c r="B20" s="26" t="inlineStr">
        <is>
          <t>4.4.1</t>
        </is>
      </c>
      <c r="C20" s="24" t="inlineStr">
        <is>
          <t>Nominal cover</t>
        </is>
      </c>
      <c r="D20" s="27" t="inlineStr">
        <is>
          <r>
            <rPr>
              <rFont val="Calibri"/>
              <i val="1"/>
              <color rgb="002B2B2B"/>
              <sz val="10"/>
            </rPr>
            <t>c</t>
          </r>
          <r>
            <rPr>
              <rFont val="Calibri"/>
              <i val="1"/>
              <color rgb="002B2B2B"/>
              <sz val="10"/>
              <vertAlign val="subscript"/>
            </rPr>
            <t>nom</t>
          </r>
        </is>
      </c>
      <c r="E20" s="25" t="n">
        <v>25</v>
      </c>
      <c r="F20" s="28" t="inlineStr">
        <is>
          <t>mm</t>
        </is>
      </c>
      <c r="G20" s="23" t="n"/>
    </row>
    <row r="21" ht="17" customHeight="1">
      <c r="B21" s="23" t="n"/>
      <c r="C21" s="24" t="inlineStr">
        <is>
          <t>Bars of this direction in the outer layers?</t>
        </is>
      </c>
      <c r="D21" s="23" t="n"/>
      <c r="E21" s="25" t="inlineStr">
        <is>
          <t>Yes</t>
        </is>
      </c>
      <c r="F21" s="23" t="n"/>
      <c r="G21" s="26" t="inlineStr">
        <is>
          <t>No: inside the other bars</t>
        </is>
      </c>
    </row>
    <row r="22" ht="17" customHeight="1">
      <c r="B22" s="23" t="n"/>
      <c r="C22" s="24" t="inlineStr">
        <is>
          <t>Diameter of the bars of the other direction</t>
        </is>
      </c>
      <c r="D22" s="27" t="inlineStr">
        <is>
          <r>
            <rPr>
              <rFont val="Calibri"/>
              <i val="1"/>
              <color rgb="002B2B2B"/>
              <sz val="10"/>
            </rPr>
            <t>φ</t>
          </r>
          <r>
            <rPr>
              <rFont val="Calibri"/>
              <i val="1"/>
              <color rgb="002B2B2B"/>
              <sz val="10"/>
              <vertAlign val="subscript"/>
            </rPr>
            <t>o</t>
          </r>
        </is>
      </c>
      <c r="E22" s="25" t="n">
        <v>16</v>
      </c>
      <c r="F22" s="28" t="inlineStr">
        <is>
          <t>mm</t>
        </is>
      </c>
      <c r="G22" s="23" t="n"/>
    </row>
    <row r="23" ht="17" customHeight="1">
      <c r="B23" s="23" t="n"/>
      <c r="C23" s="24" t="inlineStr">
        <is>
          <t>Column size  (square)</t>
        </is>
      </c>
      <c r="D23" s="27" t="inlineStr">
        <is>
          <r>
            <rPr>
              <rFont val="Calibri"/>
              <i val="1"/>
              <color rgb="002B2B2B"/>
              <sz val="10"/>
            </rPr>
            <t>c</t>
          </r>
        </is>
      </c>
      <c r="E23" s="25" t="n">
        <v>400</v>
      </c>
      <c r="F23" s="28" t="inlineStr">
        <is>
          <t>mm</t>
        </is>
      </c>
      <c r="G23" s="23" t="n"/>
    </row>
    <row r="24" ht="17" customHeight="1">
      <c r="B24" s="26" t="inlineStr">
        <is>
          <t>Table I.1</t>
        </is>
      </c>
      <c r="C24" s="24" t="inlineStr">
        <is>
          <t>Column strip share of the hogging moment</t>
        </is>
      </c>
      <c r="D24" s="23" t="n"/>
      <c r="E24" s="29" t="n">
        <v>0.75</v>
      </c>
      <c r="F24" s="23" t="n"/>
      <c r="G24" s="26" t="inlineStr">
        <is>
          <t>0.60 to 0.80</t>
        </is>
      </c>
    </row>
    <row r="25" ht="17" customHeight="1">
      <c r="B25" s="26" t="inlineStr">
        <is>
          <t>Table I.1</t>
        </is>
      </c>
      <c r="C25" s="24" t="inlineStr">
        <is>
          <t>Column strip share of the sagging moment</t>
        </is>
      </c>
      <c r="D25" s="23" t="n"/>
      <c r="E25" s="29" t="n">
        <v>0.55</v>
      </c>
      <c r="F25" s="23" t="n"/>
      <c r="G25" s="26" t="inlineStr">
        <is>
          <t>0.50 to 0.70</t>
        </is>
      </c>
    </row>
    <row r="26" ht="17" customHeight="1">
      <c r="B26" s="23" t="n"/>
      <c r="C26" s="24" t="inlineStr">
        <is>
          <t>Column strip, top: bar diameter</t>
        </is>
      </c>
      <c r="D26" s="23" t="n"/>
      <c r="E26" s="25" t="n">
        <v>16</v>
      </c>
      <c r="F26" s="28" t="inlineStr">
        <is>
          <t>mm</t>
        </is>
      </c>
      <c r="G26" s="23" t="n"/>
    </row>
    <row r="27" ht="17" customHeight="1">
      <c r="B27" s="23" t="n"/>
      <c r="C27" s="24" t="inlineStr">
        <is>
          <t>Column strip, top: spacing</t>
        </is>
      </c>
      <c r="D27" s="23" t="n"/>
      <c r="E27" s="25" t="n">
        <v>100</v>
      </c>
      <c r="F27" s="28" t="inlineStr">
        <is>
          <t>mm</t>
        </is>
      </c>
      <c r="G27" s="23" t="n"/>
    </row>
    <row r="28" ht="17" customHeight="1">
      <c r="B28" s="23" t="n"/>
      <c r="C28" s="24" t="inlineStr">
        <is>
          <t>Column strip, bottom: bar diameter</t>
        </is>
      </c>
      <c r="D28" s="23" t="n"/>
      <c r="E28" s="25" t="n">
        <v>12</v>
      </c>
      <c r="F28" s="28" t="inlineStr">
        <is>
          <t>mm</t>
        </is>
      </c>
      <c r="G28" s="23" t="n"/>
    </row>
    <row r="29" ht="17" customHeight="1">
      <c r="B29" s="23" t="n"/>
      <c r="C29" s="24" t="inlineStr">
        <is>
          <t>Column strip, bottom: spacing</t>
        </is>
      </c>
      <c r="D29" s="23" t="n"/>
      <c r="E29" s="25" t="n">
        <v>150</v>
      </c>
      <c r="F29" s="28" t="inlineStr">
        <is>
          <t>mm</t>
        </is>
      </c>
      <c r="G29" s="23" t="n"/>
    </row>
    <row r="30" ht="17" customHeight="1">
      <c r="B30" s="23" t="n"/>
      <c r="C30" s="24" t="inlineStr">
        <is>
          <t>Middle strip, top: bar diameter</t>
        </is>
      </c>
      <c r="D30" s="23" t="n"/>
      <c r="E30" s="25" t="n">
        <v>16</v>
      </c>
      <c r="F30" s="28" t="inlineStr">
        <is>
          <t>mm</t>
        </is>
      </c>
      <c r="G30" s="23" t="n"/>
    </row>
    <row r="31" ht="17" customHeight="1">
      <c r="B31" s="23" t="n"/>
      <c r="C31" s="24" t="inlineStr">
        <is>
          <t>Middle strip, top: spacing</t>
        </is>
      </c>
      <c r="D31" s="23" t="n"/>
      <c r="E31" s="25" t="n">
        <v>200</v>
      </c>
      <c r="F31" s="28" t="inlineStr">
        <is>
          <t>mm</t>
        </is>
      </c>
      <c r="G31" s="23" t="n"/>
    </row>
    <row r="32" ht="17" customHeight="1">
      <c r="B32" s="23" t="n"/>
      <c r="C32" s="24" t="inlineStr">
        <is>
          <t>Middle strip, bottom: bar diameter</t>
        </is>
      </c>
      <c r="D32" s="23" t="n"/>
      <c r="E32" s="25" t="n">
        <v>12</v>
      </c>
      <c r="F32" s="28" t="inlineStr">
        <is>
          <t>mm</t>
        </is>
      </c>
      <c r="G32" s="23" t="n"/>
    </row>
    <row r="33" ht="17" customHeight="1">
      <c r="B33" s="23" t="n"/>
      <c r="C33" s="24" t="inlineStr">
        <is>
          <t>Middle strip, bottom: spacing</t>
        </is>
      </c>
      <c r="D33" s="23" t="n"/>
      <c r="E33" s="25" t="n">
        <v>200</v>
      </c>
      <c r="F33" s="28" t="inlineStr">
        <is>
          <t>mm</t>
        </is>
      </c>
      <c r="G33" s="23" t="n"/>
    </row>
    <row r="34" ht="17" customHeight="1">
      <c r="B34" s="26" t="inlineStr">
        <is>
          <t>9.4.1(2)</t>
        </is>
      </c>
      <c r="C34" s="24" t="inlineStr">
        <is>
          <t>Panels each side of the column line alike  (width and load)?</t>
        </is>
      </c>
      <c r="D34" s="23" t="n"/>
      <c r="E34" s="25" t="inlineStr">
        <is>
          <t>Yes</t>
        </is>
      </c>
      <c r="F34" s="23" t="n"/>
      <c r="G34" s="26" t="inlineStr">
        <is>
          <t>No: check by hand</t>
        </is>
      </c>
    </row>
    <row r="35" ht="17" customHeight="1">
      <c r="B35" s="26" t="inlineStr">
        <is>
          <t>9.4.2</t>
        </is>
      </c>
      <c r="C35" s="24" t="inlineStr">
        <is>
          <t>Edge column: width along the slab edge</t>
        </is>
      </c>
      <c r="D35" s="27" t="inlineStr">
        <is>
          <r>
            <rPr>
              <rFont val="Calibri"/>
              <i val="1"/>
              <color rgb="002B2B2B"/>
              <sz val="10"/>
            </rPr>
            <t>c</t>
          </r>
          <r>
            <rPr>
              <rFont val="Calibri"/>
              <i val="1"/>
              <color rgb="002B2B2B"/>
              <sz val="10"/>
              <vertAlign val="subscript"/>
            </rPr>
            <t>x</t>
          </r>
        </is>
      </c>
      <c r="E35" s="25" t="n">
        <v>400</v>
      </c>
      <c r="F35" s="28" t="inlineStr">
        <is>
          <t>mm</t>
        </is>
      </c>
      <c r="G35" s="26" t="inlineStr">
        <is>
          <t>Continuous end only</t>
        </is>
      </c>
    </row>
    <row r="36" ht="17" customHeight="1">
      <c r="B36" s="26" t="inlineStr">
        <is>
          <t>Figure 9.9</t>
        </is>
      </c>
      <c r="C36" s="24" t="inlineStr">
        <is>
          <t>Edge column: slab edge to its inner face</t>
        </is>
      </c>
      <c r="D36" s="27" t="inlineStr">
        <is>
          <r>
            <rPr>
              <rFont val="Calibri"/>
              <i val="1"/>
              <color rgb="002B2B2B"/>
              <sz val="10"/>
            </rPr>
            <t>y</t>
          </r>
        </is>
      </c>
      <c r="E36" s="25" t="n">
        <v>400</v>
      </c>
      <c r="F36" s="28" t="inlineStr">
        <is>
          <t>mm</t>
        </is>
      </c>
      <c r="G36" s="26" t="inlineStr">
        <is>
          <t>Continuous end only</t>
        </is>
      </c>
    </row>
    <row r="38" ht="22" customHeight="1">
      <c r="B38" s="20" t="inlineStr">
        <is>
          <t>Inputs  ·  loads</t>
        </is>
      </c>
      <c r="C38" s="21" t="n"/>
      <c r="D38" s="21" t="n"/>
      <c r="E38" s="21" t="n"/>
      <c r="F38" s="21" t="n"/>
      <c r="G38" s="22" t="inlineStr">
        <is>
          <t>Characteristic, per m²</t>
        </is>
      </c>
    </row>
    <row r="39" ht="17" customHeight="1">
      <c r="B39" s="23" t="n"/>
      <c r="C39" s="24" t="inlineStr">
        <is>
          <t>Permanent load in addition to the self weight</t>
        </is>
      </c>
      <c r="D39" s="27" t="inlineStr">
        <is>
          <r>
            <rPr>
              <rFont val="Calibri"/>
              <i val="1"/>
              <color rgb="002B2B2B"/>
              <sz val="10"/>
            </rPr>
            <t>g</t>
          </r>
          <r>
            <rPr>
              <rFont val="Calibri"/>
              <i val="1"/>
              <color rgb="002B2B2B"/>
              <sz val="10"/>
              <vertAlign val="subscript"/>
            </rPr>
            <t>k</t>
          </r>
        </is>
      </c>
      <c r="E39" s="30" t="n">
        <v>1.5</v>
      </c>
      <c r="F39" s="28" t="inlineStr">
        <is>
          <t>kN/m²</t>
        </is>
      </c>
      <c r="G39" s="23" t="n"/>
    </row>
    <row r="40" ht="17" customHeight="1">
      <c r="B40" s="23" t="n"/>
      <c r="C40" s="24" t="inlineStr">
        <is>
          <t>Variable load</t>
        </is>
      </c>
      <c r="D40" s="27" t="inlineStr">
        <is>
          <r>
            <rPr>
              <rFont val="Calibri"/>
              <i val="1"/>
              <color rgb="002B2B2B"/>
              <sz val="10"/>
            </rPr>
            <t>q</t>
          </r>
          <r>
            <rPr>
              <rFont val="Calibri"/>
              <i val="1"/>
              <color rgb="002B2B2B"/>
              <sz val="10"/>
              <vertAlign val="subscript"/>
            </rPr>
            <t>k</t>
          </r>
        </is>
      </c>
      <c r="E40" s="30" t="n">
        <v>4</v>
      </c>
      <c r="F40" s="28" t="inlineStr">
        <is>
          <t>kN/m²</t>
        </is>
      </c>
      <c r="G40" s="23" t="n"/>
    </row>
    <row r="41" ht="17" customHeight="1">
      <c r="B41" s="26" t="inlineStr">
        <is>
          <t>EN 1990 A1.2(B)</t>
        </is>
      </c>
      <c r="C41" s="24" t="inlineStr">
        <is>
          <t>Partial factor, permanent</t>
        </is>
      </c>
      <c r="D41" s="27" t="inlineStr">
        <is>
          <r>
            <rPr>
              <rFont val="Calibri"/>
              <i val="1"/>
              <color rgb="002B2B2B"/>
              <sz val="10"/>
            </rPr>
            <t>γ</t>
          </r>
          <r>
            <rPr>
              <rFont val="Calibri"/>
              <i val="1"/>
              <color rgb="002B2B2B"/>
              <sz val="10"/>
              <vertAlign val="subscript"/>
            </rPr>
            <t>G</t>
          </r>
        </is>
      </c>
      <c r="E41" s="30" t="n">
        <v>1.35</v>
      </c>
      <c r="F41" s="23" t="n"/>
      <c r="G41" s="23" t="n"/>
    </row>
    <row r="42" ht="17" customHeight="1">
      <c r="B42" s="26" t="inlineStr">
        <is>
          <t>EN 1990 A1.2(B)</t>
        </is>
      </c>
      <c r="C42" s="24" t="inlineStr">
        <is>
          <t>Partial factor, variable</t>
        </is>
      </c>
      <c r="D42" s="27" t="inlineStr">
        <is>
          <r>
            <rPr>
              <rFont val="Calibri"/>
              <i val="1"/>
              <color rgb="002B2B2B"/>
              <sz val="10"/>
            </rPr>
            <t>γ</t>
          </r>
          <r>
            <rPr>
              <rFont val="Calibri"/>
              <i val="1"/>
              <color rgb="002B2B2B"/>
              <sz val="10"/>
              <vertAlign val="subscript"/>
            </rPr>
            <t>Q</t>
          </r>
        </is>
      </c>
      <c r="E42" s="30" t="n">
        <v>1.5</v>
      </c>
      <c r="F42" s="23" t="n"/>
      <c r="G42" s="23" t="n"/>
    </row>
    <row r="43" ht="17" customHeight="1">
      <c r="B43" s="26" t="inlineStr">
        <is>
          <t>7.4.2(2)</t>
        </is>
      </c>
      <c r="C43" s="24" t="inlineStr">
        <is>
          <t>Brittle partitions on a span over 8.5 m?</t>
        </is>
      </c>
      <c r="D43" s="23" t="n"/>
      <c r="E43" s="25" t="inlineStr">
        <is>
          <t>No</t>
        </is>
      </c>
      <c r="F43" s="23" t="n"/>
      <c r="G43" s="23" t="n"/>
    </row>
    <row r="44" ht="17" customHeight="1">
      <c r="B44" s="23" t="n"/>
      <c r="C44" s="24" t="inlineStr">
        <is>
          <t>Inputs valid and consistent</t>
        </is>
      </c>
      <c r="D44" s="23" t="n"/>
      <c r="E44" s="9" t="n"/>
      <c r="F44" s="23" t="n"/>
      <c r="G44" s="31">
        <f>IF(inputs_ok,"OK","FAIL")</f>
        <v/>
      </c>
    </row>
    <row r="46" ht="22" customHeight="1">
      <c r="B46" s="20" t="inlineStr">
        <is>
          <t>Results</t>
        </is>
      </c>
      <c r="C46" s="21" t="n"/>
      <c r="D46" s="21" t="n"/>
      <c r="E46" s="21" t="n"/>
      <c r="F46" s="21" t="n"/>
      <c r="G46" s="21" t="n"/>
    </row>
    <row r="47" ht="26" customHeight="1">
      <c r="B47" s="32" t="n"/>
      <c r="C47" s="33" t="inlineStr">
        <is>
          <t>Column strip, top  (hogging)  As,req / As,prov</t>
        </is>
      </c>
      <c r="D47" s="32" t="n"/>
      <c r="E47" s="34">
        <f>IF(inputs_ok,IFERROR(MAX(Asr_ch,Asmin_ch)/Asp_ch,"–"),"–")</f>
        <v/>
      </c>
      <c r="F47" s="35" t="inlineStr"/>
      <c r="G47" s="36">
        <f>IF(NOT(inputs_ok),"FAIL",IF(NOT(coef_ok),"FAIL",IF(ok_ch,"OK","FAIL")))</f>
        <v/>
      </c>
    </row>
    <row r="48" ht="26" customHeight="1">
      <c r="B48" s="32" t="n"/>
      <c r="C48" s="33" t="inlineStr">
        <is>
          <t>Column strip, bottom  (sagging)  As,req / As,prov</t>
        </is>
      </c>
      <c r="D48" s="32" t="n"/>
      <c r="E48" s="34">
        <f>IF(inputs_ok,IFERROR(MAX(Asr_cs,Asmin_cs)/Asp_cs,"–"),"–")</f>
        <v/>
      </c>
      <c r="F48" s="35" t="inlineStr"/>
      <c r="G48" s="36">
        <f>IF(NOT(inputs_ok),"FAIL",IF(NOT(coef_ok),"FAIL",IF(ok_cs,"OK","FAIL")))</f>
        <v/>
      </c>
    </row>
    <row r="49" ht="26" customHeight="1">
      <c r="B49" s="32" t="n"/>
      <c r="C49" s="33" t="inlineStr">
        <is>
          <t>Middle strip, top  (hogging)  As,req / As,prov</t>
        </is>
      </c>
      <c r="D49" s="32" t="n"/>
      <c r="E49" s="34">
        <f>IF(inputs_ok,IFERROR(MAX(Asr_mh,Asmin_mh)/Asp_mh,"–"),"–")</f>
        <v/>
      </c>
      <c r="F49" s="35" t="inlineStr"/>
      <c r="G49" s="36">
        <f>IF(NOT(inputs_ok),"FAIL",IF(NOT(coef_ok),"FAIL",IF(ok_mh,"OK","FAIL")))</f>
        <v/>
      </c>
    </row>
    <row r="50" ht="26" customHeight="1">
      <c r="B50" s="32" t="n"/>
      <c r="C50" s="33" t="inlineStr">
        <is>
          <t>Middle strip, bottom  (sagging)  As,req / As,prov</t>
        </is>
      </c>
      <c r="D50" s="32" t="n"/>
      <c r="E50" s="34">
        <f>IF(inputs_ok,IFERROR(MAX(Asr_ms,Asmin_ms)/Asp_ms,"–"),"–")</f>
        <v/>
      </c>
      <c r="F50" s="35" t="inlineStr"/>
      <c r="G50" s="36">
        <f>IF(NOT(inputs_ok),"FAIL",IF(NOT(coef_ok),"FAIL",IF(ok_ms,"OK","FAIL")))</f>
        <v/>
      </c>
    </row>
    <row r="51" ht="26" customHeight="1">
      <c r="B51" s="32" t="n"/>
      <c r="C51" s="33" t="inlineStr">
        <is>
          <t>Top steel over the columns  (half within 0.125 ly, 9.4.1(2))</t>
        </is>
      </c>
      <c r="D51" s="32" t="n"/>
      <c r="E51" s="34">
        <f>IF(inputs_ok,IFERROR(0.5*(Asr_ch*w_cs+Asr_mh*w_ms)/(Asp_ch*0.25*L_y),"–"),"–")</f>
        <v/>
      </c>
      <c r="F51" s="35" t="inlineStr"/>
      <c r="G51" s="36">
        <f>IF(NOT(inputs_ok),"FAIL",IF(NOT(coef_ok),"FAIL",IF(same_nb="Yes",IF(conc_ok,"OK","FAIL"),"! Check by hand")))</f>
        <v/>
      </c>
    </row>
    <row r="52" ht="26" customHeight="1">
      <c r="B52" s="32" t="n"/>
      <c r="C52" s="33" t="inlineStr">
        <is>
          <t>Edge column: transferred moment  (0.17 be d² fck; bars in be)</t>
        </is>
      </c>
      <c r="D52" s="32" t="n"/>
      <c r="E52" s="34">
        <f>IF(inputs_ok,IF(sys_i=2,IFERROR(MAX(M_lt/M_trmax,Ase_req/Ase_prov),"–"),"n/a"),"–")</f>
        <v/>
      </c>
      <c r="F52" s="35" t="inlineStr"/>
      <c r="G52" s="36">
        <f>IF(NOT(inputs_ok),"FAIL",IF(NOT(coef_ok),"FAIL",IF(sys_i&lt;&gt;2,"n/a",IF(edge_ok,"OK","FAIL"))))</f>
        <v/>
      </c>
    </row>
    <row r="53" ht="26" customHeight="1">
      <c r="B53" s="32" t="n"/>
      <c r="C53" s="33" t="inlineStr">
        <is>
          <t>Deflection  actual l/d ÷ limiting l/d  (longer span)</t>
        </is>
      </c>
      <c r="D53" s="32" t="n"/>
      <c r="E53" s="34">
        <f>IF(inputs_ok,IFERROR(ld_act/ld_lim,"–"),"–")</f>
        <v/>
      </c>
      <c r="F53" s="35" t="inlineStr"/>
      <c r="G53" s="36">
        <f>IF(NOT(inputs_ok),"FAIL",IF(NOT(coef_ok),"FAIL",IF(defl_ok,"OK","FAIL")))</f>
        <v/>
      </c>
    </row>
    <row r="54" ht="26" customHeight="1">
      <c r="B54" s="32" t="n"/>
      <c r="C54" s="33" t="inlineStr">
        <is>
          <t>Detailing  (clear gaps, layers, As,max)</t>
        </is>
      </c>
      <c r="D54" s="32" t="n"/>
      <c r="E54" s="37">
        <f>IF(inputs_ok,gap_vfs,"–")</f>
        <v/>
      </c>
      <c r="F54" s="35" t="inlineStr">
        <is>
          <t>mm</t>
        </is>
      </c>
      <c r="G54" s="36">
        <f>IF(NOT(inputs_ok),"FAIL",IF(det_fs,"OK","FAIL"))</f>
        <v/>
      </c>
    </row>
    <row r="55" ht="26" customHeight="1">
      <c r="B55" s="32" t="n"/>
      <c r="C55" s="33" t="inlineStr">
        <is>
          <t>Table 3 conditions  Qk / Gk</t>
        </is>
      </c>
      <c r="D55" s="32" t="n"/>
      <c r="E55" s="34">
        <f>IF(inputs_ok,qk_fs/(gk_fs+g_sw),"–")</f>
        <v/>
      </c>
      <c r="F55" s="35" t="inlineStr"/>
      <c r="G55" s="36">
        <f>IF(NOT(inputs_ok),"FAIL",IF(coef_ok,"OK","FAIL"))</f>
        <v/>
      </c>
    </row>
    <row r="56" ht="16.5" customHeight="1">
      <c r="B56" s="38" t="inlineStr">
        <is>
          <t>Punching at each column: RC-002 (β for the column position). Analyse the other direction with this sheet as well.</t>
        </is>
      </c>
    </row>
    <row r="57"/>
    <row r="58">
      <c r="B58" s="39" t="inlineStr">
        <is>
          <t>Your panel in plan, to scale  ·  column strips (shaded edges), middle strip and the band over the columns for 9.4.1(2); design moments per metre width</t>
        </is>
      </c>
    </row>
    <row r="59"/>
    <row r="60"/>
    <row r="61"/>
    <row r="62"/>
    <row r="63"/>
    <row r="64"/>
    <row r="65"/>
    <row r="66"/>
    <row r="67"/>
    <row r="68"/>
    <row r="69"/>
    <row r="70"/>
    <row r="71"/>
    <row r="72"/>
    <row r="73"/>
    <row r="74"/>
    <row r="75"/>
    <row r="76"/>
    <row r="77"/>
    <row r="78"/>
    <row r="79"/>
    <row r="80" ht="22" customHeight="1">
      <c r="B80" s="20" t="inlineStr">
        <is>
          <t>Calculation  ·  loads and moments</t>
        </is>
      </c>
      <c r="C80" s="21" t="n"/>
      <c r="D80" s="21" t="n"/>
      <c r="E80" s="21" t="n"/>
      <c r="F80" s="21" t="n"/>
      <c r="G80" s="21" t="n"/>
    </row>
    <row r="81" ht="17" customHeight="1">
      <c r="B81" s="26" t="inlineStr">
        <is>
          <t>2.4.2.4(1)</t>
        </is>
      </c>
      <c r="C81" s="24" t="inlineStr">
        <is>
          <t>Partial factor, concrete</t>
        </is>
      </c>
      <c r="D81" s="27" t="inlineStr">
        <is>
          <r>
            <rPr>
              <rFont val="Calibri"/>
              <i val="1"/>
              <color rgb="002B2B2B"/>
              <sz val="10"/>
            </rPr>
            <t>γ</t>
          </r>
          <r>
            <rPr>
              <rFont val="Calibri"/>
              <i val="1"/>
              <color rgb="002B2B2B"/>
              <sz val="10"/>
              <vertAlign val="subscript"/>
            </rPr>
            <t>c</t>
          </r>
        </is>
      </c>
      <c r="E81" s="40">
        <f>IF(inputs_ok,ndp_gamma_c,NA())</f>
        <v/>
      </c>
      <c r="F81" s="23" t="n"/>
      <c r="G81" s="26" t="inlineStr">
        <is>
          <t>NDP sheet</t>
        </is>
      </c>
    </row>
    <row r="82" ht="17" customHeight="1">
      <c r="B82" s="26" t="inlineStr">
        <is>
          <t>2.4.2.4(1)</t>
        </is>
      </c>
      <c r="C82" s="24" t="inlineStr">
        <is>
          <t>Partial factor, reinforcement</t>
        </is>
      </c>
      <c r="D82" s="27" t="inlineStr">
        <is>
          <r>
            <rPr>
              <rFont val="Calibri"/>
              <i val="1"/>
              <color rgb="002B2B2B"/>
              <sz val="10"/>
            </rPr>
            <t>γ</t>
          </r>
          <r>
            <rPr>
              <rFont val="Calibri"/>
              <i val="1"/>
              <color rgb="002B2B2B"/>
              <sz val="10"/>
              <vertAlign val="subscript"/>
            </rPr>
            <t>s</t>
          </r>
        </is>
      </c>
      <c r="E82" s="40">
        <f>IF(inputs_ok,ndp_gamma_s,NA())</f>
        <v/>
      </c>
      <c r="F82" s="23" t="n"/>
      <c r="G82" s="26" t="inlineStr">
        <is>
          <t>NDP sheet</t>
        </is>
      </c>
    </row>
    <row r="83" ht="17" customHeight="1">
      <c r="B83" s="26" t="inlineStr">
        <is>
          <t>3.1.6(1)</t>
        </is>
      </c>
      <c r="C83" s="24" t="inlineStr">
        <is>
          <t>Coefficient on compressive strength (flexure)</t>
        </is>
      </c>
      <c r="D83" s="27" t="inlineStr">
        <is>
          <r>
            <rPr>
              <rFont val="Calibri"/>
              <i val="1"/>
              <color rgb="002B2B2B"/>
              <sz val="10"/>
            </rPr>
            <t>α</t>
          </r>
          <r>
            <rPr>
              <rFont val="Calibri"/>
              <i val="1"/>
              <color rgb="002B2B2B"/>
              <sz val="10"/>
              <vertAlign val="subscript"/>
            </rPr>
            <t>cc</t>
          </r>
        </is>
      </c>
      <c r="E83" s="40">
        <f>IF(inputs_ok,ndp_alpha_cc,NA())</f>
        <v/>
      </c>
      <c r="F83" s="23" t="n"/>
      <c r="G83" s="26" t="inlineStr">
        <is>
          <t>NDP sheet</t>
        </is>
      </c>
    </row>
    <row r="84" ht="17" customHeight="1">
      <c r="B84" s="26" t="inlineStr">
        <is>
          <t>5.5(4)</t>
        </is>
      </c>
      <c r="C84" s="24" t="inlineStr">
        <is>
          <t>Coefficient for x/d limit</t>
        </is>
      </c>
      <c r="D84" s="27" t="inlineStr">
        <is>
          <r>
            <rPr>
              <rFont val="Calibri"/>
              <i val="1"/>
              <color rgb="002B2B2B"/>
              <sz val="10"/>
            </rPr>
            <t>k</t>
          </r>
          <r>
            <rPr>
              <rFont val="Calibri"/>
              <i val="1"/>
              <color rgb="002B2B2B"/>
              <sz val="10"/>
              <vertAlign val="subscript"/>
            </rPr>
            <t>1</t>
          </r>
        </is>
      </c>
      <c r="E84" s="40">
        <f>IF(inputs_ok,ndp_k1_red,NA())</f>
        <v/>
      </c>
      <c r="F84" s="23" t="n"/>
      <c r="G84" s="26" t="inlineStr">
        <is>
          <t>NDP sheet</t>
        </is>
      </c>
    </row>
    <row r="85" ht="17" customHeight="1">
      <c r="B85" s="26" t="inlineStr">
        <is>
          <t>5.5(4)</t>
        </is>
      </c>
      <c r="C85" s="24" t="inlineStr">
        <is>
          <t>Coefficient for x/d limit</t>
        </is>
      </c>
      <c r="D85" s="27" t="inlineStr">
        <is>
          <r>
            <rPr>
              <rFont val="Calibri"/>
              <i val="1"/>
              <color rgb="002B2B2B"/>
              <sz val="10"/>
            </rPr>
            <t>k</t>
          </r>
          <r>
            <rPr>
              <rFont val="Calibri"/>
              <i val="1"/>
              <color rgb="002B2B2B"/>
              <sz val="10"/>
              <vertAlign val="subscript"/>
            </rPr>
            <t>2</t>
          </r>
        </is>
      </c>
      <c r="E85" s="40">
        <f>IF(inputs_ok,ndp_k2_red,NA())</f>
        <v/>
      </c>
      <c r="F85" s="23" t="n"/>
      <c r="G85" s="26" t="inlineStr">
        <is>
          <t>NDP sheet</t>
        </is>
      </c>
    </row>
    <row r="86" ht="17" customHeight="1">
      <c r="B86" s="26" t="inlineStr">
        <is>
          <t>7.4.2(2)</t>
        </is>
      </c>
      <c r="C86" s="24" t="inlineStr">
        <is>
          <t>Upper limit on the stress / area factor</t>
        </is>
      </c>
      <c r="D86" s="23" t="n"/>
      <c r="E86" s="40">
        <f>IF(inputs_ok,ndp_ld_mod_max,NA())</f>
        <v/>
      </c>
      <c r="F86" s="23" t="n"/>
      <c r="G86" s="26" t="inlineStr">
        <is>
          <t>NDP sheet</t>
        </is>
      </c>
    </row>
    <row r="87" ht="17" customHeight="1">
      <c r="B87" s="26" t="inlineStr">
        <is>
          <t>7.4.2(2)</t>
        </is>
      </c>
      <c r="C87" s="24" t="inlineStr">
        <is>
          <t>L/d ≤ 40K applies (1 = yes)</t>
        </is>
      </c>
      <c r="D87" s="23" t="n"/>
      <c r="E87" s="40">
        <f>IF(inputs_ok,ndp_ld_cap_40K,NA())</f>
        <v/>
      </c>
      <c r="F87" s="23" t="n"/>
      <c r="G87" s="26" t="inlineStr">
        <is>
          <t>NDP sheet</t>
        </is>
      </c>
    </row>
    <row r="88" ht="17" customHeight="1">
      <c r="B88" s="26" t="inlineStr">
        <is>
          <t>Table 3.1</t>
        </is>
      </c>
      <c r="C88" s="24" t="inlineStr">
        <is>
          <t>Characteristic cylinder strength</t>
        </is>
      </c>
      <c r="D88" s="27" t="inlineStr">
        <is>
          <r>
            <rPr>
              <rFont val="Calibri"/>
              <i val="1"/>
              <color rgb="002B2B2B"/>
              <sz val="10"/>
            </rPr>
            <t>f</t>
          </r>
          <r>
            <rPr>
              <rFont val="Calibri"/>
              <i val="1"/>
              <color rgb="002B2B2B"/>
              <sz val="10"/>
              <vertAlign val="subscript"/>
            </rPr>
            <t>ck</t>
          </r>
        </is>
      </c>
      <c r="E88" s="41">
        <f>IF(inputs_ok,VALUE(MID(conc_class,2,FIND("/",conc_class)-2)),NA())</f>
        <v/>
      </c>
      <c r="F88" s="28" t="inlineStr">
        <is>
          <t>MPa</t>
        </is>
      </c>
      <c r="G88" s="23" t="n"/>
    </row>
    <row r="89" ht="17" customHeight="1">
      <c r="B89" s="26" t="inlineStr">
        <is>
          <t>Table 3.1</t>
        </is>
      </c>
      <c r="C89" s="24" t="inlineStr">
        <is>
          <t>Mean tensile strength</t>
        </is>
      </c>
      <c r="D89" s="27" t="inlineStr">
        <is>
          <r>
            <rPr>
              <rFont val="Calibri"/>
              <i val="1"/>
              <color rgb="002B2B2B"/>
              <sz val="10"/>
            </rPr>
            <t>f</t>
          </r>
          <r>
            <rPr>
              <rFont val="Calibri"/>
              <i val="1"/>
              <color rgb="002B2B2B"/>
              <sz val="10"/>
              <vertAlign val="subscript"/>
            </rPr>
            <t>ctm</t>
          </r>
        </is>
      </c>
      <c r="E89" s="40">
        <f>IF(inputs_ok,IF(f_ck&lt;=50,0.3*f_ck^(2/3),2.12*LN(1+(f_ck+8)/10)),NA())</f>
        <v/>
      </c>
      <c r="F89" s="28" t="inlineStr">
        <is>
          <t>MPa</t>
        </is>
      </c>
      <c r="G89" s="23" t="n"/>
    </row>
    <row r="90" ht="17" customHeight="1">
      <c r="B90" s="26" t="inlineStr">
        <is>
          <t>3.1.6(1)</t>
        </is>
      </c>
      <c r="C90" s="24" t="inlineStr">
        <is>
          <t>Design compressive strength  αcc fck / γc</t>
        </is>
      </c>
      <c r="D90" s="27" t="inlineStr">
        <is>
          <r>
            <rPr>
              <rFont val="Calibri"/>
              <i val="1"/>
              <color rgb="002B2B2B"/>
              <sz val="10"/>
            </rPr>
            <t>f</t>
          </r>
          <r>
            <rPr>
              <rFont val="Calibri"/>
              <i val="1"/>
              <color rgb="002B2B2B"/>
              <sz val="10"/>
              <vertAlign val="subscript"/>
            </rPr>
            <t>cd</t>
          </r>
        </is>
      </c>
      <c r="E90" s="40">
        <f>IF(inputs_ok,alpha_cc*f_ck/gamma_c,NA())</f>
        <v/>
      </c>
      <c r="F90" s="28" t="inlineStr">
        <is>
          <t>MPa</t>
        </is>
      </c>
      <c r="G90" s="23" t="n"/>
    </row>
    <row r="91" ht="17" customHeight="1">
      <c r="B91" s="26" t="inlineStr">
        <is>
          <t>3.2.7</t>
        </is>
      </c>
      <c r="C91" s="24" t="inlineStr">
        <is>
          <t>Design yield strength</t>
        </is>
      </c>
      <c r="D91" s="27" t="inlineStr">
        <is>
          <r>
            <rPr>
              <rFont val="Calibri"/>
              <i val="1"/>
              <color rgb="002B2B2B"/>
              <sz val="10"/>
            </rPr>
            <t>f</t>
          </r>
          <r>
            <rPr>
              <rFont val="Calibri"/>
              <i val="1"/>
              <color rgb="002B2B2B"/>
              <sz val="10"/>
              <vertAlign val="subscript"/>
            </rPr>
            <t>yd</t>
          </r>
        </is>
      </c>
      <c r="E91" s="42">
        <f>IF(inputs_ok,f_yk/gamma_s,NA())</f>
        <v/>
      </c>
      <c r="F91" s="28" t="inlineStr">
        <is>
          <t>MPa</t>
        </is>
      </c>
      <c r="G91" s="23" t="n"/>
    </row>
    <row r="92" ht="17" customHeight="1">
      <c r="B92" s="23" t="n"/>
      <c r="C92" s="24" t="inlineStr">
        <is>
          <t>Self weight  25 h</t>
        </is>
      </c>
      <c r="D92" s="27" t="inlineStr">
        <is>
          <r>
            <rPr>
              <rFont val="Calibri"/>
              <i val="1"/>
              <color rgb="002B2B2B"/>
              <sz val="10"/>
            </rPr>
            <t>g</t>
          </r>
          <r>
            <rPr>
              <rFont val="Calibri"/>
              <i val="1"/>
              <color rgb="002B2B2B"/>
              <sz val="10"/>
              <vertAlign val="subscript"/>
            </rPr>
            <t>sw</t>
          </r>
        </is>
      </c>
      <c r="E92" s="40">
        <f>IF(inputs_ok,25*h_fs/1000,NA())</f>
        <v/>
      </c>
      <c r="F92" s="28" t="inlineStr">
        <is>
          <t>kN/m²</t>
        </is>
      </c>
      <c r="G92" s="23" t="n"/>
    </row>
    <row r="93" ht="17" customHeight="1">
      <c r="B93" s="26" t="inlineStr">
        <is>
          <t>EN 1990 (6.10)</t>
        </is>
      </c>
      <c r="C93" s="24" t="inlineStr">
        <is>
          <t>Design load  γG (gk + gsw) + γQ qk</t>
        </is>
      </c>
      <c r="D93" s="27" t="inlineStr">
        <is>
          <r>
            <rPr>
              <rFont val="Calibri"/>
              <i val="1"/>
              <color rgb="002B2B2B"/>
              <sz val="10"/>
            </rPr>
            <t>n</t>
          </r>
        </is>
      </c>
      <c r="E93" s="40">
        <f>IF(inputs_ok,gamma_G*(gk_fs+g_sw)+gamma_Q*qk_fs,NA())</f>
        <v/>
      </c>
      <c r="F93" s="28" t="inlineStr">
        <is>
          <t>kN/m²</t>
        </is>
      </c>
      <c r="G93" s="23" t="n"/>
    </row>
    <row r="94" ht="17" customHeight="1">
      <c r="B94" s="23" t="n"/>
      <c r="C94" s="24" t="inlineStr">
        <is>
          <t>Total load on the panel  F = n lx ly</t>
        </is>
      </c>
      <c r="D94" s="27" t="inlineStr">
        <is>
          <r>
            <rPr>
              <rFont val="Calibri"/>
              <i val="1"/>
              <color rgb="002B2B2B"/>
              <sz val="10"/>
            </rPr>
            <t>F</t>
          </r>
        </is>
      </c>
      <c r="E94" s="42">
        <f>IF(inputs_ok,n_fs*L_x*L_y/1E6,NA())</f>
        <v/>
      </c>
      <c r="F94" s="28" t="inlineStr">
        <is>
          <t>kN</t>
        </is>
      </c>
      <c r="G94" s="23" t="n"/>
    </row>
    <row r="95" ht="17" customHeight="1">
      <c r="B95" s="26" t="inlineStr">
        <is>
          <t>Table 3</t>
        </is>
      </c>
      <c r="C95" s="24" t="inlineStr">
        <is>
          <t>Span moment across the panel width  (coefficient × F lx)</t>
        </is>
      </c>
      <c r="D95" s="27" t="inlineStr">
        <is>
          <r>
            <rPr>
              <rFont val="Calibri"/>
              <i val="1"/>
              <color rgb="002B2B2B"/>
              <sz val="10"/>
            </rPr>
            <t>M</t>
          </r>
          <r>
            <rPr>
              <rFont val="Calibri"/>
              <i val="1"/>
              <color rgb="002B2B2B"/>
              <sz val="10"/>
              <vertAlign val="subscript"/>
            </rPr>
            <t>span</t>
          </r>
        </is>
      </c>
      <c r="E95" s="43">
        <f>IF(inputs_ok,CHOOSE(sys_i,0.086,0.075,0.063,0.063,0.063)*F_fs*L_x/1000,NA())</f>
        <v/>
      </c>
      <c r="F95" s="28" t="inlineStr">
        <is>
          <t>kNm</t>
        </is>
      </c>
      <c r="G95" s="23" t="n"/>
    </row>
    <row r="96" ht="17" customHeight="1">
      <c r="B96" s="26" t="inlineStr">
        <is>
          <t>Table 3</t>
        </is>
      </c>
      <c r="C96" s="24" t="inlineStr">
        <is>
          <t>Left support moment  (edge column: continuous end)</t>
        </is>
      </c>
      <c r="D96" s="27" t="inlineStr">
        <is>
          <r>
            <rPr>
              <rFont val="Calibri"/>
              <i val="1"/>
              <color rgb="002B2B2B"/>
              <sz val="10"/>
            </rPr>
            <t>M</t>
          </r>
          <r>
            <rPr>
              <rFont val="Calibri"/>
              <i val="1"/>
              <color rgb="002B2B2B"/>
              <sz val="10"/>
              <vertAlign val="subscript"/>
            </rPr>
            <t>left</t>
          </r>
        </is>
      </c>
      <c r="E96" s="42">
        <f>IF(inputs_ok,CHOOSE(sys_i,0,0.04,0.086,0.063,0.086)*F_fs*L_x/1000,NA())</f>
        <v/>
      </c>
      <c r="F96" s="28" t="inlineStr">
        <is>
          <t>kNm</t>
        </is>
      </c>
      <c r="G96" s="23" t="n"/>
    </row>
    <row r="97" ht="17" customHeight="1">
      <c r="B97" s="26" t="inlineStr">
        <is>
          <t>Table 3</t>
        </is>
      </c>
      <c r="C97" s="24" t="inlineStr">
        <is>
          <t>Right support moment</t>
        </is>
      </c>
      <c r="D97" s="27" t="inlineStr">
        <is>
          <r>
            <rPr>
              <rFont val="Calibri"/>
              <i val="1"/>
              <color rgb="002B2B2B"/>
              <sz val="10"/>
            </rPr>
            <t>M</t>
          </r>
          <r>
            <rPr>
              <rFont val="Calibri"/>
              <i val="1"/>
              <color rgb="002B2B2B"/>
              <sz val="10"/>
              <vertAlign val="subscript"/>
            </rPr>
            <t>right</t>
          </r>
        </is>
      </c>
      <c r="E97" s="42">
        <f>IF(inputs_ok,CHOOSE(sys_i,0.086,0.086,0.063,0.063,0.086)*F_fs*L_x/1000,NA())</f>
        <v/>
      </c>
      <c r="F97" s="28" t="inlineStr">
        <is>
          <t>kNm</t>
        </is>
      </c>
      <c r="G97" s="23" t="n"/>
    </row>
    <row r="98" ht="17" customHeight="1">
      <c r="B98" s="23" t="n"/>
      <c r="C98" s="24" t="inlineStr">
        <is>
          <t>Larger hogging moment</t>
        </is>
      </c>
      <c r="D98" s="27" t="inlineStr">
        <is>
          <r>
            <rPr>
              <rFont val="Calibri"/>
              <i val="1"/>
              <color rgb="002B2B2B"/>
              <sz val="10"/>
            </rPr>
            <t>M</t>
          </r>
          <r>
            <rPr>
              <rFont val="Calibri"/>
              <i val="1"/>
              <color rgb="002B2B2B"/>
              <sz val="10"/>
              <vertAlign val="subscript"/>
            </rPr>
            <t>hog</t>
          </r>
        </is>
      </c>
      <c r="E98" s="43">
        <f>IF(inputs_ok,MAX(M_lt,M_rt),NA())</f>
        <v/>
      </c>
      <c r="F98" s="28" t="inlineStr">
        <is>
          <t>kNm</t>
        </is>
      </c>
      <c r="G98" s="23" t="n"/>
    </row>
    <row r="99" ht="17" customHeight="1">
      <c r="B99" s="26" t="inlineStr">
        <is>
          <t>Figure I.1</t>
        </is>
      </c>
      <c r="C99" s="24" t="inlineStr">
        <is>
          <t>Column strip width  0.5 min(lx; ly)</t>
        </is>
      </c>
      <c r="D99" s="27" t="inlineStr">
        <is>
          <r>
            <rPr>
              <rFont val="Calibri"/>
              <i val="1"/>
              <color rgb="002B2B2B"/>
              <sz val="10"/>
            </rPr>
            <t>b</t>
          </r>
          <r>
            <rPr>
              <rFont val="Calibri"/>
              <i val="1"/>
              <color rgb="002B2B2B"/>
              <sz val="10"/>
              <vertAlign val="subscript"/>
            </rPr>
            <t>cs</t>
          </r>
        </is>
      </c>
      <c r="E99" s="41">
        <f>IF(inputs_ok,0.5*MIN(L_x,L_y),NA())</f>
        <v/>
      </c>
      <c r="F99" s="28" t="inlineStr">
        <is>
          <t>mm</t>
        </is>
      </c>
      <c r="G99" s="23" t="n"/>
    </row>
    <row r="100" ht="17" customHeight="1">
      <c r="B100" s="26" t="inlineStr">
        <is>
          <t>Figure I.1</t>
        </is>
      </c>
      <c r="C100" s="24" t="inlineStr">
        <is>
          <t>Middle strip width  ly − b_cs</t>
        </is>
      </c>
      <c r="D100" s="27" t="inlineStr">
        <is>
          <r>
            <rPr>
              <rFont val="Calibri"/>
              <i val="1"/>
              <color rgb="002B2B2B"/>
              <sz val="10"/>
            </rPr>
            <t>b</t>
          </r>
          <r>
            <rPr>
              <rFont val="Calibri"/>
              <i val="1"/>
              <color rgb="002B2B2B"/>
              <sz val="10"/>
              <vertAlign val="subscript"/>
            </rPr>
            <t>ms</t>
          </r>
        </is>
      </c>
      <c r="E100" s="41">
        <f>IF(inputs_ok,L_y-w_cs,NA())</f>
        <v/>
      </c>
      <c r="F100" s="28" t="inlineStr">
        <is>
          <t>mm</t>
        </is>
      </c>
      <c r="G100" s="23" t="n"/>
    </row>
    <row r="101" ht="17" customHeight="1">
      <c r="B101" s="26" t="inlineStr">
        <is>
          <t>Table I.1</t>
        </is>
      </c>
      <c r="C101" s="24" t="inlineStr">
        <is>
          <t>Column strip, top: m = share × M / b</t>
        </is>
      </c>
      <c r="D101" s="27" t="inlineStr">
        <is>
          <r>
            <rPr>
              <rFont val="Calibri"/>
              <i val="1"/>
              <color rgb="002B2B2B"/>
              <sz val="10"/>
            </rPr>
            <t>m</t>
          </r>
        </is>
      </c>
      <c r="E101" s="42">
        <f>IF(inputs_ok,(cs_hog)*M_hog/w_cs*1000,NA())</f>
        <v/>
      </c>
      <c r="F101" s="28" t="inlineStr">
        <is>
          <t>kNm/m</t>
        </is>
      </c>
      <c r="G101" s="23" t="n"/>
    </row>
    <row r="102" ht="17" customHeight="1">
      <c r="B102" s="26" t="inlineStr">
        <is>
          <t>Table I.1</t>
        </is>
      </c>
      <c r="C102" s="24" t="inlineStr">
        <is>
          <t>Column strip, bottom: m = share × M / b</t>
        </is>
      </c>
      <c r="D102" s="27" t="inlineStr">
        <is>
          <r>
            <rPr>
              <rFont val="Calibri"/>
              <i val="1"/>
              <color rgb="002B2B2B"/>
              <sz val="10"/>
            </rPr>
            <t>m</t>
          </r>
        </is>
      </c>
      <c r="E102" s="42">
        <f>IF(inputs_ok,(cs_sag)*M_sp/w_cs*1000,NA())</f>
        <v/>
      </c>
      <c r="F102" s="28" t="inlineStr">
        <is>
          <t>kNm/m</t>
        </is>
      </c>
      <c r="G102" s="23" t="n"/>
    </row>
    <row r="103" ht="17" customHeight="1">
      <c r="B103" s="26" t="inlineStr">
        <is>
          <t>Table I.1</t>
        </is>
      </c>
      <c r="C103" s="24" t="inlineStr">
        <is>
          <t>Middle strip, top: m = share × M / b</t>
        </is>
      </c>
      <c r="D103" s="27" t="inlineStr">
        <is>
          <r>
            <rPr>
              <rFont val="Calibri"/>
              <i val="1"/>
              <color rgb="002B2B2B"/>
              <sz val="10"/>
            </rPr>
            <t>m</t>
          </r>
        </is>
      </c>
      <c r="E103" s="42">
        <f>IF(inputs_ok,(1-cs_hog)*M_hog/w_ms*1000,NA())</f>
        <v/>
      </c>
      <c r="F103" s="28" t="inlineStr">
        <is>
          <t>kNm/m</t>
        </is>
      </c>
      <c r="G103" s="23" t="n"/>
    </row>
    <row r="104" ht="17" customHeight="1">
      <c r="B104" s="26" t="inlineStr">
        <is>
          <t>Table I.1</t>
        </is>
      </c>
      <c r="C104" s="24" t="inlineStr">
        <is>
          <t>Middle strip, bottom: m = share × M / b</t>
        </is>
      </c>
      <c r="D104" s="27" t="inlineStr">
        <is>
          <r>
            <rPr>
              <rFont val="Calibri"/>
              <i val="1"/>
              <color rgb="002B2B2B"/>
              <sz val="10"/>
            </rPr>
            <t>m</t>
          </r>
        </is>
      </c>
      <c r="E104" s="42">
        <f>IF(inputs_ok,(1-cs_sag)*M_sp/w_ms*1000,NA())</f>
        <v/>
      </c>
      <c r="F104" s="28" t="inlineStr">
        <is>
          <t>kNm/m</t>
        </is>
      </c>
      <c r="G104" s="23" t="n"/>
    </row>
    <row r="105"/>
    <row r="106" ht="22" customHeight="1">
      <c r="B106" s="20" t="inlineStr">
        <is>
          <t>Calculation  ·  bending of the strips  (1 m strips)</t>
        </is>
      </c>
      <c r="C106" s="21" t="n"/>
      <c r="D106" s="21" t="n"/>
      <c r="E106" s="21" t="n"/>
      <c r="F106" s="21" t="n"/>
      <c r="G106" s="21" t="n"/>
    </row>
    <row r="107" ht="17" customHeight="1">
      <c r="B107" s="26" t="inlineStr">
        <is>
          <t>5.5(4)</t>
        </is>
      </c>
      <c r="C107" s="24" t="inlineStr">
        <is>
          <t>Redistribution ratio of the coefficients</t>
        </is>
      </c>
      <c r="D107" s="27" t="inlineStr">
        <is>
          <r>
            <rPr>
              <rFont val="Calibri"/>
              <i val="1"/>
              <color rgb="002B2B2B"/>
              <sz val="10"/>
            </rPr>
            <t>δ</t>
          </r>
        </is>
      </c>
      <c r="E107" s="40">
        <f>IF(inputs_ok,0.8,NA())</f>
        <v/>
      </c>
      <c r="F107" s="23" t="n"/>
      <c r="G107" s="23" t="n"/>
    </row>
    <row r="108" ht="17" customHeight="1">
      <c r="B108" s="26" t="inlineStr">
        <is>
          <t>5.5(4)</t>
        </is>
      </c>
      <c r="C108" s="24" t="inlineStr">
        <is>
          <t>Limiting neutral axis depth  min((δ − k1)/k2; εcu/(εcu + εyd))</t>
        </is>
      </c>
      <c r="D108" s="27" t="inlineStr">
        <is>
          <r>
            <rPr>
              <rFont val="Calibri"/>
              <i val="1"/>
              <color rgb="002B2B2B"/>
              <sz val="10"/>
            </rPr>
            <t>x</t>
          </r>
          <r>
            <rPr>
              <rFont val="Calibri"/>
              <i val="1"/>
              <color rgb="002B2B2B"/>
              <sz val="10"/>
              <vertAlign val="subscript"/>
            </rPr>
            <t>u/d</t>
          </r>
        </is>
      </c>
      <c r="E108" s="44">
        <f>IF(inputs_ok,MIN((delta_sl-k1_red)/k2_red,0.0035/(0.0035+f_yd/200000)),NA())</f>
        <v/>
      </c>
      <c r="F108" s="23" t="n"/>
      <c r="G108" s="23" t="n"/>
    </row>
    <row r="109" ht="17" customHeight="1">
      <c r="B109" s="26" t="inlineStr">
        <is>
          <t>3.1.7(3)</t>
        </is>
      </c>
      <c r="C109" s="24" t="inlineStr">
        <is>
          <t>Limiting K  (αcc/γc) 0.8ξ (1 − 0.4ξ)</t>
        </is>
      </c>
      <c r="D109" s="27" t="inlineStr">
        <is>
          <r>
            <rPr>
              <rFont val="Calibri"/>
              <i val="1"/>
              <color rgb="002B2B2B"/>
              <sz val="10"/>
            </rPr>
            <t>K'</t>
          </r>
        </is>
      </c>
      <c r="E109" s="44">
        <f>IF(inputs_ok,alpha_cc/gamma_c*0.8*xi_sl*(1-0.4*xi_sl),NA())</f>
        <v/>
      </c>
      <c r="F109" s="23" t="n"/>
      <c r="G109" s="23" t="n"/>
    </row>
    <row r="110" ht="17" customHeight="1">
      <c r="B110" s="23" t="n"/>
      <c r="C110" s="24" t="inlineStr">
        <is>
          <t>Effective depth, top bars  h − c − (φo) − φ/2</t>
        </is>
      </c>
      <c r="D110" s="27" t="inlineStr">
        <is>
          <r>
            <rPr>
              <rFont val="Calibri"/>
              <i val="1"/>
              <color rgb="002B2B2B"/>
              <sz val="10"/>
            </rPr>
            <t>d</t>
          </r>
          <r>
            <rPr>
              <rFont val="Calibri"/>
              <i val="1"/>
              <color rgb="002B2B2B"/>
              <sz val="10"/>
              <vertAlign val="subscript"/>
            </rPr>
            <t>t</t>
          </r>
        </is>
      </c>
      <c r="E110" s="41">
        <f>IF(inputs_ok,h_fs-c_nom-IF(outer="Yes",0,phi_o)-MAX(phi_ct,phi_mt)/2,NA())</f>
        <v/>
      </c>
      <c r="F110" s="28" t="inlineStr">
        <is>
          <t>mm</t>
        </is>
      </c>
      <c r="G110" s="26" t="inlineStr">
        <is>
          <t>Larger top bar</t>
        </is>
      </c>
    </row>
    <row r="111" ht="17" customHeight="1">
      <c r="B111" s="23" t="n"/>
      <c r="C111" s="24" t="inlineStr">
        <is>
          <t>Effective depth, bottom bars</t>
        </is>
      </c>
      <c r="D111" s="27" t="inlineStr">
        <is>
          <r>
            <rPr>
              <rFont val="Calibri"/>
              <i val="1"/>
              <color rgb="002B2B2B"/>
              <sz val="10"/>
            </rPr>
            <t>d</t>
          </r>
          <r>
            <rPr>
              <rFont val="Calibri"/>
              <i val="1"/>
              <color rgb="002B2B2B"/>
              <sz val="10"/>
              <vertAlign val="subscript"/>
            </rPr>
            <t>b</t>
          </r>
        </is>
      </c>
      <c r="E111" s="41">
        <f>IF(inputs_ok,h_fs-c_nom-IF(outer="Yes",0,phi_o)-MAX(phi_cb,phi_mb)/2,NA())</f>
        <v/>
      </c>
      <c r="F111" s="28" t="inlineStr">
        <is>
          <t>mm</t>
        </is>
      </c>
      <c r="G111" s="26" t="inlineStr">
        <is>
          <t>Larger bottom bar</t>
        </is>
      </c>
    </row>
    <row r="112" ht="17" customHeight="1">
      <c r="B112" s="26" t="inlineStr">
        <is>
          <t>9.3.1.1(3)</t>
        </is>
      </c>
      <c r="C112" s="24" t="inlineStr">
        <is>
          <t>Maximum spacing of the main bars  min(2h; 250)</t>
        </is>
      </c>
      <c r="D112" s="27" t="inlineStr">
        <is>
          <r>
            <rPr>
              <rFont val="Calibri"/>
              <i val="1"/>
              <color rgb="002B2B2B"/>
              <sz val="10"/>
            </rPr>
            <t>s</t>
          </r>
          <r>
            <rPr>
              <rFont val="Calibri"/>
              <i val="1"/>
              <color rgb="002B2B2B"/>
              <sz val="10"/>
              <vertAlign val="subscript"/>
            </rPr>
            <t>max</t>
          </r>
        </is>
      </c>
      <c r="E112" s="41">
        <f>IF(inputs_ok,MIN(2*h_fs,250),NA())</f>
        <v/>
      </c>
      <c r="F112" s="28" t="inlineStr">
        <is>
          <t>mm</t>
        </is>
      </c>
      <c r="G112" s="23" t="n"/>
    </row>
    <row r="113" ht="17" customHeight="1">
      <c r="B113" s="23" t="n"/>
      <c r="C113" s="24" t="inlineStr">
        <is>
          <t>Column strip, top: K = M / (b d² fck)</t>
        </is>
      </c>
      <c r="D113" s="27" t="inlineStr">
        <is>
          <r>
            <rPr>
              <rFont val="Calibri"/>
              <i val="1"/>
              <color rgb="002B2B2B"/>
              <sz val="10"/>
            </rPr>
            <t>K</t>
          </r>
        </is>
      </c>
      <c r="E113" s="44">
        <f>IF(inputs_ok,MAX(0,m_ch)*1E6/(1000*d_t^2*f_ck),NA())</f>
        <v/>
      </c>
      <c r="F113" s="23" t="n"/>
      <c r="G113" s="23" t="n"/>
    </row>
    <row r="114" ht="17" customHeight="1">
      <c r="B114" s="26" t="inlineStr">
        <is>
          <t>3.1.7(3)</t>
        </is>
      </c>
      <c r="C114" s="24" t="inlineStr">
        <is>
          <t>Column strip, top: lever arm  d (1 − 0.4ξ) ≤ 0.95 d</t>
        </is>
      </c>
      <c r="D114" s="27" t="inlineStr">
        <is>
          <r>
            <rPr>
              <rFont val="Calibri"/>
              <i val="1"/>
              <color rgb="002B2B2B"/>
              <sz val="10"/>
            </rPr>
            <t>z</t>
          </r>
        </is>
      </c>
      <c r="E114" s="41">
        <f>IF(inputs_ok,IF(K_ch&lt;=K_sl,MIN(0.95*d_t,d_t*(1-0.5*(1-SQRT(1-2*K_ch/(alpha_cc/gamma_c))))),NA()),NA())</f>
        <v/>
      </c>
      <c r="F114" s="28" t="inlineStr">
        <is>
          <t>mm</t>
        </is>
      </c>
      <c r="G114" s="23" t="n"/>
    </row>
    <row r="115" ht="17" customHeight="1">
      <c r="B115" s="23" t="n"/>
      <c r="C115" s="24" t="inlineStr">
        <is>
          <t>Column strip, top: As required  M / (fyd z)</t>
        </is>
      </c>
      <c r="D115" s="27" t="inlineStr">
        <is>
          <r>
            <rPr>
              <rFont val="Calibri"/>
              <i val="1"/>
              <color rgb="002B2B2B"/>
              <sz val="10"/>
            </rPr>
            <t>A</t>
          </r>
          <r>
            <rPr>
              <rFont val="Calibri"/>
              <i val="1"/>
              <color rgb="002B2B2B"/>
              <sz val="10"/>
              <vertAlign val="subscript"/>
            </rPr>
            <t>s,req</t>
          </r>
        </is>
      </c>
      <c r="E115" s="41">
        <f>IF(inputs_ok,IF(K_ch&lt;=K_sl,MAX(0,m_ch)*1E6/(f_yd*z_ch),NA()),NA())</f>
        <v/>
      </c>
      <c r="F115" s="28" t="inlineStr">
        <is>
          <t>mm²/m</t>
        </is>
      </c>
      <c r="G115" s="23" t="n"/>
    </row>
    <row r="116" ht="17" customHeight="1">
      <c r="B116" s="26" t="inlineStr">
        <is>
          <t>(9.1N)</t>
        </is>
      </c>
      <c r="C116" s="24" t="inlineStr">
        <is>
          <t>Column strip, top: As,min  max(0.26 fctm/fyk; 0.0013) b d</t>
        </is>
      </c>
      <c r="D116" s="27" t="inlineStr">
        <is>
          <r>
            <rPr>
              <rFont val="Calibri"/>
              <i val="1"/>
              <color rgb="002B2B2B"/>
              <sz val="10"/>
            </rPr>
            <t>A</t>
          </r>
          <r>
            <rPr>
              <rFont val="Calibri"/>
              <i val="1"/>
              <color rgb="002B2B2B"/>
              <sz val="10"/>
              <vertAlign val="subscript"/>
            </rPr>
            <t>s,min</t>
          </r>
        </is>
      </c>
      <c r="E116" s="41">
        <f>IF(inputs_ok,MAX(0.26*f_ctm/f_yk,0.0013)*1000*d_t,NA())</f>
        <v/>
      </c>
      <c r="F116" s="28" t="inlineStr">
        <is>
          <t>mm²/m</t>
        </is>
      </c>
      <c r="G116" s="23" t="n"/>
    </row>
    <row r="117" ht="17" customHeight="1">
      <c r="B117" s="23" t="n"/>
      <c r="C117" s="24" t="inlineStr">
        <is>
          <t>Column strip, top: As provided  1000 π φ² / (4 s)</t>
        </is>
      </c>
      <c r="D117" s="27" t="inlineStr">
        <is>
          <r>
            <rPr>
              <rFont val="Calibri"/>
              <i val="1"/>
              <color rgb="002B2B2B"/>
              <sz val="10"/>
            </rPr>
            <t>A</t>
          </r>
          <r>
            <rPr>
              <rFont val="Calibri"/>
              <i val="1"/>
              <color rgb="002B2B2B"/>
              <sz val="10"/>
              <vertAlign val="subscript"/>
            </rPr>
            <t>s,prov</t>
          </r>
        </is>
      </c>
      <c r="E117" s="41">
        <f>IF(inputs_ok,1000*PI()*phi_ct^2/4/s_ct,NA())</f>
        <v/>
      </c>
      <c r="F117" s="28" t="inlineStr">
        <is>
          <t>mm²/m</t>
        </is>
      </c>
      <c r="G117" s="23" t="n"/>
    </row>
    <row r="118" ht="17" customHeight="1">
      <c r="B118" s="26" t="inlineStr">
        <is>
          <t>5.5(4)</t>
        </is>
      </c>
      <c r="C118" s="24" t="inlineStr">
        <is>
          <t>Column strip, top: x/d of the bars provided  As fyd / (0.8 b fcd d)</t>
        </is>
      </c>
      <c r="D118" s="27" t="inlineStr">
        <is>
          <r>
            <rPr>
              <rFont val="Calibri"/>
              <i val="1"/>
              <color rgb="002B2B2B"/>
              <sz val="10"/>
            </rPr>
            <t>x/d</t>
          </r>
        </is>
      </c>
      <c r="E118" s="44">
        <f>IF(inputs_ok,Asp_ch*f_yd/(0.8*1000*f_cd*d_t),NA())</f>
        <v/>
      </c>
      <c r="F118" s="23" t="n"/>
      <c r="G118" s="23" t="n"/>
    </row>
    <row r="119" ht="17" customHeight="1">
      <c r="B119" s="23" t="n"/>
      <c r="C119" s="24" t="inlineStr">
        <is>
          <t>Column strip, top: As,prov ≥ max(As,req; As,min), s ≤ s_max, x/d ≤ limit</t>
        </is>
      </c>
      <c r="D119" s="27" t="inlineStr">
        <is>
          <r>
            <rPr>
              <rFont val="Calibri"/>
              <i val="1"/>
              <color rgb="002B2B2B"/>
              <sz val="10"/>
            </rPr>
            <t>A</t>
          </r>
          <r>
            <rPr>
              <rFont val="Calibri"/>
              <i val="1"/>
              <color rgb="002B2B2B"/>
              <sz val="10"/>
              <vertAlign val="subscript"/>
            </rPr>
            <t>s</t>
          </r>
        </is>
      </c>
      <c r="E119" s="41">
        <f>IF(inputs_ok,Asp_ch,NA())</f>
        <v/>
      </c>
      <c r="F119" s="28" t="inlineStr">
        <is>
          <t>mm²/m</t>
        </is>
      </c>
      <c r="G119" s="31">
        <f>IF(NOT(inputs_ok),"FAIL",IF(AND(coef_ok,ok_ch),"OK","FAIL"))</f>
        <v/>
      </c>
    </row>
    <row r="120" ht="17" customHeight="1">
      <c r="B120" s="23" t="n"/>
      <c r="C120" s="24" t="inlineStr">
        <is>
          <t>Column strip, bottom: K = M / (b d² fck)</t>
        </is>
      </c>
      <c r="D120" s="27" t="inlineStr">
        <is>
          <r>
            <rPr>
              <rFont val="Calibri"/>
              <i val="1"/>
              <color rgb="002B2B2B"/>
              <sz val="10"/>
            </rPr>
            <t>K</t>
          </r>
        </is>
      </c>
      <c r="E120" s="44">
        <f>IF(inputs_ok,MAX(0,m_cs)*1E6/(1000*d_b^2*f_ck),NA())</f>
        <v/>
      </c>
      <c r="F120" s="23" t="n"/>
      <c r="G120" s="23" t="n"/>
    </row>
    <row r="121" ht="17" customHeight="1">
      <c r="B121" s="26" t="inlineStr">
        <is>
          <t>3.1.7(3)</t>
        </is>
      </c>
      <c r="C121" s="24" t="inlineStr">
        <is>
          <t>Column strip, bottom: lever arm  d (1 − 0.4ξ) ≤ 0.95 d</t>
        </is>
      </c>
      <c r="D121" s="27" t="inlineStr">
        <is>
          <r>
            <rPr>
              <rFont val="Calibri"/>
              <i val="1"/>
              <color rgb="002B2B2B"/>
              <sz val="10"/>
            </rPr>
            <t>z</t>
          </r>
        </is>
      </c>
      <c r="E121" s="41">
        <f>IF(inputs_ok,IF(K_cs&lt;=K_sl,MIN(0.95*d_b,d_b*(1-0.5*(1-SQRT(1-2*K_cs/(alpha_cc/gamma_c))))),NA()),NA())</f>
        <v/>
      </c>
      <c r="F121" s="28" t="inlineStr">
        <is>
          <t>mm</t>
        </is>
      </c>
      <c r="G121" s="23" t="n"/>
    </row>
    <row r="122" ht="17" customHeight="1">
      <c r="B122" s="23" t="n"/>
      <c r="C122" s="24" t="inlineStr">
        <is>
          <t>Column strip, bottom: As required  M / (fyd z)</t>
        </is>
      </c>
      <c r="D122" s="27" t="inlineStr">
        <is>
          <r>
            <rPr>
              <rFont val="Calibri"/>
              <i val="1"/>
              <color rgb="002B2B2B"/>
              <sz val="10"/>
            </rPr>
            <t>A</t>
          </r>
          <r>
            <rPr>
              <rFont val="Calibri"/>
              <i val="1"/>
              <color rgb="002B2B2B"/>
              <sz val="10"/>
              <vertAlign val="subscript"/>
            </rPr>
            <t>s,req</t>
          </r>
        </is>
      </c>
      <c r="E122" s="41">
        <f>IF(inputs_ok,IF(K_cs&lt;=K_sl,MAX(0,m_cs)*1E6/(f_yd*z_cs),NA()),NA())</f>
        <v/>
      </c>
      <c r="F122" s="28" t="inlineStr">
        <is>
          <t>mm²/m</t>
        </is>
      </c>
      <c r="G122" s="23" t="n"/>
    </row>
    <row r="123" ht="17" customHeight="1">
      <c r="B123" s="26" t="inlineStr">
        <is>
          <t>(9.1N)</t>
        </is>
      </c>
      <c r="C123" s="24" t="inlineStr">
        <is>
          <t>Column strip, bottom: As,min  max(0.26 fctm/fyk; 0.0013) b d</t>
        </is>
      </c>
      <c r="D123" s="27" t="inlineStr">
        <is>
          <r>
            <rPr>
              <rFont val="Calibri"/>
              <i val="1"/>
              <color rgb="002B2B2B"/>
              <sz val="10"/>
            </rPr>
            <t>A</t>
          </r>
          <r>
            <rPr>
              <rFont val="Calibri"/>
              <i val="1"/>
              <color rgb="002B2B2B"/>
              <sz val="10"/>
              <vertAlign val="subscript"/>
            </rPr>
            <t>s,min</t>
          </r>
        </is>
      </c>
      <c r="E123" s="41">
        <f>IF(inputs_ok,MAX(0.26*f_ctm/f_yk,0.0013)*1000*d_b,NA())</f>
        <v/>
      </c>
      <c r="F123" s="28" t="inlineStr">
        <is>
          <t>mm²/m</t>
        </is>
      </c>
      <c r="G123" s="23" t="n"/>
    </row>
    <row r="124" ht="17" customHeight="1">
      <c r="B124" s="23" t="n"/>
      <c r="C124" s="24" t="inlineStr">
        <is>
          <t>Column strip, bottom: As provided  1000 π φ² / (4 s)</t>
        </is>
      </c>
      <c r="D124" s="27" t="inlineStr">
        <is>
          <r>
            <rPr>
              <rFont val="Calibri"/>
              <i val="1"/>
              <color rgb="002B2B2B"/>
              <sz val="10"/>
            </rPr>
            <t>A</t>
          </r>
          <r>
            <rPr>
              <rFont val="Calibri"/>
              <i val="1"/>
              <color rgb="002B2B2B"/>
              <sz val="10"/>
              <vertAlign val="subscript"/>
            </rPr>
            <t>s,prov</t>
          </r>
        </is>
      </c>
      <c r="E124" s="41">
        <f>IF(inputs_ok,1000*PI()*phi_cb^2/4/s_cb,NA())</f>
        <v/>
      </c>
      <c r="F124" s="28" t="inlineStr">
        <is>
          <t>mm²/m</t>
        </is>
      </c>
      <c r="G124" s="23" t="n"/>
    </row>
    <row r="125" ht="17" customHeight="1">
      <c r="B125" s="26" t="inlineStr">
        <is>
          <t>5.5(4)</t>
        </is>
      </c>
      <c r="C125" s="24" t="inlineStr">
        <is>
          <t>Column strip, bottom: x/d of the bars provided  As fyd / (0.8 b fcd d)</t>
        </is>
      </c>
      <c r="D125" s="27" t="inlineStr">
        <is>
          <r>
            <rPr>
              <rFont val="Calibri"/>
              <i val="1"/>
              <color rgb="002B2B2B"/>
              <sz val="10"/>
            </rPr>
            <t>x/d</t>
          </r>
        </is>
      </c>
      <c r="E125" s="44">
        <f>IF(inputs_ok,Asp_cs*f_yd/(0.8*1000*f_cd*d_b),NA())</f>
        <v/>
      </c>
      <c r="F125" s="23" t="n"/>
      <c r="G125" s="23" t="n"/>
    </row>
    <row r="126" ht="17" customHeight="1">
      <c r="B126" s="23" t="n"/>
      <c r="C126" s="24" t="inlineStr">
        <is>
          <t>Column strip, bottom: As,prov ≥ max(As,req; As,min), s ≤ s_max</t>
        </is>
      </c>
      <c r="D126" s="27" t="inlineStr">
        <is>
          <r>
            <rPr>
              <rFont val="Calibri"/>
              <i val="1"/>
              <color rgb="002B2B2B"/>
              <sz val="10"/>
            </rPr>
            <t>A</t>
          </r>
          <r>
            <rPr>
              <rFont val="Calibri"/>
              <i val="1"/>
              <color rgb="002B2B2B"/>
              <sz val="10"/>
              <vertAlign val="subscript"/>
            </rPr>
            <t>s</t>
          </r>
        </is>
      </c>
      <c r="E126" s="41">
        <f>IF(inputs_ok,Asp_cs,NA())</f>
        <v/>
      </c>
      <c r="F126" s="28" t="inlineStr">
        <is>
          <t>mm²/m</t>
        </is>
      </c>
      <c r="G126" s="31">
        <f>IF(NOT(inputs_ok),"FAIL",IF(AND(coef_ok,ok_cs),"OK","FAIL"))</f>
        <v/>
      </c>
    </row>
    <row r="127" ht="17" customHeight="1">
      <c r="B127" s="23" t="n"/>
      <c r="C127" s="24" t="inlineStr">
        <is>
          <t>Middle strip, top: K = M / (b d² fck)</t>
        </is>
      </c>
      <c r="D127" s="27" t="inlineStr">
        <is>
          <r>
            <rPr>
              <rFont val="Calibri"/>
              <i val="1"/>
              <color rgb="002B2B2B"/>
              <sz val="10"/>
            </rPr>
            <t>K</t>
          </r>
        </is>
      </c>
      <c r="E127" s="44">
        <f>IF(inputs_ok,MAX(0,m_mh)*1E6/(1000*d_t^2*f_ck),NA())</f>
        <v/>
      </c>
      <c r="F127" s="23" t="n"/>
      <c r="G127" s="23" t="n"/>
    </row>
    <row r="128" ht="17" customHeight="1">
      <c r="B128" s="26" t="inlineStr">
        <is>
          <t>3.1.7(3)</t>
        </is>
      </c>
      <c r="C128" s="24" t="inlineStr">
        <is>
          <t>Middle strip, top: lever arm  d (1 − 0.4ξ) ≤ 0.95 d</t>
        </is>
      </c>
      <c r="D128" s="27" t="inlineStr">
        <is>
          <r>
            <rPr>
              <rFont val="Calibri"/>
              <i val="1"/>
              <color rgb="002B2B2B"/>
              <sz val="10"/>
            </rPr>
            <t>z</t>
          </r>
        </is>
      </c>
      <c r="E128" s="41">
        <f>IF(inputs_ok,IF(K_mh&lt;=K_sl,MIN(0.95*d_t,d_t*(1-0.5*(1-SQRT(1-2*K_mh/(alpha_cc/gamma_c))))),NA()),NA())</f>
        <v/>
      </c>
      <c r="F128" s="28" t="inlineStr">
        <is>
          <t>mm</t>
        </is>
      </c>
      <c r="G128" s="23" t="n"/>
    </row>
    <row r="129" ht="17" customHeight="1">
      <c r="B129" s="23" t="n"/>
      <c r="C129" s="24" t="inlineStr">
        <is>
          <t>Middle strip, top: As required  M / (fyd z)</t>
        </is>
      </c>
      <c r="D129" s="27" t="inlineStr">
        <is>
          <r>
            <rPr>
              <rFont val="Calibri"/>
              <i val="1"/>
              <color rgb="002B2B2B"/>
              <sz val="10"/>
            </rPr>
            <t>A</t>
          </r>
          <r>
            <rPr>
              <rFont val="Calibri"/>
              <i val="1"/>
              <color rgb="002B2B2B"/>
              <sz val="10"/>
              <vertAlign val="subscript"/>
            </rPr>
            <t>s,req</t>
          </r>
        </is>
      </c>
      <c r="E129" s="41">
        <f>IF(inputs_ok,IF(K_mh&lt;=K_sl,MAX(0,m_mh)*1E6/(f_yd*z_mh),NA()),NA())</f>
        <v/>
      </c>
      <c r="F129" s="28" t="inlineStr">
        <is>
          <t>mm²/m</t>
        </is>
      </c>
      <c r="G129" s="23" t="n"/>
    </row>
    <row r="130" ht="17" customHeight="1">
      <c r="B130" s="26" t="inlineStr">
        <is>
          <t>(9.1N)</t>
        </is>
      </c>
      <c r="C130" s="24" t="inlineStr">
        <is>
          <t>Middle strip, top: As,min  max(0.26 fctm/fyk; 0.0013) b d</t>
        </is>
      </c>
      <c r="D130" s="27" t="inlineStr">
        <is>
          <r>
            <rPr>
              <rFont val="Calibri"/>
              <i val="1"/>
              <color rgb="002B2B2B"/>
              <sz val="10"/>
            </rPr>
            <t>A</t>
          </r>
          <r>
            <rPr>
              <rFont val="Calibri"/>
              <i val="1"/>
              <color rgb="002B2B2B"/>
              <sz val="10"/>
              <vertAlign val="subscript"/>
            </rPr>
            <t>s,min</t>
          </r>
        </is>
      </c>
      <c r="E130" s="41">
        <f>IF(inputs_ok,MAX(0.26*f_ctm/f_yk,0.0013)*1000*d_t,NA())</f>
        <v/>
      </c>
      <c r="F130" s="28" t="inlineStr">
        <is>
          <t>mm²/m</t>
        </is>
      </c>
      <c r="G130" s="23" t="n"/>
    </row>
    <row r="131" ht="17" customHeight="1">
      <c r="B131" s="23" t="n"/>
      <c r="C131" s="24" t="inlineStr">
        <is>
          <t>Middle strip, top: As provided  1000 π φ² / (4 s)</t>
        </is>
      </c>
      <c r="D131" s="27" t="inlineStr">
        <is>
          <r>
            <rPr>
              <rFont val="Calibri"/>
              <i val="1"/>
              <color rgb="002B2B2B"/>
              <sz val="10"/>
            </rPr>
            <t>A</t>
          </r>
          <r>
            <rPr>
              <rFont val="Calibri"/>
              <i val="1"/>
              <color rgb="002B2B2B"/>
              <sz val="10"/>
              <vertAlign val="subscript"/>
            </rPr>
            <t>s,prov</t>
          </r>
        </is>
      </c>
      <c r="E131" s="41">
        <f>IF(inputs_ok,1000*PI()*phi_mt^2/4/s_mt,NA())</f>
        <v/>
      </c>
      <c r="F131" s="28" t="inlineStr">
        <is>
          <t>mm²/m</t>
        </is>
      </c>
      <c r="G131" s="23" t="n"/>
    </row>
    <row r="132" ht="17" customHeight="1">
      <c r="B132" s="26" t="inlineStr">
        <is>
          <t>5.5(4)</t>
        </is>
      </c>
      <c r="C132" s="24" t="inlineStr">
        <is>
          <t>Middle strip, top: x/d of the bars provided  As fyd / (0.8 b fcd d)</t>
        </is>
      </c>
      <c r="D132" s="27" t="inlineStr">
        <is>
          <r>
            <rPr>
              <rFont val="Calibri"/>
              <i val="1"/>
              <color rgb="002B2B2B"/>
              <sz val="10"/>
            </rPr>
            <t>x/d</t>
          </r>
        </is>
      </c>
      <c r="E132" s="44">
        <f>IF(inputs_ok,Asp_mh*f_yd/(0.8*1000*f_cd*d_t),NA())</f>
        <v/>
      </c>
      <c r="F132" s="23" t="n"/>
      <c r="G132" s="23" t="n"/>
    </row>
    <row r="133" ht="17" customHeight="1">
      <c r="B133" s="23" t="n"/>
      <c r="C133" s="24" t="inlineStr">
        <is>
          <t>Middle strip, top: As,prov ≥ max(As,req; As,min), s ≤ s_max, x/d ≤ limit</t>
        </is>
      </c>
      <c r="D133" s="27" t="inlineStr">
        <is>
          <r>
            <rPr>
              <rFont val="Calibri"/>
              <i val="1"/>
              <color rgb="002B2B2B"/>
              <sz val="10"/>
            </rPr>
            <t>A</t>
          </r>
          <r>
            <rPr>
              <rFont val="Calibri"/>
              <i val="1"/>
              <color rgb="002B2B2B"/>
              <sz val="10"/>
              <vertAlign val="subscript"/>
            </rPr>
            <t>s</t>
          </r>
        </is>
      </c>
      <c r="E133" s="41">
        <f>IF(inputs_ok,Asp_mh,NA())</f>
        <v/>
      </c>
      <c r="F133" s="28" t="inlineStr">
        <is>
          <t>mm²/m</t>
        </is>
      </c>
      <c r="G133" s="31">
        <f>IF(NOT(inputs_ok),"FAIL",IF(AND(coef_ok,ok_mh),"OK","FAIL"))</f>
        <v/>
      </c>
    </row>
    <row r="134" ht="17" customHeight="1">
      <c r="B134" s="23" t="n"/>
      <c r="C134" s="24" t="inlineStr">
        <is>
          <t>Middle strip, bottom: K = M / (b d² fck)</t>
        </is>
      </c>
      <c r="D134" s="27" t="inlineStr">
        <is>
          <r>
            <rPr>
              <rFont val="Calibri"/>
              <i val="1"/>
              <color rgb="002B2B2B"/>
              <sz val="10"/>
            </rPr>
            <t>K</t>
          </r>
        </is>
      </c>
      <c r="E134" s="44">
        <f>IF(inputs_ok,MAX(0,m_ms)*1E6/(1000*d_b^2*f_ck),NA())</f>
        <v/>
      </c>
      <c r="F134" s="23" t="n"/>
      <c r="G134" s="23" t="n"/>
    </row>
    <row r="135" ht="17" customHeight="1">
      <c r="B135" s="26" t="inlineStr">
        <is>
          <t>3.1.7(3)</t>
        </is>
      </c>
      <c r="C135" s="24" t="inlineStr">
        <is>
          <t>Middle strip, bottom: lever arm  d (1 − 0.4ξ) ≤ 0.95 d</t>
        </is>
      </c>
      <c r="D135" s="27" t="inlineStr">
        <is>
          <r>
            <rPr>
              <rFont val="Calibri"/>
              <i val="1"/>
              <color rgb="002B2B2B"/>
              <sz val="10"/>
            </rPr>
            <t>z</t>
          </r>
        </is>
      </c>
      <c r="E135" s="41">
        <f>IF(inputs_ok,IF(K_ms&lt;=K_sl,MIN(0.95*d_b,d_b*(1-0.5*(1-SQRT(1-2*K_ms/(alpha_cc/gamma_c))))),NA()),NA())</f>
        <v/>
      </c>
      <c r="F135" s="28" t="inlineStr">
        <is>
          <t>mm</t>
        </is>
      </c>
      <c r="G135" s="23" t="n"/>
    </row>
    <row r="136" ht="17" customHeight="1">
      <c r="B136" s="23" t="n"/>
      <c r="C136" s="24" t="inlineStr">
        <is>
          <t>Middle strip, bottom: As required  M / (fyd z)</t>
        </is>
      </c>
      <c r="D136" s="27" t="inlineStr">
        <is>
          <r>
            <rPr>
              <rFont val="Calibri"/>
              <i val="1"/>
              <color rgb="002B2B2B"/>
              <sz val="10"/>
            </rPr>
            <t>A</t>
          </r>
          <r>
            <rPr>
              <rFont val="Calibri"/>
              <i val="1"/>
              <color rgb="002B2B2B"/>
              <sz val="10"/>
              <vertAlign val="subscript"/>
            </rPr>
            <t>s,req</t>
          </r>
        </is>
      </c>
      <c r="E136" s="41">
        <f>IF(inputs_ok,IF(K_ms&lt;=K_sl,MAX(0,m_ms)*1E6/(f_yd*z_ms),NA()),NA())</f>
        <v/>
      </c>
      <c r="F136" s="28" t="inlineStr">
        <is>
          <t>mm²/m</t>
        </is>
      </c>
      <c r="G136" s="23" t="n"/>
    </row>
    <row r="137" ht="17" customHeight="1">
      <c r="B137" s="26" t="inlineStr">
        <is>
          <t>(9.1N)</t>
        </is>
      </c>
      <c r="C137" s="24" t="inlineStr">
        <is>
          <t>Middle strip, bottom: As,min  max(0.26 fctm/fyk; 0.0013) b d</t>
        </is>
      </c>
      <c r="D137" s="27" t="inlineStr">
        <is>
          <r>
            <rPr>
              <rFont val="Calibri"/>
              <i val="1"/>
              <color rgb="002B2B2B"/>
              <sz val="10"/>
            </rPr>
            <t>A</t>
          </r>
          <r>
            <rPr>
              <rFont val="Calibri"/>
              <i val="1"/>
              <color rgb="002B2B2B"/>
              <sz val="10"/>
              <vertAlign val="subscript"/>
            </rPr>
            <t>s,min</t>
          </r>
        </is>
      </c>
      <c r="E137" s="41">
        <f>IF(inputs_ok,MAX(0.26*f_ctm/f_yk,0.0013)*1000*d_b,NA())</f>
        <v/>
      </c>
      <c r="F137" s="28" t="inlineStr">
        <is>
          <t>mm²/m</t>
        </is>
      </c>
      <c r="G137" s="23" t="n"/>
    </row>
    <row r="138" ht="17" customHeight="1">
      <c r="B138" s="23" t="n"/>
      <c r="C138" s="24" t="inlineStr">
        <is>
          <t>Middle strip, bottom: As provided  1000 π φ² / (4 s)</t>
        </is>
      </c>
      <c r="D138" s="27" t="inlineStr">
        <is>
          <r>
            <rPr>
              <rFont val="Calibri"/>
              <i val="1"/>
              <color rgb="002B2B2B"/>
              <sz val="10"/>
            </rPr>
            <t>A</t>
          </r>
          <r>
            <rPr>
              <rFont val="Calibri"/>
              <i val="1"/>
              <color rgb="002B2B2B"/>
              <sz val="10"/>
              <vertAlign val="subscript"/>
            </rPr>
            <t>s,prov</t>
          </r>
        </is>
      </c>
      <c r="E138" s="41">
        <f>IF(inputs_ok,1000*PI()*phi_mb^2/4/s_mb,NA())</f>
        <v/>
      </c>
      <c r="F138" s="28" t="inlineStr">
        <is>
          <t>mm²/m</t>
        </is>
      </c>
      <c r="G138" s="23" t="n"/>
    </row>
    <row r="139" ht="17" customHeight="1">
      <c r="B139" s="26" t="inlineStr">
        <is>
          <t>5.5(4)</t>
        </is>
      </c>
      <c r="C139" s="24" t="inlineStr">
        <is>
          <t>Middle strip, bottom: x/d of the bars provided  As fyd / (0.8 b fcd d)</t>
        </is>
      </c>
      <c r="D139" s="27" t="inlineStr">
        <is>
          <r>
            <rPr>
              <rFont val="Calibri"/>
              <i val="1"/>
              <color rgb="002B2B2B"/>
              <sz val="10"/>
            </rPr>
            <t>x/d</t>
          </r>
        </is>
      </c>
      <c r="E139" s="44">
        <f>IF(inputs_ok,Asp_ms*f_yd/(0.8*1000*f_cd*d_b),NA())</f>
        <v/>
      </c>
      <c r="F139" s="23" t="n"/>
      <c r="G139" s="23" t="n"/>
    </row>
    <row r="140" ht="17" customHeight="1">
      <c r="B140" s="23" t="n"/>
      <c r="C140" s="24" t="inlineStr">
        <is>
          <t>Middle strip, bottom: As,prov ≥ max(As,req; As,min), s ≤ s_max</t>
        </is>
      </c>
      <c r="D140" s="27" t="inlineStr">
        <is>
          <r>
            <rPr>
              <rFont val="Calibri"/>
              <i val="1"/>
              <color rgb="002B2B2B"/>
              <sz val="10"/>
            </rPr>
            <t>A</t>
          </r>
          <r>
            <rPr>
              <rFont val="Calibri"/>
              <i val="1"/>
              <color rgb="002B2B2B"/>
              <sz val="10"/>
              <vertAlign val="subscript"/>
            </rPr>
            <t>s</t>
          </r>
        </is>
      </c>
      <c r="E140" s="41">
        <f>IF(inputs_ok,Asp_ms,NA())</f>
        <v/>
      </c>
      <c r="F140" s="28" t="inlineStr">
        <is>
          <t>mm²/m</t>
        </is>
      </c>
      <c r="G140" s="31">
        <f>IF(NOT(inputs_ok),"FAIL",IF(AND(coef_ok,ok_ms),"OK","FAIL"))</f>
        <v/>
      </c>
    </row>
    <row r="141"/>
    <row r="142" ht="22" customHeight="1">
      <c r="B142" s="20" t="inlineStr">
        <is>
          <t>Calculation  ·  columns, deflection and detailing</t>
        </is>
      </c>
      <c r="C142" s="21" t="n"/>
      <c r="D142" s="21" t="n"/>
      <c r="E142" s="21" t="n"/>
      <c r="F142" s="21" t="n"/>
      <c r="G142" s="21" t="n"/>
    </row>
    <row r="143" ht="17" customHeight="1">
      <c r="B143" s="26" t="inlineStr">
        <is>
          <t>9.4.1(2)</t>
        </is>
      </c>
      <c r="C143" s="24" t="inlineStr">
        <is>
          <t>Top steel within 0.125 ly of the column line  (bars spread evenly)</t>
        </is>
      </c>
      <c r="D143" s="27" t="inlineStr">
        <is>
          <r>
            <rPr>
              <rFont val="Calibri"/>
              <i val="1"/>
              <color rgb="002B2B2B"/>
              <sz val="10"/>
            </rPr>
            <t>A</t>
          </r>
          <r>
            <rPr>
              <rFont val="Calibri"/>
              <i val="1"/>
              <color rgb="002B2B2B"/>
              <sz val="10"/>
              <vertAlign val="subscript"/>
            </rPr>
            <t>s</t>
          </r>
        </is>
      </c>
      <c r="E143" s="41">
        <f>IF(inputs_ok,Asp_ch*0.25*L_y/1000,NA())</f>
        <v/>
      </c>
      <c r="F143" s="28" t="inlineStr">
        <is>
          <t>mm²</t>
        </is>
      </c>
      <c r="G143" s="23" t="n"/>
    </row>
    <row r="144" ht="17" customHeight="1">
      <c r="B144" s="26" t="inlineStr">
        <is>
          <t>9.4.1(2)</t>
        </is>
      </c>
      <c r="C144" s="24" t="inlineStr">
        <is>
          <t>≥ half the total required  (panels alike each side; else by hand)</t>
        </is>
      </c>
      <c r="D144" s="23" t="n"/>
      <c r="E144" s="9" t="n"/>
      <c r="F144" s="23" t="n"/>
      <c r="G144" s="31">
        <f>IF(NOT(inputs_ok),"FAIL",IF(same_nb="Yes",IF(AND(coef_ok,conc_ok),"OK","FAIL"),"! Check by hand"))</f>
        <v/>
      </c>
    </row>
    <row r="145" ht="17" customHeight="1">
      <c r="B145" s="26" t="inlineStr">
        <is>
          <t>Figure 9.9</t>
        </is>
      </c>
      <c r="C145" s="24" t="inlineStr">
        <is>
          <t>Edge column: effective width  be = cx + y</t>
        </is>
      </c>
      <c r="D145" s="27" t="inlineStr">
        <is>
          <r>
            <rPr>
              <rFont val="Calibri"/>
              <i val="1"/>
              <color rgb="002B2B2B"/>
              <sz val="10"/>
            </rPr>
            <t>b</t>
          </r>
          <r>
            <rPr>
              <rFont val="Calibri"/>
              <i val="1"/>
              <color rgb="002B2B2B"/>
              <sz val="10"/>
              <vertAlign val="subscript"/>
            </rPr>
            <t>e</t>
          </r>
        </is>
      </c>
      <c r="E145" s="41">
        <f>IF(inputs_ok,IF(sys_i=2,cx_e+y_e,0),NA())</f>
        <v/>
      </c>
      <c r="F145" s="28" t="inlineStr">
        <is>
          <t>mm</t>
        </is>
      </c>
      <c r="G145" s="23" t="n"/>
    </row>
    <row r="146" ht="17" customHeight="1">
      <c r="B146" s="26" t="inlineStr">
        <is>
          <t>9.4.2(1)</t>
        </is>
      </c>
      <c r="C146" s="24" t="inlineStr">
        <is>
          <t>Edge column: largest transferable moment  0.17 be d² fck</t>
        </is>
      </c>
      <c r="D146" s="27" t="inlineStr">
        <is>
          <r>
            <rPr>
              <rFont val="Calibri"/>
              <i val="1"/>
              <color rgb="002B2B2B"/>
              <sz val="10"/>
            </rPr>
            <t>M</t>
          </r>
          <r>
            <rPr>
              <rFont val="Calibri"/>
              <i val="1"/>
              <color rgb="002B2B2B"/>
              <sz val="10"/>
              <vertAlign val="subscript"/>
            </rPr>
            <t>t,max</t>
          </r>
        </is>
      </c>
      <c r="E146" s="42">
        <f>IF(inputs_ok,0.17*be_fs*d_t^2*f_ck/1E6,NA())</f>
        <v/>
      </c>
      <c r="F146" s="28" t="inlineStr">
        <is>
          <t>kNm</t>
        </is>
      </c>
      <c r="G146" s="23" t="n"/>
    </row>
    <row r="147" ht="17" customHeight="1">
      <c r="B147" s="26" t="inlineStr">
        <is>
          <t>9.4.2(1)</t>
        </is>
      </c>
      <c r="C147" s="24" t="inlineStr">
        <is>
          <t>Edge column: top bars in be for the edge moment  M / (fyd z), b = be</t>
        </is>
      </c>
      <c r="D147" s="27" t="inlineStr">
        <is>
          <r>
            <rPr>
              <rFont val="Calibri"/>
              <i val="1"/>
              <color rgb="002B2B2B"/>
              <sz val="10"/>
            </rPr>
            <t>A</t>
          </r>
          <r>
            <rPr>
              <rFont val="Calibri"/>
              <i val="1"/>
              <color rgb="002B2B2B"/>
              <sz val="10"/>
              <vertAlign val="subscript"/>
            </rPr>
            <t>s,e</t>
          </r>
        </is>
      </c>
      <c r="E147" s="41">
        <f>IF(inputs_ok,IF(sys_i=2,M_lt*1E6/(f_yd*MIN(0.95*d_t,d_t*(1-0.5*(1-SQRT(1-2*M_lt*1E6/(be_fs*d_t^2*f_ck)/(alpha_cc/gamma_c)))))),0),NA())</f>
        <v/>
      </c>
      <c r="F147" s="28" t="inlineStr">
        <is>
          <t>mm²</t>
        </is>
      </c>
      <c r="G147" s="23" t="n"/>
    </row>
    <row r="148" ht="17" customHeight="1">
      <c r="B148" s="26" t="inlineStr">
        <is>
          <t>9.4.2(1)</t>
        </is>
      </c>
      <c r="C148" s="24" t="inlineStr">
        <is>
          <t>Edge column: column strip top bars within be</t>
        </is>
      </c>
      <c r="D148" s="27" t="inlineStr">
        <is>
          <r>
            <rPr>
              <rFont val="Calibri"/>
              <i val="1"/>
              <color rgb="002B2B2B"/>
              <sz val="10"/>
            </rPr>
            <t>A</t>
          </r>
          <r>
            <rPr>
              <rFont val="Calibri"/>
              <i val="1"/>
              <color rgb="002B2B2B"/>
              <sz val="10"/>
              <vertAlign val="subscript"/>
            </rPr>
            <t>s,e,prov</t>
          </r>
        </is>
      </c>
      <c r="E148" s="41">
        <f>IF(inputs_ok,Asp_ch*be_fs/1000,NA())</f>
        <v/>
      </c>
      <c r="F148" s="28" t="inlineStr">
        <is>
          <t>mm²</t>
        </is>
      </c>
      <c r="G148" s="23" t="n"/>
    </row>
    <row r="149" ht="17" customHeight="1">
      <c r="B149" s="26" t="inlineStr">
        <is>
          <t>9.4.2(1)</t>
        </is>
      </c>
      <c r="C149" s="24" t="inlineStr">
        <is>
          <t>Edge column: M ≤ 0.17 be d² fck and the bars in be carry it</t>
        </is>
      </c>
      <c r="D149" s="27" t="inlineStr">
        <is>
          <r>
            <rPr>
              <rFont val="Calibri"/>
              <i val="1"/>
              <color rgb="002B2B2B"/>
              <sz val="10"/>
            </rPr>
            <t>M</t>
          </r>
        </is>
      </c>
      <c r="E149" s="42">
        <f>IF(inputs_ok,M_lt,NA())</f>
        <v/>
      </c>
      <c r="F149" s="28" t="inlineStr">
        <is>
          <t>kNm</t>
        </is>
      </c>
      <c r="G149" s="31">
        <f>IF(NOT(inputs_ok),"FAIL",IF(AND(coef_ok,edge_ok),"OK","FAIL"))</f>
        <v/>
      </c>
    </row>
    <row r="150" ht="17" customHeight="1">
      <c r="B150" s="26" t="inlineStr">
        <is>
          <t>Table 7.4N</t>
        </is>
      </c>
      <c r="C150" s="24" t="inlineStr">
        <is>
          <t>Flat slab: K = 1.2 on the longer span</t>
        </is>
      </c>
      <c r="D150" s="27" t="inlineStr">
        <is>
          <r>
            <rPr>
              <rFont val="Calibri"/>
              <i val="1"/>
              <color rgb="002B2B2B"/>
              <sz val="10"/>
            </rPr>
            <t>l</t>
          </r>
        </is>
      </c>
      <c r="E150" s="41">
        <f>IF(inputs_ok,MAX(L_x,L_y),NA())</f>
        <v/>
      </c>
      <c r="F150" s="28" t="inlineStr">
        <is>
          <t>mm</t>
        </is>
      </c>
      <c r="G150" s="23" t="n"/>
    </row>
    <row r="151" ht="17" customHeight="1">
      <c r="B151" s="26" t="inlineStr">
        <is>
          <t>7.4.2</t>
        </is>
      </c>
      <c r="C151" s="24" t="inlineStr">
        <is>
          <t>Tension bars for deflection  As,req / (b d), column strip bottom</t>
        </is>
      </c>
      <c r="D151" s="27" t="inlineStr">
        <is>
          <r>
            <rPr>
              <rFont val="Calibri"/>
              <i val="1"/>
              <color rgb="002B2B2B"/>
              <sz val="10"/>
            </rPr>
            <t>ρ</t>
          </r>
        </is>
      </c>
      <c r="E151" s="45">
        <f>IF(inputs_ok,MAX(Asr_cs,Asmin_cs)/(1000*d_b),NA())</f>
        <v/>
      </c>
      <c r="F151" s="23" t="n"/>
      <c r="G151" s="26" t="inlineStr">
        <is>
          <t>N/A: bending fails</t>
        </is>
      </c>
    </row>
    <row r="152" ht="17" customHeight="1">
      <c r="B152" s="26" t="inlineStr">
        <is>
          <t>(7.16)</t>
        </is>
      </c>
      <c r="C152" s="24" t="inlineStr">
        <is>
          <t>Reference ratio  ρ0 = √fck · 10⁻³</t>
        </is>
      </c>
      <c r="D152" s="27" t="inlineStr">
        <is>
          <r>
            <rPr>
              <rFont val="Calibri"/>
              <i val="1"/>
              <color rgb="002B2B2B"/>
              <sz val="10"/>
            </rPr>
            <t>ρ</t>
          </r>
          <r>
            <rPr>
              <rFont val="Calibri"/>
              <i val="1"/>
              <color rgb="002B2B2B"/>
              <sz val="10"/>
              <vertAlign val="subscript"/>
            </rPr>
            <t>0</t>
          </r>
        </is>
      </c>
      <c r="E152" s="45">
        <f>IF(inputs_ok,SQRT(f_ck)/1000,NA())</f>
        <v/>
      </c>
      <c r="F152" s="23" t="n"/>
      <c r="G152" s="23" t="n"/>
    </row>
    <row r="153" ht="17" customHeight="1">
      <c r="B153" s="26" t="inlineStr">
        <is>
          <t>(7.16)</t>
        </is>
      </c>
      <c r="C153" s="24" t="inlineStr">
        <is>
          <t>Basic span to depth ratio  (K = 1.2)</t>
        </is>
      </c>
      <c r="D153" s="27" t="inlineStr">
        <is>
          <r>
            <rPr>
              <rFont val="Calibri"/>
              <i val="1"/>
              <color rgb="002B2B2B"/>
              <sz val="10"/>
            </rPr>
            <t>l/d</t>
          </r>
        </is>
      </c>
      <c r="E153" s="42">
        <f>IF(inputs_ok,1.2*IF(rho_d&lt;=rho_0,11+1.5*SQRT(f_ck)*rho_0/rho_d+3.2*SQRT(f_ck)*(rho_0/rho_d-1)^1.5,11+1.5*SQRT(f_ck)*rho_0/rho_d),NA())</f>
        <v/>
      </c>
      <c r="F153" s="23" t="n"/>
      <c r="G153" s="23" t="n"/>
    </row>
    <row r="154" ht="17" customHeight="1">
      <c r="B154" s="26" t="inlineStr">
        <is>
          <t>7.4.2(2)</t>
        </is>
      </c>
      <c r="C154" s="24" t="inlineStr">
        <is>
          <t>Long span factor  8.5 / l  (l &gt; 8.5 m, brittle partitions)</t>
        </is>
      </c>
      <c r="D154" s="27" t="inlineStr">
        <is>
          <r>
            <rPr>
              <rFont val="Calibri"/>
              <i val="1"/>
              <color rgb="002B2B2B"/>
              <sz val="10"/>
            </rPr>
            <t>F</t>
          </r>
          <r>
            <rPr>
              <rFont val="Calibri"/>
              <i val="1"/>
              <color rgb="002B2B2B"/>
              <sz val="10"/>
              <vertAlign val="subscript"/>
            </rPr>
            <t>2</t>
          </r>
        </is>
      </c>
      <c r="E154" s="44">
        <f>IF(inputs_ok,IF(AND(partitions="Yes",l_def&gt;8500),8500/l_def,1),NA())</f>
        <v/>
      </c>
      <c r="F154" s="23" t="n"/>
      <c r="G154" s="23" t="n"/>
    </row>
    <row r="155" ht="17" customHeight="1">
      <c r="B155" s="26" t="inlineStr">
        <is>
          <t>(7.17)</t>
        </is>
      </c>
      <c r="C155" s="24" t="inlineStr">
        <is>
          <t>Steel stress factor  (As,prov / As,req)(500 / fyk)  (UK ≤ 1.5)</t>
        </is>
      </c>
      <c r="D155" s="27" t="inlineStr">
        <is>
          <r>
            <rPr>
              <rFont val="Calibri"/>
              <i val="1"/>
              <color rgb="002B2B2B"/>
              <sz val="10"/>
            </rPr>
            <t>F</t>
          </r>
          <r>
            <rPr>
              <rFont val="Calibri"/>
              <i val="1"/>
              <color rgb="002B2B2B"/>
              <sz val="10"/>
              <vertAlign val="subscript"/>
            </rPr>
            <t>3</t>
          </r>
        </is>
      </c>
      <c r="E155" s="44">
        <f>IF(inputs_ok,IF(ld_mod_max&gt;0,MIN(ld_mod_max,Asp_cs/MAX(Asr_cs,Asmin_cs)*500/f_yk),Asp_cs/MAX(Asr_cs,Asmin_cs)*500/f_yk),NA())</f>
        <v/>
      </c>
      <c r="F155" s="23" t="n"/>
      <c r="G155" s="23" t="n"/>
    </row>
    <row r="156" ht="17" customHeight="1">
      <c r="B156" s="26" t="inlineStr">
        <is>
          <t>7.4.2</t>
        </is>
      </c>
      <c r="C156" s="24" t="inlineStr">
        <is>
          <t>Limiting span to depth ratio  (UK NA: ≤ 40 K)</t>
        </is>
      </c>
      <c r="D156" s="27" t="inlineStr">
        <is>
          <r>
            <rPr>
              <rFont val="Calibri"/>
              <i val="1"/>
              <color rgb="002B2B2B"/>
              <sz val="10"/>
            </rPr>
            <t>l/d</t>
          </r>
          <r>
            <rPr>
              <rFont val="Calibri"/>
              <i val="1"/>
              <color rgb="002B2B2B"/>
              <sz val="10"/>
              <vertAlign val="subscript"/>
            </rPr>
            <t>lim</t>
          </r>
        </is>
      </c>
      <c r="E156" s="43">
        <f>IF(inputs_ok,IF(ld_cap_40K=1,MIN(40*1.2,ld_bas*F2_fs*F3_fs),ld_bas*F2_fs*F3_fs),NA())</f>
        <v/>
      </c>
      <c r="F156" s="23" t="n"/>
      <c r="G156" s="23" t="n"/>
    </row>
    <row r="157" ht="17" customHeight="1">
      <c r="B157" s="23" t="n"/>
      <c r="C157" s="24" t="inlineStr">
        <is>
          <t>Actual span to depth ratio  (longer span / d of the bottom bars)</t>
        </is>
      </c>
      <c r="D157" s="27" t="inlineStr">
        <is>
          <r>
            <rPr>
              <rFont val="Calibri"/>
              <i val="1"/>
              <color rgb="002B2B2B"/>
              <sz val="10"/>
            </rPr>
            <t>l/d</t>
          </r>
        </is>
      </c>
      <c r="E157" s="42">
        <f>IF(inputs_ok,l_def/d_b,NA())</f>
        <v/>
      </c>
      <c r="F157" s="23" t="n"/>
      <c r="G157" s="23" t="n"/>
    </row>
    <row r="158" ht="17" customHeight="1">
      <c r="B158" s="26" t="inlineStr">
        <is>
          <t>7.4.2</t>
        </is>
      </c>
      <c r="C158" s="24" t="inlineStr">
        <is>
          <t>Deflection  l/d ≤ limit  (with the bending checks passing)</t>
        </is>
      </c>
      <c r="D158" s="27" t="inlineStr">
        <is>
          <r>
            <rPr>
              <rFont val="Calibri"/>
              <i val="1"/>
              <color rgb="002B2B2B"/>
              <sz val="10"/>
            </rPr>
            <t>l/d</t>
          </r>
        </is>
      </c>
      <c r="E158" s="42">
        <f>IF(inputs_ok,ld_act,NA())</f>
        <v/>
      </c>
      <c r="F158" s="23" t="n"/>
      <c r="G158" s="31">
        <f>IF(NOT(inputs_ok),"FAIL",IF(AND(coef_ok,defl_ok),"OK","FAIL"))</f>
        <v/>
      </c>
    </row>
    <row r="159" ht="17" customHeight="1">
      <c r="B159" s="26" t="inlineStr">
        <is>
          <t>8.2(2)</t>
        </is>
      </c>
      <c r="C159" s="24" t="inlineStr">
        <is>
          <t>Minimum clear gap  max(φ; dg + 5; 20)</t>
        </is>
      </c>
      <c r="D159" s="27" t="inlineStr">
        <is>
          <r>
            <rPr>
              <rFont val="Calibri"/>
              <i val="1"/>
              <color rgb="002B2B2B"/>
              <sz val="10"/>
            </rPr>
            <t>a</t>
          </r>
          <r>
            <rPr>
              <rFont val="Calibri"/>
              <i val="1"/>
              <color rgb="002B2B2B"/>
              <sz val="10"/>
              <vertAlign val="subscript"/>
            </rPr>
            <t>min</t>
          </r>
        </is>
      </c>
      <c r="E159" s="41">
        <f>IF(inputs_ok,MAX(phi_ct,phi_cb,phi_mt,phi_mb,d_g+5,20),NA())</f>
        <v/>
      </c>
      <c r="F159" s="28" t="inlineStr">
        <is>
          <t>mm</t>
        </is>
      </c>
      <c r="G159" s="23" t="n"/>
    </row>
    <row r="160" ht="17" customHeight="1">
      <c r="B160" s="26" t="inlineStr">
        <is>
          <t>8.2(2)</t>
        </is>
      </c>
      <c r="C160" s="24" t="inlineStr">
        <is>
          <t>Vertical gap between the top and bottom layers</t>
        </is>
      </c>
      <c r="D160" s="27" t="inlineStr">
        <is>
          <r>
            <rPr>
              <rFont val="Calibri"/>
              <i val="1"/>
              <color rgb="002B2B2B"/>
              <sz val="10"/>
            </rPr>
            <t>a</t>
          </r>
          <r>
            <rPr>
              <rFont val="Calibri"/>
              <i val="1"/>
              <color rgb="002B2B2B"/>
              <sz val="10"/>
              <vertAlign val="subscript"/>
            </rPr>
            <t>v</t>
          </r>
        </is>
      </c>
      <c r="E160" s="41">
        <f>IF(inputs_ok,h_fs-2*c_nom-2*phi_o-MAX(phi_ct,phi_mt)-MAX(phi_cb,phi_mb),NA())</f>
        <v/>
      </c>
      <c r="F160" s="28" t="inlineStr">
        <is>
          <t>mm</t>
        </is>
      </c>
      <c r="G160" s="23" t="n"/>
    </row>
    <row r="161" ht="17" customHeight="1">
      <c r="B161" s="26" t="inlineStr">
        <is>
          <t>9.2.1.1(3)</t>
        </is>
      </c>
      <c r="C161" s="24" t="inlineStr">
        <is>
          <t>Maximum reinforcement  0.04 Ac</t>
        </is>
      </c>
      <c r="D161" s="27" t="inlineStr">
        <is>
          <r>
            <rPr>
              <rFont val="Calibri"/>
              <i val="1"/>
              <color rgb="002B2B2B"/>
              <sz val="10"/>
            </rPr>
            <t>A</t>
          </r>
          <r>
            <rPr>
              <rFont val="Calibri"/>
              <i val="1"/>
              <color rgb="002B2B2B"/>
              <sz val="10"/>
              <vertAlign val="subscript"/>
            </rPr>
            <t>s,max</t>
          </r>
        </is>
      </c>
      <c r="E161" s="41">
        <f>IF(inputs_ok,0.04*1000*h_fs,NA())</f>
        <v/>
      </c>
      <c r="F161" s="28" t="inlineStr">
        <is>
          <t>mm²/m</t>
        </is>
      </c>
      <c r="G161" s="23" t="n"/>
    </row>
    <row r="162" ht="17" customHeight="1">
      <c r="B162" s="26" t="inlineStr">
        <is>
          <t>8.2(2), 9.2.1.1(3)</t>
        </is>
      </c>
      <c r="C162" s="24" t="inlineStr">
        <is>
          <t>Clear gaps of all bars, between the layers; As ≤ As,max</t>
        </is>
      </c>
      <c r="D162" s="27" t="inlineStr">
        <is>
          <r>
            <rPr>
              <rFont val="Calibri"/>
              <i val="1"/>
              <color rgb="002B2B2B"/>
              <sz val="10"/>
            </rPr>
            <t>a</t>
          </r>
        </is>
      </c>
      <c r="E162" s="41">
        <f>IF(inputs_ok,MIN(s_ct-phi_ct,s_cb-phi_cb,s_mt-phi_mt,s_mb-phi_mb),NA())</f>
        <v/>
      </c>
      <c r="F162" s="28" t="inlineStr">
        <is>
          <t>mm</t>
        </is>
      </c>
      <c r="G162" s="31">
        <f>IF(NOT(inputs_ok),"FAIL",IF(det_fs,"OK","FAIL"))</f>
        <v/>
      </c>
    </row>
    <row r="163" ht="41.5" customHeight="1">
      <c r="B163" s="38" t="inlineStr">
        <is>
          <t>Place the column strip top bars with half of the total over the column within 0.125 ly of it (9.4.1(2)); at an edge column place the bars perpendicular to the free edge within be (9.4.2(1)). Bottom bars through the columns: at least two in each direction (9.4.1(3)); curtail and anchor all bars for the moments (9.2.1.3).</t>
        </is>
      </c>
    </row>
    <row r="164"/>
    <row r="165" ht="29" customHeight="1">
      <c r="B165" s="3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E5:G5"/>
    <mergeCell ref="B163:G163"/>
    <mergeCell ref="B56:G56"/>
    <mergeCell ref="D2:G2"/>
    <mergeCell ref="E7:G7"/>
    <mergeCell ref="E6:G6"/>
    <mergeCell ref="C3:G3"/>
    <mergeCell ref="B165:G165"/>
  </mergeCells>
  <conditionalFormatting sqref="G9:G166">
    <cfRule type="expression" priority="1" dxfId="0">
      <formula>G9="OK"</formula>
    </cfRule>
    <cfRule type="expression" priority="2" dxfId="1">
      <formula>G9="FAIL"</formula>
    </cfRule>
    <cfRule type="expression" priority="3" dxfId="2">
      <formula>LEFT(G9,1)="!"</formula>
    </cfRule>
  </conditionalFormatting>
  <dataValidations count="25">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Pick a value from the list." type="list" errorStyle="stop">
      <formula1>"End span – pinned end,End span – continuous end,Interior span next to an end span,Interior span,Interior span between two end spans"</formula1>
    </dataValidation>
    <dataValidation sqref="E16 E21 E34" showDropDown="0" showInputMessage="0" showErrorMessage="1" allowBlank="0" errorTitle="NA Engineering" error="Pick a value from the list." type="list" errorStyle="stop">
      <formula1>"Yes,No"</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2 E26 E28 E30 E32" showDropDown="0" showInputMessage="0" showErrorMessage="1" allowBlank="0" errorTitle="NA Engineering" error="Pick a value from the list." type="list" errorStyle="stop">
      <formula1>"8,10,12,16,20,25,32,40"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greater than 0." type="decimal" errorStyle="stop" operator="greaterThan">
      <formula1>0</formula1>
    </dataValidation>
    <dataValidation sqref="E31" showDropDown="0" showInputMessage="0" showErrorMessage="1" allowBlank="0" errorTitle="NA Engineering" error="Enter a number greater than 0." type="decimal" errorStyle="stop" operator="greaterThan">
      <formula1>0</formula1>
    </dataValidation>
    <dataValidation sqref="E33" showDropDown="0" showInputMessage="0" showErrorMessage="1" allowBlank="0" errorTitle="NA Engineering" error="Enter a number greater than 0." type="decimal" errorStyle="stop" operator="greaterThan">
      <formula1>0</formula1>
    </dataValidation>
    <dataValidation sqref="E35" showDropDown="0" showInputMessage="0" showErrorMessage="1" allowBlank="1" errorTitle="NA Engineering" error="Enter a number greater than 0." type="custom" errorStyle="stop">
      <formula1>IF(sys_i=2,AND(ISNUMBER(E35),E35&gt;0),TRUE)</formula1>
    </dataValidation>
    <dataValidation sqref="E36" showDropDown="0" showInputMessage="0" showErrorMessage="1" allowBlank="1" errorTitle="NA Engineering" error="Enter a number greater than 0." type="custom" errorStyle="stop">
      <formula1>IF(sys_i=2,AND(ISNUMBER(E36),E36&gt;0),TRUE)</formula1>
    </dataValidation>
    <dataValidation sqref="E39" showDropDown="0" showInputMessage="0" showErrorMessage="1" allowBlank="0" errorTitle="NA Engineering" error="Enter a number ≥ 0." type="decimal" errorStyle="stop" operator="greaterThanOrEqual">
      <formula1>0</formula1>
    </dataValidation>
    <dataValidation sqref="E40" showDropDown="0" showInputMessage="0" showErrorMessage="1" allowBlank="0" errorTitle="NA Engineering" error="Enter a number ≥ 0." type="decimal" errorStyle="stop" operator="greaterThanOrEqual">
      <formula1>0</formula1>
    </dataValidation>
    <dataValidation sqref="E41" showDropDown="0" showInputMessage="0" showErrorMessage="1" allowBlank="0" errorTitle="NA Engineering" error="Enter a number greater than 0." type="decimal" errorStyle="stop" operator="greaterThan">
      <formula1>0</formula1>
    </dataValidation>
    <dataValidation sqref="E42" showDropDown="0" showInputMessage="0" showErrorMessage="1" allowBlank="0" errorTitle="NA Engineering" error="Enter a number greater than 0." type="decimal" errorStyle="stop" operator="greaterThan">
      <formula1>0</formula1>
    </dataValidation>
    <dataValidation sqref="E43" showDropDown="0" showInputMessage="0" showErrorMessage="1" allowBlank="0" errorTitle="NA Engineering" error="Pick a value from the list." type="list" errorStyle="stop">
      <formula1>"No,Yes"</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&amp;K8A8A8ANAE-RC-023  v1.0</oddFooter>
    <evenHeader/>
    <evenFooter/>
    <firstHeader/>
    <firstFooter/>
  </headerFooter>
  <rowBreaks count="1" manualBreakCount="1">
    <brk id="45"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ED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panel</t>
        </is>
      </c>
      <c r="G2" t="inlineStr">
        <is>
          <t>cs boundary 1</t>
        </is>
      </c>
      <c r="J2" t="inlineStr">
        <is>
          <t>cs boundary 2</t>
        </is>
      </c>
      <c r="M2" t="inlineStr">
        <is>
          <t>band 1l</t>
        </is>
      </c>
      <c r="P2" t="inlineStr">
        <is>
          <t>band 1r</t>
        </is>
      </c>
      <c r="S2" t="inlineStr">
        <is>
          <t>band 2l</t>
        </is>
      </c>
      <c r="V2" t="inlineStr">
        <is>
          <t>band 2r</t>
        </is>
      </c>
      <c r="Y2" t="inlineStr">
        <is>
          <t>column 0</t>
        </is>
      </c>
      <c r="AB2" t="inlineStr">
        <is>
          <t>column 1</t>
        </is>
      </c>
      <c r="AE2" t="inlineStr">
        <is>
          <t>column 2</t>
        </is>
      </c>
      <c r="AH2" t="inlineStr">
        <is>
          <t>column 3</t>
        </is>
      </c>
      <c r="AK2" t="inlineStr">
        <is>
          <t>hatch a0</t>
        </is>
      </c>
      <c r="AN2" t="inlineStr">
        <is>
          <t>hatch b0</t>
        </is>
      </c>
      <c r="AQ2" t="inlineStr">
        <is>
          <t>hatch a1</t>
        </is>
      </c>
      <c r="AT2" t="inlineStr">
        <is>
          <t>hatch b1</t>
        </is>
      </c>
      <c r="AW2" t="inlineStr">
        <is>
          <t>hatch a2</t>
        </is>
      </c>
      <c r="AZ2" t="inlineStr">
        <is>
          <t>hatch b2</t>
        </is>
      </c>
      <c r="BC2" t="inlineStr">
        <is>
          <t>hatch a3</t>
        </is>
      </c>
      <c r="BF2" t="inlineStr">
        <is>
          <t>hatch b3</t>
        </is>
      </c>
      <c r="BI2" t="inlineStr">
        <is>
          <t>hatch a4</t>
        </is>
      </c>
      <c r="BL2" t="inlineStr">
        <is>
          <t>hatch b4</t>
        </is>
      </c>
      <c r="BO2" t="inlineStr">
        <is>
          <t>hatch a5</t>
        </is>
      </c>
      <c r="BR2" t="inlineStr">
        <is>
          <t>hatch b5</t>
        </is>
      </c>
      <c r="BU2" t="inlineStr">
        <is>
          <t>hatch a6</t>
        </is>
      </c>
      <c r="BX2" t="inlineStr">
        <is>
          <t>hatch b6</t>
        </is>
      </c>
      <c r="CA2" t="inlineStr">
        <is>
          <t>hatch a7</t>
        </is>
      </c>
      <c r="CD2" t="inlineStr">
        <is>
          <t>hatch b7</t>
        </is>
      </c>
      <c r="CG2" t="inlineStr">
        <is>
          <t>hatch a8</t>
        </is>
      </c>
      <c r="CJ2" t="inlineStr">
        <is>
          <t>hatch b8</t>
        </is>
      </c>
      <c r="CM2" t="inlineStr">
        <is>
          <t>hatch a9</t>
        </is>
      </c>
      <c r="CP2" t="inlineStr">
        <is>
          <t>hatch b9</t>
        </is>
      </c>
      <c r="CS2" t="inlineStr">
        <is>
          <t>hatch a10</t>
        </is>
      </c>
      <c r="CV2" t="inlineStr">
        <is>
          <t>hatch b10</t>
        </is>
      </c>
      <c r="CY2" t="inlineStr">
        <is>
          <t>hatch a11</t>
        </is>
      </c>
      <c r="DB2" t="inlineStr">
        <is>
          <t>hatch b11</t>
        </is>
      </c>
      <c r="DE2">
        <f>IF(inputs_ok,"column strip  T "&amp;TEXT(m_ch,"0")&amp;" / B "&amp;TEXT(m_cs,"0")&amp;" kNm/m","")</f>
        <v/>
      </c>
      <c r="DH2">
        <f>IF(inputs_ok,"middle strip  T "&amp;TEXT(m_mh,"0")&amp;" / B "&amp;TEXT(m_ms,"0")&amp;" kNm/m","")</f>
        <v/>
      </c>
      <c r="DK2" t="inlineStr">
        <is>
          <t>dim</t>
        </is>
      </c>
      <c r="DN2">
        <f>IF(inputs_ok,"l_x = "&amp;TEXT(L_x,"0"),"")</f>
        <v/>
      </c>
      <c r="DQ2" t="inlineStr">
        <is>
          <t>dim</t>
        </is>
      </c>
      <c r="DT2">
        <f>IF(inputs_ok,"l_y = "&amp;TEXT(L_y,"0"),"")</f>
        <v/>
      </c>
      <c r="DW2" t="inlineStr">
        <is>
          <t>span arrow</t>
        </is>
      </c>
      <c r="DZ2">
        <f>IF(inputs_ok,"span designed","")</f>
        <v/>
      </c>
      <c r="EC2" t="inlineStr">
        <is>
          <t>frame</t>
        </is>
      </c>
    </row>
    <row r="3">
      <c r="A3">
        <f>0</f>
        <v/>
      </c>
      <c r="B3">
        <f>0</f>
        <v/>
      </c>
      <c r="D3">
        <f>IF(inputs_ok,0,NA())</f>
        <v/>
      </c>
      <c r="E3">
        <f>0</f>
        <v/>
      </c>
      <c r="G3">
        <f>IF(inputs_ok,0,NA())</f>
        <v/>
      </c>
      <c r="H3">
        <f>w_cs/2</f>
        <v/>
      </c>
      <c r="J3">
        <f>IF(inputs_ok,0,NA())</f>
        <v/>
      </c>
      <c r="K3">
        <f>L_y-w_cs/2</f>
        <v/>
      </c>
      <c r="M3">
        <f>IF(inputs_ok,0,NA())</f>
        <v/>
      </c>
      <c r="N3">
        <f>0.125*L_y</f>
        <v/>
      </c>
      <c r="P3">
        <f>IF(inputs_ok,0.8*L_x,NA())</f>
        <v/>
      </c>
      <c r="Q3">
        <f>0.125*L_y</f>
        <v/>
      </c>
      <c r="S3">
        <f>IF(inputs_ok,0,NA())</f>
        <v/>
      </c>
      <c r="T3">
        <f>L_y-0.125*L_y</f>
        <v/>
      </c>
      <c r="V3">
        <f>IF(inputs_ok,0.8*L_x,NA())</f>
        <v/>
      </c>
      <c r="W3">
        <f>L_y-0.125*L_y</f>
        <v/>
      </c>
      <c r="Y3">
        <f>IF(inputs_ok,0-c_col/2,NA())</f>
        <v/>
      </c>
      <c r="Z3">
        <f>0-c_col/2</f>
        <v/>
      </c>
      <c r="AB3">
        <f>IF(inputs_ok,L_x-c_col/2,NA())</f>
        <v/>
      </c>
      <c r="AC3">
        <f>0-c_col/2</f>
        <v/>
      </c>
      <c r="AE3">
        <f>IF(inputs_ok,0-c_col/2,NA())</f>
        <v/>
      </c>
      <c r="AF3">
        <f>L_y-c_col/2</f>
        <v/>
      </c>
      <c r="AH3">
        <f>IF(inputs_ok,L_x-c_col/2,NA())</f>
        <v/>
      </c>
      <c r="AI3">
        <f>L_y-c_col/2</f>
        <v/>
      </c>
      <c r="AK3">
        <f>IF(inputs_ok,(0+0.5)*L_x/12,NA())</f>
        <v/>
      </c>
      <c r="AL3">
        <f>0</f>
        <v/>
      </c>
      <c r="AN3">
        <f>IF(inputs_ok,(0+0.5)*L_x/12,NA())</f>
        <v/>
      </c>
      <c r="AO3">
        <f>L_y-w_cs/2</f>
        <v/>
      </c>
      <c r="AQ3">
        <f>IF(inputs_ok,(1+0.5)*L_x/12,NA())</f>
        <v/>
      </c>
      <c r="AR3">
        <f>0</f>
        <v/>
      </c>
      <c r="AT3">
        <f>IF(inputs_ok,(1+0.5)*L_x/12,NA())</f>
        <v/>
      </c>
      <c r="AU3">
        <f>L_y-w_cs/2</f>
        <v/>
      </c>
      <c r="AW3">
        <f>IF(inputs_ok,(2+0.5)*L_x/12,NA())</f>
        <v/>
      </c>
      <c r="AX3">
        <f>0</f>
        <v/>
      </c>
      <c r="AZ3">
        <f>IF(inputs_ok,(2+0.5)*L_x/12,NA())</f>
        <v/>
      </c>
      <c r="BA3">
        <f>L_y-w_cs/2</f>
        <v/>
      </c>
      <c r="BC3">
        <f>IF(inputs_ok,(3+0.5)*L_x/12,NA())</f>
        <v/>
      </c>
      <c r="BD3">
        <f>0</f>
        <v/>
      </c>
      <c r="BF3">
        <f>IF(inputs_ok,(3+0.5)*L_x/12,NA())</f>
        <v/>
      </c>
      <c r="BG3">
        <f>L_y-w_cs/2</f>
        <v/>
      </c>
      <c r="BI3">
        <f>IF(inputs_ok,(4+0.5)*L_x/12,NA())</f>
        <v/>
      </c>
      <c r="BJ3">
        <f>0</f>
        <v/>
      </c>
      <c r="BL3">
        <f>IF(inputs_ok,(4+0.5)*L_x/12,NA())</f>
        <v/>
      </c>
      <c r="BM3">
        <f>L_y-w_cs/2</f>
        <v/>
      </c>
      <c r="BO3">
        <f>IF(inputs_ok,(5+0.5)*L_x/12,NA())</f>
        <v/>
      </c>
      <c r="BP3">
        <f>0</f>
        <v/>
      </c>
      <c r="BR3">
        <f>IF(inputs_ok,(5+0.5)*L_x/12,NA())</f>
        <v/>
      </c>
      <c r="BS3">
        <f>L_y-w_cs/2</f>
        <v/>
      </c>
      <c r="BU3">
        <f>IF(inputs_ok,(6+0.5)*L_x/12,NA())</f>
        <v/>
      </c>
      <c r="BV3">
        <f>0</f>
        <v/>
      </c>
      <c r="BX3">
        <f>IF(inputs_ok,(6+0.5)*L_x/12,NA())</f>
        <v/>
      </c>
      <c r="BY3">
        <f>L_y-w_cs/2</f>
        <v/>
      </c>
      <c r="CA3">
        <f>IF(inputs_ok,(7+0.5)*L_x/12,NA())</f>
        <v/>
      </c>
      <c r="CB3">
        <f>0</f>
        <v/>
      </c>
      <c r="CD3">
        <f>IF(inputs_ok,(7+0.5)*L_x/12,NA())</f>
        <v/>
      </c>
      <c r="CE3">
        <f>L_y-w_cs/2</f>
        <v/>
      </c>
      <c r="CG3">
        <f>IF(inputs_ok,(8+0.5)*L_x/12,NA())</f>
        <v/>
      </c>
      <c r="CH3">
        <f>0</f>
        <v/>
      </c>
      <c r="CJ3">
        <f>IF(inputs_ok,(8+0.5)*L_x/12,NA())</f>
        <v/>
      </c>
      <c r="CK3">
        <f>L_y-w_cs/2</f>
        <v/>
      </c>
      <c r="CM3">
        <f>IF(inputs_ok,(9+0.5)*L_x/12,NA())</f>
        <v/>
      </c>
      <c r="CN3">
        <f>0</f>
        <v/>
      </c>
      <c r="CP3">
        <f>IF(inputs_ok,(9+0.5)*L_x/12,NA())</f>
        <v/>
      </c>
      <c r="CQ3">
        <f>L_y-w_cs/2</f>
        <v/>
      </c>
      <c r="CS3">
        <f>IF(inputs_ok,(10+0.5)*L_x/12,NA())</f>
        <v/>
      </c>
      <c r="CT3">
        <f>0</f>
        <v/>
      </c>
      <c r="CV3">
        <f>IF(inputs_ok,(10+0.5)*L_x/12,NA())</f>
        <v/>
      </c>
      <c r="CW3">
        <f>L_y-w_cs/2</f>
        <v/>
      </c>
      <c r="CY3">
        <f>IF(inputs_ok,(11+0.5)*L_x/12,NA())</f>
        <v/>
      </c>
      <c r="CZ3">
        <f>0</f>
        <v/>
      </c>
      <c r="DB3">
        <f>IF(inputs_ok,(11+0.5)*L_x/12,NA())</f>
        <v/>
      </c>
      <c r="DC3">
        <f>L_y-w_cs/2</f>
        <v/>
      </c>
      <c r="DE3">
        <f>IF(inputs_ok,L_x/2,NA())</f>
        <v/>
      </c>
      <c r="DF3">
        <f>L_y-w_cs/4</f>
        <v/>
      </c>
      <c r="DH3">
        <f>IF(inputs_ok,L_x/2,NA())</f>
        <v/>
      </c>
      <c r="DI3">
        <f>L_y/2</f>
        <v/>
      </c>
      <c r="DK3">
        <f>IF(inputs_ok,IF(TRUE,0,NA()),NA())</f>
        <v/>
      </c>
      <c r="DL3">
        <f>IF(TRUE,-0.12*L_y,NA())</f>
        <v/>
      </c>
      <c r="DN3">
        <f>IF(inputs_ok,IF(TRUE,((0)+(L_x))/2,NA()),NA())</f>
        <v/>
      </c>
      <c r="DO3">
        <f>IF(TRUE,((-0.12*L_y)+(-0.12*L_y))/2,NA())</f>
        <v/>
      </c>
      <c r="DQ3">
        <f>IF(inputs_ok,IF(TRUE,L_x+0.08*L_x,NA()),NA())</f>
        <v/>
      </c>
      <c r="DR3">
        <f>IF(TRUE,0,NA())</f>
        <v/>
      </c>
      <c r="DT3">
        <f>IF(inputs_ok,IF(TRUE,((L_x+0.08*L_x)+(L_x+0.08*L_x))/2,NA()),NA())</f>
        <v/>
      </c>
      <c r="DU3">
        <f>IF(TRUE,((0)+(L_y))/2,NA())</f>
        <v/>
      </c>
      <c r="DW3">
        <f>IF(inputs_ok,0.35*L_x,NA())</f>
        <v/>
      </c>
      <c r="DX3">
        <f>L_y+0.08*L_y</f>
        <v/>
      </c>
      <c r="DZ3">
        <f>IF(inputs_ok,L_x/2,NA())</f>
        <v/>
      </c>
      <c r="EA3">
        <f>L_y+0.08*L_y</f>
        <v/>
      </c>
      <c r="EC3">
        <f>((-0.1*L_x)+(1.25*L_x))/2-MAX((1.2*L_y)-(-0.3*L_y),((1.25*L_x)-(-0.1*L_x))/1.55)*0.53*1.55</f>
        <v/>
      </c>
      <c r="ED3">
        <f>((-0.3*L_y)+(1.2*L_y))/2-MAX((1.2*L_y)-(-0.3*L_y),((1.25*L_x)-(-0.1*L_x))/1.55)*0.53</f>
        <v/>
      </c>
    </row>
    <row r="4">
      <c r="D4">
        <f>IF(inputs_ok,L_x,NA())</f>
        <v/>
      </c>
      <c r="E4">
        <f>0</f>
        <v/>
      </c>
      <c r="G4">
        <f>IF(inputs_ok,L_x,NA())</f>
        <v/>
      </c>
      <c r="H4">
        <f>w_cs/2</f>
        <v/>
      </c>
      <c r="J4">
        <f>IF(inputs_ok,L_x,NA())</f>
        <v/>
      </c>
      <c r="K4">
        <f>L_y-w_cs/2</f>
        <v/>
      </c>
      <c r="M4">
        <f>IF(inputs_ok,0.2*L_x,NA())</f>
        <v/>
      </c>
      <c r="N4">
        <f>0.125*L_y</f>
        <v/>
      </c>
      <c r="P4">
        <f>IF(inputs_ok,L_x,NA())</f>
        <v/>
      </c>
      <c r="Q4">
        <f>0.125*L_y</f>
        <v/>
      </c>
      <c r="S4">
        <f>IF(inputs_ok,0.2*L_x,NA())</f>
        <v/>
      </c>
      <c r="T4">
        <f>L_y-0.125*L_y</f>
        <v/>
      </c>
      <c r="V4">
        <f>IF(inputs_ok,L_x,NA())</f>
        <v/>
      </c>
      <c r="W4">
        <f>L_y-0.125*L_y</f>
        <v/>
      </c>
      <c r="Y4">
        <f>IF(inputs_ok,0+c_col/2,NA())</f>
        <v/>
      </c>
      <c r="Z4">
        <f>0-c_col/2</f>
        <v/>
      </c>
      <c r="AB4">
        <f>IF(inputs_ok,L_x+c_col/2,NA())</f>
        <v/>
      </c>
      <c r="AC4">
        <f>0-c_col/2</f>
        <v/>
      </c>
      <c r="AE4">
        <f>IF(inputs_ok,0+c_col/2,NA())</f>
        <v/>
      </c>
      <c r="AF4">
        <f>L_y-c_col/2</f>
        <v/>
      </c>
      <c r="AH4">
        <f>IF(inputs_ok,L_x+c_col/2,NA())</f>
        <v/>
      </c>
      <c r="AI4">
        <f>L_y-c_col/2</f>
        <v/>
      </c>
      <c r="AK4">
        <f>IF(inputs_ok,(0+0.5)*L_x/12+0.03*L_x,NA())</f>
        <v/>
      </c>
      <c r="AL4">
        <f>w_cs/2</f>
        <v/>
      </c>
      <c r="AN4">
        <f>IF(inputs_ok,(0+0.5)*L_x/12+0.03*L_x,NA())</f>
        <v/>
      </c>
      <c r="AO4">
        <f>L_y</f>
        <v/>
      </c>
      <c r="AQ4">
        <f>IF(inputs_ok,(1+0.5)*L_x/12+0.03*L_x,NA())</f>
        <v/>
      </c>
      <c r="AR4">
        <f>w_cs/2</f>
        <v/>
      </c>
      <c r="AT4">
        <f>IF(inputs_ok,(1+0.5)*L_x/12+0.03*L_x,NA())</f>
        <v/>
      </c>
      <c r="AU4">
        <f>L_y</f>
        <v/>
      </c>
      <c r="AW4">
        <f>IF(inputs_ok,(2+0.5)*L_x/12+0.03*L_x,NA())</f>
        <v/>
      </c>
      <c r="AX4">
        <f>w_cs/2</f>
        <v/>
      </c>
      <c r="AZ4">
        <f>IF(inputs_ok,(2+0.5)*L_x/12+0.03*L_x,NA())</f>
        <v/>
      </c>
      <c r="BA4">
        <f>L_y</f>
        <v/>
      </c>
      <c r="BC4">
        <f>IF(inputs_ok,(3+0.5)*L_x/12+0.03*L_x,NA())</f>
        <v/>
      </c>
      <c r="BD4">
        <f>w_cs/2</f>
        <v/>
      </c>
      <c r="BF4">
        <f>IF(inputs_ok,(3+0.5)*L_x/12+0.03*L_x,NA())</f>
        <v/>
      </c>
      <c r="BG4">
        <f>L_y</f>
        <v/>
      </c>
      <c r="BI4">
        <f>IF(inputs_ok,(4+0.5)*L_x/12+0.03*L_x,NA())</f>
        <v/>
      </c>
      <c r="BJ4">
        <f>w_cs/2</f>
        <v/>
      </c>
      <c r="BL4">
        <f>IF(inputs_ok,(4+0.5)*L_x/12+0.03*L_x,NA())</f>
        <v/>
      </c>
      <c r="BM4">
        <f>L_y</f>
        <v/>
      </c>
      <c r="BO4">
        <f>IF(inputs_ok,(5+0.5)*L_x/12+0.03*L_x,NA())</f>
        <v/>
      </c>
      <c r="BP4">
        <f>w_cs/2</f>
        <v/>
      </c>
      <c r="BR4">
        <f>IF(inputs_ok,(5+0.5)*L_x/12+0.03*L_x,NA())</f>
        <v/>
      </c>
      <c r="BS4">
        <f>L_y</f>
        <v/>
      </c>
      <c r="BU4">
        <f>IF(inputs_ok,(6+0.5)*L_x/12+0.03*L_x,NA())</f>
        <v/>
      </c>
      <c r="BV4">
        <f>w_cs/2</f>
        <v/>
      </c>
      <c r="BX4">
        <f>IF(inputs_ok,(6+0.5)*L_x/12+0.03*L_x,NA())</f>
        <v/>
      </c>
      <c r="BY4">
        <f>L_y</f>
        <v/>
      </c>
      <c r="CA4">
        <f>IF(inputs_ok,(7+0.5)*L_x/12+0.03*L_x,NA())</f>
        <v/>
      </c>
      <c r="CB4">
        <f>w_cs/2</f>
        <v/>
      </c>
      <c r="CD4">
        <f>IF(inputs_ok,(7+0.5)*L_x/12+0.03*L_x,NA())</f>
        <v/>
      </c>
      <c r="CE4">
        <f>L_y</f>
        <v/>
      </c>
      <c r="CG4">
        <f>IF(inputs_ok,(8+0.5)*L_x/12+0.03*L_x,NA())</f>
        <v/>
      </c>
      <c r="CH4">
        <f>w_cs/2</f>
        <v/>
      </c>
      <c r="CJ4">
        <f>IF(inputs_ok,(8+0.5)*L_x/12+0.03*L_x,NA())</f>
        <v/>
      </c>
      <c r="CK4">
        <f>L_y</f>
        <v/>
      </c>
      <c r="CM4">
        <f>IF(inputs_ok,(9+0.5)*L_x/12+0.03*L_x,NA())</f>
        <v/>
      </c>
      <c r="CN4">
        <f>w_cs/2</f>
        <v/>
      </c>
      <c r="CP4">
        <f>IF(inputs_ok,(9+0.5)*L_x/12+0.03*L_x,NA())</f>
        <v/>
      </c>
      <c r="CQ4">
        <f>L_y</f>
        <v/>
      </c>
      <c r="CS4">
        <f>IF(inputs_ok,(10+0.5)*L_x/12+0.03*L_x,NA())</f>
        <v/>
      </c>
      <c r="CT4">
        <f>w_cs/2</f>
        <v/>
      </c>
      <c r="CV4">
        <f>IF(inputs_ok,(10+0.5)*L_x/12+0.03*L_x,NA())</f>
        <v/>
      </c>
      <c r="CW4">
        <f>L_y</f>
        <v/>
      </c>
      <c r="CY4">
        <f>IF(inputs_ok,(11+0.5)*L_x/12+0.03*L_x,NA())</f>
        <v/>
      </c>
      <c r="CZ4">
        <f>w_cs/2</f>
        <v/>
      </c>
      <c r="DB4">
        <f>IF(inputs_ok,(11+0.5)*L_x/12+0.03*L_x,NA())</f>
        <v/>
      </c>
      <c r="DC4">
        <f>L_y</f>
        <v/>
      </c>
      <c r="DK4">
        <f>IF(inputs_ok,IF(TRUE,L_x,NA()),NA())</f>
        <v/>
      </c>
      <c r="DL4">
        <f>IF(TRUE,-0.12*L_y,NA())</f>
        <v/>
      </c>
      <c r="DQ4">
        <f>IF(inputs_ok,IF(TRUE,L_x+0.08*L_x,NA()),NA())</f>
        <v/>
      </c>
      <c r="DR4">
        <f>IF(TRUE,L_y,NA())</f>
        <v/>
      </c>
      <c r="DW4">
        <f>IF(inputs_ok,0.65*L_x,NA())</f>
        <v/>
      </c>
      <c r="DX4">
        <f>L_y+0.08*L_y</f>
        <v/>
      </c>
      <c r="EC4">
        <f>((-0.1*L_x)+(1.25*L_x))/2+MAX((1.2*L_y)-(-0.3*L_y),((1.25*L_x)-(-0.1*L_x))/1.55)*0.53*1.55</f>
        <v/>
      </c>
      <c r="ED4">
        <f>((-0.3*L_y)+(1.2*L_y))/2+MAX((1.2*L_y)-(-0.3*L_y),((1.25*L_x)-(-0.1*L_x))/1.55)*0.53</f>
        <v/>
      </c>
    </row>
    <row r="5">
      <c r="D5">
        <f>IF(inputs_ok,L_x,NA())</f>
        <v/>
      </c>
      <c r="E5">
        <f>L_y</f>
        <v/>
      </c>
      <c r="Y5">
        <f>IF(inputs_ok,0+c_col/2,NA())</f>
        <v/>
      </c>
      <c r="Z5">
        <f>0+c_col/2</f>
        <v/>
      </c>
      <c r="AB5">
        <f>IF(inputs_ok,L_x+c_col/2,NA())</f>
        <v/>
      </c>
      <c r="AC5">
        <f>0+c_col/2</f>
        <v/>
      </c>
      <c r="AE5">
        <f>IF(inputs_ok,0+c_col/2,NA())</f>
        <v/>
      </c>
      <c r="AF5">
        <f>L_y+c_col/2</f>
        <v/>
      </c>
      <c r="AH5">
        <f>IF(inputs_ok,L_x+c_col/2,NA())</f>
        <v/>
      </c>
      <c r="AI5">
        <f>L_y+c_col/2</f>
        <v/>
      </c>
    </row>
    <row r="6">
      <c r="D6">
        <f>IF(inputs_ok,0,NA())</f>
        <v/>
      </c>
      <c r="E6">
        <f>L_y</f>
        <v/>
      </c>
      <c r="Y6">
        <f>IF(inputs_ok,0-c_col/2,NA())</f>
        <v/>
      </c>
      <c r="Z6">
        <f>0+c_col/2</f>
        <v/>
      </c>
      <c r="AB6">
        <f>IF(inputs_ok,L_x-c_col/2,NA())</f>
        <v/>
      </c>
      <c r="AC6">
        <f>0+c_col/2</f>
        <v/>
      </c>
      <c r="AE6">
        <f>IF(inputs_ok,0-c_col/2,NA())</f>
        <v/>
      </c>
      <c r="AF6">
        <f>L_y+c_col/2</f>
        <v/>
      </c>
      <c r="AH6">
        <f>IF(inputs_ok,L_x-c_col/2,NA())</f>
        <v/>
      </c>
      <c r="AI6">
        <f>L_y+c_col/2</f>
        <v/>
      </c>
    </row>
    <row r="7">
      <c r="D7">
        <f>IF(inputs_ok,0,NA())</f>
        <v/>
      </c>
      <c r="E7">
        <f>0</f>
        <v/>
      </c>
      <c r="Y7">
        <f>IF(inputs_ok,0-c_col/2,NA())</f>
        <v/>
      </c>
      <c r="Z7">
        <f>0-c_col/2</f>
        <v/>
      </c>
      <c r="AB7">
        <f>IF(inputs_ok,L_x-c_col/2,NA())</f>
        <v/>
      </c>
      <c r="AC7">
        <f>0-c_col/2</f>
        <v/>
      </c>
      <c r="AE7">
        <f>IF(inputs_ok,0-c_col/2,NA())</f>
        <v/>
      </c>
      <c r="AF7">
        <f>L_y-c_col/2</f>
        <v/>
      </c>
      <c r="AH7">
        <f>IF(inputs_ok,L_x-c_col/2,NA())</f>
        <v/>
      </c>
      <c r="AI7">
        <f>L_y-c_col/2</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6"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7" t="inlineStr">
        <is>
          <t>Parameter</t>
        </is>
      </c>
      <c r="C5" s="47" t="inlineStr">
        <is>
          <t>Clause</t>
        </is>
      </c>
      <c r="D5" s="47" t="inlineStr">
        <is>
          <t>UK NA</t>
        </is>
      </c>
      <c r="E5" s="47" t="inlineStr">
        <is>
          <t>PL NA</t>
        </is>
      </c>
      <c r="F5" s="47" t="inlineStr">
        <is>
          <t>Notes</t>
        </is>
      </c>
    </row>
    <row r="6">
      <c r="B6" s="48" t="inlineStr">
        <is>
          <t>Partial factor, concrete  γc</t>
        </is>
      </c>
      <c r="C6" s="49" t="inlineStr">
        <is>
          <t>2.4.2.4(1)</t>
        </is>
      </c>
      <c r="D6" s="50" t="n">
        <v>1.5</v>
      </c>
      <c r="E6" s="50" t="n">
        <v>1.4</v>
      </c>
      <c r="F6" s="49" t="inlineStr">
        <is>
          <t>Persistent &amp; transient. UK NA: recommended; PL: NA.2, Table NA.2</t>
        </is>
      </c>
    </row>
    <row r="7">
      <c r="B7" s="48" t="inlineStr">
        <is>
          <t>Partial factor, reinforcement  γs</t>
        </is>
      </c>
      <c r="C7" s="49" t="inlineStr">
        <is>
          <t>2.4.2.4(1)</t>
        </is>
      </c>
      <c r="D7" s="50" t="n">
        <v>1.15</v>
      </c>
      <c r="E7" s="50" t="n">
        <v>1.15</v>
      </c>
      <c r="F7" s="49" t="inlineStr">
        <is>
          <t>UK NA: recommended; PL: NA.2, Table NA.2</t>
        </is>
      </c>
    </row>
    <row r="8">
      <c r="B8" s="48" t="inlineStr">
        <is>
          <t>αcc  (compression in flexure / axial)</t>
        </is>
      </c>
      <c r="C8" s="49" t="inlineStr">
        <is>
          <t>3.1.6(1)</t>
        </is>
      </c>
      <c r="D8" s="50" t="n">
        <v>0.85</v>
      </c>
      <c r="E8" s="50" t="n">
        <v>1</v>
      </c>
      <c r="F8" s="49" t="inlineStr">
        <is>
          <t>UK NA: 0.85; PL: recommended (NA.9)</t>
        </is>
      </c>
    </row>
    <row r="9">
      <c r="B9" s="48" t="inlineStr">
        <is>
          <t>αcc,pl  (plain concrete, compression)</t>
        </is>
      </c>
      <c r="C9" s="49" t="inlineStr">
        <is>
          <t>12.3.1(1)</t>
        </is>
      </c>
      <c r="D9" s="50" t="n">
        <v>0.6</v>
      </c>
      <c r="E9" s="50" t="n">
        <v>0.8</v>
      </c>
      <c r="F9" s="49" t="inlineStr">
        <is>
          <t>UK NA Table NA.1: 0.6; PL: recommended (NA.9)</t>
        </is>
      </c>
    </row>
    <row r="10">
      <c r="B10" s="48" t="inlineStr">
        <is>
          <t>αcc  (shear and punching)</t>
        </is>
      </c>
      <c r="C10" s="49" t="inlineStr">
        <is>
          <t>3.1.6(1)</t>
        </is>
      </c>
      <c r="D10" s="50" t="n">
        <v>1</v>
      </c>
      <c r="E10" s="50" t="n">
        <v>1</v>
      </c>
      <c r="F10" s="49" t="inlineStr">
        <is>
          <t>UK NA: 1.0 for other phenomena; PL: recommended (NA.9)</t>
        </is>
      </c>
    </row>
    <row r="11">
      <c r="B11" s="48" t="inlineStr">
        <is>
          <t>αct  (design tensile strength)</t>
        </is>
      </c>
      <c r="C11" s="49" t="inlineStr">
        <is>
          <t>3.1.6(2)</t>
        </is>
      </c>
      <c r="D11" s="50" t="n">
        <v>1</v>
      </c>
      <c r="E11" s="50" t="n">
        <v>1</v>
      </c>
      <c r="F11" s="49" t="inlineStr">
        <is>
          <t>Recommended value in both annexes</t>
        </is>
      </c>
    </row>
    <row r="12">
      <c r="B12" s="48" t="inlineStr">
        <is>
          <t>CRd,c numerator  (CRd,c = value / γc)</t>
        </is>
      </c>
      <c r="C12" s="49" t="inlineStr">
        <is>
          <t>6.2.2(1), 6.4.4(1)</t>
        </is>
      </c>
      <c r="D12" s="50" t="n">
        <v>0.18</v>
      </c>
      <c r="E12" s="50" t="n">
        <v>0.18</v>
      </c>
      <c r="F12" s="49" t="inlineStr">
        <is>
          <t>Recommended value in both annexes</t>
        </is>
      </c>
    </row>
    <row r="13">
      <c r="B13" s="48" t="inlineStr">
        <is>
          <t>k1  (axial stress term, punching)</t>
        </is>
      </c>
      <c r="C13" s="49" t="inlineStr">
        <is>
          <t>6.4.4(1)</t>
        </is>
      </c>
      <c r="D13" s="50" t="n">
        <v>0.1</v>
      </c>
      <c r="E13" s="50" t="n">
        <v>0.1</v>
      </c>
      <c r="F13" s="49" t="inlineStr">
        <is>
          <t>Recommended value in both annexes</t>
        </is>
      </c>
    </row>
    <row r="14">
      <c r="B14" s="48" t="inlineStr">
        <is>
          <t>vRd,max factor  (vRd,max = factor · ν · fcd)</t>
        </is>
      </c>
      <c r="C14" s="49" t="inlineStr">
        <is>
          <t>6.4.5(3)</t>
        </is>
      </c>
      <c r="D14" s="50" t="n">
        <v>0.5</v>
      </c>
      <c r="E14" s="50" t="n">
        <v>0.4</v>
      </c>
      <c r="F14" s="49" t="inlineStr">
        <is>
          <t>UK NA: 0.5 ν fcd; PL: recommended value (NA.9), 0.4 ν fcd since EN 1992-1-1 AC:2010 (PN-EN 1992-1-1:2008/AC:2011)</t>
        </is>
      </c>
    </row>
    <row r="15">
      <c r="B15" s="48" t="inlineStr">
        <is>
          <t>kmax  (vEd ≤ kmax · vRd,c at u1)</t>
        </is>
      </c>
      <c r="C15" s="49" t="inlineStr">
        <is>
          <t>6.4.5</t>
        </is>
      </c>
      <c r="D15" s="50" t="n">
        <v>2</v>
      </c>
      <c r="E15" s="50" t="n">
        <v>1.5</v>
      </c>
      <c r="F15" s="49" t="inlineStr">
        <is>
          <t>UK NA 6.4.5(3): 2 vRd,c. PL: no limit in PN-EN 1992-1-1:2008; 1.5 (A1:2014 recommendation) applied conservatively</t>
        </is>
      </c>
    </row>
    <row r="16">
      <c r="B16" s="48" t="inlineStr">
        <is>
          <t>φlarge  (large bar threshold, mm)</t>
        </is>
      </c>
      <c r="C16" s="49" t="inlineStr">
        <is>
          <t>8.8(1)</t>
        </is>
      </c>
      <c r="D16" s="50" t="n">
        <v>40</v>
      </c>
      <c r="E16" s="50" t="n">
        <v>32</v>
      </c>
      <c r="F16" s="49" t="inlineStr">
        <is>
          <t>UK NA: 40 mm; PL: 32 mm recommended (NA.9)</t>
        </is>
      </c>
    </row>
    <row r="17">
      <c r="B17" s="48" t="inlineStr">
        <is>
          <t>cot θ upper limit  (variable strut)</t>
        </is>
      </c>
      <c r="C17" s="49" t="inlineStr">
        <is>
          <t>6.2.3(2)</t>
        </is>
      </c>
      <c r="D17" s="50" t="n">
        <v>2.5</v>
      </c>
      <c r="E17" s="50" t="n">
        <v>2</v>
      </c>
      <c r="F17" s="49" t="inlineStr">
        <is>
          <t>UK NA: 2.5 (1.25 with axial tension); PL: NA.4, 1 ≤ cot θ ≤ 2.0</t>
        </is>
      </c>
    </row>
    <row r="18">
      <c r="B18" s="48" t="inlineStr">
        <is>
          <t>k1  (x/d limit, δ ≥ k1 + k2 xu/d)</t>
        </is>
      </c>
      <c r="C18" s="49" t="inlineStr">
        <is>
          <t>5.5(4)</t>
        </is>
      </c>
      <c r="D18" s="50" t="n">
        <v>0.4</v>
      </c>
      <c r="E18" s="50" t="n">
        <v>0.44</v>
      </c>
      <c r="F18" s="49" t="inlineStr">
        <is>
          <t>UK NA for fyk ≤ 500 MPa; PL: recommended (NA.9)</t>
        </is>
      </c>
    </row>
    <row r="19">
      <c r="B19" s="48" t="inlineStr">
        <is>
          <t>k2  (x/d limit, εcu2 = 0.0035)</t>
        </is>
      </c>
      <c r="C19" s="49" t="inlineStr">
        <is>
          <t>5.5(4)</t>
        </is>
      </c>
      <c r="D19" s="50" t="n">
        <v>1</v>
      </c>
      <c r="E19" s="50" t="n">
        <v>1.25</v>
      </c>
      <c r="F19" s="49" t="inlineStr">
        <is>
          <t>UK NA: 0.6 + 0.0014/εcu2; PL: 1.25(0.6 + 0.0014/εcu2)</t>
        </is>
      </c>
    </row>
    <row r="20">
      <c r="B20" s="48" t="inlineStr">
        <is>
          <t>Upper limit on the (310/σs) factor  (0 = none)</t>
        </is>
      </c>
      <c r="C20" s="49" t="inlineStr">
        <is>
          <t>7.4.2(2)</t>
        </is>
      </c>
      <c r="D20" s="50" t="n">
        <v>1.5</v>
      </c>
      <c r="E20" s="50" t="n">
        <v>0</v>
      </c>
      <c r="F20" s="49" t="inlineStr">
        <is>
          <t>UK NA Table NA.5 Note 5: (310/σs) or (500/fyk)(As,prov/As,req) ≤ 1.5; PL: none</t>
        </is>
      </c>
    </row>
    <row r="21">
      <c r="B21" s="48" t="inlineStr">
        <is>
          <t>L/d not to exceed 40 K  (1 = applies)</t>
        </is>
      </c>
      <c r="C21" s="49" t="inlineStr">
        <is>
          <t>7.4.2(2)</t>
        </is>
      </c>
      <c r="D21" s="50" t="n">
        <v>1</v>
      </c>
      <c r="E21" s="50" t="n">
        <v>0</v>
      </c>
      <c r="F21" s="49" t="inlineStr">
        <is>
          <t>UK NA Table NA.5 Note 6; not in EN text</t>
        </is>
      </c>
    </row>
    <row r="22">
      <c r="B22" s="48" t="inlineStr">
        <is>
          <t>φmin  (longitudinal bars in columns, mm)</t>
        </is>
      </c>
      <c r="C22" s="49" t="inlineStr">
        <is>
          <t>9.5.2(1)</t>
        </is>
      </c>
      <c r="D22" s="50" t="n">
        <v>12</v>
      </c>
      <c r="E22" s="50" t="n">
        <v>6</v>
      </c>
      <c r="F22" s="49" t="inlineStr">
        <is>
          <t>UK NA: 12 mm; PL: NA.6, 6 mm</t>
        </is>
      </c>
    </row>
    <row r="23">
      <c r="B23" s="48" t="inlineStr">
        <is>
          <t>k3  (crack spacing)</t>
        </is>
      </c>
      <c r="C23" s="49" t="inlineStr">
        <is>
          <t>7.3.4(3)</t>
        </is>
      </c>
      <c r="D23" s="50" t="n">
        <v>3.4</v>
      </c>
      <c r="E23" s="50" t="n">
        <v>3.4</v>
      </c>
      <c r="F23" s="49" t="inlineStr">
        <is>
          <t>Recommended value in both annexes</t>
        </is>
      </c>
    </row>
    <row r="24">
      <c r="B24" s="48" t="inlineStr">
        <is>
          <t>k4  (crack spacing)</t>
        </is>
      </c>
      <c r="C24" s="49" t="inlineStr">
        <is>
          <t>7.3.4(3)</t>
        </is>
      </c>
      <c r="D24" s="50" t="n">
        <v>0.425</v>
      </c>
      <c r="E24" s="50" t="n">
        <v>0.425</v>
      </c>
      <c r="F24" s="49" t="inlineStr">
        <is>
          <t>Recommended value in both annexes</t>
        </is>
      </c>
    </row>
    <row r="25">
      <c r="B25" s="48" t="inlineStr">
        <is>
          <t>k1  (concrete stress, characteristic; XD, XF, XS)</t>
        </is>
      </c>
      <c r="C25" s="49" t="inlineStr">
        <is>
          <t>7.2(2)</t>
        </is>
      </c>
      <c r="D25" s="50" t="n">
        <v>0.6</v>
      </c>
      <c r="E25" s="50" t="n">
        <v>1</v>
      </c>
      <c r="F25" s="49" t="inlineStr">
        <is>
          <t>UK NA: recommended; PL: NA.5, k1 = 1.0</t>
        </is>
      </c>
    </row>
    <row r="26">
      <c r="B26" s="48" t="inlineStr">
        <is>
          <t>k2  (concrete stress, quasi-permanent; linear creep)</t>
        </is>
      </c>
      <c r="C26" s="49" t="inlineStr">
        <is>
          <t>7.2(3)</t>
        </is>
      </c>
      <c r="D26" s="50" t="n">
        <v>0.45</v>
      </c>
      <c r="E26" s="50" t="n">
        <v>0.45</v>
      </c>
      <c r="F26" s="49" t="inlineStr">
        <is>
          <t>Recommended value in both annexes (UK NA; PL NA.9)</t>
        </is>
      </c>
    </row>
    <row r="27">
      <c r="B27" s="48" t="inlineStr">
        <is>
          <t>k3  (steel stress, characteristic)</t>
        </is>
      </c>
      <c r="C27" s="49" t="inlineStr">
        <is>
          <t>7.2(5)</t>
        </is>
      </c>
      <c r="D27" s="50" t="n">
        <v>0.8</v>
      </c>
      <c r="E27" s="50" t="n">
        <v>0.8</v>
      </c>
      <c r="F27" s="49" t="inlineStr">
        <is>
          <t>Recommended value in both annexes (UK NA; PL NA.9)</t>
        </is>
      </c>
    </row>
    <row r="28">
      <c r="B28" s="48" t="inlineStr">
        <is>
          <t>k4  (steel stress, imposed deformation)</t>
        </is>
      </c>
      <c r="C28" s="49" t="inlineStr">
        <is>
          <t>7.2(5)</t>
        </is>
      </c>
      <c r="D28" s="50" t="n">
        <v>1</v>
      </c>
      <c r="E28" s="50" t="n">
        <v>1</v>
      </c>
      <c r="F28" s="49"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&amp;K8A8A8ANAE-RC-023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NAE-RC-023 Flat slab</dc:title>
  <dc:subject xmlns:dc="http://purl.org/dc/elements/1.1/">Flat slab panel, one direction  ·  coefficients, column and middle strips  ·  EN 1992-1-1 §6.1, §7.4, §9.4, Annex I  ·  UK NA / PN-EN</dc:subject>
  <dcterms:created xmlns:dcterms="http://purl.org/dc/terms/" xmlns:xsi="http://www.w3.org/2001/XMLSchema-instance" xsi:type="dcterms:W3CDTF">2026-10-30T10:58:38Z</dcterms:created>
  <dcterms:modified xmlns:dcterms="http://purl.org/dc/terms/" xmlns:xsi="http://www.w3.org/2001/XMLSchema-instance" xsi:type="dcterms:W3CDTF">2026-10-30T10:58:38Z</dcterms:modified>
  <cp:lastModifiedBy>NA Engineering sp. z o.o.</cp:lastModifiedBy>
  <cp:keywords>NA Engineering; Eurocode 2; EN 1992-1-1</cp:keywords>
</cp:coreProperties>
</file>