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cem_cl">'Calculation'!$E$13</definedName>
    <definedName name="agg_k">'Calculation'!$E$14</definedName>
    <definedName name="f_yk">'Calculation'!$E$16</definedName>
    <definedName name="restraint">'Calculation'!$E$17</definedName>
    <definedName name="h_ea">'Calculation'!$E$18</definedName>
    <definedName name="c_ea">'Calculation'!$E$19</definedName>
    <definedName name="phi_ea">'Calculation'!$E$20</definedName>
    <definedName name="s_ea">'Calculation'!$E$21</definedName>
    <definedName name="bond_ea">'Calculation'!$E$22</definedName>
    <definedName name="w_max">'Calculation'!$E$23</definedName>
    <definedName name="T1_ea">'Calculation'!$E$26</definedName>
    <definedName name="T2_ea">'Calculation'!$E$27</definedName>
    <definedName name="alpha_ea">'Calculation'!$E$28</definedName>
    <definedName name="ecd_ea">'Calculation'!$E$29</definedName>
    <definedName name="rest1_ea">'Calculation'!$E$30</definedName>
    <definedName name="rest2_ea">'Calculation'!$E$31</definedName>
    <definedName name="rest3_ea">'Calculation'!$E$32</definedName>
    <definedName name="inputs_ok">IFERROR(AND(OR(NA_sel="UK NA (BS EN)",NA_sel="PL NA (PN-EN)"),OR(conc_class="C20/25",conc_class="C25/30",conc_class="C28/35",conc_class="C30/37",conc_class="C32/40",conc_class="C35/45",conc_class="C40/50",conc_class="C45/55",conc_class="C50/60"),OR(cem_cl="Class R",cem_cl="Class N",cem_cl="Class S"),ISNUMBER(agg_k),agg_k&gt;0,ISNUMBER(f_yk),f_yk&gt;0,OR(restraint="Continuous edge",restraint="End"),ISNUMBER(h_ea),h_ea&gt;0,ISNUMBER(c_ea),c_ea&gt;0,OR(AND(ISNUMBER(phi_ea),phi_ea=8),AND(ISNUMBER(phi_ea),phi_ea=10),AND(ISNUMBER(phi_ea),phi_ea=12),AND(ISNUMBER(phi_ea),phi_ea=16),AND(ISNUMBER(phi_ea),phi_ea=20),AND(ISNUMBER(phi_ea),phi_ea=25),AND(ISNUMBER(phi_ea),phi_ea=32),AND(ISNUMBER(phi_ea),phi_ea=40)),ISNUMBER(s_ea),s_ea&gt;0,OR(bond_ea="Good",bond_ea="Poor  (h &gt; 300 and c ≤ 50)"),ISNUMBER(w_max),w_max&gt;0,ISNUMBER(T1_ea),T1_ea&gt;=0,ISNUMBER(T2_ea),T2_ea&gt;=0,ISNUMBER(alpha_ea),alpha_ea&gt;0,ISNUMBER(ecd_ea),ecd_ea&gt;=0,ISNUMBER(rest1_ea),rest1_ea&gt;=0,ISNUMBER(rest2_ea),rest2_ea&gt;=0,ISNUMBER(rest3_ea),rest3_ea&gt;=0,AND(f_yk&gt;=400,f_yk&lt;=500,h_ea&gt;2*(c_ea+phi_ea),s_ea&gt;=50,s_ea&gt;phi_ea,rest1_ea&lt;=1,rest2_ea&lt;=1,rest3_ea&lt;=1,alpha_ea&lt;=20,T1_ea&lt;=80,T2_ea&lt;=60,ecd_ea&lt;=1000,agg_k&gt;=0.7,agg_k&lt;=1.2)),FALSE)</definedName>
    <definedName name="input_status">'Calculation'!$G$33</definedName>
    <definedName name="edge_ea">restraint="Continuous edge"</definedName>
    <definedName name="cr_ea">er_ea&gt;ectu_ea</definedName>
    <definedName name="cr_lt">OR(cr_ea,er_lt&gt;ectu_lt)</definedName>
    <definedName name="risk_ea_status">'Calculation'!$G$36</definedName>
    <definedName name="risk_lt_status">'Calculation'!$G$37</definedName>
    <definedName name="min_status">'Calculation'!$G$38</definedName>
    <definedName name="wk_ea_status">'Calculation'!$G$39</definedName>
    <definedName name="wk_lt_status">'Calculation'!$G$40</definedName>
    <definedName name="k_3">'Calculation'!$E$75</definedName>
    <definedName name="k_4">'Calculation'!$E$76</definedName>
    <definedName name="f_ck">'Calculation'!$E$77</definedName>
    <definedName name="f_ctm">'Calculation'!$E$78</definedName>
    <definedName name="f_cm">'Calculation'!$E$79</definedName>
    <definedName name="E_cm">'Calculation'!$E$80</definedName>
    <definedName name="s_cem">'Calculation'!$E$81</definedName>
    <definedName name="bcc_3">'Calculation'!$E$82</definedName>
    <definedName name="fctm3">'Calculation'!$E$83</definedName>
    <definedName name="Ecm_3">'Calculation'!$E$84</definedName>
    <definedName name="ectu_ea">'Calculation'!$E$85</definedName>
    <definedName name="ectu_lt">'Calculation'!$E$86</definedName>
    <definedName name="eca_inf">'Calculation'!$E$87</definedName>
    <definedName name="eca_3">'Calculation'!$E$88</definedName>
    <definedName name="eca_28">'Calculation'!$E$89</definedName>
    <definedName name="er_ea">'Calculation'!$E$93</definedName>
    <definedName name="er_lt">'Calculation'!$E$94</definedName>
    <definedName name="E_s">'Calculation'!$E$95</definedName>
    <definedName name="As_ea">'Calculation'!$E$96</definedName>
    <definedName name="Act_ea">'Calculation'!$E$97</definedName>
    <definedName name="k_ea">'Calculation'!$E$98</definedName>
    <definedName name="kc_ea">'Calculation'!$E$99</definedName>
    <definedName name="ecr_end_ea">'Calculation'!$E$100</definedName>
    <definedName name="ecr_edge_ea">'Calculation'!$E$101</definedName>
    <definedName name="ecr_ea">'Calculation'!$E$102</definedName>
    <definedName name="ecr_end_lt">'Calculation'!$E$103</definedName>
    <definedName name="ecr_edge_lt">'Calculation'!$E$104</definedName>
    <definedName name="ecr_lt">'Calculation'!$E$105</definedName>
    <definedName name="kRedge3">'Calculation'!$E$108</definedName>
    <definedName name="As_min3">'Calculation'!$E$109</definedName>
    <definedName name="kRedge28">'Calculation'!$E$110</definedName>
    <definedName name="As_min28">'Calculation'!$E$111</definedName>
    <definedName name="As_minreq">'Calculation'!$E$112</definedName>
    <definedName name="hcef_ea">'Calculation'!$E$114</definedName>
    <definedName name="rho_ea">'Calculation'!$E$115</definedName>
    <definedName name="k1_ea">'Calculation'!$E$116</definedName>
    <definedName name="Sr_max">'Calculation'!$E$117</definedName>
    <definedName name="wk_ea">'Calculation'!$E$118</definedName>
    <definedName name="wk_lt">'Calculation'!$E$119</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'Calculation'!$A$1:$H$124</definedName>
    <definedName name="_xlnm.Print_Area" localSheetId="3">'NDP'!$A$1:$G$29</definedName>
  </definedNames>
  <calcPr calcId="124519" fullCalcOnLoad="1"/>
</workbook>
</file>

<file path=xl/styles.xml><?xml version="1.0" encoding="utf-8"?>
<styleSheet xmlns="http://schemas.openxmlformats.org/spreadsheetml/2006/main">
  <numFmts count="5">
    <numFmt numFmtId="164" formatCode="dd mmm yyyy"/>
    <numFmt numFmtId="165" formatCode="0.0"/>
    <numFmt numFmtId="166" formatCode="0.000"/>
    <numFmt numFmtId="167" formatCode="0.000000"/>
    <numFmt numFmtId="168" formatCode="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i val="1"/>
      <color rgb="008A8A8A"/>
      <sz val="8.5"/>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6">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0" fontId="14" fillId="0" borderId="0" applyAlignment="1" pivotButton="0" quotePrefix="0" xfId="0">
      <alignment vertical="top" wrapText="1"/>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1" fontId="12" fillId="3" borderId="1" applyAlignment="1" applyProtection="1" pivotButton="0" quotePrefix="0" xfId="0">
      <alignment horizontal="center" vertical="center"/>
      <protection locked="0" hidden="0"/>
    </xf>
    <xf numFmtId="0" fontId="15" fillId="0" borderId="1" applyAlignment="1" pivotButton="0" quotePrefix="0" xfId="0">
      <alignment horizontal="center" vertical="center"/>
    </xf>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18" fillId="0" borderId="0" pivotButton="0" quotePrefix="0" xfId="0"/>
    <xf numFmtId="2" fontId="5" fillId="0" borderId="1" applyAlignment="1" pivotButton="0" quotePrefix="0" xfId="0">
      <alignment horizontal="center" vertical="center"/>
    </xf>
    <xf numFmtId="166" fontId="5" fillId="0" borderId="1" applyAlignment="1" pivotButton="0" quotePrefix="0" xfId="0">
      <alignment horizontal="center" vertical="center"/>
    </xf>
    <xf numFmtId="1" fontId="5" fillId="0" borderId="1" applyAlignment="1" pivotButton="0" quotePrefix="0" xfId="0">
      <alignment horizontal="center" vertical="center"/>
    </xf>
    <xf numFmtId="167" fontId="5" fillId="0" borderId="1" applyAlignment="1" pivotButton="0" quotePrefix="0" xfId="0">
      <alignment horizontal="center" vertical="center"/>
    </xf>
    <xf numFmtId="49" fontId="5" fillId="0" borderId="1" applyAlignment="1" pivotButton="0" quotePrefix="0" xfId="0">
      <alignment horizontal="center" vertical="center"/>
    </xf>
    <xf numFmtId="167" fontId="12" fillId="0" borderId="1" applyAlignment="1" pivotButton="0" quotePrefix="0" xfId="0">
      <alignment horizontal="center" vertical="center"/>
    </xf>
    <xf numFmtId="165" fontId="5" fillId="0" borderId="1" applyAlignment="1" pivotButton="0" quotePrefix="0" xfId="0">
      <alignment horizontal="center" vertical="center"/>
    </xf>
    <xf numFmtId="1" fontId="12" fillId="0" borderId="1" applyAlignment="1" pivotButton="0" quotePrefix="0" xfId="0">
      <alignment horizontal="center" vertical="center"/>
    </xf>
    <xf numFmtId="168" fontId="5" fillId="0" borderId="1" applyAlignment="1" pivotButton="0" quotePrefix="0" xfId="0">
      <alignment horizontal="center" vertical="center"/>
    </xf>
    <xf numFmtId="166" fontId="12"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restrained ea</v>
          </tx>
          <spPr>
            <a:ln xmlns:a="http://schemas.openxmlformats.org/drawingml/2006/main" w="25400">
              <a:solidFill>
                <a:srgbClr val="B3261E"/>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crack-inducing ea</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'Geometry'!$G$3:$G$7</f>
            </numRef>
          </xVal>
          <yVal>
            <numRef>
              <f>'Geometry'!$H$3:$H$7</f>
            </numRef>
          </yVal>
          <smooth val="0"/>
        </ser>
        <ser>
          <idx val="3"/>
          <order val="3"/>
          <tx>
            <v>capacity ea</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'Geometry'!$J$3:$J$4</f>
            </numRef>
          </xVal>
          <yVal>
            <numRef>
              <f>'Geometry'!$K$3:$K$4</f>
            </numRef>
          </yVal>
          <smooth val="0"/>
        </ser>
        <ser>
          <idx val="4"/>
          <order val="4"/>
          <tx>
            <strRef>
              <f>'Geometry'!$M$2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'Geometry'!$M$3</f>
            </numRef>
          </xVal>
          <yVal>
            <numRef>
              <f>'Geometry'!$N$3</f>
            </numRef>
          </yVal>
          <smooth val="0"/>
        </ser>
        <ser>
          <idx val="5"/>
          <order val="5"/>
          <tx>
            <strRef>
              <f>'Geometry'!$P$2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'Geometry'!$P$3</f>
            </numRef>
          </xVal>
          <yVal>
            <numRef>
              <f>'Geometry'!$Q$3</f>
            </numRef>
          </yVal>
          <smooth val="0"/>
        </ser>
        <ser>
          <idx val="6"/>
          <order val="6"/>
          <tx>
            <strRef>
              <f>'Geometry'!$S$2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'Geometry'!$S$3</f>
            </numRef>
          </xVal>
          <yVal>
            <numRef>
              <f>'Geometry'!$T$3</f>
            </numRef>
          </yVal>
          <smooth val="0"/>
        </ser>
        <ser>
          <idx val="7"/>
          <order val="7"/>
          <tx>
            <strRef>
              <f>'Geometry'!$V$2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'Geometry'!$V$3</f>
            </numRef>
          </xVal>
          <yVal>
            <numRef>
              <f>'Geometry'!$W$3</f>
            </numRef>
          </yVal>
          <smooth val="0"/>
        </ser>
        <ser>
          <idx val="8"/>
          <order val="8"/>
          <tx>
            <v>restrained lt</v>
          </tx>
          <spPr>
            <a:ln xmlns:a="http://schemas.openxmlformats.org/drawingml/2006/main" w="25400">
              <a:solidFill>
                <a:srgbClr val="B3261E"/>
              </a:solidFill>
              <a:prstDash val="solid"/>
            </a:ln>
          </spPr>
          <marker>
            <symbol val="none"/>
            <spPr>
              <a:ln xmlns:a="http://schemas.openxmlformats.org/drawingml/2006/main">
                <a:prstDash val="solid"/>
              </a:ln>
            </spPr>
          </marker>
          <xVal>
            <numRef>
              <f>'Geometry'!$Y$3:$Y$7</f>
            </numRef>
          </xVal>
          <yVal>
            <numRef>
              <f>'Geometry'!$Z$3:$Z$7</f>
            </numRef>
          </yVal>
          <smooth val="0"/>
        </ser>
        <ser>
          <idx val="9"/>
          <order val="9"/>
          <tx>
            <v>crack-inducing lt</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'Geometry'!$AB$3:$AB$7</f>
            </numRef>
          </xVal>
          <yVal>
            <numRef>
              <f>'Geometry'!$AC$3:$AC$7</f>
            </numRef>
          </yVal>
          <smooth val="0"/>
        </ser>
        <ser>
          <idx val="10"/>
          <order val="10"/>
          <tx>
            <v>capacity lt</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'Geometry'!$AE$3:$AE$4</f>
            </numRef>
          </xVal>
          <yVal>
            <numRef>
              <f>'Geometry'!$AF$3:$AF$4</f>
            </numRef>
          </yVal>
          <smooth val="0"/>
        </ser>
        <ser>
          <idx val="11"/>
          <order val="11"/>
          <tx>
            <strRef>
              <f>'Geometry'!$AH$2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'Geometry'!$AH$3</f>
            </numRef>
          </xVal>
          <yVal>
            <numRef>
              <f>'Geometry'!$AI$3</f>
            </numRef>
          </yVal>
          <smooth val="0"/>
        </ser>
        <ser>
          <idx val="12"/>
          <order val="12"/>
          <tx>
            <strRef>
              <f>'Geometry'!$AK$2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'Geometry'!$AK$3</f>
            </numRef>
          </xVal>
          <yVal>
            <numRef>
              <f>'Geometry'!$AL$3</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'Geometry'!$AN$3</f>
            </numRef>
          </xVal>
          <yVal>
            <numRef>
              <f>'Geometry'!$AO$3</f>
            </numRef>
          </yVal>
          <smooth val="0"/>
        </ser>
        <ser>
          <idx val="14"/>
          <order val="14"/>
          <tx>
            <strRef>
              <f>'Geometry'!$AQ$2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'Geometry'!$AQ$3</f>
            </numRef>
          </xVal>
          <yVal>
            <numRef>
              <f>'Geometry'!$AR$3</f>
            </numRef>
          </yVal>
          <smooth val="0"/>
        </ser>
        <ser>
          <idx val="15"/>
          <order val="15"/>
          <tx>
            <v>axis</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'Geometry'!$AT$3:$AT$4</f>
            </numRef>
          </xVal>
          <yVal>
            <numRef>
              <f>'Geometry'!$AU$3:$AU$4</f>
            </numRef>
          </yVal>
          <smooth val="0"/>
        </ser>
        <ser>
          <idx val="16"/>
          <order val="16"/>
          <tx>
            <v>frame</v>
          </tx>
          <spPr>
            <a:ln xmlns:a="http://schemas.openxmlformats.org/drawingml/2006/main">
              <a:noFill/>
              <a:prstDash val="solid"/>
            </a:ln>
          </spPr>
          <marker>
            <symbol val="none"/>
            <spPr>
              <a:ln xmlns:a="http://schemas.openxmlformats.org/drawingml/2006/main">
                <a:prstDash val="solid"/>
              </a:ln>
            </spPr>
          </marker>
          <xVal>
            <numRef>
              <f>'Geometry'!$AW$3:$AW$4</f>
            </numRef>
          </xVal>
          <yVal>
            <numRef>
              <f>'Geometry'!$AX$3:$AX$4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v>member</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'Geometry'!$AZ$3:$AZ$7</f>
            </numRef>
          </xVal>
          <yVal>
            <numRef>
              <f>'Geometry'!$BA$3:$BA$7</f>
            </numRef>
          </yVal>
          <smooth val="0"/>
        </ser>
        <ser>
          <idx val="1"/>
          <order val="1"/>
          <tx>
            <v>base</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'Geometry'!$BC$3:$BC$7</f>
            </numRef>
          </xVal>
          <yVal>
            <numRef>
              <f>'Geometry'!$BD$3:$BD$7</f>
            </numRef>
          </yVal>
          <smooth val="0"/>
        </ser>
        <ser>
          <idx val="2"/>
          <order val="2"/>
          <tx>
            <v>left abutment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'Geometry'!$BF$3:$BF$7</f>
            </numRef>
          </xVal>
          <yVal>
            <numRef>
              <f>'Geometry'!$BG$3:$BG$7</f>
            </numRef>
          </yVal>
          <smooth val="0"/>
        </ser>
        <ser>
          <idx val="3"/>
          <order val="3"/>
          <tx>
            <v>right abutment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'Geometry'!$BI$3:$BI$7</f>
            </numRef>
          </xVal>
          <yVal>
            <numRef>
              <f>'Geometry'!$BJ$3:$BJ$7</f>
            </numRef>
          </yVal>
          <smooth val="0"/>
        </ser>
        <ser>
          <idx val="4"/>
          <order val="4"/>
          <tx>
            <v>crack 0</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'Geometry'!$BL$3:$BL$5</f>
            </numRef>
          </xVal>
          <yVal>
            <numRef>
              <f>'Geometry'!$BM$3:$BM$5</f>
            </numRef>
          </yVal>
          <smooth val="0"/>
        </ser>
        <ser>
          <idx val="5"/>
          <order val="5"/>
          <tx>
            <v>crack 1</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'Geometry'!$BO$3:$BO$5</f>
            </numRef>
          </xVal>
          <yVal>
            <numRef>
              <f>'Geometry'!$BP$3:$BP$5</f>
            </numRef>
          </yVal>
          <smooth val="0"/>
        </ser>
        <ser>
          <idx val="6"/>
          <order val="6"/>
          <tx>
            <v>crack 2</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'Geometry'!$BR$3:$BR$5</f>
            </numRef>
          </xVal>
          <yVal>
            <numRef>
              <f>'Geometry'!$BS$3:$BS$5</f>
            </numRef>
          </yVal>
          <smooth val="0"/>
        </ser>
        <ser>
          <idx val="7"/>
          <order val="7"/>
          <tx>
            <v>crack 3</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'Geometry'!$BU$3:$BU$5</f>
            </numRef>
          </xVal>
          <yVal>
            <numRef>
              <f>'Geometry'!$BV$3:$BV$5</f>
            </numRef>
          </yVal>
          <smooth val="0"/>
        </ser>
        <ser>
          <idx val="8"/>
          <order val="8"/>
          <tx>
            <v>crack 4</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'Geometry'!$BX$3:$BX$5</f>
            </numRef>
          </xVal>
          <yVal>
            <numRef>
              <f>'Geometry'!$BY$3:$BY$5</f>
            </numRef>
          </yVal>
          <smooth val="0"/>
        </ser>
        <ser>
          <idx val="9"/>
          <order val="9"/>
          <tx>
            <v>crack 5</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'Geometry'!$CA$3:$CA$5</f>
            </numRef>
          </xVal>
          <yVal>
            <numRef>
              <f>'Geometry'!$CB$3:$CB$5</f>
            </numRef>
          </yVal>
          <smooth val="0"/>
        </ser>
        <ser>
          <idx val="10"/>
          <order val="10"/>
          <tx>
            <v>crack 6</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'Geometry'!$CD$3:$CD$5</f>
            </numRef>
          </xVal>
          <yVal>
            <numRef>
              <f>'Geometry'!$CE$3:$CE$5</f>
            </numRef>
          </yVal>
          <smooth val="0"/>
        </ser>
        <ser>
          <idx val="11"/>
          <order val="11"/>
          <tx>
            <v>crack 7</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'Geometry'!$CG$3:$CG$5</f>
            </numRef>
          </xVal>
          <yVal>
            <numRef>
              <f>'Geometry'!$CH$3:$CH$5</f>
            </numRef>
          </yVal>
          <smooth val="0"/>
        </ser>
        <ser>
          <idx val="12"/>
          <order val="12"/>
          <tx>
            <v>crack 8</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'Geometry'!$CJ$3:$CJ$5</f>
            </numRef>
          </xVal>
          <yVal>
            <numRef>
              <f>'Geometry'!$CK$3:$CK$5</f>
            </numRef>
          </yVal>
          <smooth val="0"/>
        </ser>
        <ser>
          <idx val="13"/>
          <order val="13"/>
          <tx>
            <v>crack 9</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'Geometry'!$CM$3:$CM$5</f>
            </numRef>
          </xVal>
          <yVal>
            <numRef>
              <f>'Geometry'!$CN$3:$CN$5</f>
            </numRef>
          </yVal>
          <smooth val="0"/>
        </ser>
        <ser>
          <idx val="14"/>
          <order val="14"/>
          <tx>
            <v>crack 10</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'Geometry'!$CP$3:$CP$5</f>
            </numRef>
          </xVal>
          <yVal>
            <numRef>
              <f>'Geometry'!$CQ$3:$CQ$5</f>
            </numRef>
          </yVal>
          <smooth val="0"/>
        </ser>
        <ser>
          <idx val="15"/>
          <order val="15"/>
          <tx>
            <v>crack 11</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'Geometry'!$CS$3:$CS$5</f>
            </numRef>
          </xVal>
          <yVal>
            <numRef>
              <f>'Geometry'!$CT$3:$CT$5</f>
            </numRef>
          </yVal>
          <smooth val="0"/>
        </ser>
        <ser>
          <idx val="16"/>
          <order val="16"/>
          <tx>
            <v>crack 12</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'Geometry'!$CV$3:$CV$5</f>
            </numRef>
          </xVal>
          <yVal>
            <numRef>
              <f>'Geometry'!$CW$3:$CW$5</f>
            </numRef>
          </yVal>
          <smooth val="0"/>
        </ser>
        <ser>
          <idx val="17"/>
          <order val="17"/>
          <tx>
            <v>crack 13</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'Geometry'!$CY$3:$CY$5</f>
            </numRef>
          </xVal>
          <yVal>
            <numRef>
              <f>'Geometry'!$CZ$3:$CZ$5</f>
            </numRef>
          </yVal>
          <smooth val="0"/>
        </ser>
        <ser>
          <idx val="18"/>
          <order val="18"/>
          <tx>
            <v>crack 14</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'Geometry'!$DB$3:$DB$5</f>
            </numRef>
          </xVal>
          <yVal>
            <numRef>
              <f>'Geometry'!$DC$3:$DC$5</f>
            </numRef>
          </yVal>
          <smooth val="0"/>
        </ser>
        <ser>
          <idx val="19"/>
          <order val="19"/>
          <tx>
            <v>crack 15</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'Geometry'!$DE$3:$DE$5</f>
            </numRef>
          </xVal>
          <yVal>
            <numRef>
              <f>'Geometry'!$DF$3:$DF$5</f>
            </numRef>
          </yVal>
          <smooth val="0"/>
        </ser>
        <ser>
          <idx val="20"/>
          <order val="20"/>
          <tx>
            <v>crack 16</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'Geometry'!$DH$3:$DH$5</f>
            </numRef>
          </xVal>
          <yVal>
            <numRef>
              <f>'Geometry'!$DI$3:$DI$5</f>
            </numRef>
          </yVal>
          <smooth val="0"/>
        </ser>
        <ser>
          <idx val="21"/>
          <order val="21"/>
          <tx>
            <v>crack 17</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'Geometry'!$DK$3:$DK$5</f>
            </numRef>
          </xVal>
          <yVal>
            <numRef>
              <f>'Geometry'!$DL$3:$DL$5</f>
            </numRef>
          </yVal>
          <smooth val="0"/>
        </ser>
        <ser>
          <idx val="22"/>
          <order val="22"/>
          <tx>
            <v>crack 18</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'Geometry'!$DN$3:$DN$5</f>
            </numRef>
          </xVal>
          <yVal>
            <numRef>
              <f>'Geometry'!$DO$3:$DO$5</f>
            </numRef>
          </yVal>
          <smooth val="0"/>
        </ser>
        <ser>
          <idx val="23"/>
          <order val="23"/>
          <tx>
            <v>crack 19</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'Geometry'!$DQ$3:$DQ$5</f>
            </numRef>
          </xVal>
          <yVal>
            <numRef>
              <f>'Geometry'!$DR$3:$DR$5</f>
            </numRef>
          </yVal>
          <smooth val="0"/>
        </ser>
        <ser>
          <idx val="24"/>
          <order val="24"/>
          <tx>
            <v>crack 20</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'Geometry'!$DT$3:$DT$5</f>
            </numRef>
          </xVal>
          <yVal>
            <numRef>
              <f>'Geometry'!$DU$3:$DU$5</f>
            </numRef>
          </yVal>
          <smooth val="0"/>
        </ser>
        <ser>
          <idx val="25"/>
          <order val="25"/>
          <tx>
            <v>crack 21</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'Geometry'!$DW$3:$DW$5</f>
            </numRef>
          </xVal>
          <yVal>
            <numRef>
              <f>'Geometry'!$DX$3:$DX$5</f>
            </numRef>
          </yVal>
          <smooth val="0"/>
        </ser>
        <ser>
          <idx val="26"/>
          <order val="26"/>
          <tx>
            <v>crack 22</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'Geometry'!$DZ$3:$DZ$5</f>
            </numRef>
          </xVal>
          <yVal>
            <numRef>
              <f>'Geometry'!$EA$3:$EA$5</f>
            </numRef>
          </yVal>
          <smooth val="0"/>
        </ser>
        <ser>
          <idx val="27"/>
          <order val="27"/>
          <tx>
            <v>crack 23</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'Geometry'!$EC$3:$EC$5</f>
            </numRef>
          </xVal>
          <yVal>
            <numRef>
              <f>'Geometry'!$ED$3:$ED$5</f>
            </numRef>
          </yVal>
          <smooth val="0"/>
        </ser>
        <ser>
          <idx val="28"/>
          <order val="28"/>
          <tx>
            <v>crack 24</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'Geometry'!$EF$3:$EF$5</f>
            </numRef>
          </xVal>
          <yVal>
            <numRef>
              <f>'Geometry'!$EG$3:$EG$5</f>
            </numRef>
          </yVal>
          <smooth val="0"/>
        </ser>
        <ser>
          <idx val="29"/>
          <order val="29"/>
          <tx>
            <v>crack 25</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'Geometry'!$EI$3:$EI$5</f>
            </numRef>
          </xVal>
          <yVal>
            <numRef>
              <f>'Geometry'!$EJ$3:$EJ$5</f>
            </numRef>
          </yVal>
          <smooth val="0"/>
        </ser>
        <ser>
          <idx val="30"/>
          <order val="30"/>
          <tx>
            <v>crack 26</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'Geometry'!$EL$3:$EL$5</f>
            </numRef>
          </xVal>
          <yVal>
            <numRef>
              <f>'Geometry'!$EM$3:$EM$5</f>
            </numRef>
          </yVal>
          <smooth val="0"/>
        </ser>
        <ser>
          <idx val="31"/>
          <order val="31"/>
          <tx>
            <v>crack 27</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'Geometry'!$EO$3:$EO$5</f>
            </numRef>
          </xVal>
          <yVal>
            <numRef>
              <f>'Geometry'!$EP$3:$EP$5</f>
            </numRef>
          </yVal>
          <smooth val="0"/>
        </ser>
        <ser>
          <idx val="32"/>
          <order val="32"/>
          <tx>
            <v>crack 28</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'Geometry'!$ER$3:$ER$5</f>
            </numRef>
          </xVal>
          <yVal>
            <numRef>
              <f>'Geometry'!$ES$3:$ES$5</f>
            </numRef>
          </yVal>
          <smooth val="0"/>
        </ser>
        <ser>
          <idx val="33"/>
          <order val="33"/>
          <tx>
            <v>crack 29</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'Geometry'!$EU$3:$EU$5</f>
            </numRef>
          </xVal>
          <yVal>
            <numRef>
              <f>'Geometry'!$EV$3:$EV$5</f>
            </numRef>
          </yVal>
          <smooth val="0"/>
        </ser>
        <ser>
          <idx val="34"/>
          <order val="34"/>
          <tx>
            <strRef>
              <f>'Geometry'!$EX$2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'Geometry'!$EX$3</f>
            </numRef>
          </xVal>
          <yVal>
            <numRef>
              <f>'Geometry'!$EY$3</f>
            </numRef>
          </yVal>
          <smooth val="0"/>
        </ser>
        <ser>
          <idx val="35"/>
          <order val="3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'Geometry'!$FA$3:$FA$4</f>
            </numRef>
          </xVal>
          <yVal>
            <numRef>
              <f>'Geometry'!$FB$3:$FB$4</f>
            </numRef>
          </yVal>
          <smooth val="0"/>
        </ser>
        <ser>
          <idx val="36"/>
          <order val="36"/>
          <tx>
            <strRef>
              <f>'Geometry'!$FD$2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'Geometry'!$FD$3</f>
            </numRef>
          </xVal>
          <yVal>
            <numRef>
              <f>'Geometry'!$FE$3</f>
            </numRef>
          </yVal>
          <smooth val="0"/>
        </ser>
        <ser>
          <idx val="37"/>
          <order val="37"/>
          <tx>
            <v>frame</v>
          </tx>
          <spPr>
            <a:ln xmlns:a="http://schemas.openxmlformats.org/drawingml/2006/main">
              <a:noFill/>
              <a:prstDash val="solid"/>
            </a:ln>
          </spPr>
          <marker>
            <symbol val="none"/>
            <spPr>
              <a:ln xmlns:a="http://schemas.openxmlformats.org/drawingml/2006/main">
                <a:prstDash val="solid"/>
              </a:ln>
            </spPr>
          </marker>
          <xVal>
            <numRef>
              <f>'Geometry'!$FG$3:$FG$4</f>
            </numRef>
          </xVal>
          <yVal>
            <numRef>
              <f>'Geometry'!$FH$3:$FH$4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42</row>
      <rowOff>0</rowOff>
    </from>
    <ext cx="3906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col>
      <colOff>0</colOff>
      <row>58</row>
      <rowOff>0</rowOff>
    </from>
    <ext cx="3906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514475"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Early-age thermal cracking</t>
        </is>
      </c>
    </row>
    <row r="8" ht="20" customHeight="1">
      <c r="B8" s="4" t="inlineStr">
        <is>
          <t>Restrained thermal and shrinkage strain, crack-inducing strain, minimum steel and crack width  ·  CIRIA C766, EN 1992-3 Annex M, EN 1992-1-1 §7.3</t>
        </is>
      </c>
    </row>
    <row r="10">
      <c r="B10" s="5" t="inlineStr">
        <is>
          <t>Reference</t>
        </is>
      </c>
      <c r="C10" s="6" t="inlineStr">
        <is>
          <t>NAE-RC-022  ·  version 1.0</t>
        </is>
      </c>
    </row>
    <row r="11" ht="45.5" customHeight="1">
      <c r="B11" s="5" t="inlineStr">
        <is>
          <t>Standards</t>
        </is>
      </c>
      <c r="C11" s="7" t="inlineStr">
        <is>
          <t>BS EN 1992-1-1:2004 with UK NA  ·  PN-EN 1992-1-1:2008 with Polish NA (NDP sources listed on the NDP sheet)  ·  EN 1992-3:2006 Annex L and M (informative)  ·  method of CIRIA C766 (2018)</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62" customHeight="1">
      <c r="B16" s="7" t="inlineStr">
        <is>
          <t>Risk of cracking and crack control for a wall or slab restrained by previously cast concrete while it cools from its early-age peak temperature and shrinks: restrained strain at early age and in the long term against the tensile strain capacity, crack-inducing strain for continuous edge or end restraint, minimum reinforcement, crack spacing and crack width for the bars on one face.</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323" customHeight="1">
      <c r="B22" s="7" t="inlineStr">
        <is>
          <t>The method of CIRIA C766 sections 3.2 to 3.6, written independently: restrained strain εr = Kc1 (αc T1 + εca(3)) R1 at early age, plus Kc1 ((εca(28) − εca(3)) + αc T2) R2 + Kc2 εcd R3 in the long term, with Kc1 = 0.65 and Kc2 = 0.5 (C766 Equation 3.1); tensile strain capacity under sustained load 1.08 fctm(3)/Ecm(3) and 1.40 fctm(28)/Ecm(28) (Equations 4.8, 4.9) with the properties of EN 1992-1-1 3.1.2 and a factor on Ecm for the aggregate entered by the user (EN 1992-1-1 3.1.3(2), or C766 4.9.2). Autogenous shrinkage by EN 1992-1-1 (3.11) to (3.13). Continuous edge restraint: εcr = εr − 0.5 εctu (C766 Equation 3.10, refining EN 1992-3 M.3). End restraint: εcr = 0.5 αe kc k fctk,0.05(t) (1 + 1/(αe ρ)) / Es with kc = 1, k = 1.0 (h ≤ 300) to 0.65 (h ≥ 800) and Act = 0.5 h per face (C766 Equation 3.12 and Table 3.2, refining EN 1992-3 M.1). Cracks are expected where εr &gt; εctu (C766 3.2.1); no crack width is reported otherwise. Cracks formed at early age are kept in the long term: its width is at least the early-age width and at least Sr,max times the long-term crack-inducing strain (an envelope; for end restraint it takes the 28-day strength, conservatively). Minimum steel per face As,min = kRedge kc k Act fct,r / fyk with fct,r = 0.7 fctm(t) (C766 Equations 3.19, 3.20), checked at each age at which cracks form (3 days with kRedge = 1 − 0.5 R1; long term with 28-day strength and 1 − 0.5 min(R2; R3); no cracking: the long-term value, 7.3.2(2)); a crack width is accepted only with As ≥ As,min. kc and k are those of EN 1992-1-1 7.3.2(2) for tension, as C766 Table 3.2 applies them. Crack spacing by EN 1992-1-1 (7.11) with k2 = 1.0 (tension), k1 = 0.8, or 1.14 for poor bond at early age (C766 3.5.2), and not less than 1.3 h where the bars are further apart than 5 (c + φ/2) (7.3.4(3), the larger taken). The temperatures T1 and T2, the coefficient of thermal expansion, the drying shrinkage and the restraint factors are inputs: take them from C766 chapter 4 (T1: section 4.2 and its tables, restraint: section 4.8 and EN 1992-3 Annex L), from measurements or from the project specification. For the long term only the difference in movement between the member and its restraint counts (C766 3.3.1.2). Internal restraint (temperature differentials) and the simplified default method of C766 3.7 are not included. Concrete classes up to C50/60, fyk ≤ 500 MPa.
The second-generation EN 1992-1-1:2023 is not yet implemented.</t>
        </is>
      </c>
    </row>
    <row r="24" ht="20" customHeight="1">
      <c r="B24" s="8" t="inlineStr">
        <is>
          <t>Further reading and independent cross-check</t>
        </is>
      </c>
      <c r="C24" s="9" t="n"/>
    </row>
    <row r="25" ht="91" customHeight="1">
      <c r="B25" s="10" t="inlineStr">
        <is>
          <t>•  CIRIA C766 (2018), Control of cracking caused by restrained deformation in concrete: chapters 3 and 4 for the method and the input values.
•  BS EN 1992-3:2006, Annexes L and M.
•  The Concrete Centre, How to design concrete structures using Eurocode 2: Cracking.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&amp;K8A8A8ANAE-RC-022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23"/>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Early-age thermal cracking</t>
        </is>
      </c>
      <c r="H2" s="1" t="n"/>
    </row>
    <row r="3" ht="16" customHeight="1">
      <c r="A3" s="1" t="n"/>
      <c r="B3" s="1" t="n"/>
      <c r="C3" s="15" t="inlineStr">
        <is>
          <t>NAE-RC-022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concrete and reinforcement</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C30/37</t>
        </is>
      </c>
      <c r="F12" s="23" t="n"/>
      <c r="G12" s="23" t="n"/>
    </row>
    <row r="13" ht="17" customHeight="1">
      <c r="B13" s="26" t="inlineStr">
        <is>
          <t>3.1.2(6)</t>
        </is>
      </c>
      <c r="C13" s="24" t="inlineStr">
        <is>
          <t>Cement class</t>
        </is>
      </c>
      <c r="D13" s="23" t="n"/>
      <c r="E13" s="25" t="inlineStr">
        <is>
          <t>Class N</t>
        </is>
      </c>
      <c r="F13" s="23" t="n"/>
      <c r="G13" s="26" t="inlineStr">
        <is>
          <t>R: s = 0.20, N: 0.25, S: 0.38</t>
        </is>
      </c>
    </row>
    <row r="14" ht="17" customHeight="1">
      <c r="B14" s="26" t="inlineStr">
        <is>
          <t>3.1.3(2)</t>
        </is>
      </c>
      <c r="C14" s="24" t="inlineStr">
        <is>
          <t>Aggregate factor on the modulus Ecm</t>
        </is>
      </c>
      <c r="D14" s="23" t="n"/>
      <c r="E14" s="27" t="n">
        <v>1</v>
      </c>
      <c r="F14" s="23" t="n"/>
      <c r="G14" s="26" t="inlineStr">
        <is>
          <t>0.7 to 1.2</t>
        </is>
      </c>
    </row>
    <row r="15" ht="16.5" customHeight="1">
      <c r="B15" s="28" t="inlineStr">
        <is>
          <t>EN 1992-1-1 3.1.3(2): quartzite 1.0, limestone 0.9, sandstone 0.7, basalt 1.2 (other aggregates: CIRIA C766 4.9.2 or tests).</t>
        </is>
      </c>
    </row>
    <row r="16" ht="17" customHeight="1">
      <c r="B16" s="26" t="inlineStr">
        <is>
          <t>3.2.2</t>
        </is>
      </c>
      <c r="C16" s="24" t="inlineStr">
        <is>
          <t>Reinforcement characteristic yield strength  (≤ 500 MPa)</t>
        </is>
      </c>
      <c r="D16" s="29" t="inlineStr">
        <is>
          <r>
            <rPr>
              <rFont val="Calibri"/>
              <i val="1"/>
              <color rgb="002B2B2B"/>
              <sz val="10"/>
            </rPr>
            <t>f</t>
          </r>
          <r>
            <rPr>
              <rFont val="Calibri"/>
              <i val="1"/>
              <color rgb="002B2B2B"/>
              <sz val="10"/>
              <vertAlign val="subscript"/>
            </rPr>
            <t>yk</t>
          </r>
        </is>
      </c>
      <c r="E16" s="25" t="n">
        <v>500</v>
      </c>
      <c r="F16" s="30" t="inlineStr">
        <is>
          <t>MPa</t>
        </is>
      </c>
      <c r="G16" s="23" t="n"/>
    </row>
    <row r="17" ht="17" customHeight="1">
      <c r="B17" s="26" t="inlineStr">
        <is>
          <t>EN 1992-3 M.1</t>
        </is>
      </c>
      <c r="C17" s="24" t="inlineStr">
        <is>
          <t>Restraint</t>
        </is>
      </c>
      <c r="D17" s="23" t="n"/>
      <c r="E17" s="25" t="inlineStr">
        <is>
          <t>Continuous edge</t>
        </is>
      </c>
      <c r="F17" s="23" t="n"/>
      <c r="G17" s="26" t="inlineStr">
        <is>
          <t>Edge: wall on a base</t>
        </is>
      </c>
    </row>
    <row r="18" ht="17" customHeight="1">
      <c r="B18" s="23" t="n"/>
      <c r="C18" s="24" t="inlineStr">
        <is>
          <t>Section thickness</t>
        </is>
      </c>
      <c r="D18" s="29" t="inlineStr">
        <is>
          <r>
            <rPr>
              <rFont val="Calibri"/>
              <i val="1"/>
              <color rgb="002B2B2B"/>
              <sz val="10"/>
            </rPr>
            <t>h</t>
          </r>
        </is>
      </c>
      <c r="E18" s="25" t="n">
        <v>400</v>
      </c>
      <c r="F18" s="30" t="inlineStr">
        <is>
          <t>mm</t>
        </is>
      </c>
      <c r="G18" s="23" t="n"/>
    </row>
    <row r="19" ht="17" customHeight="1">
      <c r="B19" s="26" t="inlineStr">
        <is>
          <t>7.3.4(3)</t>
        </is>
      </c>
      <c r="C19" s="24" t="inlineStr">
        <is>
          <t>Cover to the bars controlling the cracks</t>
        </is>
      </c>
      <c r="D19" s="29" t="inlineStr">
        <is>
          <r>
            <rPr>
              <rFont val="Calibri"/>
              <i val="1"/>
              <color rgb="002B2B2B"/>
              <sz val="10"/>
            </rPr>
            <t>c</t>
          </r>
        </is>
      </c>
      <c r="E19" s="25" t="n">
        <v>40</v>
      </c>
      <c r="F19" s="30" t="inlineStr">
        <is>
          <t>mm</t>
        </is>
      </c>
      <c r="G19" s="23" t="n"/>
    </row>
    <row r="20" ht="17" customHeight="1">
      <c r="B20" s="23" t="n"/>
      <c r="C20" s="24" t="inlineStr">
        <is>
          <t>Bars on each face: diameter</t>
        </is>
      </c>
      <c r="D20" s="29" t="inlineStr">
        <is>
          <r>
            <rPr>
              <rFont val="Calibri"/>
              <i val="1"/>
              <color rgb="002B2B2B"/>
              <sz val="10"/>
            </rPr>
            <t>φ</t>
          </r>
        </is>
      </c>
      <c r="E20" s="25" t="n">
        <v>16</v>
      </c>
      <c r="F20" s="30" t="inlineStr">
        <is>
          <t>mm</t>
        </is>
      </c>
      <c r="G20" s="23" t="n"/>
    </row>
    <row r="21" ht="17" customHeight="1">
      <c r="B21" s="23" t="n"/>
      <c r="C21" s="24" t="inlineStr">
        <is>
          <t>Bars on each face: spacing</t>
        </is>
      </c>
      <c r="D21" s="29" t="inlineStr">
        <is>
          <r>
            <rPr>
              <rFont val="Calibri"/>
              <i val="1"/>
              <color rgb="002B2B2B"/>
              <sz val="10"/>
            </rPr>
            <t>s</t>
          </r>
        </is>
      </c>
      <c r="E21" s="25" t="n">
        <v>150</v>
      </c>
      <c r="F21" s="30" t="inlineStr">
        <is>
          <t>mm</t>
        </is>
      </c>
      <c r="G21" s="23" t="n"/>
    </row>
    <row r="22" ht="17" customHeight="1">
      <c r="B22" s="26" t="inlineStr">
        <is>
          <t>C766 3.5.2</t>
        </is>
      </c>
      <c r="C22" s="24" t="inlineStr">
        <is>
          <t>Bond at early age</t>
        </is>
      </c>
      <c r="D22" s="23" t="n"/>
      <c r="E22" s="25" t="inlineStr">
        <is>
          <t>Good</t>
        </is>
      </c>
      <c r="F22" s="23" t="n"/>
      <c r="G22" s="26" t="inlineStr">
        <is>
          <t>Poor: k1 = 1.14</t>
        </is>
      </c>
    </row>
    <row r="23" ht="17" customHeight="1">
      <c r="B23" s="23" t="n"/>
      <c r="C23" s="24" t="inlineStr">
        <is>
          <t>Limiting crack width</t>
        </is>
      </c>
      <c r="D23" s="29" t="inlineStr">
        <is>
          <r>
            <rPr>
              <rFont val="Calibri"/>
              <i val="1"/>
              <color rgb="002B2B2B"/>
              <sz val="10"/>
            </rPr>
            <t>w</t>
          </r>
          <r>
            <rPr>
              <rFont val="Calibri"/>
              <i val="1"/>
              <color rgb="002B2B2B"/>
              <sz val="10"/>
              <vertAlign val="subscript"/>
            </rPr>
            <t>max</t>
          </r>
        </is>
      </c>
      <c r="E23" s="27" t="n">
        <v>0.2</v>
      </c>
      <c r="F23" s="30" t="inlineStr">
        <is>
          <t>mm</t>
        </is>
      </c>
      <c r="G23" s="26" t="inlineStr">
        <is>
          <t>Project requirement</t>
        </is>
      </c>
    </row>
    <row r="25" ht="22" customHeight="1">
      <c r="B25" s="20" t="inlineStr">
        <is>
          <t>Inputs  ·  temperatures, shrinkage and restraint</t>
        </is>
      </c>
      <c r="C25" s="21" t="n"/>
      <c r="D25" s="21" t="n"/>
      <c r="E25" s="21" t="n"/>
      <c r="F25" s="21" t="n"/>
      <c r="G25" s="22" t="inlineStr">
        <is>
          <t>From C766 chapter 4 or tests</t>
        </is>
      </c>
    </row>
    <row r="26" ht="17" customHeight="1">
      <c r="B26" s="26" t="inlineStr">
        <is>
          <t>C766 4.2</t>
        </is>
      </c>
      <c r="C26" s="24" t="inlineStr">
        <is>
          <t>Early-age temperature drop  T1 = peak − mean ambient</t>
        </is>
      </c>
      <c r="D26" s="29" t="inlineStr">
        <is>
          <r>
            <rPr>
              <rFont val="Calibri"/>
              <i val="1"/>
              <color rgb="002B2B2B"/>
              <sz val="10"/>
            </rPr>
            <t>T</t>
          </r>
          <r>
            <rPr>
              <rFont val="Calibri"/>
              <i val="1"/>
              <color rgb="002B2B2B"/>
              <sz val="10"/>
              <vertAlign val="subscript"/>
            </rPr>
            <t>1</t>
          </r>
        </is>
      </c>
      <c r="E26" s="31" t="n">
        <v>25</v>
      </c>
      <c r="F26" s="30" t="inlineStr">
        <is>
          <t>°C</t>
        </is>
      </c>
      <c r="G26" s="23" t="n"/>
    </row>
    <row r="27" ht="17" customHeight="1">
      <c r="B27" s="26" t="inlineStr">
        <is>
          <t>C766 4.3</t>
        </is>
      </c>
      <c r="C27" s="24" t="inlineStr">
        <is>
          <t>Long-term temperature drop  T2  (seasonal)</t>
        </is>
      </c>
      <c r="D27" s="29" t="inlineStr">
        <is>
          <r>
            <rPr>
              <rFont val="Calibri"/>
              <i val="1"/>
              <color rgb="002B2B2B"/>
              <sz val="10"/>
            </rPr>
            <t>T</t>
          </r>
          <r>
            <rPr>
              <rFont val="Calibri"/>
              <i val="1"/>
              <color rgb="002B2B2B"/>
              <sz val="10"/>
              <vertAlign val="subscript"/>
            </rPr>
            <t>2</t>
          </r>
        </is>
      </c>
      <c r="E27" s="31" t="n">
        <v>20</v>
      </c>
      <c r="F27" s="30" t="inlineStr">
        <is>
          <t>°C</t>
        </is>
      </c>
      <c r="G27" s="23" t="n"/>
    </row>
    <row r="28" ht="17" customHeight="1">
      <c r="B28" s="26" t="inlineStr">
        <is>
          <t>C766 4.6</t>
        </is>
      </c>
      <c r="C28" s="24" t="inlineStr">
        <is>
          <t>Coefficient of thermal expansion</t>
        </is>
      </c>
      <c r="D28" s="29" t="inlineStr">
        <is>
          <r>
            <rPr>
              <rFont val="Calibri"/>
              <i val="1"/>
              <color rgb="002B2B2B"/>
              <sz val="10"/>
            </rPr>
            <t>α</t>
          </r>
          <r>
            <rPr>
              <rFont val="Calibri"/>
              <i val="1"/>
              <color rgb="002B2B2B"/>
              <sz val="10"/>
              <vertAlign val="subscript"/>
            </rPr>
            <t>c</t>
          </r>
        </is>
      </c>
      <c r="E28" s="31" t="n">
        <v>10</v>
      </c>
      <c r="F28" s="30" t="inlineStr">
        <is>
          <t>με/°C</t>
        </is>
      </c>
      <c r="G28" s="23" t="n"/>
    </row>
    <row r="29" ht="17" customHeight="1">
      <c r="B29" s="26" t="inlineStr">
        <is>
          <t>C766 4.7.2</t>
        </is>
      </c>
      <c r="C29" s="24" t="inlineStr">
        <is>
          <t>Drying shrinkage  (difference from the restraint)</t>
        </is>
      </c>
      <c r="D29" s="29" t="inlineStr">
        <is>
          <r>
            <rPr>
              <rFont val="Calibri"/>
              <i val="1"/>
              <color rgb="002B2B2B"/>
              <sz val="10"/>
            </rPr>
            <t>ε</t>
          </r>
          <r>
            <rPr>
              <rFont val="Calibri"/>
              <i val="1"/>
              <color rgb="002B2B2B"/>
              <sz val="10"/>
              <vertAlign val="subscript"/>
            </rPr>
            <t>cd</t>
          </r>
        </is>
      </c>
      <c r="E29" s="32" t="n">
        <v>150</v>
      </c>
      <c r="F29" s="30" t="inlineStr">
        <is>
          <t>με</t>
        </is>
      </c>
      <c r="G29" s="23" t="n"/>
    </row>
    <row r="30" ht="17" customHeight="1">
      <c r="B30" s="26" t="inlineStr">
        <is>
          <t>C766 4.8</t>
        </is>
      </c>
      <c r="C30" s="24" t="inlineStr">
        <is>
          <t>Restraint factor at early age</t>
        </is>
      </c>
      <c r="D30" s="29" t="inlineStr">
        <is>
          <r>
            <rPr>
              <rFont val="Calibri"/>
              <i val="1"/>
              <color rgb="002B2B2B"/>
              <sz val="10"/>
            </rPr>
            <t>R</t>
          </r>
          <r>
            <rPr>
              <rFont val="Calibri"/>
              <i val="1"/>
              <color rgb="002B2B2B"/>
              <sz val="10"/>
              <vertAlign val="subscript"/>
            </rPr>
            <t>1</t>
          </r>
        </is>
      </c>
      <c r="E30" s="27" t="n">
        <v>0.5</v>
      </c>
      <c r="F30" s="23" t="n"/>
      <c r="G30" s="23" t="n"/>
    </row>
    <row r="31" ht="17" customHeight="1">
      <c r="B31" s="26" t="inlineStr">
        <is>
          <t>C766 4.8</t>
        </is>
      </c>
      <c r="C31" s="24" t="inlineStr">
        <is>
          <t>Restraint factor, long-term thermal and autogenous</t>
        </is>
      </c>
      <c r="D31" s="29" t="inlineStr">
        <is>
          <r>
            <rPr>
              <rFont val="Calibri"/>
              <i val="1"/>
              <color rgb="002B2B2B"/>
              <sz val="10"/>
            </rPr>
            <t>R</t>
          </r>
          <r>
            <rPr>
              <rFont val="Calibri"/>
              <i val="1"/>
              <color rgb="002B2B2B"/>
              <sz val="10"/>
              <vertAlign val="subscript"/>
            </rPr>
            <t>2</t>
          </r>
        </is>
      </c>
      <c r="E31" s="27" t="n">
        <v>0.5</v>
      </c>
      <c r="F31" s="23" t="n"/>
      <c r="G31" s="23" t="n"/>
    </row>
    <row r="32" ht="17" customHeight="1">
      <c r="B32" s="26" t="inlineStr">
        <is>
          <t>C766 4.8</t>
        </is>
      </c>
      <c r="C32" s="24" t="inlineStr">
        <is>
          <t>Restraint factor, drying shrinkage</t>
        </is>
      </c>
      <c r="D32" s="29" t="inlineStr">
        <is>
          <r>
            <rPr>
              <rFont val="Calibri"/>
              <i val="1"/>
              <color rgb="002B2B2B"/>
              <sz val="10"/>
            </rPr>
            <t>R</t>
          </r>
          <r>
            <rPr>
              <rFont val="Calibri"/>
              <i val="1"/>
              <color rgb="002B2B2B"/>
              <sz val="10"/>
              <vertAlign val="subscript"/>
            </rPr>
            <t>3</t>
          </r>
        </is>
      </c>
      <c r="E32" s="27" t="n">
        <v>0.5</v>
      </c>
      <c r="F32" s="23" t="n"/>
      <c r="G32" s="23" t="n"/>
    </row>
    <row r="33" ht="17" customHeight="1">
      <c r="B33" s="23" t="n"/>
      <c r="C33" s="24" t="inlineStr">
        <is>
          <t>Inputs valid and consistent</t>
        </is>
      </c>
      <c r="D33" s="23" t="n"/>
      <c r="E33" s="9" t="n"/>
      <c r="F33" s="23" t="n"/>
      <c r="G33" s="33">
        <f>IF(inputs_ok,"OK","FAIL")</f>
        <v/>
      </c>
    </row>
    <row r="35" ht="22" customHeight="1">
      <c r="B35" s="20" t="inlineStr">
        <is>
          <t>Results  ·  per face, per metre</t>
        </is>
      </c>
      <c r="C35" s="21" t="n"/>
      <c r="D35" s="21" t="n"/>
      <c r="E35" s="21" t="n"/>
      <c r="F35" s="21" t="n"/>
      <c r="G35" s="21" t="n"/>
    </row>
    <row r="36" ht="26" customHeight="1">
      <c r="B36" s="34" t="n"/>
      <c r="C36" s="35" t="inlineStr">
        <is>
          <t>Early age: restrained strain / tensile strain capacity</t>
        </is>
      </c>
      <c r="D36" s="36" t="inlineStr">
        <is>
          <r>
            <rPr>
              <rFont val="Calibri"/>
              <i val="1"/>
              <color rgb="002B2B2B"/>
              <sz val="11"/>
            </rPr>
            <t>ε</t>
          </r>
          <r>
            <rPr>
              <rFont val="Calibri"/>
              <i val="1"/>
              <color rgb="002B2B2B"/>
              <sz val="11"/>
              <vertAlign val="subscript"/>
            </rPr>
            <t>r / ε_ctu</t>
          </r>
        </is>
      </c>
      <c r="E36" s="37">
        <f>IF(inputs_ok,er_ea/ectu_ea,"–")</f>
        <v/>
      </c>
      <c r="F36" s="38" t="inlineStr"/>
      <c r="G36" s="39">
        <f>IF(NOT(inputs_ok),"FAIL",IF(er_ea&gt;ectu_ea,"! Cracks expected","No cracking"))</f>
        <v/>
      </c>
    </row>
    <row r="37" ht="26" customHeight="1">
      <c r="B37" s="34" t="n"/>
      <c r="C37" s="35" t="inlineStr">
        <is>
          <t>Long term: restrained strain / tensile strain capacity</t>
        </is>
      </c>
      <c r="D37" s="36" t="inlineStr">
        <is>
          <r>
            <rPr>
              <rFont val="Calibri"/>
              <i val="1"/>
              <color rgb="002B2B2B"/>
              <sz val="11"/>
            </rPr>
            <t>ε</t>
          </r>
          <r>
            <rPr>
              <rFont val="Calibri"/>
              <i val="1"/>
              <color rgb="002B2B2B"/>
              <sz val="11"/>
              <vertAlign val="subscript"/>
            </rPr>
            <t>r / ε_ctu</t>
          </r>
        </is>
      </c>
      <c r="E37" s="37">
        <f>IF(inputs_ok,er_lt/ectu_lt,"–")</f>
        <v/>
      </c>
      <c r="F37" s="38" t="inlineStr"/>
      <c r="G37" s="39">
        <f>IF(NOT(inputs_ok),"FAIL",IF(cr_lt,"! Cracked","No cracking"))</f>
        <v/>
      </c>
    </row>
    <row r="38" ht="26" customHeight="1">
      <c r="B38" s="34" t="n"/>
      <c r="C38" s="35" t="inlineStr">
        <is>
          <t>Minimum reinforcement  As,min / As,prov</t>
        </is>
      </c>
      <c r="D38" s="34" t="n"/>
      <c r="E38" s="37">
        <f>IF(inputs_ok,As_minreq/As_ea,"–")</f>
        <v/>
      </c>
      <c r="F38" s="38" t="inlineStr"/>
      <c r="G38" s="39">
        <f>IF(NOT(inputs_ok),"FAIL",IF(As_ea&gt;=As_minreq,"OK","FAIL"))</f>
        <v/>
      </c>
    </row>
    <row r="39" ht="26" customHeight="1">
      <c r="B39" s="34" t="n"/>
      <c r="C39" s="35" t="inlineStr">
        <is>
          <t>Crack width at early age  (with As ≥ As,min)</t>
        </is>
      </c>
      <c r="D39" s="36" t="inlineStr">
        <is>
          <r>
            <rPr>
              <rFont val="Calibri"/>
              <i val="1"/>
              <color rgb="002B2B2B"/>
              <sz val="11"/>
            </rPr>
            <t>w</t>
          </r>
          <r>
            <rPr>
              <rFont val="Calibri"/>
              <i val="1"/>
              <color rgb="002B2B2B"/>
              <sz val="11"/>
              <vertAlign val="subscript"/>
            </rPr>
            <t>k</t>
          </r>
        </is>
      </c>
      <c r="E39" s="37">
        <f>IF(inputs_ok,wk_ea,"–")</f>
        <v/>
      </c>
      <c r="F39" s="38" t="inlineStr">
        <is>
          <t>mm</t>
        </is>
      </c>
      <c r="G39" s="39">
        <f>IF(NOT(inputs_ok),"FAIL",IF(AND(wk_ea&lt;=w_max,OR(NOT(cr_ea),As_ea&gt;=As_min3)),"OK","FAIL"))</f>
        <v/>
      </c>
    </row>
    <row r="40" ht="26" customHeight="1">
      <c r="B40" s="34" t="n"/>
      <c r="C40" s="35" t="inlineStr">
        <is>
          <t>Crack width in the long term  (with As ≥ As,min)</t>
        </is>
      </c>
      <c r="D40" s="36" t="inlineStr">
        <is>
          <r>
            <rPr>
              <rFont val="Calibri"/>
              <i val="1"/>
              <color rgb="002B2B2B"/>
              <sz val="11"/>
            </rPr>
            <t>w</t>
          </r>
          <r>
            <rPr>
              <rFont val="Calibri"/>
              <i val="1"/>
              <color rgb="002B2B2B"/>
              <sz val="11"/>
              <vertAlign val="subscript"/>
            </rPr>
            <t>k</t>
          </r>
        </is>
      </c>
      <c r="E40" s="37">
        <f>IF(inputs_ok,wk_lt,"–")</f>
        <v/>
      </c>
      <c r="F40" s="38" t="inlineStr">
        <is>
          <t>mm</t>
        </is>
      </c>
      <c r="G40" s="39">
        <f>IF(NOT(inputs_ok),"FAIL",IF(AND(wk_lt&lt;=w_max,OR(NOT(cr_lt),As_ea&gt;=As_minreq)),"OK","FAIL"))</f>
        <v/>
      </c>
    </row>
    <row r="41"/>
    <row r="42">
      <c r="B42" s="40" t="inlineStr">
        <is>
          <t>Restrained strain against the tensile strain capacity  ·  early age (top) and long term (bottom), microstrain</t>
        </is>
      </c>
    </row>
    <row r="43"/>
    <row r="44"/>
    <row r="45"/>
    <row r="46"/>
    <row r="47"/>
    <row r="48"/>
    <row r="49"/>
    <row r="50"/>
    <row r="51"/>
    <row r="52"/>
    <row r="53"/>
    <row r="54"/>
    <row r="55"/>
    <row r="56"/>
    <row r="57"/>
    <row r="58">
      <c r="B58" s="40" t="inlineStr">
        <is>
          <t>Elevation over 6 m, schematic  ·  cracks at the maximum spacing where cracking is expected in the long term</t>
        </is>
      </c>
    </row>
    <row r="59"/>
    <row r="60"/>
    <row r="61"/>
    <row r="62"/>
    <row r="63"/>
    <row r="64"/>
    <row r="65"/>
    <row r="66"/>
    <row r="67"/>
    <row r="68"/>
    <row r="69"/>
    <row r="70"/>
    <row r="71"/>
    <row r="72"/>
    <row r="73"/>
    <row r="74" ht="22" customHeight="1">
      <c r="B74" s="20" t="inlineStr">
        <is>
          <t>Calculation  ·  concrete properties</t>
        </is>
      </c>
      <c r="C74" s="21" t="n"/>
      <c r="D74" s="21" t="n"/>
      <c r="E74" s="21" t="n"/>
      <c r="F74" s="21" t="n"/>
      <c r="G74" s="21" t="n"/>
    </row>
    <row r="75" ht="17" customHeight="1">
      <c r="B75" s="26" t="inlineStr">
        <is>
          <t>7.3.4(3)</t>
        </is>
      </c>
      <c r="C75" s="24" t="inlineStr">
        <is>
          <t>Crack spacing coefficient</t>
        </is>
      </c>
      <c r="D75" s="29" t="inlineStr">
        <is>
          <r>
            <rPr>
              <rFont val="Calibri"/>
              <i val="1"/>
              <color rgb="002B2B2B"/>
              <sz val="10"/>
            </rPr>
            <t>k</t>
          </r>
          <r>
            <rPr>
              <rFont val="Calibri"/>
              <i val="1"/>
              <color rgb="002B2B2B"/>
              <sz val="10"/>
              <vertAlign val="subscript"/>
            </rPr>
            <t>3</t>
          </r>
        </is>
      </c>
      <c r="E75" s="41">
        <f>IF(inputs_ok,ndp_k3,NA())</f>
        <v/>
      </c>
      <c r="F75" s="23" t="n"/>
      <c r="G75" s="26" t="inlineStr">
        <is>
          <t>NDP sheet</t>
        </is>
      </c>
    </row>
    <row r="76" ht="17" customHeight="1">
      <c r="B76" s="26" t="inlineStr">
        <is>
          <t>7.3.4(3)</t>
        </is>
      </c>
      <c r="C76" s="24" t="inlineStr">
        <is>
          <t>Crack spacing coefficient</t>
        </is>
      </c>
      <c r="D76" s="29" t="inlineStr">
        <is>
          <r>
            <rPr>
              <rFont val="Calibri"/>
              <i val="1"/>
              <color rgb="002B2B2B"/>
              <sz val="10"/>
            </rPr>
            <t>k</t>
          </r>
          <r>
            <rPr>
              <rFont val="Calibri"/>
              <i val="1"/>
              <color rgb="002B2B2B"/>
              <sz val="10"/>
              <vertAlign val="subscript"/>
            </rPr>
            <t>4</t>
          </r>
        </is>
      </c>
      <c r="E76" s="42">
        <f>IF(inputs_ok,ndp_k4,NA())</f>
        <v/>
      </c>
      <c r="F76" s="23" t="n"/>
      <c r="G76" s="26" t="inlineStr">
        <is>
          <t>NDP sheet</t>
        </is>
      </c>
    </row>
    <row r="77" ht="17" customHeight="1">
      <c r="B77" s="26" t="inlineStr">
        <is>
          <t>Table 3.1</t>
        </is>
      </c>
      <c r="C77" s="24" t="inlineStr">
        <is>
          <t>Characteristic cylinder strength</t>
        </is>
      </c>
      <c r="D77" s="29" t="inlineStr">
        <is>
          <r>
            <rPr>
              <rFont val="Calibri"/>
              <i val="1"/>
              <color rgb="002B2B2B"/>
              <sz val="10"/>
            </rPr>
            <t>f</t>
          </r>
          <r>
            <rPr>
              <rFont val="Calibri"/>
              <i val="1"/>
              <color rgb="002B2B2B"/>
              <sz val="10"/>
              <vertAlign val="subscript"/>
            </rPr>
            <t>ck</t>
          </r>
        </is>
      </c>
      <c r="E77" s="43">
        <f>IF(inputs_ok,VALUE(MID(conc_class,2,FIND("/",conc_class)-2)),NA())</f>
        <v/>
      </c>
      <c r="F77" s="30" t="inlineStr">
        <is>
          <t>MPa</t>
        </is>
      </c>
      <c r="G77" s="23" t="n"/>
    </row>
    <row r="78" ht="17" customHeight="1">
      <c r="B78" s="26" t="inlineStr">
        <is>
          <t>Table 3.1</t>
        </is>
      </c>
      <c r="C78" s="24" t="inlineStr">
        <is>
          <t>Mean tensile strength</t>
        </is>
      </c>
      <c r="D78" s="29" t="inlineStr">
        <is>
          <r>
            <rPr>
              <rFont val="Calibri"/>
              <i val="1"/>
              <color rgb="002B2B2B"/>
              <sz val="10"/>
            </rPr>
            <t>f</t>
          </r>
          <r>
            <rPr>
              <rFont val="Calibri"/>
              <i val="1"/>
              <color rgb="002B2B2B"/>
              <sz val="10"/>
              <vertAlign val="subscript"/>
            </rPr>
            <t>ctm</t>
          </r>
        </is>
      </c>
      <c r="E78" s="41">
        <f>IF(inputs_ok,IF(f_ck&lt;=50,0.3*f_ck^(2/3),2.12*LN(1+(f_ck+8)/10)),NA())</f>
        <v/>
      </c>
      <c r="F78" s="30" t="inlineStr">
        <is>
          <t>MPa</t>
        </is>
      </c>
      <c r="G78" s="23" t="n"/>
    </row>
    <row r="79" ht="17" customHeight="1">
      <c r="B79" s="26" t="inlineStr">
        <is>
          <t>Table 3.1</t>
        </is>
      </c>
      <c r="C79" s="24" t="inlineStr">
        <is>
          <t>Mean compressive strength  fck + 8</t>
        </is>
      </c>
      <c r="D79" s="29" t="inlineStr">
        <is>
          <r>
            <rPr>
              <rFont val="Calibri"/>
              <i val="1"/>
              <color rgb="002B2B2B"/>
              <sz val="10"/>
            </rPr>
            <t>f</t>
          </r>
          <r>
            <rPr>
              <rFont val="Calibri"/>
              <i val="1"/>
              <color rgb="002B2B2B"/>
              <sz val="10"/>
              <vertAlign val="subscript"/>
            </rPr>
            <t>cm</t>
          </r>
        </is>
      </c>
      <c r="E79" s="43">
        <f>IF(inputs_ok,f_ck+8,NA())</f>
        <v/>
      </c>
      <c r="F79" s="30" t="inlineStr">
        <is>
          <t>MPa</t>
        </is>
      </c>
      <c r="G79" s="23" t="n"/>
    </row>
    <row r="80" ht="17" customHeight="1">
      <c r="B80" s="26" t="inlineStr">
        <is>
          <t>Table 3.1, 3.1.3(2)</t>
        </is>
      </c>
      <c r="C80" s="24" t="inlineStr">
        <is>
          <t>Secant modulus at 28 days  22 (fcm/10)^0.3 × factor</t>
        </is>
      </c>
      <c r="D80" s="29" t="inlineStr">
        <is>
          <r>
            <rPr>
              <rFont val="Calibri"/>
              <i val="1"/>
              <color rgb="002B2B2B"/>
              <sz val="10"/>
            </rPr>
            <t>E</t>
          </r>
          <r>
            <rPr>
              <rFont val="Calibri"/>
              <i val="1"/>
              <color rgb="002B2B2B"/>
              <sz val="10"/>
              <vertAlign val="subscript"/>
            </rPr>
            <t>cm</t>
          </r>
        </is>
      </c>
      <c r="E80" s="43">
        <f>IF(inputs_ok,agg_k*22000*(f_cm/10)^0.3,NA())</f>
        <v/>
      </c>
      <c r="F80" s="30" t="inlineStr">
        <is>
          <t>MPa</t>
        </is>
      </c>
      <c r="G80" s="23" t="n"/>
    </row>
    <row r="81" ht="17" customHeight="1">
      <c r="B81" s="26" t="inlineStr">
        <is>
          <t>3.1.2(6)</t>
        </is>
      </c>
      <c r="C81" s="24" t="inlineStr">
        <is>
          <t>Cement coefficient</t>
        </is>
      </c>
      <c r="D81" s="29" t="inlineStr">
        <is>
          <r>
            <rPr>
              <rFont val="Calibri"/>
              <i val="1"/>
              <color rgb="002B2B2B"/>
              <sz val="10"/>
            </rPr>
            <t>s</t>
          </r>
        </is>
      </c>
      <c r="E81" s="41">
        <f>IF(inputs_ok,CHOOSE(MATCH(cem_cl,{"Class R","Class N","Class S"},0),0.2,0.25,0.38),NA())</f>
        <v/>
      </c>
      <c r="F81" s="23" t="n"/>
      <c r="G81" s="23" t="n"/>
    </row>
    <row r="82" ht="17" customHeight="1">
      <c r="B82" s="26" t="inlineStr">
        <is>
          <t>(3.2)</t>
        </is>
      </c>
      <c r="C82" s="24" t="inlineStr">
        <is>
          <t>Strength development at 3 days  exp(s (1 − √(28/3)))</t>
        </is>
      </c>
      <c r="D82" s="29" t="inlineStr">
        <is>
          <r>
            <rPr>
              <rFont val="Calibri"/>
              <i val="1"/>
              <color rgb="002B2B2B"/>
              <sz val="10"/>
            </rPr>
            <t>β</t>
          </r>
          <r>
            <rPr>
              <rFont val="Calibri"/>
              <i val="1"/>
              <color rgb="002B2B2B"/>
              <sz val="10"/>
              <vertAlign val="subscript"/>
            </rPr>
            <t>cc(3)</t>
          </r>
        </is>
      </c>
      <c r="E82" s="42">
        <f>IF(inputs_ok,EXP(s_cem*(1-SQRT(28/3))),NA())</f>
        <v/>
      </c>
      <c r="F82" s="23" t="n"/>
      <c r="G82" s="23" t="n"/>
    </row>
    <row r="83" ht="17" customHeight="1">
      <c r="B83" s="26" t="inlineStr">
        <is>
          <t>(3.4)</t>
        </is>
      </c>
      <c r="C83" s="24" t="inlineStr">
        <is>
          <t>Mean tensile strength at 3 days  βcc(3) fctm  (α = 1)</t>
        </is>
      </c>
      <c r="D83" s="29" t="inlineStr">
        <is>
          <r>
            <rPr>
              <rFont val="Calibri"/>
              <i val="1"/>
              <color rgb="002B2B2B"/>
              <sz val="10"/>
            </rPr>
            <t>f</t>
          </r>
          <r>
            <rPr>
              <rFont val="Calibri"/>
              <i val="1"/>
              <color rgb="002B2B2B"/>
              <sz val="10"/>
              <vertAlign val="subscript"/>
            </rPr>
            <t>ctm(3)</t>
          </r>
        </is>
      </c>
      <c r="E83" s="41">
        <f>IF(inputs_ok,bcc_3*f_ctm,NA())</f>
        <v/>
      </c>
      <c r="F83" s="30" t="inlineStr">
        <is>
          <t>MPa</t>
        </is>
      </c>
      <c r="G83" s="23" t="n"/>
    </row>
    <row r="84" ht="17" customHeight="1">
      <c r="B84" s="26" t="inlineStr">
        <is>
          <t>(3.5)</t>
        </is>
      </c>
      <c r="C84" s="24" t="inlineStr">
        <is>
          <t>Modulus at 3 days  (βcc(3))^0.3 Ecm</t>
        </is>
      </c>
      <c r="D84" s="29" t="inlineStr">
        <is>
          <r>
            <rPr>
              <rFont val="Calibri"/>
              <i val="1"/>
              <color rgb="002B2B2B"/>
              <sz val="10"/>
            </rPr>
            <t>E</t>
          </r>
          <r>
            <rPr>
              <rFont val="Calibri"/>
              <i val="1"/>
              <color rgb="002B2B2B"/>
              <sz val="10"/>
              <vertAlign val="subscript"/>
            </rPr>
            <t>cm(3)</t>
          </r>
        </is>
      </c>
      <c r="E84" s="43">
        <f>IF(inputs_ok,bcc_3^0.3*E_cm,NA())</f>
        <v/>
      </c>
      <c r="F84" s="30" t="inlineStr">
        <is>
          <t>MPa</t>
        </is>
      </c>
      <c r="G84" s="23" t="n"/>
    </row>
    <row r="85" ht="17" customHeight="1">
      <c r="B85" s="26" t="inlineStr">
        <is>
          <t>C766 (4.8)</t>
        </is>
      </c>
      <c r="C85" s="24" t="inlineStr">
        <is>
          <t>Tensile strain capacity, early age  1.08 fctm(3) / Ecm(3)</t>
        </is>
      </c>
      <c r="D85" s="29" t="inlineStr">
        <is>
          <r>
            <rPr>
              <rFont val="Calibri"/>
              <i val="1"/>
              <color rgb="002B2B2B"/>
              <sz val="10"/>
            </rPr>
            <t>ε</t>
          </r>
          <r>
            <rPr>
              <rFont val="Calibri"/>
              <i val="1"/>
              <color rgb="002B2B2B"/>
              <sz val="10"/>
              <vertAlign val="subscript"/>
            </rPr>
            <t>ctu(3)</t>
          </r>
        </is>
      </c>
      <c r="E85" s="44">
        <f>IF(inputs_ok,1.08*fctm3/Ecm_3,NA())</f>
        <v/>
      </c>
      <c r="F85" s="23" t="n"/>
      <c r="G85" s="23" t="n"/>
    </row>
    <row r="86" ht="17" customHeight="1">
      <c r="B86" s="26" t="inlineStr">
        <is>
          <t>C766 (4.9)</t>
        </is>
      </c>
      <c r="C86" s="24" t="inlineStr">
        <is>
          <t>Tensile strain capacity, long term  1.40 fctm / Ecm</t>
        </is>
      </c>
      <c r="D86" s="29" t="inlineStr">
        <is>
          <r>
            <rPr>
              <rFont val="Calibri"/>
              <i val="1"/>
              <color rgb="002B2B2B"/>
              <sz val="10"/>
            </rPr>
            <t>ε</t>
          </r>
          <r>
            <rPr>
              <rFont val="Calibri"/>
              <i val="1"/>
              <color rgb="002B2B2B"/>
              <sz val="10"/>
              <vertAlign val="subscript"/>
            </rPr>
            <t>ctu(28)</t>
          </r>
        </is>
      </c>
      <c r="E86" s="44">
        <f>IF(inputs_ok,1.40*f_ctm/E_cm,NA())</f>
        <v/>
      </c>
      <c r="F86" s="23" t="n"/>
      <c r="G86" s="23" t="n"/>
    </row>
    <row r="87" ht="17" customHeight="1">
      <c r="B87" s="26" t="inlineStr">
        <is>
          <t>(3.12)</t>
        </is>
      </c>
      <c r="C87" s="24" t="inlineStr">
        <is>
          <t>Final autogenous shrinkage  2.5 (fck − 10) · 10⁻⁶</t>
        </is>
      </c>
      <c r="D87" s="29" t="inlineStr">
        <is>
          <r>
            <rPr>
              <rFont val="Calibri"/>
              <i val="1"/>
              <color rgb="002B2B2B"/>
              <sz val="10"/>
            </rPr>
            <t>ε</t>
          </r>
          <r>
            <rPr>
              <rFont val="Calibri"/>
              <i val="1"/>
              <color rgb="002B2B2B"/>
              <sz val="10"/>
              <vertAlign val="subscript"/>
            </rPr>
            <t>ca(∞)</t>
          </r>
        </is>
      </c>
      <c r="E87" s="44">
        <f>IF(inputs_ok,2.5*(f_ck-10)*1E-6,NA())</f>
        <v/>
      </c>
      <c r="F87" s="23" t="n"/>
      <c r="G87" s="23" t="n"/>
    </row>
    <row r="88" ht="17" customHeight="1">
      <c r="B88" s="26" t="inlineStr">
        <is>
          <t>(3.13)</t>
        </is>
      </c>
      <c r="C88" s="24" t="inlineStr">
        <is>
          <t>Autogenous shrinkage at 3 days  (1 − exp(−0.2 √3)) εca(∞)</t>
        </is>
      </c>
      <c r="D88" s="29" t="inlineStr">
        <is>
          <r>
            <rPr>
              <rFont val="Calibri"/>
              <i val="1"/>
              <color rgb="002B2B2B"/>
              <sz val="10"/>
            </rPr>
            <t>ε</t>
          </r>
          <r>
            <rPr>
              <rFont val="Calibri"/>
              <i val="1"/>
              <color rgb="002B2B2B"/>
              <sz val="10"/>
              <vertAlign val="subscript"/>
            </rPr>
            <t>ca(3)</t>
          </r>
        </is>
      </c>
      <c r="E88" s="44">
        <f>IF(inputs_ok,(1-EXP(-0.2*SQRT(3)))*eca_inf,NA())</f>
        <v/>
      </c>
      <c r="F88" s="23" t="n"/>
      <c r="G88" s="23" t="n"/>
    </row>
    <row r="89" ht="17" customHeight="1">
      <c r="B89" s="26" t="inlineStr">
        <is>
          <t>(3.13)</t>
        </is>
      </c>
      <c r="C89" s="24" t="inlineStr">
        <is>
          <t>Autogenous shrinkage at 28 days</t>
        </is>
      </c>
      <c r="D89" s="29" t="inlineStr">
        <is>
          <r>
            <rPr>
              <rFont val="Calibri"/>
              <i val="1"/>
              <color rgb="002B2B2B"/>
              <sz val="10"/>
            </rPr>
            <t>ε</t>
          </r>
          <r>
            <rPr>
              <rFont val="Calibri"/>
              <i val="1"/>
              <color rgb="002B2B2B"/>
              <sz val="10"/>
              <vertAlign val="subscript"/>
            </rPr>
            <t>ca(28)</t>
          </r>
        </is>
      </c>
      <c r="E89" s="44">
        <f>IF(inputs_ok,(1-EXP(-0.2*SQRT(28)))*eca_inf,NA())</f>
        <v/>
      </c>
      <c r="F89" s="23" t="n"/>
      <c r="G89" s="23" t="n"/>
    </row>
    <row r="90"/>
    <row r="91" ht="22" customHeight="1">
      <c r="B91" s="20" t="inlineStr">
        <is>
          <t>Calculation  ·  restrained and crack-inducing strain</t>
        </is>
      </c>
      <c r="C91" s="21" t="n"/>
      <c r="D91" s="21" t="n"/>
      <c r="E91" s="21" t="n"/>
      <c r="F91" s="21" t="n"/>
      <c r="G91" s="21" t="n"/>
    </row>
    <row r="92" ht="17" customHeight="1">
      <c r="B92" s="26" t="inlineStr">
        <is>
          <t>C766 4.11</t>
        </is>
      </c>
      <c r="C92" s="24" t="inlineStr">
        <is>
          <t>Creep coefficients  Kc1 (early age), Kc2 (long term)</t>
        </is>
      </c>
      <c r="D92" s="29" t="inlineStr">
        <is>
          <r>
            <rPr>
              <rFont val="Calibri"/>
              <i val="1"/>
              <color rgb="002B2B2B"/>
              <sz val="10"/>
            </rPr>
            <t>K</t>
          </r>
          <r>
            <rPr>
              <rFont val="Calibri"/>
              <i val="1"/>
              <color rgb="002B2B2B"/>
              <sz val="10"/>
              <vertAlign val="subscript"/>
            </rPr>
            <t>c1; K_c2</t>
          </r>
        </is>
      </c>
      <c r="E92" s="45">
        <f>IF(inputs_ok,"0.65; 0.50",NA())</f>
        <v/>
      </c>
      <c r="F92" s="23" t="n"/>
      <c r="G92" s="23" t="n"/>
    </row>
    <row r="93" ht="17" customHeight="1">
      <c r="B93" s="26" t="inlineStr">
        <is>
          <t>C766 (3.1)</t>
        </is>
      </c>
      <c r="C93" s="24" t="inlineStr">
        <is>
          <t>Early age  εr = Kc1 (αc T1 + εca(3)) R1</t>
        </is>
      </c>
      <c r="D93" s="29" t="inlineStr">
        <is>
          <r>
            <rPr>
              <rFont val="Calibri"/>
              <i val="1"/>
              <color rgb="002B2B2B"/>
              <sz val="10"/>
            </rPr>
            <t>ε</t>
          </r>
          <r>
            <rPr>
              <rFont val="Calibri"/>
              <i val="1"/>
              <color rgb="002B2B2B"/>
              <sz val="10"/>
              <vertAlign val="subscript"/>
            </rPr>
            <t>r(3)</t>
          </r>
        </is>
      </c>
      <c r="E93" s="46">
        <f>IF(inputs_ok,0.65*(alpha_ea*1E-6*T1_ea+eca_3)*rest1_ea,NA())</f>
        <v/>
      </c>
      <c r="F93" s="23" t="n"/>
      <c r="G93" s="23" t="n"/>
    </row>
    <row r="94" ht="17" customHeight="1">
      <c r="B94" s="26" t="inlineStr">
        <is>
          <t>C766 (3.1)</t>
        </is>
      </c>
      <c r="C94" s="24" t="inlineStr">
        <is>
          <t>Long term  + Kc1 ((εca(28) − εca(3)) + αc T2) R2 + Kc2 εcd R3</t>
        </is>
      </c>
      <c r="D94" s="29" t="inlineStr">
        <is>
          <r>
            <rPr>
              <rFont val="Calibri"/>
              <i val="1"/>
              <color rgb="002B2B2B"/>
              <sz val="10"/>
            </rPr>
            <t>ε</t>
          </r>
          <r>
            <rPr>
              <rFont val="Calibri"/>
              <i val="1"/>
              <color rgb="002B2B2B"/>
              <sz val="10"/>
              <vertAlign val="subscript"/>
            </rPr>
            <t>r</t>
          </r>
        </is>
      </c>
      <c r="E94" s="46">
        <f>IF(inputs_ok,er_ea+0.65*((eca_28-eca_3)+alpha_ea*1E-6*T2_ea)*rest2_ea+0.5*ecd_ea*1E-6*rest3_ea,NA())</f>
        <v/>
      </c>
      <c r="F94" s="23" t="n"/>
      <c r="G94" s="23" t="n"/>
    </row>
    <row r="95" ht="17" customHeight="1">
      <c r="B95" s="26" t="inlineStr">
        <is>
          <t>Table 3.1</t>
        </is>
      </c>
      <c r="C95" s="24" t="inlineStr">
        <is>
          <t>Elastic modulus of the reinforcement</t>
        </is>
      </c>
      <c r="D95" s="29" t="inlineStr">
        <is>
          <r>
            <rPr>
              <rFont val="Calibri"/>
              <i val="1"/>
              <color rgb="002B2B2B"/>
              <sz val="10"/>
            </rPr>
            <t>E</t>
          </r>
          <r>
            <rPr>
              <rFont val="Calibri"/>
              <i val="1"/>
              <color rgb="002B2B2B"/>
              <sz val="10"/>
              <vertAlign val="subscript"/>
            </rPr>
            <t>s</t>
          </r>
        </is>
      </c>
      <c r="E95" s="43">
        <f>IF(inputs_ok,200000,NA())</f>
        <v/>
      </c>
      <c r="F95" s="30" t="inlineStr">
        <is>
          <t>MPa</t>
        </is>
      </c>
      <c r="G95" s="23" t="n"/>
    </row>
    <row r="96" ht="17" customHeight="1">
      <c r="B96" s="23" t="n"/>
      <c r="C96" s="24" t="inlineStr">
        <is>
          <t>Bars provided on one face  1000 π φ² / (4 s)</t>
        </is>
      </c>
      <c r="D96" s="29" t="inlineStr">
        <is>
          <r>
            <rPr>
              <rFont val="Calibri"/>
              <i val="1"/>
              <color rgb="002B2B2B"/>
              <sz val="10"/>
            </rPr>
            <t>A</t>
          </r>
          <r>
            <rPr>
              <rFont val="Calibri"/>
              <i val="1"/>
              <color rgb="002B2B2B"/>
              <sz val="10"/>
              <vertAlign val="subscript"/>
            </rPr>
            <t>s</t>
          </r>
        </is>
      </c>
      <c r="E96" s="43">
        <f>IF(inputs_ok,1000*PI()*phi_ea^2/4/s_ea,NA())</f>
        <v/>
      </c>
      <c r="F96" s="30" t="inlineStr">
        <is>
          <t>mm²/m</t>
        </is>
      </c>
      <c r="G96" s="23" t="n"/>
    </row>
    <row r="97" ht="17" customHeight="1">
      <c r="B97" s="26" t="inlineStr">
        <is>
          <t>C766 Table 3.2</t>
        </is>
      </c>
      <c r="C97" s="24" t="inlineStr">
        <is>
          <t>Concrete in tension per face  Act = 0.5 h · 1000</t>
        </is>
      </c>
      <c r="D97" s="29" t="inlineStr">
        <is>
          <r>
            <rPr>
              <rFont val="Calibri"/>
              <i val="1"/>
              <color rgb="002B2B2B"/>
              <sz val="10"/>
            </rPr>
            <t>A</t>
          </r>
          <r>
            <rPr>
              <rFont val="Calibri"/>
              <i val="1"/>
              <color rgb="002B2B2B"/>
              <sz val="10"/>
              <vertAlign val="subscript"/>
            </rPr>
            <t>ct</t>
          </r>
        </is>
      </c>
      <c r="E97" s="43">
        <f>IF(inputs_ok,0.5*h_ea*1000,NA())</f>
        <v/>
      </c>
      <c r="F97" s="30" t="inlineStr">
        <is>
          <t>mm²/m</t>
        </is>
      </c>
      <c r="G97" s="23" t="n"/>
    </row>
    <row r="98" ht="17" customHeight="1">
      <c r="B98" s="26" t="inlineStr">
        <is>
          <t>C766 Table 3.2</t>
        </is>
      </c>
      <c r="C98" s="24" t="inlineStr">
        <is>
          <t>Coefficient k  (1.0 at h ≤ 300, 0.65 at h ≥ 800)</t>
        </is>
      </c>
      <c r="D98" s="29" t="inlineStr">
        <is>
          <r>
            <rPr>
              <rFont val="Calibri"/>
              <i val="1"/>
              <color rgb="002B2B2B"/>
              <sz val="10"/>
            </rPr>
            <t>k</t>
          </r>
        </is>
      </c>
      <c r="E98" s="42">
        <f>IF(inputs_ok,IF(h_ea&lt;=300,1,IF(h_ea&gt;=800,0.65,1-0.35*(h_ea-300)/500)),NA())</f>
        <v/>
      </c>
      <c r="F98" s="23" t="n"/>
      <c r="G98" s="23" t="n"/>
    </row>
    <row r="99" ht="17" customHeight="1">
      <c r="B99" s="26" t="inlineStr">
        <is>
          <t>C766 Table 3.2</t>
        </is>
      </c>
      <c r="C99" s="24" t="inlineStr">
        <is>
          <t>Coefficient kc  (direct tension)</t>
        </is>
      </c>
      <c r="D99" s="29" t="inlineStr">
        <is>
          <r>
            <rPr>
              <rFont val="Calibri"/>
              <i val="1"/>
              <color rgb="002B2B2B"/>
              <sz val="10"/>
            </rPr>
            <t>k</t>
          </r>
          <r>
            <rPr>
              <rFont val="Calibri"/>
              <i val="1"/>
              <color rgb="002B2B2B"/>
              <sz val="10"/>
              <vertAlign val="subscript"/>
            </rPr>
            <t>c</t>
          </r>
        </is>
      </c>
      <c r="E99" s="47">
        <f>IF(inputs_ok,1,NA())</f>
        <v/>
      </c>
      <c r="F99" s="23" t="n"/>
      <c r="G99" s="23" t="n"/>
    </row>
    <row r="100" ht="17" customHeight="1">
      <c r="B100" s="26" t="inlineStr">
        <is>
          <t>C766 (3.12)</t>
        </is>
      </c>
      <c r="C100" s="24" t="inlineStr">
        <is>
          <t>End restraint, early age: 0.5 αe kc k fctk,0.05 (1 + 1/(αe ρ)) / Es</t>
        </is>
      </c>
      <c r="D100" s="29" t="inlineStr">
        <is>
          <r>
            <rPr>
              <rFont val="Calibri"/>
              <i val="1"/>
              <color rgb="002B2B2B"/>
              <sz val="10"/>
            </rPr>
            <t>ε</t>
          </r>
          <r>
            <rPr>
              <rFont val="Calibri"/>
              <i val="1"/>
              <color rgb="002B2B2B"/>
              <sz val="10"/>
              <vertAlign val="subscript"/>
            </rPr>
            <t>cr</t>
          </r>
        </is>
      </c>
      <c r="E100" s="44">
        <f>IF(inputs_ok,0.5*(E_s/Ecm_3)*kc_ea*k_ea*0.7*fctm3*(1+1/((E_s/Ecm_3)*As_ea/Act_ea))/E_s,NA())</f>
        <v/>
      </c>
      <c r="F100" s="23" t="n"/>
      <c r="G100" s="23" t="n"/>
    </row>
    <row r="101" ht="17" customHeight="1">
      <c r="B101" s="26" t="inlineStr">
        <is>
          <t>C766 (3.10)</t>
        </is>
      </c>
      <c r="C101" s="24" t="inlineStr">
        <is>
          <t>Edge restraint, early age: εr − 0.5 εctu  (≥ 0)</t>
        </is>
      </c>
      <c r="D101" s="29" t="inlineStr">
        <is>
          <r>
            <rPr>
              <rFont val="Calibri"/>
              <i val="1"/>
              <color rgb="002B2B2B"/>
              <sz val="10"/>
            </rPr>
            <t>ε</t>
          </r>
          <r>
            <rPr>
              <rFont val="Calibri"/>
              <i val="1"/>
              <color rgb="002B2B2B"/>
              <sz val="10"/>
              <vertAlign val="subscript"/>
            </rPr>
            <t>cr</t>
          </r>
        </is>
      </c>
      <c r="E101" s="44">
        <f>IF(inputs_ok,MAX(0,er_ea-0.5*ectu_ea),NA())</f>
        <v/>
      </c>
      <c r="F101" s="23" t="n"/>
      <c r="G101" s="23" t="n"/>
    </row>
    <row r="102" ht="17" customHeight="1">
      <c r="B102" s="23" t="n"/>
      <c r="C102" s="24" t="inlineStr">
        <is>
          <t>Crack-inducing strain, early age  (restraint entered)</t>
        </is>
      </c>
      <c r="D102" s="29" t="inlineStr">
        <is>
          <r>
            <rPr>
              <rFont val="Calibri"/>
              <i val="1"/>
              <color rgb="002B2B2B"/>
              <sz val="10"/>
            </rPr>
            <t>ε</t>
          </r>
          <r>
            <rPr>
              <rFont val="Calibri"/>
              <i val="1"/>
              <color rgb="002B2B2B"/>
              <sz val="10"/>
              <vertAlign val="subscript"/>
            </rPr>
            <t>cr</t>
          </r>
        </is>
      </c>
      <c r="E102" s="46">
        <f>IF(inputs_ok,IF(edge_ea,ecr_edge_ea,ecr_end_ea),NA())</f>
        <v/>
      </c>
      <c r="F102" s="23" t="n"/>
      <c r="G102" s="23" t="n"/>
    </row>
    <row r="103" ht="17" customHeight="1">
      <c r="B103" s="26" t="inlineStr">
        <is>
          <t>C766 (3.12)</t>
        </is>
      </c>
      <c r="C103" s="24" t="inlineStr">
        <is>
          <t>End restraint, long term: 0.5 αe kc k fctk,0.05 (1 + 1/(αe ρ)) / Es</t>
        </is>
      </c>
      <c r="D103" s="29" t="inlineStr">
        <is>
          <r>
            <rPr>
              <rFont val="Calibri"/>
              <i val="1"/>
              <color rgb="002B2B2B"/>
              <sz val="10"/>
            </rPr>
            <t>ε</t>
          </r>
          <r>
            <rPr>
              <rFont val="Calibri"/>
              <i val="1"/>
              <color rgb="002B2B2B"/>
              <sz val="10"/>
              <vertAlign val="subscript"/>
            </rPr>
            <t>cr</t>
          </r>
        </is>
      </c>
      <c r="E103" s="44">
        <f>IF(inputs_ok,0.5*(E_s/E_cm)*kc_ea*k_ea*0.7*f_ctm*(1+1/((E_s/E_cm)*As_ea/Act_ea))/E_s,NA())</f>
        <v/>
      </c>
      <c r="F103" s="23" t="n"/>
      <c r="G103" s="23" t="n"/>
    </row>
    <row r="104" ht="17" customHeight="1">
      <c r="B104" s="26" t="inlineStr">
        <is>
          <t>C766 (3.10)</t>
        </is>
      </c>
      <c r="C104" s="24" t="inlineStr">
        <is>
          <t>Edge restraint, long term: εr − 0.5 εctu  (≥ 0)</t>
        </is>
      </c>
      <c r="D104" s="29" t="inlineStr">
        <is>
          <r>
            <rPr>
              <rFont val="Calibri"/>
              <i val="1"/>
              <color rgb="002B2B2B"/>
              <sz val="10"/>
            </rPr>
            <t>ε</t>
          </r>
          <r>
            <rPr>
              <rFont val="Calibri"/>
              <i val="1"/>
              <color rgb="002B2B2B"/>
              <sz val="10"/>
              <vertAlign val="subscript"/>
            </rPr>
            <t>cr</t>
          </r>
        </is>
      </c>
      <c r="E104" s="44">
        <f>IF(inputs_ok,MAX(0,er_lt-0.5*ectu_lt),NA())</f>
        <v/>
      </c>
      <c r="F104" s="23" t="n"/>
      <c r="G104" s="23" t="n"/>
    </row>
    <row r="105" ht="17" customHeight="1">
      <c r="B105" s="23" t="n"/>
      <c r="C105" s="24" t="inlineStr">
        <is>
          <t>Crack-inducing strain, long term  (restraint entered)</t>
        </is>
      </c>
      <c r="D105" s="29" t="inlineStr">
        <is>
          <r>
            <rPr>
              <rFont val="Calibri"/>
              <i val="1"/>
              <color rgb="002B2B2B"/>
              <sz val="10"/>
            </rPr>
            <t>ε</t>
          </r>
          <r>
            <rPr>
              <rFont val="Calibri"/>
              <i val="1"/>
              <color rgb="002B2B2B"/>
              <sz val="10"/>
              <vertAlign val="subscript"/>
            </rPr>
            <t>cr</t>
          </r>
        </is>
      </c>
      <c r="E105" s="46">
        <f>IF(inputs_ok,IF(edge_ea,ecr_edge_lt,ecr_end_lt),NA())</f>
        <v/>
      </c>
      <c r="F105" s="23" t="n"/>
      <c r="G105" s="23" t="n"/>
    </row>
    <row r="106"/>
    <row r="107" ht="22" customHeight="1">
      <c r="B107" s="20" t="inlineStr">
        <is>
          <t>Calculation  ·  minimum steel, crack spacing and width  (7.3)</t>
        </is>
      </c>
      <c r="C107" s="21" t="n"/>
      <c r="D107" s="21" t="n"/>
      <c r="E107" s="21" t="n"/>
      <c r="F107" s="21" t="n"/>
      <c r="G107" s="21" t="n"/>
    </row>
    <row r="108" ht="17" customHeight="1">
      <c r="B108" s="26" t="inlineStr">
        <is>
          <t>C766 (3.19)</t>
        </is>
      </c>
      <c r="C108" s="24" t="inlineStr">
        <is>
          <t>Early age: kRedge = 1 − 0.5 R1  (end restraint: 1)</t>
        </is>
      </c>
      <c r="D108" s="29" t="inlineStr">
        <is>
          <r>
            <rPr>
              <rFont val="Calibri"/>
              <i val="1"/>
              <color rgb="002B2B2B"/>
              <sz val="10"/>
            </rPr>
            <t>k</t>
          </r>
          <r>
            <rPr>
              <rFont val="Calibri"/>
              <i val="1"/>
              <color rgb="002B2B2B"/>
              <sz val="10"/>
              <vertAlign val="subscript"/>
            </rPr>
            <t>Redge</t>
          </r>
        </is>
      </c>
      <c r="E108" s="42">
        <f>IF(inputs_ok,IF(edge_ea,1-0.5*rest1_ea,1),NA())</f>
        <v/>
      </c>
      <c r="F108" s="23" t="n"/>
      <c r="G108" s="23" t="n"/>
    </row>
    <row r="109" ht="17" customHeight="1">
      <c r="B109" s="26" t="inlineStr">
        <is>
          <t>C766 (3.20)</t>
        </is>
      </c>
      <c r="C109" s="24" t="inlineStr">
        <is>
          <t>Early age: As,min = kRedge kc k Act 0.7 fctm(3) / fyk</t>
        </is>
      </c>
      <c r="D109" s="29" t="inlineStr">
        <is>
          <r>
            <rPr>
              <rFont val="Calibri"/>
              <i val="1"/>
              <color rgb="002B2B2B"/>
              <sz val="10"/>
            </rPr>
            <t>A</t>
          </r>
          <r>
            <rPr>
              <rFont val="Calibri"/>
              <i val="1"/>
              <color rgb="002B2B2B"/>
              <sz val="10"/>
              <vertAlign val="subscript"/>
            </rPr>
            <t>s,min</t>
          </r>
        </is>
      </c>
      <c r="E109" s="43">
        <f>IF(inputs_ok,kRedge3*kc_ea*k_ea*Act_ea*0.7*fctm3/f_yk,NA())</f>
        <v/>
      </c>
      <c r="F109" s="30" t="inlineStr">
        <is>
          <t>mm²/m</t>
        </is>
      </c>
      <c r="G109" s="23" t="n"/>
    </row>
    <row r="110" ht="17" customHeight="1">
      <c r="B110" s="26" t="inlineStr">
        <is>
          <t>C766 (3.19)</t>
        </is>
      </c>
      <c r="C110" s="24" t="inlineStr">
        <is>
          <t>Long term: kRedge = 1 − 0.5 min(R2; R3)  (end restraint: 1)</t>
        </is>
      </c>
      <c r="D110" s="29" t="inlineStr">
        <is>
          <r>
            <rPr>
              <rFont val="Calibri"/>
              <i val="1"/>
              <color rgb="002B2B2B"/>
              <sz val="10"/>
            </rPr>
            <t>k</t>
          </r>
          <r>
            <rPr>
              <rFont val="Calibri"/>
              <i val="1"/>
              <color rgb="002B2B2B"/>
              <sz val="10"/>
              <vertAlign val="subscript"/>
            </rPr>
            <t>Redge</t>
          </r>
        </is>
      </c>
      <c r="E110" s="42">
        <f>IF(inputs_ok,IF(edge_ea,1-0.5*MIN(rest2_ea,rest3_ea),1),NA())</f>
        <v/>
      </c>
      <c r="F110" s="23" t="n"/>
      <c r="G110" s="23" t="n"/>
    </row>
    <row r="111" ht="17" customHeight="1">
      <c r="B111" s="26" t="inlineStr">
        <is>
          <t>C766 (3.20)</t>
        </is>
      </c>
      <c r="C111" s="24" t="inlineStr">
        <is>
          <t>Long term: As,min with 0.7 fctm(28)</t>
        </is>
      </c>
      <c r="D111" s="29" t="inlineStr">
        <is>
          <r>
            <rPr>
              <rFont val="Calibri"/>
              <i val="1"/>
              <color rgb="002B2B2B"/>
              <sz val="10"/>
            </rPr>
            <t>A</t>
          </r>
          <r>
            <rPr>
              <rFont val="Calibri"/>
              <i val="1"/>
              <color rgb="002B2B2B"/>
              <sz val="10"/>
              <vertAlign val="subscript"/>
            </rPr>
            <t>s,min</t>
          </r>
        </is>
      </c>
      <c r="E111" s="43">
        <f>IF(inputs_ok,kRedge28*kc_ea*k_ea*Act_ea*0.7*f_ctm/f_yk,NA())</f>
        <v/>
      </c>
      <c r="F111" s="30" t="inlineStr">
        <is>
          <t>mm²/m</t>
        </is>
      </c>
      <c r="G111" s="23" t="n"/>
    </row>
    <row r="112" ht="17" customHeight="1">
      <c r="B112" s="26" t="inlineStr">
        <is>
          <t>7.3.2(2)</t>
        </is>
      </c>
      <c r="C112" s="24" t="inlineStr">
        <is>
          <t>As,min required  (each age at which cracks form; none: 28 days)</t>
        </is>
      </c>
      <c r="D112" s="29" t="inlineStr">
        <is>
          <r>
            <rPr>
              <rFont val="Calibri"/>
              <i val="1"/>
              <color rgb="002B2B2B"/>
              <sz val="10"/>
            </rPr>
            <t>A</t>
          </r>
          <r>
            <rPr>
              <rFont val="Calibri"/>
              <i val="1"/>
              <color rgb="002B2B2B"/>
              <sz val="10"/>
              <vertAlign val="subscript"/>
            </rPr>
            <t>s,min</t>
          </r>
        </is>
      </c>
      <c r="E112" s="48">
        <f>IF(inputs_ok,IF(er_lt&gt;ectu_lt,MAX(IF(cr_ea,As_min3,0),As_min28),IF(cr_ea,As_min3,As_min28)),NA())</f>
        <v/>
      </c>
      <c r="F112" s="30" t="inlineStr">
        <is>
          <t>mm²/m</t>
        </is>
      </c>
      <c r="G112" s="23" t="n"/>
    </row>
    <row r="113" ht="17" customHeight="1">
      <c r="B113" s="26" t="inlineStr">
        <is>
          <t>7.3.2</t>
        </is>
      </c>
      <c r="C113" s="24" t="inlineStr">
        <is>
          <t>Bars provided  ≥ As,min</t>
        </is>
      </c>
      <c r="D113" s="29" t="inlineStr">
        <is>
          <r>
            <rPr>
              <rFont val="Calibri"/>
              <i val="1"/>
              <color rgb="002B2B2B"/>
              <sz val="10"/>
            </rPr>
            <t>A</t>
          </r>
          <r>
            <rPr>
              <rFont val="Calibri"/>
              <i val="1"/>
              <color rgb="002B2B2B"/>
              <sz val="10"/>
              <vertAlign val="subscript"/>
            </rPr>
            <t>s</t>
          </r>
        </is>
      </c>
      <c r="E113" s="43">
        <f>IF(inputs_ok,As_ea,NA())</f>
        <v/>
      </c>
      <c r="F113" s="30" t="inlineStr">
        <is>
          <t>mm²/m</t>
        </is>
      </c>
      <c r="G113" s="33">
        <f>IF(NOT(inputs_ok),"FAIL",IF(As_ea&gt;=As_minreq,"OK","FAIL"))</f>
        <v/>
      </c>
    </row>
    <row r="114" ht="17" customHeight="1">
      <c r="B114" s="26" t="inlineStr">
        <is>
          <t>7.3.2(3)</t>
        </is>
      </c>
      <c r="C114" s="24" t="inlineStr">
        <is>
          <t>Effective tension depth per face  min(h/2; 2.5 (c + φ/2))</t>
        </is>
      </c>
      <c r="D114" s="29" t="inlineStr">
        <is>
          <r>
            <rPr>
              <rFont val="Calibri"/>
              <i val="1"/>
              <color rgb="002B2B2B"/>
              <sz val="10"/>
            </rPr>
            <t>h</t>
          </r>
          <r>
            <rPr>
              <rFont val="Calibri"/>
              <i val="1"/>
              <color rgb="002B2B2B"/>
              <sz val="10"/>
              <vertAlign val="subscript"/>
            </rPr>
            <t>c,ef</t>
          </r>
        </is>
      </c>
      <c r="E114" s="43">
        <f>IF(inputs_ok,MIN(h_ea/2,2.5*(c_ea+phi_ea/2)),NA())</f>
        <v/>
      </c>
      <c r="F114" s="30" t="inlineStr">
        <is>
          <t>mm</t>
        </is>
      </c>
      <c r="G114" s="23" t="n"/>
    </row>
    <row r="115" ht="17" customHeight="1">
      <c r="B115" s="26" t="inlineStr">
        <is>
          <t>(7.10)</t>
        </is>
      </c>
      <c r="C115" s="24" t="inlineStr">
        <is>
          <t>Effective reinforcement ratio  As / (1000 hc,ef)</t>
        </is>
      </c>
      <c r="D115" s="29" t="inlineStr">
        <is>
          <r>
            <rPr>
              <rFont val="Calibri"/>
              <i val="1"/>
              <color rgb="002B2B2B"/>
              <sz val="10"/>
            </rPr>
            <t>ρ</t>
          </r>
          <r>
            <rPr>
              <rFont val="Calibri"/>
              <i val="1"/>
              <color rgb="002B2B2B"/>
              <sz val="10"/>
              <vertAlign val="subscript"/>
            </rPr>
            <t>p,eff</t>
          </r>
        </is>
      </c>
      <c r="E115" s="49">
        <f>IF(inputs_ok,As_ea/(1000*hcef_ea),NA())</f>
        <v/>
      </c>
      <c r="F115" s="23" t="n"/>
      <c r="G115" s="23" t="n"/>
    </row>
    <row r="116" ht="17" customHeight="1">
      <c r="B116" s="26" t="inlineStr">
        <is>
          <t>C766 3.5.2</t>
        </is>
      </c>
      <c r="C116" s="24" t="inlineStr">
        <is>
          <t>Bond coefficient k1  (poor bond at early age: 0.8 / 0.7)</t>
        </is>
      </c>
      <c r="D116" s="29" t="inlineStr">
        <is>
          <r>
            <rPr>
              <rFont val="Calibri"/>
              <i val="1"/>
              <color rgb="002B2B2B"/>
              <sz val="10"/>
            </rPr>
            <t>k</t>
          </r>
          <r>
            <rPr>
              <rFont val="Calibri"/>
              <i val="1"/>
              <color rgb="002B2B2B"/>
              <sz val="10"/>
              <vertAlign val="subscript"/>
            </rPr>
            <t>1</t>
          </r>
        </is>
      </c>
      <c r="E116" s="42">
        <f>IF(inputs_ok,IF(bond_ea="Good",0.8,0.8/0.7),NA())</f>
        <v/>
      </c>
      <c r="F116" s="23" t="n"/>
      <c r="G116" s="23" t="n"/>
    </row>
    <row r="117" ht="17" customHeight="1">
      <c r="B117" s="26" t="inlineStr">
        <is>
          <t>(7.11), 7.3.4(3)</t>
        </is>
      </c>
      <c r="C117" s="24" t="inlineStr">
        <is>
          <t>Maximum crack spacing  k3 c + k4 k1 φ / ρp,eff  (k2 = 1)</t>
        </is>
      </c>
      <c r="D117" s="29" t="inlineStr">
        <is>
          <r>
            <rPr>
              <rFont val="Calibri"/>
              <i val="1"/>
              <color rgb="002B2B2B"/>
              <sz val="10"/>
            </rPr>
            <t>S</t>
          </r>
          <r>
            <rPr>
              <rFont val="Calibri"/>
              <i val="1"/>
              <color rgb="002B2B2B"/>
              <sz val="10"/>
              <vertAlign val="subscript"/>
            </rPr>
            <t>r,max</t>
          </r>
        </is>
      </c>
      <c r="E117" s="43">
        <f>IF(inputs_ok,IF(s_ea&gt;5*(c_ea+phi_ea/2),MAX(1.3*h_ea,k_3*c_ea+k_4*k1_ea*1.0*phi_ea/rho_ea),k_3*c_ea+k_4*k1_ea*1.0*phi_ea/rho_ea),NA())</f>
        <v/>
      </c>
      <c r="F117" s="30" t="inlineStr">
        <is>
          <t>mm</t>
        </is>
      </c>
      <c r="G117" s="23" t="n"/>
    </row>
    <row r="118" ht="17" customHeight="1">
      <c r="B118" s="26" t="inlineStr">
        <is>
          <t>(7.8)</t>
        </is>
      </c>
      <c r="C118" s="24" t="inlineStr">
        <is>
          <t>Crack width at early age  Sr,max εcr  (if cracked)</t>
        </is>
      </c>
      <c r="D118" s="29" t="inlineStr">
        <is>
          <r>
            <rPr>
              <rFont val="Calibri"/>
              <i val="1"/>
              <color rgb="002B2B2B"/>
              <sz val="10"/>
            </rPr>
            <t>w</t>
          </r>
          <r>
            <rPr>
              <rFont val="Calibri"/>
              <i val="1"/>
              <color rgb="002B2B2B"/>
              <sz val="10"/>
              <vertAlign val="subscript"/>
            </rPr>
            <t>k</t>
          </r>
        </is>
      </c>
      <c r="E118" s="50">
        <f>IF(inputs_ok,IF(cr_ea,Sr_max*ecr_ea,0),NA())</f>
        <v/>
      </c>
      <c r="F118" s="30" t="inlineStr">
        <is>
          <t>mm</t>
        </is>
      </c>
      <c r="G118" s="23" t="n"/>
    </row>
    <row r="119" ht="17" customHeight="1">
      <c r="B119" s="26" t="inlineStr">
        <is>
          <t>(7.8)</t>
        </is>
      </c>
      <c r="C119" s="24" t="inlineStr">
        <is>
          <t>Crack width in the long term  (≥ the early-age width)</t>
        </is>
      </c>
      <c r="D119" s="29" t="inlineStr">
        <is>
          <r>
            <rPr>
              <rFont val="Calibri"/>
              <i val="1"/>
              <color rgb="002B2B2B"/>
              <sz val="10"/>
            </rPr>
            <t>w</t>
          </r>
          <r>
            <rPr>
              <rFont val="Calibri"/>
              <i val="1"/>
              <color rgb="002B2B2B"/>
              <sz val="10"/>
              <vertAlign val="subscript"/>
            </rPr>
            <t>k</t>
          </r>
        </is>
      </c>
      <c r="E119" s="50">
        <f>IF(inputs_ok,IF(cr_lt,MAX(wk_ea,Sr_max*ecr_lt),0),NA())</f>
        <v/>
      </c>
      <c r="F119" s="30" t="inlineStr">
        <is>
          <t>mm</t>
        </is>
      </c>
      <c r="G119" s="23" t="n"/>
    </row>
    <row r="120" ht="54" customHeight="1">
      <c r="B120" s="28" t="inlineStr">
        <is>
          <t>Sr,max: not less than 1.3 h where the bars are further apart than 5 (c + φ/2) (7.3.4(3)). Widths are reported only where cracks form (εr &gt; εctu, C766 3.2.1). Cracks formed at early age stay open: the long-term width is at least the early-age one and the long-term crack-inducing strain (edge restraint: the cracks widen; end restraint: the 28-day strength, conservative). As,min is checked for each age at which cracks form, with the restraint of that stage.</t>
        </is>
      </c>
    </row>
    <row r="121" ht="54" customHeight="1">
      <c r="B121" s="28" t="inlineStr">
        <is>
          <t>The early-age crack width uses the 3-day properties and the long-term width the 28-day ones (C766 3.3.1.2, 3.3.2.2). For end restraint the width depends on the tensile strength at cracking, not on the size of the strain; for edge restraint it follows the restrained strain, so reducing T1 or the restraint reduces it. Check the bars for the structural load cases separately (RC-003, RC-016).</t>
        </is>
      </c>
    </row>
    <row r="122"/>
    <row r="123" ht="29" customHeight="1">
      <c r="B123" s="2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9">
    <mergeCell ref="B120:G120"/>
    <mergeCell ref="B121:G121"/>
    <mergeCell ref="B123:G123"/>
    <mergeCell ref="E5:G5"/>
    <mergeCell ref="D2:G2"/>
    <mergeCell ref="E7:G7"/>
    <mergeCell ref="B15:G15"/>
    <mergeCell ref="E6:G6"/>
    <mergeCell ref="C3:G3"/>
  </mergeCells>
  <conditionalFormatting sqref="G9:G124">
    <cfRule type="expression" priority="1" dxfId="0">
      <formula>G9="OK"</formula>
    </cfRule>
    <cfRule type="expression" priority="2" dxfId="1">
      <formula>G9="FAIL"</formula>
    </cfRule>
    <cfRule type="expression" priority="3" dxfId="2">
      <formula>LEFT(G9,1)="!"</formula>
    </cfRule>
  </conditionalFormatting>
  <dataValidations count="19">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Pick a value from the list." type="list" errorStyle="stop">
      <formula1>"Class R,Class N,Class S"</formula1>
    </dataValidation>
    <dataValidation sqref="E14"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Pick a value from the list." type="list" errorStyle="stop">
      <formula1>"Continuous edge,End"</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Pick a value from the list." type="list" errorStyle="stop">
      <formula1>"8,10,12,16,20,25,32,40"</formula1>
    </dataValidation>
    <dataValidation sqref="E21"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Pick a value from the list." type="list" errorStyle="stop">
      <formula1>"Good,Poor  (h &gt; 300 and c ≤ 50)"</formula1>
    </dataValidation>
    <dataValidation sqref="E23" showDropDown="0" showInputMessage="0" showErrorMessage="1" allowBlank="0" errorTitle="NA Engineering" error="Enter a number greater than 0." type="decimal" errorStyle="stop" operator="greaterThan">
      <formula1>0</formula1>
    </dataValidation>
    <dataValidation sqref="E26" showDropDown="0" showInputMessage="0" showErrorMessage="1" allowBlank="0" errorTitle="NA Engineering" error="Enter a number ≥ 0." type="decimal" errorStyle="stop" operator="greaterThanOrEqual">
      <formula1>0</formula1>
    </dataValidation>
    <dataValidation sqref="E27" showDropDown="0" showInputMessage="0" showErrorMessage="1" allowBlank="0" errorTitle="NA Engineering" error="Enter a number ≥ 0." type="decimal" errorStyle="stop" operator="greaterThanOrEqual">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 0." type="decimal" errorStyle="stop" operator="greaterThanOrEqual">
      <formula1>0</formula1>
    </dataValidation>
    <dataValidation sqref="E30" showDropDown="0" showInputMessage="0" showErrorMessage="1" allowBlank="0" errorTitle="NA Engineering" error="Enter a number ≥ 0." type="decimal" errorStyle="stop" operator="greaterThanOrEqual">
      <formula1>0</formula1>
    </dataValidation>
    <dataValidation sqref="E31" showDropDown="0" showInputMessage="0" showErrorMessage="1" allowBlank="0" errorTitle="NA Engineering" error="Enter a number ≥ 0." type="decimal" errorStyle="stop" operator="greaterThanOrEqual">
      <formula1>0</formula1>
    </dataValidation>
    <dataValidation sqref="E32" showDropDown="0" showInputMessage="0" showErrorMessage="1" allowBlank="0" errorTitle="NA Engineering" error="Enter a number ≥ 0." type="decimal" errorStyle="stop" operator="greaterThanOrEqual">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&amp;K8A8A8ANAE-RC-022  v1.0</oddFooter>
    <evenHeader/>
    <evenFooter/>
    <firstHeader/>
    <firstFooter/>
  </headerFooter>
  <rowBreaks count="1" manualBreakCount="1">
    <brk id="34"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H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restrained ea</t>
        </is>
      </c>
      <c r="G2" t="inlineStr">
        <is>
          <t>crack-inducing ea</t>
        </is>
      </c>
      <c r="J2" t="inlineStr">
        <is>
          <t>capacity ea</t>
        </is>
      </c>
      <c r="M2">
        <f>IF(inputs_ok,"ε_r = "&amp;TEXT(er_ea*1E6,"0")&amp;" με","")</f>
        <v/>
      </c>
      <c r="P2">
        <f>IF(inputs_ok,"ε_cr = "&amp;TEXT(ecr_ea*1E6,"0"),"")</f>
        <v/>
      </c>
      <c r="S2">
        <f>IF(inputs_ok,"ε_ctu = "&amp;TEXT(ectu_ea*1E6,"0"),"")</f>
        <v/>
      </c>
      <c r="V2">
        <f>IF(inputs_ok,"Early age, 3 days","")</f>
        <v/>
      </c>
      <c r="Y2" t="inlineStr">
        <is>
          <t>restrained lt</t>
        </is>
      </c>
      <c r="AB2" t="inlineStr">
        <is>
          <t>crack-inducing lt</t>
        </is>
      </c>
      <c r="AE2" t="inlineStr">
        <is>
          <t>capacity lt</t>
        </is>
      </c>
      <c r="AH2">
        <f>IF(inputs_ok,"ε_r = "&amp;TEXT(er_lt*1E6,"0")&amp;" με","")</f>
        <v/>
      </c>
      <c r="AK2">
        <f>IF(inputs_ok,"ε_cr = "&amp;TEXT(ecr_lt*1E6,"0"),"")</f>
        <v/>
      </c>
      <c r="AN2">
        <f>IF(inputs_ok,"ε_ctu = "&amp;TEXT(ectu_lt*1E6,"0"),"")</f>
        <v/>
      </c>
      <c r="AQ2">
        <f>IF(inputs_ok,"Long term","")</f>
        <v/>
      </c>
      <c r="AT2" t="inlineStr">
        <is>
          <t>axis</t>
        </is>
      </c>
      <c r="AW2" t="inlineStr">
        <is>
          <t>frame</t>
        </is>
      </c>
      <c r="AZ2" t="inlineStr">
        <is>
          <t>member</t>
        </is>
      </c>
      <c r="BC2" t="inlineStr">
        <is>
          <t>base</t>
        </is>
      </c>
      <c r="BF2" t="inlineStr">
        <is>
          <t>left abutment</t>
        </is>
      </c>
      <c r="BI2" t="inlineStr">
        <is>
          <t>right abutment</t>
        </is>
      </c>
      <c r="BL2" t="inlineStr">
        <is>
          <t>crack 0</t>
        </is>
      </c>
      <c r="BO2" t="inlineStr">
        <is>
          <t>crack 1</t>
        </is>
      </c>
      <c r="BR2" t="inlineStr">
        <is>
          <t>crack 2</t>
        </is>
      </c>
      <c r="BU2" t="inlineStr">
        <is>
          <t>crack 3</t>
        </is>
      </c>
      <c r="BX2" t="inlineStr">
        <is>
          <t>crack 4</t>
        </is>
      </c>
      <c r="CA2" t="inlineStr">
        <is>
          <t>crack 5</t>
        </is>
      </c>
      <c r="CD2" t="inlineStr">
        <is>
          <t>crack 6</t>
        </is>
      </c>
      <c r="CG2" t="inlineStr">
        <is>
          <t>crack 7</t>
        </is>
      </c>
      <c r="CJ2" t="inlineStr">
        <is>
          <t>crack 8</t>
        </is>
      </c>
      <c r="CM2" t="inlineStr">
        <is>
          <t>crack 9</t>
        </is>
      </c>
      <c r="CP2" t="inlineStr">
        <is>
          <t>crack 10</t>
        </is>
      </c>
      <c r="CS2" t="inlineStr">
        <is>
          <t>crack 11</t>
        </is>
      </c>
      <c r="CV2" t="inlineStr">
        <is>
          <t>crack 12</t>
        </is>
      </c>
      <c r="CY2" t="inlineStr">
        <is>
          <t>crack 13</t>
        </is>
      </c>
      <c r="DB2" t="inlineStr">
        <is>
          <t>crack 14</t>
        </is>
      </c>
      <c r="DE2" t="inlineStr">
        <is>
          <t>crack 15</t>
        </is>
      </c>
      <c r="DH2" t="inlineStr">
        <is>
          <t>crack 16</t>
        </is>
      </c>
      <c r="DK2" t="inlineStr">
        <is>
          <t>crack 17</t>
        </is>
      </c>
      <c r="DN2" t="inlineStr">
        <is>
          <t>crack 18</t>
        </is>
      </c>
      <c r="DQ2" t="inlineStr">
        <is>
          <t>crack 19</t>
        </is>
      </c>
      <c r="DT2" t="inlineStr">
        <is>
          <t>crack 20</t>
        </is>
      </c>
      <c r="DW2" t="inlineStr">
        <is>
          <t>crack 21</t>
        </is>
      </c>
      <c r="DZ2" t="inlineStr">
        <is>
          <t>crack 22</t>
        </is>
      </c>
      <c r="EC2" t="inlineStr">
        <is>
          <t>crack 23</t>
        </is>
      </c>
      <c r="EF2" t="inlineStr">
        <is>
          <t>crack 24</t>
        </is>
      </c>
      <c r="EI2" t="inlineStr">
        <is>
          <t>crack 25</t>
        </is>
      </c>
      <c r="EL2" t="inlineStr">
        <is>
          <t>crack 26</t>
        </is>
      </c>
      <c r="EO2" t="inlineStr">
        <is>
          <t>crack 27</t>
        </is>
      </c>
      <c r="ER2" t="inlineStr">
        <is>
          <t>crack 28</t>
        </is>
      </c>
      <c r="EU2" t="inlineStr">
        <is>
          <t>crack 29</t>
        </is>
      </c>
      <c r="EX2">
        <f>IF(inputs_ok,IF(cr_lt,"S_r,max = "&amp;TEXT(Sr_max,"0")&amp;" mm,  w_k = "&amp;TEXT(MAX(wk_ea,wk_lt),"0.00")&amp;" mm","no cracking expected"),"")</f>
        <v/>
      </c>
      <c r="FA2" t="inlineStr">
        <is>
          <t>dim</t>
        </is>
      </c>
      <c r="FD2">
        <f>IF(inputs_ok,"6000 mm","")</f>
        <v/>
      </c>
      <c r="FG2" t="inlineStr">
        <is>
          <t>frame</t>
        </is>
      </c>
    </row>
    <row r="3">
      <c r="A3">
        <f>0</f>
        <v/>
      </c>
      <c r="B3">
        <f>0</f>
        <v/>
      </c>
      <c r="D3">
        <f>IF(inputs_ok,0,NA())</f>
        <v/>
      </c>
      <c r="E3">
        <f>650</f>
        <v/>
      </c>
      <c r="G3">
        <f>IF(inputs_ok,0,NA())</f>
        <v/>
      </c>
      <c r="H3">
        <f>650+190</f>
        <v/>
      </c>
      <c r="J3">
        <f>IF(inputs_ok,ectu_ea*1E6*(1000/MAX(er_lt,er_ea,ectu_lt,ectu_ea)/1E6),NA())</f>
        <v/>
      </c>
      <c r="K3">
        <f>650-30</f>
        <v/>
      </c>
      <c r="M3">
        <f>IF(inputs_ok,er_ea*1E6*(1000/MAX(er_lt,er_ea,ectu_lt,ectu_ea)/1E6),NA())</f>
        <v/>
      </c>
      <c r="N3">
        <f>650+75</f>
        <v/>
      </c>
      <c r="P3">
        <f>IF(inputs_ok,ecr_ea*1E6*(1000/MAX(er_lt,er_ea,ectu_lt,ectu_ea)/1E6),NA())</f>
        <v/>
      </c>
      <c r="Q3">
        <f>650+225</f>
        <v/>
      </c>
      <c r="S3">
        <f>IF(inputs_ok,ectu_ea*1E6*(1000/MAX(er_lt,er_ea,ectu_lt,ectu_ea)/1E6),NA())</f>
        <v/>
      </c>
      <c r="T3">
        <f>650+320</f>
        <v/>
      </c>
      <c r="V3">
        <f>IF(inputs_ok,0,NA())</f>
        <v/>
      </c>
      <c r="W3">
        <f>650+420</f>
        <v/>
      </c>
      <c r="Y3">
        <f>IF(inputs_ok,0,NA())</f>
        <v/>
      </c>
      <c r="Z3">
        <f>100</f>
        <v/>
      </c>
      <c r="AB3">
        <f>IF(inputs_ok,0,NA())</f>
        <v/>
      </c>
      <c r="AC3">
        <f>100+190</f>
        <v/>
      </c>
      <c r="AE3">
        <f>IF(inputs_ok,ectu_lt*1E6*(1000/MAX(er_lt,er_ea,ectu_lt,ectu_ea)/1E6),NA())</f>
        <v/>
      </c>
      <c r="AF3">
        <f>100-30</f>
        <v/>
      </c>
      <c r="AH3">
        <f>IF(inputs_ok,er_lt*1E6*(1000/MAX(er_lt,er_ea,ectu_lt,ectu_ea)/1E6),NA())</f>
        <v/>
      </c>
      <c r="AI3">
        <f>100+75</f>
        <v/>
      </c>
      <c r="AK3">
        <f>IF(inputs_ok,ecr_lt*1E6*(1000/MAX(er_lt,er_ea,ectu_lt,ectu_ea)/1E6),NA())</f>
        <v/>
      </c>
      <c r="AL3">
        <f>100+225</f>
        <v/>
      </c>
      <c r="AN3">
        <f>IF(inputs_ok,ectu_lt*1E6*(1000/MAX(er_lt,er_ea,ectu_lt,ectu_ea)/1E6),NA())</f>
        <v/>
      </c>
      <c r="AO3">
        <f>100+320</f>
        <v/>
      </c>
      <c r="AQ3">
        <f>IF(inputs_ok,0,NA())</f>
        <v/>
      </c>
      <c r="AR3">
        <f>100+420</f>
        <v/>
      </c>
      <c r="AT3">
        <f>IF(inputs_ok,0,NA())</f>
        <v/>
      </c>
      <c r="AU3">
        <f>40</f>
        <v/>
      </c>
      <c r="AW3">
        <f>((-100)+(1550))/2-MAX((1100)-(20),((1550)-(-100))/1.55)*0.54*1.55</f>
        <v/>
      </c>
      <c r="AX3">
        <f>((20)+(1100))/2-MAX((1100)-(20),((1550)-(-100))/1.55)*0.54</f>
        <v/>
      </c>
      <c r="AZ3">
        <f>IF(inputs_ok,0,NA())</f>
        <v/>
      </c>
      <c r="BA3">
        <f>0</f>
        <v/>
      </c>
      <c r="BC3">
        <f>IF(inputs_ok,IF(restraint="Continuous edge",-300,NA()),NA())</f>
        <v/>
      </c>
      <c r="BD3">
        <f>0</f>
        <v/>
      </c>
      <c r="BF3">
        <f>IF(inputs_ok,IF(restraint="Continuous edge",NA(),-400),NA())</f>
        <v/>
      </c>
      <c r="BG3">
        <f>-200</f>
        <v/>
      </c>
      <c r="BI3">
        <f>IF(inputs_ok,IF(restraint="Continuous edge",NA(),6000),NA())</f>
        <v/>
      </c>
      <c r="BJ3">
        <f>-200</f>
        <v/>
      </c>
      <c r="BL3">
        <f>IF(inputs_ok,IF(AND(cr_lt,(0+0.5)*Sr_max&lt;6000),(0+0.5)*Sr_max,NA()),NA())</f>
        <v/>
      </c>
      <c r="BM3">
        <f>0</f>
        <v/>
      </c>
      <c r="BO3">
        <f>IF(inputs_ok,IF(AND(cr_lt,(1+0.5)*Sr_max&lt;6000),(1+0.5)*Sr_max,NA()),NA())</f>
        <v/>
      </c>
      <c r="BP3">
        <f>0</f>
        <v/>
      </c>
      <c r="BR3">
        <f>IF(inputs_ok,IF(AND(cr_lt,(2+0.5)*Sr_max&lt;6000),(2+0.5)*Sr_max,NA()),NA())</f>
        <v/>
      </c>
      <c r="BS3">
        <f>0</f>
        <v/>
      </c>
      <c r="BU3">
        <f>IF(inputs_ok,IF(AND(cr_lt,(3+0.5)*Sr_max&lt;6000),(3+0.5)*Sr_max,NA()),NA())</f>
        <v/>
      </c>
      <c r="BV3">
        <f>0</f>
        <v/>
      </c>
      <c r="BX3">
        <f>IF(inputs_ok,IF(AND(cr_lt,(4+0.5)*Sr_max&lt;6000),(4+0.5)*Sr_max,NA()),NA())</f>
        <v/>
      </c>
      <c r="BY3">
        <f>0</f>
        <v/>
      </c>
      <c r="CA3">
        <f>IF(inputs_ok,IF(AND(cr_lt,(5+0.5)*Sr_max&lt;6000),(5+0.5)*Sr_max,NA()),NA())</f>
        <v/>
      </c>
      <c r="CB3">
        <f>0</f>
        <v/>
      </c>
      <c r="CD3">
        <f>IF(inputs_ok,IF(AND(cr_lt,(6+0.5)*Sr_max&lt;6000),(6+0.5)*Sr_max,NA()),NA())</f>
        <v/>
      </c>
      <c r="CE3">
        <f>0</f>
        <v/>
      </c>
      <c r="CG3">
        <f>IF(inputs_ok,IF(AND(cr_lt,(7+0.5)*Sr_max&lt;6000),(7+0.5)*Sr_max,NA()),NA())</f>
        <v/>
      </c>
      <c r="CH3">
        <f>0</f>
        <v/>
      </c>
      <c r="CJ3">
        <f>IF(inputs_ok,IF(AND(cr_lt,(8+0.5)*Sr_max&lt;6000),(8+0.5)*Sr_max,NA()),NA())</f>
        <v/>
      </c>
      <c r="CK3">
        <f>0</f>
        <v/>
      </c>
      <c r="CM3">
        <f>IF(inputs_ok,IF(AND(cr_lt,(9+0.5)*Sr_max&lt;6000),(9+0.5)*Sr_max,NA()),NA())</f>
        <v/>
      </c>
      <c r="CN3">
        <f>0</f>
        <v/>
      </c>
      <c r="CP3">
        <f>IF(inputs_ok,IF(AND(cr_lt,(10+0.5)*Sr_max&lt;6000),(10+0.5)*Sr_max,NA()),NA())</f>
        <v/>
      </c>
      <c r="CQ3">
        <f>0</f>
        <v/>
      </c>
      <c r="CS3">
        <f>IF(inputs_ok,IF(AND(cr_lt,(11+0.5)*Sr_max&lt;6000),(11+0.5)*Sr_max,NA()),NA())</f>
        <v/>
      </c>
      <c r="CT3">
        <f>0</f>
        <v/>
      </c>
      <c r="CV3">
        <f>IF(inputs_ok,IF(AND(cr_lt,(12+0.5)*Sr_max&lt;6000),(12+0.5)*Sr_max,NA()),NA())</f>
        <v/>
      </c>
      <c r="CW3">
        <f>0</f>
        <v/>
      </c>
      <c r="CY3">
        <f>IF(inputs_ok,IF(AND(cr_lt,(13+0.5)*Sr_max&lt;6000),(13+0.5)*Sr_max,NA()),NA())</f>
        <v/>
      </c>
      <c r="CZ3">
        <f>0</f>
        <v/>
      </c>
      <c r="DB3">
        <f>IF(inputs_ok,IF(AND(cr_lt,(14+0.5)*Sr_max&lt;6000),(14+0.5)*Sr_max,NA()),NA())</f>
        <v/>
      </c>
      <c r="DC3">
        <f>0</f>
        <v/>
      </c>
      <c r="DE3">
        <f>IF(inputs_ok,IF(AND(cr_lt,(15+0.5)*Sr_max&lt;6000),(15+0.5)*Sr_max,NA()),NA())</f>
        <v/>
      </c>
      <c r="DF3">
        <f>0</f>
        <v/>
      </c>
      <c r="DH3">
        <f>IF(inputs_ok,IF(AND(cr_lt,(16+0.5)*Sr_max&lt;6000),(16+0.5)*Sr_max,NA()),NA())</f>
        <v/>
      </c>
      <c r="DI3">
        <f>0</f>
        <v/>
      </c>
      <c r="DK3">
        <f>IF(inputs_ok,IF(AND(cr_lt,(17+0.5)*Sr_max&lt;6000),(17+0.5)*Sr_max,NA()),NA())</f>
        <v/>
      </c>
      <c r="DL3">
        <f>0</f>
        <v/>
      </c>
      <c r="DN3">
        <f>IF(inputs_ok,IF(AND(cr_lt,(18+0.5)*Sr_max&lt;6000),(18+0.5)*Sr_max,NA()),NA())</f>
        <v/>
      </c>
      <c r="DO3">
        <f>0</f>
        <v/>
      </c>
      <c r="DQ3">
        <f>IF(inputs_ok,IF(AND(cr_lt,(19+0.5)*Sr_max&lt;6000),(19+0.5)*Sr_max,NA()),NA())</f>
        <v/>
      </c>
      <c r="DR3">
        <f>0</f>
        <v/>
      </c>
      <c r="DT3">
        <f>IF(inputs_ok,IF(AND(cr_lt,(20+0.5)*Sr_max&lt;6000),(20+0.5)*Sr_max,NA()),NA())</f>
        <v/>
      </c>
      <c r="DU3">
        <f>0</f>
        <v/>
      </c>
      <c r="DW3">
        <f>IF(inputs_ok,IF(AND(cr_lt,(21+0.5)*Sr_max&lt;6000),(21+0.5)*Sr_max,NA()),NA())</f>
        <v/>
      </c>
      <c r="DX3">
        <f>0</f>
        <v/>
      </c>
      <c r="DZ3">
        <f>IF(inputs_ok,IF(AND(cr_lt,(22+0.5)*Sr_max&lt;6000),(22+0.5)*Sr_max,NA()),NA())</f>
        <v/>
      </c>
      <c r="EA3">
        <f>0</f>
        <v/>
      </c>
      <c r="EC3">
        <f>IF(inputs_ok,IF(AND(cr_lt,(23+0.5)*Sr_max&lt;6000),(23+0.5)*Sr_max,NA()),NA())</f>
        <v/>
      </c>
      <c r="ED3">
        <f>0</f>
        <v/>
      </c>
      <c r="EF3">
        <f>IF(inputs_ok,IF(AND(cr_lt,(24+0.5)*Sr_max&lt;6000),(24+0.5)*Sr_max,NA()),NA())</f>
        <v/>
      </c>
      <c r="EG3">
        <f>0</f>
        <v/>
      </c>
      <c r="EI3">
        <f>IF(inputs_ok,IF(AND(cr_lt,(25+0.5)*Sr_max&lt;6000),(25+0.5)*Sr_max,NA()),NA())</f>
        <v/>
      </c>
      <c r="EJ3">
        <f>0</f>
        <v/>
      </c>
      <c r="EL3">
        <f>IF(inputs_ok,IF(AND(cr_lt,(26+0.5)*Sr_max&lt;6000),(26+0.5)*Sr_max,NA()),NA())</f>
        <v/>
      </c>
      <c r="EM3">
        <f>0</f>
        <v/>
      </c>
      <c r="EO3">
        <f>IF(inputs_ok,IF(AND(cr_lt,(27+0.5)*Sr_max&lt;6000),(27+0.5)*Sr_max,NA()),NA())</f>
        <v/>
      </c>
      <c r="EP3">
        <f>0</f>
        <v/>
      </c>
      <c r="ER3">
        <f>IF(inputs_ok,IF(AND(cr_lt,(28+0.5)*Sr_max&lt;6000),(28+0.5)*Sr_max,NA()),NA())</f>
        <v/>
      </c>
      <c r="ES3">
        <f>0</f>
        <v/>
      </c>
      <c r="EU3">
        <f>IF(inputs_ok,IF(AND(cr_lt,(29+0.5)*Sr_max&lt;6000),(29+0.5)*Sr_max,NA()),NA())</f>
        <v/>
      </c>
      <c r="EV3">
        <f>0</f>
        <v/>
      </c>
      <c r="EX3">
        <f>IF(inputs_ok,3000.0,NA())</f>
        <v/>
      </c>
      <c r="EY3">
        <f>1500</f>
        <v/>
      </c>
      <c r="FA3">
        <f>IF(inputs_ok,IF(TRUE,0,NA()),NA())</f>
        <v/>
      </c>
      <c r="FB3">
        <f>IF(TRUE,-650,NA())</f>
        <v/>
      </c>
      <c r="FD3">
        <f>IF(inputs_ok,IF(TRUE,((0)+(6000))/2,NA()),NA())</f>
        <v/>
      </c>
      <c r="FE3">
        <f>IF(TRUE,((-650)+(-650))/2,NA())</f>
        <v/>
      </c>
      <c r="FG3">
        <f>((-500)+(6500))/2-MAX((1900)-(-900),((6500)-(-500))/1.55)*0.53*1.55</f>
        <v/>
      </c>
      <c r="FH3">
        <f>((-900)+(1900))/2-MAX((1900)-(-900),((6500)-(-500))/1.55)*0.53</f>
        <v/>
      </c>
    </row>
    <row r="4">
      <c r="D4">
        <f>IF(inputs_ok,er_ea*1E6*(1000/MAX(er_lt,er_ea,ectu_lt,ectu_ea)/1E6),NA())</f>
        <v/>
      </c>
      <c r="E4">
        <f>650</f>
        <v/>
      </c>
      <c r="G4">
        <f>IF(inputs_ok,ecr_ea*1E6*(1000/MAX(er_lt,er_ea,ectu_lt,ectu_ea)/1E6),NA())</f>
        <v/>
      </c>
      <c r="H4">
        <f>650+190</f>
        <v/>
      </c>
      <c r="J4">
        <f>IF(inputs_ok,ectu_ea*1E6*(1000/MAX(er_lt,er_ea,ectu_lt,ectu_ea)/1E6),NA())</f>
        <v/>
      </c>
      <c r="K4">
        <f>650+320</f>
        <v/>
      </c>
      <c r="Y4">
        <f>IF(inputs_ok,er_lt*1E6*(1000/MAX(er_lt,er_ea,ectu_lt,ectu_ea)/1E6),NA())</f>
        <v/>
      </c>
      <c r="Z4">
        <f>100</f>
        <v/>
      </c>
      <c r="AB4">
        <f>IF(inputs_ok,ecr_lt*1E6*(1000/MAX(er_lt,er_ea,ectu_lt,ectu_ea)/1E6),NA())</f>
        <v/>
      </c>
      <c r="AC4">
        <f>100+190</f>
        <v/>
      </c>
      <c r="AE4">
        <f>IF(inputs_ok,ectu_lt*1E6*(1000/MAX(er_lt,er_ea,ectu_lt,ectu_ea)/1E6),NA())</f>
        <v/>
      </c>
      <c r="AF4">
        <f>100+320</f>
        <v/>
      </c>
      <c r="AT4">
        <f>IF(inputs_ok,0,NA())</f>
        <v/>
      </c>
      <c r="AU4">
        <f>1060</f>
        <v/>
      </c>
      <c r="AW4">
        <f>((-100)+(1550))/2+MAX((1100)-(20),((1550)-(-100))/1.55)*0.54*1.55</f>
        <v/>
      </c>
      <c r="AX4">
        <f>((20)+(1100))/2+MAX((1100)-(20),((1550)-(-100))/1.55)*0.54</f>
        <v/>
      </c>
      <c r="AZ4">
        <f>IF(inputs_ok,6000,NA())</f>
        <v/>
      </c>
      <c r="BA4">
        <f>0</f>
        <v/>
      </c>
      <c r="BC4">
        <f>IF(inputs_ok,IF(restraint="Continuous edge",6300,NA()),NA())</f>
        <v/>
      </c>
      <c r="BD4">
        <f>0</f>
        <v/>
      </c>
      <c r="BF4">
        <f>IF(inputs_ok,IF(restraint="Continuous edge",NA(),0),NA())</f>
        <v/>
      </c>
      <c r="BG4">
        <f>-200</f>
        <v/>
      </c>
      <c r="BI4">
        <f>IF(inputs_ok,IF(restraint="Continuous edge",NA(),6400),NA())</f>
        <v/>
      </c>
      <c r="BJ4">
        <f>-200</f>
        <v/>
      </c>
      <c r="BL4">
        <f>IF(inputs_ok,IF(AND(cr_lt,(0+0.5)*Sr_max&lt;6000),(0+0.5)*Sr_max+0.02*Sr_max,NA()),NA())</f>
        <v/>
      </c>
      <c r="BM4">
        <f>IF(restraint="Continuous edge",0.7*1500,1500)/2</f>
        <v/>
      </c>
      <c r="BO4">
        <f>IF(inputs_ok,IF(AND(cr_lt,(1+0.5)*Sr_max&lt;6000),(1+0.5)*Sr_max+0.02*Sr_max,NA()),NA())</f>
        <v/>
      </c>
      <c r="BP4">
        <f>IF(restraint="Continuous edge",0.7*1500,1500)/2</f>
        <v/>
      </c>
      <c r="BR4">
        <f>IF(inputs_ok,IF(AND(cr_lt,(2+0.5)*Sr_max&lt;6000),(2+0.5)*Sr_max+0.02*Sr_max,NA()),NA())</f>
        <v/>
      </c>
      <c r="BS4">
        <f>IF(restraint="Continuous edge",0.7*1500,1500)/2</f>
        <v/>
      </c>
      <c r="BU4">
        <f>IF(inputs_ok,IF(AND(cr_lt,(3+0.5)*Sr_max&lt;6000),(3+0.5)*Sr_max+0.02*Sr_max,NA()),NA())</f>
        <v/>
      </c>
      <c r="BV4">
        <f>IF(restraint="Continuous edge",0.7*1500,1500)/2</f>
        <v/>
      </c>
      <c r="BX4">
        <f>IF(inputs_ok,IF(AND(cr_lt,(4+0.5)*Sr_max&lt;6000),(4+0.5)*Sr_max+0.02*Sr_max,NA()),NA())</f>
        <v/>
      </c>
      <c r="BY4">
        <f>IF(restraint="Continuous edge",0.7*1500,1500)/2</f>
        <v/>
      </c>
      <c r="CA4">
        <f>IF(inputs_ok,IF(AND(cr_lt,(5+0.5)*Sr_max&lt;6000),(5+0.5)*Sr_max+0.02*Sr_max,NA()),NA())</f>
        <v/>
      </c>
      <c r="CB4">
        <f>IF(restraint="Continuous edge",0.7*1500,1500)/2</f>
        <v/>
      </c>
      <c r="CD4">
        <f>IF(inputs_ok,IF(AND(cr_lt,(6+0.5)*Sr_max&lt;6000),(6+0.5)*Sr_max+0.02*Sr_max,NA()),NA())</f>
        <v/>
      </c>
      <c r="CE4">
        <f>IF(restraint="Continuous edge",0.7*1500,1500)/2</f>
        <v/>
      </c>
      <c r="CG4">
        <f>IF(inputs_ok,IF(AND(cr_lt,(7+0.5)*Sr_max&lt;6000),(7+0.5)*Sr_max+0.02*Sr_max,NA()),NA())</f>
        <v/>
      </c>
      <c r="CH4">
        <f>IF(restraint="Continuous edge",0.7*1500,1500)/2</f>
        <v/>
      </c>
      <c r="CJ4">
        <f>IF(inputs_ok,IF(AND(cr_lt,(8+0.5)*Sr_max&lt;6000),(8+0.5)*Sr_max+0.02*Sr_max,NA()),NA())</f>
        <v/>
      </c>
      <c r="CK4">
        <f>IF(restraint="Continuous edge",0.7*1500,1500)/2</f>
        <v/>
      </c>
      <c r="CM4">
        <f>IF(inputs_ok,IF(AND(cr_lt,(9+0.5)*Sr_max&lt;6000),(9+0.5)*Sr_max+0.02*Sr_max,NA()),NA())</f>
        <v/>
      </c>
      <c r="CN4">
        <f>IF(restraint="Continuous edge",0.7*1500,1500)/2</f>
        <v/>
      </c>
      <c r="CP4">
        <f>IF(inputs_ok,IF(AND(cr_lt,(10+0.5)*Sr_max&lt;6000),(10+0.5)*Sr_max+0.02*Sr_max,NA()),NA())</f>
        <v/>
      </c>
      <c r="CQ4">
        <f>IF(restraint="Continuous edge",0.7*1500,1500)/2</f>
        <v/>
      </c>
      <c r="CS4">
        <f>IF(inputs_ok,IF(AND(cr_lt,(11+0.5)*Sr_max&lt;6000),(11+0.5)*Sr_max+0.02*Sr_max,NA()),NA())</f>
        <v/>
      </c>
      <c r="CT4">
        <f>IF(restraint="Continuous edge",0.7*1500,1500)/2</f>
        <v/>
      </c>
      <c r="CV4">
        <f>IF(inputs_ok,IF(AND(cr_lt,(12+0.5)*Sr_max&lt;6000),(12+0.5)*Sr_max+0.02*Sr_max,NA()),NA())</f>
        <v/>
      </c>
      <c r="CW4">
        <f>IF(restraint="Continuous edge",0.7*1500,1500)/2</f>
        <v/>
      </c>
      <c r="CY4">
        <f>IF(inputs_ok,IF(AND(cr_lt,(13+0.5)*Sr_max&lt;6000),(13+0.5)*Sr_max+0.02*Sr_max,NA()),NA())</f>
        <v/>
      </c>
      <c r="CZ4">
        <f>IF(restraint="Continuous edge",0.7*1500,1500)/2</f>
        <v/>
      </c>
      <c r="DB4">
        <f>IF(inputs_ok,IF(AND(cr_lt,(14+0.5)*Sr_max&lt;6000),(14+0.5)*Sr_max+0.02*Sr_max,NA()),NA())</f>
        <v/>
      </c>
      <c r="DC4">
        <f>IF(restraint="Continuous edge",0.7*1500,1500)/2</f>
        <v/>
      </c>
      <c r="DE4">
        <f>IF(inputs_ok,IF(AND(cr_lt,(15+0.5)*Sr_max&lt;6000),(15+0.5)*Sr_max+0.02*Sr_max,NA()),NA())</f>
        <v/>
      </c>
      <c r="DF4">
        <f>IF(restraint="Continuous edge",0.7*1500,1500)/2</f>
        <v/>
      </c>
      <c r="DH4">
        <f>IF(inputs_ok,IF(AND(cr_lt,(16+0.5)*Sr_max&lt;6000),(16+0.5)*Sr_max+0.02*Sr_max,NA()),NA())</f>
        <v/>
      </c>
      <c r="DI4">
        <f>IF(restraint="Continuous edge",0.7*1500,1500)/2</f>
        <v/>
      </c>
      <c r="DK4">
        <f>IF(inputs_ok,IF(AND(cr_lt,(17+0.5)*Sr_max&lt;6000),(17+0.5)*Sr_max+0.02*Sr_max,NA()),NA())</f>
        <v/>
      </c>
      <c r="DL4">
        <f>IF(restraint="Continuous edge",0.7*1500,1500)/2</f>
        <v/>
      </c>
      <c r="DN4">
        <f>IF(inputs_ok,IF(AND(cr_lt,(18+0.5)*Sr_max&lt;6000),(18+0.5)*Sr_max+0.02*Sr_max,NA()),NA())</f>
        <v/>
      </c>
      <c r="DO4">
        <f>IF(restraint="Continuous edge",0.7*1500,1500)/2</f>
        <v/>
      </c>
      <c r="DQ4">
        <f>IF(inputs_ok,IF(AND(cr_lt,(19+0.5)*Sr_max&lt;6000),(19+0.5)*Sr_max+0.02*Sr_max,NA()),NA())</f>
        <v/>
      </c>
      <c r="DR4">
        <f>IF(restraint="Continuous edge",0.7*1500,1500)/2</f>
        <v/>
      </c>
      <c r="DT4">
        <f>IF(inputs_ok,IF(AND(cr_lt,(20+0.5)*Sr_max&lt;6000),(20+0.5)*Sr_max+0.02*Sr_max,NA()),NA())</f>
        <v/>
      </c>
      <c r="DU4">
        <f>IF(restraint="Continuous edge",0.7*1500,1500)/2</f>
        <v/>
      </c>
      <c r="DW4">
        <f>IF(inputs_ok,IF(AND(cr_lt,(21+0.5)*Sr_max&lt;6000),(21+0.5)*Sr_max+0.02*Sr_max,NA()),NA())</f>
        <v/>
      </c>
      <c r="DX4">
        <f>IF(restraint="Continuous edge",0.7*1500,1500)/2</f>
        <v/>
      </c>
      <c r="DZ4">
        <f>IF(inputs_ok,IF(AND(cr_lt,(22+0.5)*Sr_max&lt;6000),(22+0.5)*Sr_max+0.02*Sr_max,NA()),NA())</f>
        <v/>
      </c>
      <c r="EA4">
        <f>IF(restraint="Continuous edge",0.7*1500,1500)/2</f>
        <v/>
      </c>
      <c r="EC4">
        <f>IF(inputs_ok,IF(AND(cr_lt,(23+0.5)*Sr_max&lt;6000),(23+0.5)*Sr_max+0.02*Sr_max,NA()),NA())</f>
        <v/>
      </c>
      <c r="ED4">
        <f>IF(restraint="Continuous edge",0.7*1500,1500)/2</f>
        <v/>
      </c>
      <c r="EF4">
        <f>IF(inputs_ok,IF(AND(cr_lt,(24+0.5)*Sr_max&lt;6000),(24+0.5)*Sr_max+0.02*Sr_max,NA()),NA())</f>
        <v/>
      </c>
      <c r="EG4">
        <f>IF(restraint="Continuous edge",0.7*1500,1500)/2</f>
        <v/>
      </c>
      <c r="EI4">
        <f>IF(inputs_ok,IF(AND(cr_lt,(25+0.5)*Sr_max&lt;6000),(25+0.5)*Sr_max+0.02*Sr_max,NA()),NA())</f>
        <v/>
      </c>
      <c r="EJ4">
        <f>IF(restraint="Continuous edge",0.7*1500,1500)/2</f>
        <v/>
      </c>
      <c r="EL4">
        <f>IF(inputs_ok,IF(AND(cr_lt,(26+0.5)*Sr_max&lt;6000),(26+0.5)*Sr_max+0.02*Sr_max,NA()),NA())</f>
        <v/>
      </c>
      <c r="EM4">
        <f>IF(restraint="Continuous edge",0.7*1500,1500)/2</f>
        <v/>
      </c>
      <c r="EO4">
        <f>IF(inputs_ok,IF(AND(cr_lt,(27+0.5)*Sr_max&lt;6000),(27+0.5)*Sr_max+0.02*Sr_max,NA()),NA())</f>
        <v/>
      </c>
      <c r="EP4">
        <f>IF(restraint="Continuous edge",0.7*1500,1500)/2</f>
        <v/>
      </c>
      <c r="ER4">
        <f>IF(inputs_ok,IF(AND(cr_lt,(28+0.5)*Sr_max&lt;6000),(28+0.5)*Sr_max+0.02*Sr_max,NA()),NA())</f>
        <v/>
      </c>
      <c r="ES4">
        <f>IF(restraint="Continuous edge",0.7*1500,1500)/2</f>
        <v/>
      </c>
      <c r="EU4">
        <f>IF(inputs_ok,IF(AND(cr_lt,(29+0.5)*Sr_max&lt;6000),(29+0.5)*Sr_max+0.02*Sr_max,NA()),NA())</f>
        <v/>
      </c>
      <c r="EV4">
        <f>IF(restraint="Continuous edge",0.7*1500,1500)/2</f>
        <v/>
      </c>
      <c r="FA4">
        <f>IF(inputs_ok,IF(TRUE,6000,NA()),NA())</f>
        <v/>
      </c>
      <c r="FB4">
        <f>IF(TRUE,-650,NA())</f>
        <v/>
      </c>
      <c r="FG4">
        <f>((-500)+(6500))/2+MAX((1900)-(-900),((6500)-(-500))/1.55)*0.53*1.55</f>
        <v/>
      </c>
      <c r="FH4">
        <f>((-900)+(1900))/2+MAX((1900)-(-900),((6500)-(-500))/1.55)*0.53</f>
        <v/>
      </c>
    </row>
    <row r="5">
      <c r="D5">
        <f>IF(inputs_ok,er_ea*1E6*(1000/MAX(er_lt,er_ea,ectu_lt,ectu_ea)/1E6),NA())</f>
        <v/>
      </c>
      <c r="E5">
        <f>650+150</f>
        <v/>
      </c>
      <c r="G5">
        <f>IF(inputs_ok,ecr_ea*1E6*(1000/MAX(er_lt,er_ea,ectu_lt,ectu_ea)/1E6),NA())</f>
        <v/>
      </c>
      <c r="H5">
        <f>650+260</f>
        <v/>
      </c>
      <c r="Y5">
        <f>IF(inputs_ok,er_lt*1E6*(1000/MAX(er_lt,er_ea,ectu_lt,ectu_ea)/1E6),NA())</f>
        <v/>
      </c>
      <c r="Z5">
        <f>100+150</f>
        <v/>
      </c>
      <c r="AB5">
        <f>IF(inputs_ok,ecr_lt*1E6*(1000/MAX(er_lt,er_ea,ectu_lt,ectu_ea)/1E6),NA())</f>
        <v/>
      </c>
      <c r="AC5">
        <f>100+260</f>
        <v/>
      </c>
      <c r="AZ5">
        <f>IF(inputs_ok,6000,NA())</f>
        <v/>
      </c>
      <c r="BA5">
        <f>1500</f>
        <v/>
      </c>
      <c r="BC5">
        <f>IF(inputs_ok,IF(restraint="Continuous edge",6300,NA()),NA())</f>
        <v/>
      </c>
      <c r="BD5">
        <f>-400</f>
        <v/>
      </c>
      <c r="BF5">
        <f>IF(inputs_ok,IF(restraint="Continuous edge",NA(),0),NA())</f>
        <v/>
      </c>
      <c r="BG5">
        <f>1700</f>
        <v/>
      </c>
      <c r="BI5">
        <f>IF(inputs_ok,IF(restraint="Continuous edge",NA(),6400),NA())</f>
        <v/>
      </c>
      <c r="BJ5">
        <f>1700</f>
        <v/>
      </c>
      <c r="BL5">
        <f>IF(inputs_ok,IF(AND(cr_lt,(0+0.5)*Sr_max&lt;6000),(0+0.5)*Sr_max,NA()),NA())</f>
        <v/>
      </c>
      <c r="BM5">
        <f>IF(restraint="Continuous edge",0.7*1500,1500)</f>
        <v/>
      </c>
      <c r="BO5">
        <f>IF(inputs_ok,IF(AND(cr_lt,(1+0.5)*Sr_max&lt;6000),(1+0.5)*Sr_max,NA()),NA())</f>
        <v/>
      </c>
      <c r="BP5">
        <f>IF(restraint="Continuous edge",0.7*1500,1500)</f>
        <v/>
      </c>
      <c r="BR5">
        <f>IF(inputs_ok,IF(AND(cr_lt,(2+0.5)*Sr_max&lt;6000),(2+0.5)*Sr_max,NA()),NA())</f>
        <v/>
      </c>
      <c r="BS5">
        <f>IF(restraint="Continuous edge",0.7*1500,1500)</f>
        <v/>
      </c>
      <c r="BU5">
        <f>IF(inputs_ok,IF(AND(cr_lt,(3+0.5)*Sr_max&lt;6000),(3+0.5)*Sr_max,NA()),NA())</f>
        <v/>
      </c>
      <c r="BV5">
        <f>IF(restraint="Continuous edge",0.7*1500,1500)</f>
        <v/>
      </c>
      <c r="BX5">
        <f>IF(inputs_ok,IF(AND(cr_lt,(4+0.5)*Sr_max&lt;6000),(4+0.5)*Sr_max,NA()),NA())</f>
        <v/>
      </c>
      <c r="BY5">
        <f>IF(restraint="Continuous edge",0.7*1500,1500)</f>
        <v/>
      </c>
      <c r="CA5">
        <f>IF(inputs_ok,IF(AND(cr_lt,(5+0.5)*Sr_max&lt;6000),(5+0.5)*Sr_max,NA()),NA())</f>
        <v/>
      </c>
      <c r="CB5">
        <f>IF(restraint="Continuous edge",0.7*1500,1500)</f>
        <v/>
      </c>
      <c r="CD5">
        <f>IF(inputs_ok,IF(AND(cr_lt,(6+0.5)*Sr_max&lt;6000),(6+0.5)*Sr_max,NA()),NA())</f>
        <v/>
      </c>
      <c r="CE5">
        <f>IF(restraint="Continuous edge",0.7*1500,1500)</f>
        <v/>
      </c>
      <c r="CG5">
        <f>IF(inputs_ok,IF(AND(cr_lt,(7+0.5)*Sr_max&lt;6000),(7+0.5)*Sr_max,NA()),NA())</f>
        <v/>
      </c>
      <c r="CH5">
        <f>IF(restraint="Continuous edge",0.7*1500,1500)</f>
        <v/>
      </c>
      <c r="CJ5">
        <f>IF(inputs_ok,IF(AND(cr_lt,(8+0.5)*Sr_max&lt;6000),(8+0.5)*Sr_max,NA()),NA())</f>
        <v/>
      </c>
      <c r="CK5">
        <f>IF(restraint="Continuous edge",0.7*1500,1500)</f>
        <v/>
      </c>
      <c r="CM5">
        <f>IF(inputs_ok,IF(AND(cr_lt,(9+0.5)*Sr_max&lt;6000),(9+0.5)*Sr_max,NA()),NA())</f>
        <v/>
      </c>
      <c r="CN5">
        <f>IF(restraint="Continuous edge",0.7*1500,1500)</f>
        <v/>
      </c>
      <c r="CP5">
        <f>IF(inputs_ok,IF(AND(cr_lt,(10+0.5)*Sr_max&lt;6000),(10+0.5)*Sr_max,NA()),NA())</f>
        <v/>
      </c>
      <c r="CQ5">
        <f>IF(restraint="Continuous edge",0.7*1500,1500)</f>
        <v/>
      </c>
      <c r="CS5">
        <f>IF(inputs_ok,IF(AND(cr_lt,(11+0.5)*Sr_max&lt;6000),(11+0.5)*Sr_max,NA()),NA())</f>
        <v/>
      </c>
      <c r="CT5">
        <f>IF(restraint="Continuous edge",0.7*1500,1500)</f>
        <v/>
      </c>
      <c r="CV5">
        <f>IF(inputs_ok,IF(AND(cr_lt,(12+0.5)*Sr_max&lt;6000),(12+0.5)*Sr_max,NA()),NA())</f>
        <v/>
      </c>
      <c r="CW5">
        <f>IF(restraint="Continuous edge",0.7*1500,1500)</f>
        <v/>
      </c>
      <c r="CY5">
        <f>IF(inputs_ok,IF(AND(cr_lt,(13+0.5)*Sr_max&lt;6000),(13+0.5)*Sr_max,NA()),NA())</f>
        <v/>
      </c>
      <c r="CZ5">
        <f>IF(restraint="Continuous edge",0.7*1500,1500)</f>
        <v/>
      </c>
      <c r="DB5">
        <f>IF(inputs_ok,IF(AND(cr_lt,(14+0.5)*Sr_max&lt;6000),(14+0.5)*Sr_max,NA()),NA())</f>
        <v/>
      </c>
      <c r="DC5">
        <f>IF(restraint="Continuous edge",0.7*1500,1500)</f>
        <v/>
      </c>
      <c r="DE5">
        <f>IF(inputs_ok,IF(AND(cr_lt,(15+0.5)*Sr_max&lt;6000),(15+0.5)*Sr_max,NA()),NA())</f>
        <v/>
      </c>
      <c r="DF5">
        <f>IF(restraint="Continuous edge",0.7*1500,1500)</f>
        <v/>
      </c>
      <c r="DH5">
        <f>IF(inputs_ok,IF(AND(cr_lt,(16+0.5)*Sr_max&lt;6000),(16+0.5)*Sr_max,NA()),NA())</f>
        <v/>
      </c>
      <c r="DI5">
        <f>IF(restraint="Continuous edge",0.7*1500,1500)</f>
        <v/>
      </c>
      <c r="DK5">
        <f>IF(inputs_ok,IF(AND(cr_lt,(17+0.5)*Sr_max&lt;6000),(17+0.5)*Sr_max,NA()),NA())</f>
        <v/>
      </c>
      <c r="DL5">
        <f>IF(restraint="Continuous edge",0.7*1500,1500)</f>
        <v/>
      </c>
      <c r="DN5">
        <f>IF(inputs_ok,IF(AND(cr_lt,(18+0.5)*Sr_max&lt;6000),(18+0.5)*Sr_max,NA()),NA())</f>
        <v/>
      </c>
      <c r="DO5">
        <f>IF(restraint="Continuous edge",0.7*1500,1500)</f>
        <v/>
      </c>
      <c r="DQ5">
        <f>IF(inputs_ok,IF(AND(cr_lt,(19+0.5)*Sr_max&lt;6000),(19+0.5)*Sr_max,NA()),NA())</f>
        <v/>
      </c>
      <c r="DR5">
        <f>IF(restraint="Continuous edge",0.7*1500,1500)</f>
        <v/>
      </c>
      <c r="DT5">
        <f>IF(inputs_ok,IF(AND(cr_lt,(20+0.5)*Sr_max&lt;6000),(20+0.5)*Sr_max,NA()),NA())</f>
        <v/>
      </c>
      <c r="DU5">
        <f>IF(restraint="Continuous edge",0.7*1500,1500)</f>
        <v/>
      </c>
      <c r="DW5">
        <f>IF(inputs_ok,IF(AND(cr_lt,(21+0.5)*Sr_max&lt;6000),(21+0.5)*Sr_max,NA()),NA())</f>
        <v/>
      </c>
      <c r="DX5">
        <f>IF(restraint="Continuous edge",0.7*1500,1500)</f>
        <v/>
      </c>
      <c r="DZ5">
        <f>IF(inputs_ok,IF(AND(cr_lt,(22+0.5)*Sr_max&lt;6000),(22+0.5)*Sr_max,NA()),NA())</f>
        <v/>
      </c>
      <c r="EA5">
        <f>IF(restraint="Continuous edge",0.7*1500,1500)</f>
        <v/>
      </c>
      <c r="EC5">
        <f>IF(inputs_ok,IF(AND(cr_lt,(23+0.5)*Sr_max&lt;6000),(23+0.5)*Sr_max,NA()),NA())</f>
        <v/>
      </c>
      <c r="ED5">
        <f>IF(restraint="Continuous edge",0.7*1500,1500)</f>
        <v/>
      </c>
      <c r="EF5">
        <f>IF(inputs_ok,IF(AND(cr_lt,(24+0.5)*Sr_max&lt;6000),(24+0.5)*Sr_max,NA()),NA())</f>
        <v/>
      </c>
      <c r="EG5">
        <f>IF(restraint="Continuous edge",0.7*1500,1500)</f>
        <v/>
      </c>
      <c r="EI5">
        <f>IF(inputs_ok,IF(AND(cr_lt,(25+0.5)*Sr_max&lt;6000),(25+0.5)*Sr_max,NA()),NA())</f>
        <v/>
      </c>
      <c r="EJ5">
        <f>IF(restraint="Continuous edge",0.7*1500,1500)</f>
        <v/>
      </c>
      <c r="EL5">
        <f>IF(inputs_ok,IF(AND(cr_lt,(26+0.5)*Sr_max&lt;6000),(26+0.5)*Sr_max,NA()),NA())</f>
        <v/>
      </c>
      <c r="EM5">
        <f>IF(restraint="Continuous edge",0.7*1500,1500)</f>
        <v/>
      </c>
      <c r="EO5">
        <f>IF(inputs_ok,IF(AND(cr_lt,(27+0.5)*Sr_max&lt;6000),(27+0.5)*Sr_max,NA()),NA())</f>
        <v/>
      </c>
      <c r="EP5">
        <f>IF(restraint="Continuous edge",0.7*1500,1500)</f>
        <v/>
      </c>
      <c r="ER5">
        <f>IF(inputs_ok,IF(AND(cr_lt,(28+0.5)*Sr_max&lt;6000),(28+0.5)*Sr_max,NA()),NA())</f>
        <v/>
      </c>
      <c r="ES5">
        <f>IF(restraint="Continuous edge",0.7*1500,1500)</f>
        <v/>
      </c>
      <c r="EU5">
        <f>IF(inputs_ok,IF(AND(cr_lt,(29+0.5)*Sr_max&lt;6000),(29+0.5)*Sr_max,NA()),NA())</f>
        <v/>
      </c>
      <c r="EV5">
        <f>IF(restraint="Continuous edge",0.7*1500,1500)</f>
        <v/>
      </c>
    </row>
    <row r="6">
      <c r="D6">
        <f>IF(inputs_ok,0,NA())</f>
        <v/>
      </c>
      <c r="E6">
        <f>650+150</f>
        <v/>
      </c>
      <c r="G6">
        <f>IF(inputs_ok,0,NA())</f>
        <v/>
      </c>
      <c r="H6">
        <f>650+260</f>
        <v/>
      </c>
      <c r="Y6">
        <f>IF(inputs_ok,0,NA())</f>
        <v/>
      </c>
      <c r="Z6">
        <f>100+150</f>
        <v/>
      </c>
      <c r="AB6">
        <f>IF(inputs_ok,0,NA())</f>
        <v/>
      </c>
      <c r="AC6">
        <f>100+260</f>
        <v/>
      </c>
      <c r="AZ6">
        <f>IF(inputs_ok,0,NA())</f>
        <v/>
      </c>
      <c r="BA6">
        <f>1500</f>
        <v/>
      </c>
      <c r="BC6">
        <f>IF(inputs_ok,IF(restraint="Continuous edge",-300,NA()),NA())</f>
        <v/>
      </c>
      <c r="BD6">
        <f>-400</f>
        <v/>
      </c>
      <c r="BF6">
        <f>IF(inputs_ok,IF(restraint="Continuous edge",NA(),-400),NA())</f>
        <v/>
      </c>
      <c r="BG6">
        <f>1700</f>
        <v/>
      </c>
      <c r="BI6">
        <f>IF(inputs_ok,IF(restraint="Continuous edge",NA(),6000),NA())</f>
        <v/>
      </c>
      <c r="BJ6">
        <f>1700</f>
        <v/>
      </c>
    </row>
    <row r="7">
      <c r="D7">
        <f>IF(inputs_ok,0,NA())</f>
        <v/>
      </c>
      <c r="E7">
        <f>650</f>
        <v/>
      </c>
      <c r="G7">
        <f>IF(inputs_ok,0,NA())</f>
        <v/>
      </c>
      <c r="H7">
        <f>650+190</f>
        <v/>
      </c>
      <c r="Y7">
        <f>IF(inputs_ok,0,NA())</f>
        <v/>
      </c>
      <c r="Z7">
        <f>100</f>
        <v/>
      </c>
      <c r="AB7">
        <f>IF(inputs_ok,0,NA())</f>
        <v/>
      </c>
      <c r="AC7">
        <f>100+190</f>
        <v/>
      </c>
      <c r="AZ7">
        <f>IF(inputs_ok,0,NA())</f>
        <v/>
      </c>
      <c r="BA7">
        <f>0</f>
        <v/>
      </c>
      <c r="BC7">
        <f>IF(inputs_ok,IF(restraint="Continuous edge",-300,NA()),NA())</f>
        <v/>
      </c>
      <c r="BD7">
        <f>0</f>
        <v/>
      </c>
      <c r="BF7">
        <f>IF(inputs_ok,IF(restraint="Continuous edge",NA(),-400),NA())</f>
        <v/>
      </c>
      <c r="BG7">
        <f>-200</f>
        <v/>
      </c>
      <c r="BI7">
        <f>IF(inputs_ok,IF(restraint="Continuous edge",NA(),6000),NA())</f>
        <v/>
      </c>
      <c r="BJ7">
        <f>-200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1"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2" t="inlineStr">
        <is>
          <t>Parameter</t>
        </is>
      </c>
      <c r="C5" s="52" t="inlineStr">
        <is>
          <t>Clause</t>
        </is>
      </c>
      <c r="D5" s="52" t="inlineStr">
        <is>
          <t>UK NA</t>
        </is>
      </c>
      <c r="E5" s="52" t="inlineStr">
        <is>
          <t>PL NA</t>
        </is>
      </c>
      <c r="F5" s="52" t="inlineStr">
        <is>
          <t>Notes</t>
        </is>
      </c>
    </row>
    <row r="6">
      <c r="B6" s="53" t="inlineStr">
        <is>
          <t>Partial factor, concrete  γc</t>
        </is>
      </c>
      <c r="C6" s="54" t="inlineStr">
        <is>
          <t>2.4.2.4(1)</t>
        </is>
      </c>
      <c r="D6" s="55" t="n">
        <v>1.5</v>
      </c>
      <c r="E6" s="55" t="n">
        <v>1.4</v>
      </c>
      <c r="F6" s="54" t="inlineStr">
        <is>
          <t>Persistent &amp; transient. UK NA: recommended; PL: NA.2, Table NA.2</t>
        </is>
      </c>
    </row>
    <row r="7">
      <c r="B7" s="53" t="inlineStr">
        <is>
          <t>Partial factor, reinforcement  γs</t>
        </is>
      </c>
      <c r="C7" s="54" t="inlineStr">
        <is>
          <t>2.4.2.4(1)</t>
        </is>
      </c>
      <c r="D7" s="55" t="n">
        <v>1.15</v>
      </c>
      <c r="E7" s="55" t="n">
        <v>1.15</v>
      </c>
      <c r="F7" s="54" t="inlineStr">
        <is>
          <t>UK NA: recommended; PL: NA.2, Table NA.2</t>
        </is>
      </c>
    </row>
    <row r="8">
      <c r="B8" s="53" t="inlineStr">
        <is>
          <t>αcc  (compression in flexure / axial)</t>
        </is>
      </c>
      <c r="C8" s="54" t="inlineStr">
        <is>
          <t>3.1.6(1)</t>
        </is>
      </c>
      <c r="D8" s="55" t="n">
        <v>0.85</v>
      </c>
      <c r="E8" s="55" t="n">
        <v>1</v>
      </c>
      <c r="F8" s="54" t="inlineStr">
        <is>
          <t>UK NA: 0.85; PL: recommended (NA.9)</t>
        </is>
      </c>
    </row>
    <row r="9">
      <c r="B9" s="53" t="inlineStr">
        <is>
          <t>αcc,pl  (plain concrete, compression)</t>
        </is>
      </c>
      <c r="C9" s="54" t="inlineStr">
        <is>
          <t>12.3.1(1)</t>
        </is>
      </c>
      <c r="D9" s="55" t="n">
        <v>0.6</v>
      </c>
      <c r="E9" s="55" t="n">
        <v>0.8</v>
      </c>
      <c r="F9" s="54" t="inlineStr">
        <is>
          <t>UK NA Table NA.1: 0.6; PL: recommended (NA.9)</t>
        </is>
      </c>
    </row>
    <row r="10">
      <c r="B10" s="53" t="inlineStr">
        <is>
          <t>αcc  (shear and punching)</t>
        </is>
      </c>
      <c r="C10" s="54" t="inlineStr">
        <is>
          <t>3.1.6(1)</t>
        </is>
      </c>
      <c r="D10" s="55" t="n">
        <v>1</v>
      </c>
      <c r="E10" s="55" t="n">
        <v>1</v>
      </c>
      <c r="F10" s="54" t="inlineStr">
        <is>
          <t>UK NA: 1.0 for other phenomena; PL: recommended (NA.9)</t>
        </is>
      </c>
    </row>
    <row r="11">
      <c r="B11" s="53" t="inlineStr">
        <is>
          <t>αct  (design tensile strength)</t>
        </is>
      </c>
      <c r="C11" s="54" t="inlineStr">
        <is>
          <t>3.1.6(2)</t>
        </is>
      </c>
      <c r="D11" s="55" t="n">
        <v>1</v>
      </c>
      <c r="E11" s="55" t="n">
        <v>1</v>
      </c>
      <c r="F11" s="54" t="inlineStr">
        <is>
          <t>Recommended value in both annexes</t>
        </is>
      </c>
    </row>
    <row r="12">
      <c r="B12" s="53" t="inlineStr">
        <is>
          <t>CRd,c numerator  (CRd,c = value / γc)</t>
        </is>
      </c>
      <c r="C12" s="54" t="inlineStr">
        <is>
          <t>6.2.2(1), 6.4.4(1)</t>
        </is>
      </c>
      <c r="D12" s="55" t="n">
        <v>0.18</v>
      </c>
      <c r="E12" s="55" t="n">
        <v>0.18</v>
      </c>
      <c r="F12" s="54" t="inlineStr">
        <is>
          <t>Recommended value in both annexes</t>
        </is>
      </c>
    </row>
    <row r="13">
      <c r="B13" s="53" t="inlineStr">
        <is>
          <t>k1  (axial stress term, punching)</t>
        </is>
      </c>
      <c r="C13" s="54" t="inlineStr">
        <is>
          <t>6.4.4(1)</t>
        </is>
      </c>
      <c r="D13" s="55" t="n">
        <v>0.1</v>
      </c>
      <c r="E13" s="55" t="n">
        <v>0.1</v>
      </c>
      <c r="F13" s="54" t="inlineStr">
        <is>
          <t>Recommended value in both annexes</t>
        </is>
      </c>
    </row>
    <row r="14">
      <c r="B14" s="53" t="inlineStr">
        <is>
          <t>vRd,max factor  (vRd,max = factor · ν · fcd)</t>
        </is>
      </c>
      <c r="C14" s="54" t="inlineStr">
        <is>
          <t>6.4.5(3)</t>
        </is>
      </c>
      <c r="D14" s="55" t="n">
        <v>0.5</v>
      </c>
      <c r="E14" s="55" t="n">
        <v>0.4</v>
      </c>
      <c r="F14" s="54" t="inlineStr">
        <is>
          <t>UK NA: 0.5 ν fcd; PL: recommended value (NA.9), 0.4 ν fcd since EN 1992-1-1 AC:2010 (PN-EN 1992-1-1:2008/AC:2011)</t>
        </is>
      </c>
    </row>
    <row r="15">
      <c r="B15" s="53" t="inlineStr">
        <is>
          <t>kmax  (vEd ≤ kmax · vRd,c at u1)</t>
        </is>
      </c>
      <c r="C15" s="54" t="inlineStr">
        <is>
          <t>6.4.5</t>
        </is>
      </c>
      <c r="D15" s="55" t="n">
        <v>2</v>
      </c>
      <c r="E15" s="55" t="n">
        <v>1.5</v>
      </c>
      <c r="F15" s="54" t="inlineStr">
        <is>
          <t>UK NA 6.4.5(3): 2 vRd,c. PL: no limit in PN-EN 1992-1-1:2008; 1.5 (A1:2014 recommendation) applied conservatively</t>
        </is>
      </c>
    </row>
    <row r="16">
      <c r="B16" s="53" t="inlineStr">
        <is>
          <t>φlarge  (large bar threshold, mm)</t>
        </is>
      </c>
      <c r="C16" s="54" t="inlineStr">
        <is>
          <t>8.8(1)</t>
        </is>
      </c>
      <c r="D16" s="55" t="n">
        <v>40</v>
      </c>
      <c r="E16" s="55" t="n">
        <v>32</v>
      </c>
      <c r="F16" s="54" t="inlineStr">
        <is>
          <t>UK NA: 40 mm; PL: 32 mm recommended (NA.9)</t>
        </is>
      </c>
    </row>
    <row r="17">
      <c r="B17" s="53" t="inlineStr">
        <is>
          <t>cot θ upper limit  (variable strut)</t>
        </is>
      </c>
      <c r="C17" s="54" t="inlineStr">
        <is>
          <t>6.2.3(2)</t>
        </is>
      </c>
      <c r="D17" s="55" t="n">
        <v>2.5</v>
      </c>
      <c r="E17" s="55" t="n">
        <v>2</v>
      </c>
      <c r="F17" s="54" t="inlineStr">
        <is>
          <t>UK NA: 2.5 (1.25 with axial tension); PL: NA.4, 1 ≤ cot θ ≤ 2.0</t>
        </is>
      </c>
    </row>
    <row r="18">
      <c r="B18" s="53" t="inlineStr">
        <is>
          <t>k1  (x/d limit, δ ≥ k1 + k2 xu/d)</t>
        </is>
      </c>
      <c r="C18" s="54" t="inlineStr">
        <is>
          <t>5.5(4)</t>
        </is>
      </c>
      <c r="D18" s="55" t="n">
        <v>0.4</v>
      </c>
      <c r="E18" s="55" t="n">
        <v>0.44</v>
      </c>
      <c r="F18" s="54" t="inlineStr">
        <is>
          <t>UK NA for fyk ≤ 500 MPa; PL: recommended (NA.9)</t>
        </is>
      </c>
    </row>
    <row r="19">
      <c r="B19" s="53" t="inlineStr">
        <is>
          <t>k2  (x/d limit, εcu2 = 0.0035)</t>
        </is>
      </c>
      <c r="C19" s="54" t="inlineStr">
        <is>
          <t>5.5(4)</t>
        </is>
      </c>
      <c r="D19" s="55" t="n">
        <v>1</v>
      </c>
      <c r="E19" s="55" t="n">
        <v>1.25</v>
      </c>
      <c r="F19" s="54" t="inlineStr">
        <is>
          <t>UK NA: 0.6 + 0.0014/εcu2; PL: 1.25(0.6 + 0.0014/εcu2)</t>
        </is>
      </c>
    </row>
    <row r="20">
      <c r="B20" s="53" t="inlineStr">
        <is>
          <t>Upper limit on the (310/σs) factor  (0 = none)</t>
        </is>
      </c>
      <c r="C20" s="54" t="inlineStr">
        <is>
          <t>7.4.2(2)</t>
        </is>
      </c>
      <c r="D20" s="55" t="n">
        <v>1.5</v>
      </c>
      <c r="E20" s="55" t="n">
        <v>0</v>
      </c>
      <c r="F20" s="54" t="inlineStr">
        <is>
          <t>UK NA Table NA.5 Note 5: (310/σs) or (500/fyk)(As,prov/As,req) ≤ 1.5; PL: none</t>
        </is>
      </c>
    </row>
    <row r="21">
      <c r="B21" s="53" t="inlineStr">
        <is>
          <t>L/d not to exceed 40 K  (1 = applies)</t>
        </is>
      </c>
      <c r="C21" s="54" t="inlineStr">
        <is>
          <t>7.4.2(2)</t>
        </is>
      </c>
      <c r="D21" s="55" t="n">
        <v>1</v>
      </c>
      <c r="E21" s="55" t="n">
        <v>0</v>
      </c>
      <c r="F21" s="54" t="inlineStr">
        <is>
          <t>UK NA Table NA.5 Note 6; not in EN text</t>
        </is>
      </c>
    </row>
    <row r="22">
      <c r="B22" s="53" t="inlineStr">
        <is>
          <t>φmin  (longitudinal bars in columns, mm)</t>
        </is>
      </c>
      <c r="C22" s="54" t="inlineStr">
        <is>
          <t>9.5.2(1)</t>
        </is>
      </c>
      <c r="D22" s="55" t="n">
        <v>12</v>
      </c>
      <c r="E22" s="55" t="n">
        <v>6</v>
      </c>
      <c r="F22" s="54" t="inlineStr">
        <is>
          <t>UK NA: 12 mm; PL: NA.6, 6 mm</t>
        </is>
      </c>
    </row>
    <row r="23">
      <c r="B23" s="53" t="inlineStr">
        <is>
          <t>k3  (crack spacing)</t>
        </is>
      </c>
      <c r="C23" s="54" t="inlineStr">
        <is>
          <t>7.3.4(3)</t>
        </is>
      </c>
      <c r="D23" s="55" t="n">
        <v>3.4</v>
      </c>
      <c r="E23" s="55" t="n">
        <v>3.4</v>
      </c>
      <c r="F23" s="54" t="inlineStr">
        <is>
          <t>Recommended value in both annexes</t>
        </is>
      </c>
    </row>
    <row r="24">
      <c r="B24" s="53" t="inlineStr">
        <is>
          <t>k4  (crack spacing)</t>
        </is>
      </c>
      <c r="C24" s="54" t="inlineStr">
        <is>
          <t>7.3.4(3)</t>
        </is>
      </c>
      <c r="D24" s="55" t="n">
        <v>0.425</v>
      </c>
      <c r="E24" s="55" t="n">
        <v>0.425</v>
      </c>
      <c r="F24" s="54" t="inlineStr">
        <is>
          <t>Recommended value in both annexes</t>
        </is>
      </c>
    </row>
    <row r="25">
      <c r="B25" s="53" t="inlineStr">
        <is>
          <t>k1  (concrete stress, characteristic; XD, XF, XS)</t>
        </is>
      </c>
      <c r="C25" s="54" t="inlineStr">
        <is>
          <t>7.2(2)</t>
        </is>
      </c>
      <c r="D25" s="55" t="n">
        <v>0.6</v>
      </c>
      <c r="E25" s="55" t="n">
        <v>1</v>
      </c>
      <c r="F25" s="54" t="inlineStr">
        <is>
          <t>UK NA: recommended; PL: NA.5, k1 = 1.0</t>
        </is>
      </c>
    </row>
    <row r="26">
      <c r="B26" s="53" t="inlineStr">
        <is>
          <t>k2  (concrete stress, quasi-permanent; linear creep)</t>
        </is>
      </c>
      <c r="C26" s="54" t="inlineStr">
        <is>
          <t>7.2(3)</t>
        </is>
      </c>
      <c r="D26" s="55" t="n">
        <v>0.45</v>
      </c>
      <c r="E26" s="55" t="n">
        <v>0.45</v>
      </c>
      <c r="F26" s="54" t="inlineStr">
        <is>
          <t>Recommended value in both annexes (UK NA; PL NA.9)</t>
        </is>
      </c>
    </row>
    <row r="27">
      <c r="B27" s="53" t="inlineStr">
        <is>
          <t>k3  (steel stress, characteristic)</t>
        </is>
      </c>
      <c r="C27" s="54" t="inlineStr">
        <is>
          <t>7.2(5)</t>
        </is>
      </c>
      <c r="D27" s="55" t="n">
        <v>0.8</v>
      </c>
      <c r="E27" s="55" t="n">
        <v>0.8</v>
      </c>
      <c r="F27" s="54" t="inlineStr">
        <is>
          <t>Recommended value in both annexes (UK NA; PL NA.9)</t>
        </is>
      </c>
    </row>
    <row r="28">
      <c r="B28" s="53" t="inlineStr">
        <is>
          <t>k4  (steel stress, imposed deformation)</t>
        </is>
      </c>
      <c r="C28" s="54" t="inlineStr">
        <is>
          <t>7.2(5)</t>
        </is>
      </c>
      <c r="D28" s="55" t="n">
        <v>1</v>
      </c>
      <c r="E28" s="55" t="n">
        <v>1</v>
      </c>
      <c r="F28" s="54"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&amp;K8A8A8ANAE-RC-022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NAE-RC-022 Early-age thermal cracking</dc:title>
  <dc:subject xmlns:dc="http://purl.org/dc/elements/1.1/">Restrained thermal and shrinkage strain, crack-inducing strain, minimum steel and crack width  ·  CIRIA C766, EN 1992-3 Annex M, EN 1992-1-1 §7.3</dc:subject>
  <dcterms:created xmlns:dcterms="http://purl.org/dc/terms/" xmlns:xsi="http://www.w3.org/2001/XMLSchema-instance" xsi:type="dcterms:W3CDTF">2026-10-30T10:58:38Z</dcterms:created>
  <dcterms:modified xmlns:dcterms="http://purl.org/dc/terms/" xmlns:xsi="http://www.w3.org/2001/XMLSchema-instance" xsi:type="dcterms:W3CDTF">2026-10-30T10:58:38Z</dcterms:modified>
  <cp:lastModifiedBy>NA Engineering sp. z o.o.</cp:lastModifiedBy>
  <cp:keywords>NA Engineering; Eurocode 2; EN 1992-1-1</cp:keywords>
</cp:coreProperties>
</file>