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Override PartName="/xl/worksheets/sheet3.xml" ContentType="application/vnd.openxmlformats-officedocument.spreadsheetml.worksheet+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workbookPassword="AA0A" lockStructure="1"/>
  <bookViews>
    <workbookView visibility="visible" minimized="0" showHorizontalScroll="1" showVerticalScroll="1" showSheetTabs="1" tabRatio="600" firstSheet="0" activeTab="1" autoFilterDateGrouping="1"/>
  </bookViews>
  <sheets>
    <sheet xmlns:r="http://schemas.openxmlformats.org/officeDocument/2006/relationships" name="About" sheetId="1" state="visible" r:id="rId1"/>
    <sheet xmlns:r="http://schemas.openxmlformats.org/officeDocument/2006/relationships" name="Calculation" sheetId="2" state="visible" r:id="rId2"/>
    <sheet xmlns:r="http://schemas.openxmlformats.org/officeDocument/2006/relationships" name="Geometry" sheetId="3" state="hidden" r:id="rId3"/>
    <sheet xmlns:r="http://schemas.openxmlformats.org/officeDocument/2006/relationships" name="NDP" sheetId="4" state="visible" r:id="rId4"/>
  </sheets>
  <definedNames>
    <definedName name="NA_sel">'Calculation'!$E$11</definedName>
    <definedName name="conc_class">'Calculation'!$E$12</definedName>
    <definedName name="f_yk">'Calculation'!$E$13</definedName>
    <definedName name="d_g">'Calculation'!$E$14</definedName>
    <definedName name="system">'Calculation'!$E$15</definedName>
    <definedName name="coef_conf">'Calculation'!$E$16</definedName>
    <definedName name="L_rb">'Calculation'!$E$17</definedName>
    <definedName name="s_r">'Calculation'!$E$18</definedName>
    <definedName name="b_w">'Calculation'!$E$19</definedName>
    <definedName name="h_rb">'Calculation'!$E$20</definedName>
    <definedName name="h_f">'Calculation'!$E$21</definedName>
    <definedName name="c_nom">'Calculation'!$E$22</definedName>
    <definedName name="n_b">'Calculation'!$E$23</definedName>
    <definedName name="phi_b">'Calculation'!$E$24</definedName>
    <definedName name="n_t">'Calculation'!$E$25</definedName>
    <definedName name="phi_t">'Calculation'!$E$26</definedName>
    <definedName name="phi_w">'Calculation'!$E$27</definedName>
    <definedName name="s_w">'Calculation'!$E$28</definedName>
    <definedName name="phi_m">'Calculation'!$E$29</definedName>
    <definedName name="s_m">'Calculation'!$E$30</definedName>
    <definedName name="trans_rb">'Calculation'!$E$31</definedName>
    <definedName name="gk_rb">'Calculation'!$E$34</definedName>
    <definedName name="qk_rb">'Calculation'!$E$35</definedName>
    <definedName name="gamma_G">'Calculation'!$E$36</definedName>
    <definedName name="gamma_Q">'Calculation'!$E$37</definedName>
    <definedName name="partitions">'Calculation'!$E$38</definedName>
    <definedName name="inputs_ok">IFERROR(AND(OR(NA_sel="UK NA (BS EN)",NA_sel="PL NA (PN-EN)"),OR(conc_class="C20/25",conc_class="C25/30",conc_class="C28/35",conc_class="C30/37",conc_class="C32/40",conc_class="C35/45",conc_class="C40/50",conc_class="C45/55",conc_class="C50/60"),ISNUMBER(f_yk),f_yk&gt;0,ISNUMBER(d_g),d_g&gt;0,OR(system="Simply supported",system="End span  (3 or more spans)",system="End span of two spans",system="Interior span next to the end span",system="Interior span"),OR(coef_conf="Yes",coef_conf="No"),ISNUMBER(L_rb),L_rb&gt;0,ISNUMBER(s_r),s_r&gt;0,ISNUMBER(b_w),b_w&gt;0,ISNUMBER(h_rb),h_rb&gt;0,ISNUMBER(h_f),h_f&gt;0,ISNUMBER(c_nom),c_nom&gt;0,OR(AND(ISNUMBER(n_b),n_b=1),AND(ISNUMBER(n_b),n_b=2),AND(ISNUMBER(n_b),n_b=3)),OR(AND(ISNUMBER(phi_b),phi_b=8),AND(ISNUMBER(phi_b),phi_b=10),AND(ISNUMBER(phi_b),phi_b=12),AND(ISNUMBER(phi_b),phi_b=16),AND(ISNUMBER(phi_b),phi_b=20),AND(ISNUMBER(phi_b),phi_b=25),AND(ISNUMBER(phi_b),phi_b=32),AND(ISNUMBER(phi_b),phi_b=40)),OR(AND(ISNUMBER(n_t),n_t=1),AND(ISNUMBER(n_t),n_t=2),AND(ISNUMBER(n_t),n_t=3),AND(ISNUMBER(n_t),n_t=4)),OR(AND(ISNUMBER(phi_t),phi_t=8),AND(ISNUMBER(phi_t),phi_t=10),AND(ISNUMBER(phi_t),phi_t=12),AND(ISNUMBER(phi_t),phi_t=16),AND(ISNUMBER(phi_t),phi_t=20),AND(ISNUMBER(phi_t),phi_t=25),AND(ISNUMBER(phi_t),phi_t=32),AND(ISNUMBER(phi_t),phi_t=40)),OR(AND(ISNUMBER(phi_w),phi_w=0),AND(ISNUMBER(phi_w),phi_w=6),AND(ISNUMBER(phi_w),phi_w=8),AND(ISNUMBER(phi_w),phi_w=10),AND(ISNUMBER(phi_w),phi_w=12)),IF(phi_w&gt;0,IF(ISNUMBER(s_w),s_w&gt;0,FALSE),TRUE),OR(AND(ISNUMBER(phi_m),phi_m=6),AND(ISNUMBER(phi_m),phi_m=7),AND(ISNUMBER(phi_m),phi_m=8),AND(ISNUMBER(phi_m),phi_m=10),AND(ISNUMBER(phi_m),phi_m=12)),ISNUMBER(s_m),s_m&gt;0,OR(trans_rb="Yes",trans_rb="No"),ISNUMBER(gk_rb),gk_rb&gt;=0,ISNUMBER(qk_rb),qk_rb&gt;=0,ISNUMBER(gamma_G),gamma_G&gt;0,ISNUMBER(gamma_Q),gamma_Q&gt;0,OR(partitions="No",partitions="Yes"),AND(f_yk&gt;=400,f_yk&lt;=500,b_w&lt;s_r,h_f&lt;h_rb,h_f&gt;=c_nom+2*phi_m,b_w-2*c_nom-2*phi_w-n_b*phi_b&gt;0,h_rb-c_nom-phi_w-phi_b&gt;h_f,s_m&gt;=50,IF(phi_w&gt;0,s_w&gt;=50,TRUE),L_rb&gt;=3*h_rb)),FALSE)</definedName>
    <definedName name="input_status">'Calculation'!$G$39</definedName>
    <definedName name="sys_i">MATCH(system,{"Simply supported","End span  (3 or more spans)","End span of two spans","Interior span next to the end span","Interior span"},0)</definedName>
    <definedName name="cont">CHOOSE(sys_i,0,1,1,1,1)=1</definedName>
    <definedName name="pin_end">sys_i&lt;=3</definedName>
    <definedName name="coef_ok">OR(NOT(cont),AND(coef_conf="Yes",qk_rb&lt;=gk_rb+g_sw))</definedName>
    <definedName name="span_ok">IFERROR(Asp_b&gt;=MAX(Asr_sp,Asmin_b),FALSE)</definedName>
    <definedName name="sup_req">MAX(Asr_su,Asmin_t)</definedName>
    <definedName name="sup_ok">IFERROR(AND(Asp_t&gt;=sup_req,OR(NOT(cont),xd_su&lt;=xi_rb)),FALSE)</definedName>
    <definedName name="links_off">AND(v_ut&lt;=1,geom_ok)</definedName>
    <definedName name="Asw_need">IF(v_ut&lt;=1,Asw_min,MAX(Asw_req,Asw_min))</definedName>
    <definedName name="shear_ok">IFERROR(IF(links_off,TRUE,IF(phi_w&gt;0,AND(ratio_v&lt;=1,Asw_prov&gt;=Asw_need,s_w&lt;=s_lmax,st_w&lt;=st_max),FALSE)),FALSE)</definedName>
    <definedName name="flange_ok">IFERROR(AND(v_f&lt;=0.5*nu_1*f_cd,Asf_prov&gt;=Asf_req),FALSE)</definedName>
    <definedName name="defl_ok">AND(span_ok,sup_ok,IFERROR(ld_act&lt;=ld_lim,FALSE))</definedName>
    <definedName name="det_ok">AND(OR(n_b=1,gap_b&gt;=gap_bmin),gap_vr&gt;=gap_vmin,MAX(Asp_b,Asp_t)&lt;=As_maxr,c_top&gt;=c_nom,gap_t&gt;=gap_tmin,s_m&lt;=s_maxm,s_m-phi_m&gt;=gap_m,IF(phi_w&gt;0,AND(s_w&lt;=s_lmax,st_w&lt;=st_max),TRUE))</definedName>
    <definedName name="geom_ok">AND(s_r&lt;=1500,h_rb-h_f&lt;=4*b_w,h_f&gt;=MAX(0.1*(s_r-b_w),50),trans_rb="Yes")</definedName>
    <definedName name="span_status">'Calculation'!$G$42</definedName>
    <definedName name="support_status">'Calculation'!$G$43</definedName>
    <definedName name="shear_status">'Calculation'!$G$44</definedName>
    <definedName name="links_status">'Calculation'!$G$45</definedName>
    <definedName name="flange_status">'Calculation'!$G$46</definedName>
    <definedName name="defl_status">'Calculation'!$G$47</definedName>
    <definedName name="det_status">'Calculation'!$G$48</definedName>
    <definedName name="geom_status">'Calculation'!$G$49</definedName>
    <definedName name="coef_status">'Calculation'!$G$50</definedName>
    <definedName name="gamma_c">'Calculation'!$E$87</definedName>
    <definedName name="gamma_s">'Calculation'!$E$88</definedName>
    <definedName name="alpha_cc">'Calculation'!$E$89</definedName>
    <definedName name="alpha_cc_shear">'Calculation'!$E$90</definedName>
    <definedName name="C_Rdc">'Calculation'!$E$91</definedName>
    <definedName name="cot_max">'Calculation'!$E$92</definedName>
    <definedName name="k1_red">'Calculation'!$E$93</definedName>
    <definedName name="k2_red">'Calculation'!$E$94</definedName>
    <definedName name="ld_mod_max">'Calculation'!$E$95</definedName>
    <definedName name="ld_cap_40K">'Calculation'!$E$96</definedName>
    <definedName name="f_ck">'Calculation'!$E$97</definedName>
    <definedName name="f_ctm">'Calculation'!$E$98</definedName>
    <definedName name="f_cd">'Calculation'!$E$99</definedName>
    <definedName name="f_yd">'Calculation'!$E$100</definedName>
    <definedName name="g_sw">'Calculation'!$E$101</definedName>
    <definedName name="wG_rb">'Calculation'!$E$102</definedName>
    <definedName name="wQ_rb">'Calculation'!$E$103</definedName>
    <definedName name="w_rb">'Calculation'!$E$104</definedName>
    <definedName name="M_sp">'Calculation'!$E$105</definedName>
    <definedName name="M_lt">'Calculation'!$E$106</definedName>
    <definedName name="M_rt">'Calculation'!$E$107</definedName>
    <definedName name="M_su">MAX(M_lt,M_rt)</definedName>
    <definedName name="V_lt">'Calculation'!$E$108</definedName>
    <definedName name="V_rt">'Calculation'!$E$109</definedName>
    <definedName name="delta_rb">'Calculation'!$E$112</definedName>
    <definedName name="xi_rb">'Calculation'!$E$113</definedName>
    <definedName name="K_rb">'Calculation'!$E$114</definedName>
    <definedName name="d_b">'Calculation'!$E$115</definedName>
    <definedName name="d_t">'Calculation'!$E$116</definedName>
    <definedName name="l0_sp">'Calculation'!$E$117</definedName>
    <definedName name="b_1">'Calculation'!$E$118</definedName>
    <definedName name="beff_1">'Calculation'!$E$119</definedName>
    <definedName name="b_eff">'Calculation'!$E$120</definedName>
    <definedName name="beff_h">'Calculation'!$E$121</definedName>
    <definedName name="M_f">'Calculation'!$E$122</definedName>
    <definedName name="y_sp">'Calculation'!$E$123</definedName>
    <definedName name="xd_sp">'Calculation'!$E$124</definedName>
    <definedName name="Asr_sp">'Calculation'!$E$125</definedName>
    <definedName name="Asmin_b">'Calculation'!$E$126</definedName>
    <definedName name="Asp_b">'Calculation'!$E$127</definedName>
    <definedName name="M_tp">'Calculation'!$E$129</definedName>
    <definedName name="K_su">'Calculation'!$E$130</definedName>
    <definedName name="z_su">'Calculation'!$E$131</definedName>
    <definedName name="Asr_su">'Calculation'!$E$132</definedName>
    <definedName name="Asmin_t">'Calculation'!$E$133</definedName>
    <definedName name="Asp_t">'Calculation'!$E$134</definedName>
    <definedName name="xd_su">'Calculation'!$E$135</definedName>
    <definedName name="d_vlt">IF(CHOOSE(sys_i,0,0,0,1,1)=1,d_t,d_b)</definedName>
    <definedName name="rho_lt">'Calculation'!$E$139</definedName>
    <definedName name="VRc_lt">'Calculation'!$E$140</definedName>
    <definedName name="d_vrt">IF(CHOOSE(sys_i,0,1,1,1,1)=1,d_t,d_b)</definedName>
    <definedName name="rho_rt">'Calculation'!$E$141</definedName>
    <definedName name="VRc_rt">'Calculation'!$E$142</definedName>
    <definedName name="v_ut">'Calculation'!$E$143</definedName>
    <definedName name="V_Ed">'Calculation'!$E$144</definedName>
    <definedName name="z_v">'Calculation'!$E$145</definedName>
    <definedName name="nu_1">'Calculation'!$E$146</definedName>
    <definedName name="f_cdv">'Calculation'!$E$147</definedName>
    <definedName name="ratio_v">'Calculation'!$E$148</definedName>
    <definedName name="cot_theta">'Calculation'!$E$149</definedName>
    <definedName name="V_Rdmax">'Calculation'!$E$150</definedName>
    <definedName name="Asw_req">'Calculation'!$E$151</definedName>
    <definedName name="Asw_min">'Calculation'!$E$152</definedName>
    <definedName name="Asw_prov">'Calculation'!$E$153</definedName>
    <definedName name="s_lmax">'Calculation'!$E$155</definedName>
    <definedName name="st_w">'Calculation'!$E$156</definedName>
    <definedName name="st_max">'Calculation'!$E$157</definedName>
    <definedName name="y_75">'Calculation'!$E$161</definedName>
    <definedName name="Fo_sp">'Calculation'!$E$162</definedName>
    <definedName name="Fo_75">'Calculation'!$E$163</definedName>
    <definedName name="dx_f">'Calculation'!$E$164</definedName>
    <definedName name="dF_f">'Calculation'!$E$165</definedName>
    <definedName name="v_fc">'Calculation'!$E$166</definedName>
    <definedName name="x0_l">IF(CHOOSE(sys_i,0,0,0,0.094,0.075)*w_rb*(L_rb/1000)^2&gt;0,((CHOOSE(sys_i,0.5,0.45,0.45,0.55,0.55)*w_rb*L_rb/1000)-SQRT((CHOOSE(sys_i,0.5,0.45,0.45,0.55,0.55)*w_rb*L_rb/1000)^2-2*w_rb*CHOOSE(sys_i,0,0,0,0.094,0.075)*w_rb*(L_rb/1000)^2))/w_rb,0)</definedName>
    <definedName name="dF_l">IF(x0_l&gt;0,MAX((CHOOSE(sys_i,0,0,0,0.094,0.075)*w_rb*(L_rb/1000)^2)*1E6/MIN(0.95*d_t,d_t*(1-0.5*(1-SQRT(1-2*(CHOOSE(sys_i,0,0,0,0.094,0.075)*w_rb*(L_rb/1000)^2)*1E6/(b_w*d_t^2*f_ck)/(alpha_cc/gamma_c)))))-(CHOOSE(sys_i,0,0,0,0.094,0.075)*w_rb*(L_rb/1000)^2-(CHOOSE(sys_i,0.5,0.45,0.45,0.55,0.55)*w_rb*L_rb/1000)*x0_l/2+w_rb*(x0_l/2)^2/2)*1E6/MIN(0.95*d_t,d_t*(1-0.5*(1-SQRT(1-2*((CHOOSE(sys_i,0,0,0,0.094,0.075)*w_rb*(L_rb/1000)^2-(CHOOSE(sys_i,0.5,0.45,0.45,0.55,0.55)*w_rb*L_rb/1000)*x0_l/2+w_rb*(x0_l/2)^2/2))*1E6/(b_w*d_t^2*f_ck)/(alpha_cc/gamma_c))))),(CHOOSE(sys_i,0,0,0,0.094,0.075)*w_rb*(L_rb/1000)^2-(CHOOSE(sys_i,0.5,0.45,0.45,0.55,0.55)*w_rb*L_rb/1000)*x0_l/2+w_rb*(x0_l/2)^2/2)*1E6/MIN(0.95*d_t,d_t*(1-0.5*(1-SQRT(1-2*((CHOOSE(sys_i,0,0,0,0.094,0.075)*w_rb*(L_rb/1000)^2-(CHOOSE(sys_i,0.5,0.45,0.45,0.55,0.55)*w_rb*L_rb/1000)*x0_l/2+w_rb*(x0_l/2)^2/2))*1E6/(b_w*d_t^2*f_ck)/(alpha_cc/gamma_c)))))),0)</definedName>
    <definedName name="v_ftl">'Calculation'!$E$168</definedName>
    <definedName name="x0_r">IF(CHOOSE(sys_i,0,0.094,0.106,0.075,0.075)*w_rb*(L_rb/1000)^2&gt;0,((CHOOSE(sys_i,0.5,0.63,0.63,0.55,0.55)*w_rb*L_rb/1000)-SQRT((CHOOSE(sys_i,0.5,0.63,0.63,0.55,0.55)*w_rb*L_rb/1000)^2-2*w_rb*CHOOSE(sys_i,0,0.094,0.106,0.075,0.075)*w_rb*(L_rb/1000)^2))/w_rb,0)</definedName>
    <definedName name="dF_r">IF(x0_r&gt;0,MAX((CHOOSE(sys_i,0,0.094,0.106,0.075,0.075)*w_rb*(L_rb/1000)^2)*1E6/MIN(0.95*d_t,d_t*(1-0.5*(1-SQRT(1-2*(CHOOSE(sys_i,0,0.094,0.106,0.075,0.075)*w_rb*(L_rb/1000)^2)*1E6/(b_w*d_t^2*f_ck)/(alpha_cc/gamma_c)))))-(CHOOSE(sys_i,0,0.094,0.106,0.075,0.075)*w_rb*(L_rb/1000)^2-(CHOOSE(sys_i,0.5,0.63,0.63,0.55,0.55)*w_rb*L_rb/1000)*x0_r/2+w_rb*(x0_r/2)^2/2)*1E6/MIN(0.95*d_t,d_t*(1-0.5*(1-SQRT(1-2*((CHOOSE(sys_i,0,0.094,0.106,0.075,0.075)*w_rb*(L_rb/1000)^2-(CHOOSE(sys_i,0.5,0.63,0.63,0.55,0.55)*w_rb*L_rb/1000)*x0_r/2+w_rb*(x0_r/2)^2/2))*1E6/(b_w*d_t^2*f_ck)/(alpha_cc/gamma_c))))),(CHOOSE(sys_i,0,0.094,0.106,0.075,0.075)*w_rb*(L_rb/1000)^2-(CHOOSE(sys_i,0.5,0.63,0.63,0.55,0.55)*w_rb*L_rb/1000)*x0_r/2+w_rb*(x0_r/2)^2/2)*1E6/MIN(0.95*d_t,d_t*(1-0.5*(1-SQRT(1-2*((CHOOSE(sys_i,0,0.094,0.106,0.075,0.075)*w_rb*(L_rb/1000)^2-(CHOOSE(sys_i,0.5,0.63,0.63,0.55,0.55)*w_rb*L_rb/1000)*x0_r/2+w_rb*(x0_r/2)^2/2))*1E6/(b_w*d_t^2*f_ck)/(alpha_cc/gamma_c)))))),0)</definedName>
    <definedName name="v_ftr">'Calculation'!$E$170</definedName>
    <definedName name="v_f">'Calculation'!$E$171</definedName>
    <definedName name="Asf_req">'Calculation'!$E$173</definedName>
    <definedName name="Asf_prov">'Calculation'!$E$174</definedName>
    <definedName name="rho_d">'Calculation'!$E$179</definedName>
    <definedName name="rho_0">'Calculation'!$E$180</definedName>
    <definedName name="K_d">'Calculation'!$E$181</definedName>
    <definedName name="ld_bas">'Calculation'!$E$182</definedName>
    <definedName name="F1_rb">'Calculation'!$E$183</definedName>
    <definedName name="F2_rb">'Calculation'!$E$184</definedName>
    <definedName name="F3_rb">'Calculation'!$E$185</definedName>
    <definedName name="ld_lim">'Calculation'!$E$186</definedName>
    <definedName name="ld_act">'Calculation'!$E$187</definedName>
    <definedName name="gap_bmin">'Calculation'!$E$191</definedName>
    <definedName name="gap_b">'Calculation'!$E$192</definedName>
    <definedName name="gap_vmin">'Calculation'!$E$193</definedName>
    <definedName name="gap_vr">'Calculation'!$E$194</definedName>
    <definedName name="As_maxr">'Calculation'!$E$195</definedName>
    <definedName name="s_maxm">'Calculation'!$E$196</definedName>
    <definedName name="gap_m">'Calculation'!$E$197</definedName>
    <definedName name="gap_tmin">'Calculation'!$E$198</definedName>
    <definedName name="gap_t">'Calculation'!$E$199</definedName>
    <definedName name="c_top">'Calculation'!$E$200</definedName>
    <definedName name="ndp_gamma_c">INDEX('NDP'!$D$6:$E$6,na_idx)</definedName>
    <definedName name="ndp_gamma_s">INDEX('NDP'!$D$7:$E$7,na_idx)</definedName>
    <definedName name="ndp_alpha_cc">INDEX('NDP'!$D$8:$E$8,na_idx)</definedName>
    <definedName name="ndp_alpha_cc_pl">INDEX('NDP'!$D$9:$E$9,na_idx)</definedName>
    <definedName name="ndp_alpha_cc_shear">INDEX('NDP'!$D$10:$E$10,na_idx)</definedName>
    <definedName name="ndp_alpha_ct">INDEX('NDP'!$D$11:$E$11,na_idx)</definedName>
    <definedName name="ndp_C_Rdc">INDEX('NDP'!$D$12:$E$12,na_idx)</definedName>
    <definedName name="ndp_k1_p">INDEX('NDP'!$D$13:$E$13,na_idx)</definedName>
    <definedName name="ndp_vmax">INDEX('NDP'!$D$14:$E$14,na_idx)</definedName>
    <definedName name="ndp_kmax">INDEX('NDP'!$D$15:$E$15,na_idx)</definedName>
    <definedName name="ndp_phi_large">INDEX('NDP'!$D$16:$E$16,na_idx)</definedName>
    <definedName name="ndp_cot_max">INDEX('NDP'!$D$17:$E$17,na_idx)</definedName>
    <definedName name="ndp_k1_red">INDEX('NDP'!$D$18:$E$18,na_idx)</definedName>
    <definedName name="ndp_k2_red">INDEX('NDP'!$D$19:$E$19,na_idx)</definedName>
    <definedName name="ndp_ld_mod_max">INDEX('NDP'!$D$20:$E$20,na_idx)</definedName>
    <definedName name="ndp_ld_cap_40K">INDEX('NDP'!$D$21:$E$21,na_idx)</definedName>
    <definedName name="ndp_phi_min_col">INDEX('NDP'!$D$22:$E$22,na_idx)</definedName>
    <definedName name="ndp_k3">INDEX('NDP'!$D$23:$E$23,na_idx)</definedName>
    <definedName name="ndp_k4">INDEX('NDP'!$D$24:$E$24,na_idx)</definedName>
    <definedName name="ndp_k1_sl">INDEX('NDP'!$D$25:$E$25,na_idx)</definedName>
    <definedName name="ndp_k2_sl">INDEX('NDP'!$D$26:$E$26,na_idx)</definedName>
    <definedName name="ndp_k3_sl">INDEX('NDP'!$D$27:$E$27,na_idx)</definedName>
    <definedName name="ndp_k4_sl">INDEX('NDP'!$D$28:$E$28,na_idx)</definedName>
    <definedName name="na_idx">IF(NA_sel="PL NA (PN-EN)",2,IF(NA_sel="UK NA (BS EN)",1,NA()))</definedName>
    <definedName name="_xlnm.Print_Area" localSheetId="0">'About'!$A$1:$D$39</definedName>
    <definedName name="_xlnm.Print_Area" localSheetId="1">'Calculation'!$A$1:$H$206</definedName>
    <definedName name="_xlnm.Print_Area" localSheetId="3">'NDP'!$A$1:$G$29</definedName>
  </definedNames>
  <calcPr calcId="124519" fullCalcOnLoad="1"/>
</workbook>
</file>

<file path=xl/styles.xml><?xml version="1.0" encoding="utf-8"?>
<styleSheet xmlns="http://schemas.openxmlformats.org/spreadsheetml/2006/main">
  <numFmts count="5">
    <numFmt numFmtId="164" formatCode="dd mmm yyyy"/>
    <numFmt numFmtId="165" formatCode="0.000"/>
    <numFmt numFmtId="166" formatCode="0.0"/>
    <numFmt numFmtId="167" formatCode="0.0000"/>
    <numFmt numFmtId="168" formatCode="0.00000"/>
  </numFmts>
  <fonts count="21">
    <font>
      <name val="Calibri"/>
      <family val="2"/>
      <color theme="1"/>
      <sz val="11"/>
      <scheme val="minor"/>
    </font>
    <font>
      <name val="Calibri"/>
      <color rgb="00BDBDBD"/>
      <sz val="9"/>
    </font>
    <font>
      <name val="Calibri"/>
      <b val="1"/>
      <color rgb="002B2B2B"/>
      <sz val="24"/>
    </font>
    <font>
      <name val="Calibri"/>
      <color rgb="008A8A8A"/>
      <sz val="12"/>
    </font>
    <font>
      <name val="Calibri"/>
      <color rgb="008A8A8A"/>
      <sz val="10"/>
    </font>
    <font>
      <name val="Calibri"/>
      <color rgb="002B2B2B"/>
      <sz val="10"/>
    </font>
    <font>
      <name val="Calibri"/>
      <b val="1"/>
      <color rgb="005B7F8A"/>
      <sz val="11"/>
    </font>
    <font>
      <name val="Calibri"/>
      <color rgb="005B7F8A"/>
      <sz val="10"/>
    </font>
    <font>
      <name val="Calibri"/>
      <color rgb="008A8A8A"/>
      <sz val="9"/>
    </font>
    <font>
      <name val="Calibri"/>
      <b val="1"/>
      <color rgb="00FFFFFF"/>
      <sz val="14"/>
    </font>
    <font>
      <name val="Calibri"/>
      <b val="1"/>
      <color rgb="005B7F8A"/>
      <sz val="12"/>
    </font>
    <font>
      <name val="Calibri"/>
      <i val="1"/>
      <color rgb="008A8A8A"/>
      <sz val="8"/>
    </font>
    <font>
      <name val="Calibri"/>
      <b val="1"/>
      <color rgb="002B2B2B"/>
      <sz val="10"/>
    </font>
    <font>
      <name val="Calibri"/>
      <color rgb="008A8A8A"/>
      <sz val="8"/>
    </font>
    <font>
      <name val="Calibri"/>
      <b val="1"/>
      <color rgb="002B2B2B"/>
      <sz val="9"/>
    </font>
    <font>
      <name val="Calibri"/>
      <color rgb="002B2B2B"/>
      <sz val="11"/>
    </font>
    <font>
      <name val="Calibri"/>
      <b val="1"/>
      <color rgb="002B2B2B"/>
      <sz val="15"/>
    </font>
    <font>
      <name val="Calibri"/>
      <family val="2"/>
      <i val="1"/>
      <color rgb="008A8A8A"/>
      <sz val="9"/>
      <scheme val="minor"/>
    </font>
    <font>
      <name val="Calibri"/>
      <i val="1"/>
      <color rgb="008A8A8A"/>
      <sz val="8.5"/>
    </font>
    <font>
      <name val="Calibri"/>
      <b val="1"/>
      <color rgb="002B2B2B"/>
      <sz val="16"/>
    </font>
    <font>
      <name val="Calibri"/>
      <b val="1"/>
      <color rgb="008A8A8A"/>
      <sz val="9"/>
    </font>
  </fonts>
  <fills count="5">
    <fill>
      <patternFill/>
    </fill>
    <fill>
      <patternFill patternType="gray125"/>
    </fill>
    <fill>
      <patternFill patternType="solid">
        <fgColor rgb="001F1F1F"/>
        <bgColor rgb="001F1F1F"/>
      </patternFill>
    </fill>
    <fill>
      <patternFill patternType="solid">
        <fgColor rgb="00FFF4D6"/>
        <bgColor rgb="00FFF4D6"/>
      </patternFill>
    </fill>
    <fill>
      <patternFill patternType="solid">
        <fgColor rgb="00EEF4F6"/>
        <bgColor rgb="00EEF4F6"/>
      </patternFill>
    </fill>
  </fills>
  <borders count="3">
    <border>
      <left/>
      <right/>
      <top/>
      <bottom/>
      <diagonal/>
    </border>
    <border>
      <bottom style="thin">
        <color rgb="00E3E3E3"/>
      </bottom>
    </border>
    <border>
      <bottom style="thin">
        <color rgb="005B7F8A"/>
      </bottom>
    </border>
  </borders>
  <cellStyleXfs count="1">
    <xf numFmtId="0" fontId="0" fillId="0" borderId="0"/>
  </cellStyleXfs>
  <cellXfs count="54">
    <xf numFmtId="0" fontId="0" fillId="0" borderId="0" pivotButton="0" quotePrefix="0" xfId="0"/>
    <xf numFmtId="0" fontId="0" fillId="2" borderId="0" pivotButton="0" quotePrefix="0" xfId="0"/>
    <xf numFmtId="0" fontId="1" fillId="2" borderId="0" applyAlignment="1" pivotButton="0" quotePrefix="0" xfId="0">
      <alignment horizontal="right" vertical="center"/>
    </xf>
    <xf numFmtId="0" fontId="2" fillId="0" borderId="0" pivotButton="0" quotePrefix="0" xfId="0"/>
    <xf numFmtId="0" fontId="3" fillId="0" borderId="0" pivotButton="0" quotePrefix="0" xfId="0"/>
    <xf numFmtId="0" fontId="4" fillId="0" borderId="0" applyAlignment="1" pivotButton="0" quotePrefix="0" xfId="0">
      <alignment vertical="top"/>
    </xf>
    <xf numFmtId="0" fontId="5" fillId="0" borderId="0" pivotButton="0" quotePrefix="0" xfId="0"/>
    <xf numFmtId="0" fontId="5" fillId="0" borderId="0" applyAlignment="1" pivotButton="0" quotePrefix="0" xfId="0">
      <alignment vertical="top" wrapText="1"/>
    </xf>
    <xf numFmtId="0" fontId="6"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0" pivotButton="0" quotePrefix="0" xfId="0"/>
    <xf numFmtId="0" fontId="7" fillId="0" borderId="0" pivotButton="0" quotePrefix="0" xfId="0"/>
    <xf numFmtId="0" fontId="8" fillId="0" borderId="0" applyAlignment="1" pivotButton="0" quotePrefix="0" xfId="0">
      <alignment vertical="top" wrapText="1"/>
    </xf>
    <xf numFmtId="0" fontId="9" fillId="2" borderId="0" applyAlignment="1" pivotButton="0" quotePrefix="0" xfId="0">
      <alignment horizontal="right" vertical="center"/>
    </xf>
    <xf numFmtId="0" fontId="1" fillId="2" borderId="0" applyAlignment="1" pivotButton="0" quotePrefix="0" xfId="0">
      <alignment horizontal="right" vertical="top"/>
    </xf>
    <xf numFmtId="0" fontId="8" fillId="0" borderId="0" pivotButton="0" quotePrefix="0" xfId="0"/>
    <xf numFmtId="0" fontId="5" fillId="3" borderId="0" applyProtection="1" pivotButton="0" quotePrefix="0" xfId="0">
      <protection locked="0" hidden="0"/>
    </xf>
    <xf numFmtId="0" fontId="8" fillId="0" borderId="0" applyAlignment="1" pivotButton="0" quotePrefix="0" xfId="0">
      <alignment horizontal="right"/>
    </xf>
    <xf numFmtId="164" fontId="5" fillId="3" borderId="0" applyProtection="1" pivotButton="0" quotePrefix="0" xfId="0">
      <protection locked="0" hidden="0"/>
    </xf>
    <xf numFmtId="0" fontId="10" fillId="0" borderId="2" pivotButton="0" quotePrefix="0" xfId="0"/>
    <xf numFmtId="0" fontId="0" fillId="0" borderId="2" pivotButton="0" quotePrefix="0" xfId="0"/>
    <xf numFmtId="0" fontId="11" fillId="0" borderId="2" applyAlignment="1" pivotButton="0" quotePrefix="0" xfId="0">
      <alignment horizontal="right"/>
    </xf>
    <xf numFmtId="0" fontId="0" fillId="0" borderId="1" applyAlignment="1" pivotButton="0" quotePrefix="0" xfId="0">
      <alignment vertical="center"/>
    </xf>
    <xf numFmtId="0" fontId="5" fillId="0" borderId="1" applyAlignment="1" pivotButton="0" quotePrefix="0" xfId="0">
      <alignment vertical="center"/>
    </xf>
    <xf numFmtId="0" fontId="12" fillId="3" borderId="1" applyAlignment="1" applyProtection="1" pivotButton="0" quotePrefix="0" xfId="0">
      <alignment horizontal="center" vertical="center"/>
      <protection locked="0" hidden="0"/>
    </xf>
    <xf numFmtId="0" fontId="13" fillId="0" borderId="1" applyAlignment="1" pivotButton="0" quotePrefix="0" xfId="0">
      <alignment vertical="center"/>
    </xf>
    <xf numFmtId="0" fontId="0" fillId="0" borderId="1" applyAlignment="1" pivotButton="0" quotePrefix="0" xfId="0">
      <alignment horizontal="center" vertical="center"/>
    </xf>
    <xf numFmtId="0" fontId="8" fillId="0" borderId="1" applyAlignment="1" pivotButton="0" quotePrefix="0" xfId="0">
      <alignment vertical="center"/>
    </xf>
    <xf numFmtId="2" fontId="12" fillId="3" borderId="1" applyAlignment="1" applyProtection="1" pivotButton="0" quotePrefix="0" xfId="0">
      <alignment horizontal="center" vertical="center"/>
      <protection locked="0" hidden="0"/>
    </xf>
    <xf numFmtId="0" fontId="14" fillId="0" borderId="1" applyAlignment="1" pivotButton="0" quotePrefix="0" xfId="0">
      <alignment horizontal="center" vertical="center"/>
    </xf>
    <xf numFmtId="0" fontId="0" fillId="4" borderId="0" pivotButton="0" quotePrefix="0" xfId="0"/>
    <xf numFmtId="0" fontId="15" fillId="4" borderId="0" applyAlignment="1" pivotButton="0" quotePrefix="0" xfId="0">
      <alignment vertical="center"/>
    </xf>
    <xf numFmtId="2" fontId="16" fillId="4" borderId="0" applyAlignment="1" pivotButton="0" quotePrefix="0" xfId="0">
      <alignment horizontal="center" vertical="center"/>
    </xf>
    <xf numFmtId="0" fontId="4" fillId="4" borderId="0" applyAlignment="1" pivotButton="0" quotePrefix="0" xfId="0">
      <alignment vertical="center"/>
    </xf>
    <xf numFmtId="0" fontId="12" fillId="4" borderId="0" applyAlignment="1" pivotButton="0" quotePrefix="0" xfId="0">
      <alignment horizontal="center" vertical="center"/>
    </xf>
    <xf numFmtId="0" fontId="0" fillId="4" borderId="0" applyAlignment="1" pivotButton="0" quotePrefix="0" xfId="0">
      <alignment horizontal="center" vertical="center"/>
    </xf>
    <xf numFmtId="1" fontId="16" fillId="4" borderId="0" applyAlignment="1" pivotButton="0" quotePrefix="0" xfId="0">
      <alignment horizontal="center" vertical="center"/>
    </xf>
    <xf numFmtId="0" fontId="17" fillId="0" borderId="0" pivotButton="0" quotePrefix="0" xfId="0"/>
    <xf numFmtId="2" fontId="5" fillId="0" borderId="1" applyAlignment="1" pivotButton="0" quotePrefix="0" xfId="0">
      <alignment horizontal="center" vertical="center"/>
    </xf>
    <xf numFmtId="165" fontId="5" fillId="0" borderId="1" applyAlignment="1" pivotButton="0" quotePrefix="0" xfId="0">
      <alignment horizontal="center" vertical="center"/>
    </xf>
    <xf numFmtId="1" fontId="5" fillId="0" borderId="1" applyAlignment="1" pivotButton="0" quotePrefix="0" xfId="0">
      <alignment horizontal="center" vertical="center"/>
    </xf>
    <xf numFmtId="166" fontId="5" fillId="0" borderId="1" applyAlignment="1" pivotButton="0" quotePrefix="0" xfId="0">
      <alignment horizontal="center" vertical="center"/>
    </xf>
    <xf numFmtId="166" fontId="12" fillId="0" borderId="1" applyAlignment="1" pivotButton="0" quotePrefix="0" xfId="0">
      <alignment horizontal="center" vertical="center"/>
    </xf>
    <xf numFmtId="1" fontId="12" fillId="0" borderId="1" applyAlignment="1" pivotButton="0" quotePrefix="0" xfId="0">
      <alignment horizontal="center" vertical="center"/>
    </xf>
    <xf numFmtId="167" fontId="5" fillId="0" borderId="1" applyAlignment="1" pivotButton="0" quotePrefix="0" xfId="0">
      <alignment horizontal="center" vertical="center"/>
    </xf>
    <xf numFmtId="2" fontId="12" fillId="0" borderId="1" applyAlignment="1" pivotButton="0" quotePrefix="0" xfId="0">
      <alignment horizontal="center" vertical="center"/>
    </xf>
    <xf numFmtId="0" fontId="18" fillId="0" borderId="0" applyAlignment="1" pivotButton="0" quotePrefix="0" xfId="0">
      <alignment vertical="top" wrapText="1"/>
    </xf>
    <xf numFmtId="168" fontId="5" fillId="0" borderId="1" applyAlignment="1" pivotButton="0" quotePrefix="0" xfId="0">
      <alignment horizontal="center" vertical="center"/>
    </xf>
    <xf numFmtId="0" fontId="19" fillId="0" borderId="0" pivotButton="0" quotePrefix="0" xfId="0"/>
    <xf numFmtId="0" fontId="20" fillId="0" borderId="2" pivotButton="0" quotePrefix="0" xfId="0"/>
    <xf numFmtId="0" fontId="5" fillId="0" borderId="1" pivotButton="0" quotePrefix="0" xfId="0"/>
    <xf numFmtId="0" fontId="8" fillId="0" borderId="1" pivotButton="0" quotePrefix="0" xfId="0"/>
    <xf numFmtId="0" fontId="12" fillId="0" borderId="1" applyAlignment="1" pivotButton="0" quotePrefix="0" xfId="0">
      <alignment horizontal="center"/>
    </xf>
  </cellXfs>
  <cellStyles count="1">
    <cellStyle name="Normal" xfId="0" builtinId="0" hidden="0"/>
  </cellStyles>
  <dxfs count="3">
    <dxf>
      <font>
        <name val="Calibri"/>
        <b val="1"/>
        <color rgb="001E7F4F"/>
      </font>
      <fill>
        <patternFill patternType="solid">
          <fgColor rgb="00E6F4EC"/>
          <bgColor rgb="00E6F4EC"/>
        </patternFill>
      </fill>
    </dxf>
    <dxf>
      <font>
        <name val="Calibri"/>
        <b val="1"/>
        <color rgb="00B3261E"/>
      </font>
      <fill>
        <patternFill patternType="solid">
          <fgColor rgb="00FBE9E7"/>
          <bgColor rgb="00FBE9E7"/>
        </patternFill>
      </fill>
    </dxf>
    <dxf>
      <font>
        <name val="Calibri"/>
        <b val="1"/>
        <color rgb="008A5A00"/>
      </font>
      <fill>
        <patternFill patternType="solid">
          <fgColor rgb="00FFF1D6"/>
          <bgColor rgb="00FFF1D6"/>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
  <chart>
    <plotArea>
      <scatterChart>
        <scatterStyle val="lineMarker"/>
        <ser>
          <idx val="0"/>
          <order val="0"/>
          <tx>
            <strRef>
              <f>'Geometry'!$A$2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B3261E"/>
                    </a:solidFill>
                  </a:defRPr>
                </a:pPr>
                <a:r>
                  <a:t/>
                </a:r>
                <a:endParaRPr sz="900">
                  <a:solidFill>
                    <a:srgbClr val="B3261E"/>
                  </a:solidFill>
                </a:endParaRPr>
              </a:p>
            </txPr>
            <dLblPos val="r"/>
            <showLegendKey val="0"/>
            <showVal val="0"/>
            <showCatName val="0"/>
            <showSerName val="1"/>
            <showPercent val="0"/>
          </dLbls>
          <xVal>
            <numRef>
              <f>'Geometry'!$A$3</f>
            </numRef>
          </xVal>
          <yVal>
            <numRef>
              <f>'Geometry'!$B$3</f>
            </numRef>
          </yVal>
          <smooth val="0"/>
        </ser>
        <ser>
          <idx val="1"/>
          <order val="1"/>
          <tx>
            <v>rib</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'Geometry'!$D$3:$D$7</f>
            </numRef>
          </xVal>
          <yVal>
            <numRef>
              <f>'Geometry'!$E$3:$E$7</f>
            </numRef>
          </yVal>
          <smooth val="0"/>
        </ser>
        <ser>
          <idx val="2"/>
          <order val="2"/>
          <tx>
            <v>topping</v>
          </tx>
          <spPr>
            <a:ln xmlns:a="http://schemas.openxmlformats.org/drawingml/2006/main" w="9525">
              <a:solidFill>
                <a:srgbClr val="9A9A9A"/>
              </a:solidFill>
              <a:prstDash val="dash"/>
            </a:ln>
          </spPr>
          <marker>
            <symbol val="none"/>
            <spPr>
              <a:ln xmlns:a="http://schemas.openxmlformats.org/drawingml/2006/main">
                <a:prstDash val="solid"/>
              </a:ln>
            </spPr>
          </marker>
          <xVal>
            <numRef>
              <f>'Geometry'!$G$3:$G$4</f>
            </numRef>
          </xVal>
          <yVal>
            <numRef>
              <f>'Geometry'!$H$3:$H$4</f>
            </numRef>
          </yVal>
          <smooth val="0"/>
        </ser>
        <ser>
          <idx val="3"/>
          <order val="3"/>
          <tx>
            <v>left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'Geometry'!$J$3:$J$6</f>
            </numRef>
          </xVal>
          <yVal>
            <numRef>
              <f>'Geometry'!$K$3:$K$6</f>
            </numRef>
          </yVal>
          <smooth val="0"/>
        </ser>
        <ser>
          <idx val="4"/>
          <order val="4"/>
          <tx>
            <v>right support</v>
          </tx>
          <spPr>
            <a:ln xmlns:a="http://schemas.openxmlformats.org/drawingml/2006/main" w="15875">
              <a:solidFill>
                <a:srgbClr val="2B2B2B"/>
              </a:solidFill>
              <a:prstDash val="solid"/>
            </a:ln>
          </spPr>
          <marker>
            <symbol val="none"/>
            <spPr>
              <a:ln xmlns:a="http://schemas.openxmlformats.org/drawingml/2006/main">
                <a:prstDash val="solid"/>
              </a:ln>
            </spPr>
          </marker>
          <xVal>
            <numRef>
              <f>'Geometry'!$M$3:$M$6</f>
            </numRef>
          </xVal>
          <yVal>
            <numRef>
              <f>'Geometry'!$N$3:$N$6</f>
            </numRef>
          </yVal>
          <smooth val="0"/>
        </ser>
        <ser>
          <idx val="5"/>
          <order val="5"/>
          <tx>
            <v>continuity left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'Geometry'!$P$3:$P$4</f>
            </numRef>
          </xVal>
          <yVal>
            <numRef>
              <f>'Geometry'!$Q$3:$Q$4</f>
            </numRef>
          </yVal>
          <smooth val="0"/>
        </ser>
        <ser>
          <idx val="6"/>
          <order val="6"/>
          <tx>
            <v>continuity right</v>
          </tx>
          <spPr>
            <a:ln xmlns:a="http://schemas.openxmlformats.org/drawingml/2006/main" w="12700">
              <a:solidFill>
                <a:srgbClr val="9A9A9A"/>
              </a:solidFill>
              <a:prstDash val="dash"/>
            </a:ln>
          </spPr>
          <marker>
            <symbol val="none"/>
            <spPr>
              <a:ln xmlns:a="http://schemas.openxmlformats.org/drawingml/2006/main">
                <a:prstDash val="solid"/>
              </a:ln>
            </spPr>
          </marker>
          <xVal>
            <numRef>
              <f>'Geometry'!$S$3:$S$4</f>
            </numRef>
          </xVal>
          <yVal>
            <numRef>
              <f>'Geometry'!$T$3:$T$4</f>
            </numRef>
          </yVal>
          <smooth val="0"/>
        </ser>
        <ser>
          <idx val="7"/>
          <order val="7"/>
          <tx>
            <v>load 0</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'Geometry'!$V$3:$V$4</f>
            </numRef>
          </xVal>
          <yVal>
            <numRef>
              <f>'Geometry'!$W$3:$W$4</f>
            </numRef>
          </yVal>
          <smooth val="0"/>
        </ser>
        <ser>
          <idx val="8"/>
          <order val="8"/>
          <tx>
            <v>load 1</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'Geometry'!$Y$3:$Y$4</f>
            </numRef>
          </xVal>
          <yVal>
            <numRef>
              <f>'Geometry'!$Z$3:$Z$4</f>
            </numRef>
          </yVal>
          <smooth val="0"/>
        </ser>
        <ser>
          <idx val="9"/>
          <order val="9"/>
          <tx>
            <v>load 2</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'Geometry'!$AB$3:$AB$4</f>
            </numRef>
          </xVal>
          <yVal>
            <numRef>
              <f>'Geometry'!$AC$3:$AC$4</f>
            </numRef>
          </yVal>
          <smooth val="0"/>
        </ser>
        <ser>
          <idx val="10"/>
          <order val="10"/>
          <tx>
            <v>load 3</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'Geometry'!$AE$3:$AE$4</f>
            </numRef>
          </xVal>
          <yVal>
            <numRef>
              <f>'Geometry'!$AF$3:$AF$4</f>
            </numRef>
          </yVal>
          <smooth val="0"/>
        </ser>
        <ser>
          <idx val="11"/>
          <order val="11"/>
          <tx>
            <v>load 4</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'Geometry'!$AH$3:$AH$4</f>
            </numRef>
          </xVal>
          <yVal>
            <numRef>
              <f>'Geometry'!$AI$3:$AI$4</f>
            </numRef>
          </yVal>
          <smooth val="0"/>
        </ser>
        <ser>
          <idx val="12"/>
          <order val="12"/>
          <tx>
            <v>load 5</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'Geometry'!$AK$3:$AK$4</f>
            </numRef>
          </xVal>
          <yVal>
            <numRef>
              <f>'Geometry'!$AL$3:$AL$4</f>
            </numRef>
          </yVal>
          <smooth val="0"/>
        </ser>
        <ser>
          <idx val="13"/>
          <order val="13"/>
          <tx>
            <v>load 6</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'Geometry'!$AN$3:$AN$4</f>
            </numRef>
          </xVal>
          <yVal>
            <numRef>
              <f>'Geometry'!$AO$3:$AO$4</f>
            </numRef>
          </yVal>
          <smooth val="0"/>
        </ser>
        <ser>
          <idx val="14"/>
          <order val="14"/>
          <tx>
            <v>load 7</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'Geometry'!$AQ$3:$AQ$4</f>
            </numRef>
          </xVal>
          <yVal>
            <numRef>
              <f>'Geometry'!$AR$3:$AR$4</f>
            </numRef>
          </yVal>
          <smooth val="0"/>
        </ser>
        <ser>
          <idx val="15"/>
          <order val="15"/>
          <tx>
            <v>load 8</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'Geometry'!$AT$3:$AT$4</f>
            </numRef>
          </xVal>
          <yVal>
            <numRef>
              <f>'Geometry'!$AU$3:$AU$4</f>
            </numRef>
          </yVal>
          <smooth val="0"/>
        </ser>
        <ser>
          <idx val="16"/>
          <order val="16"/>
          <tx>
            <v>load line</v>
          </tx>
          <spPr>
            <a:ln xmlns:a="http://schemas.openxmlformats.org/drawingml/2006/main" w="12700">
              <a:solidFill>
                <a:srgbClr val="B3261E"/>
              </a:solidFill>
              <a:prstDash val="solid"/>
            </a:ln>
          </spPr>
          <marker>
            <symbol val="none"/>
            <spPr>
              <a:ln xmlns:a="http://schemas.openxmlformats.org/drawingml/2006/main">
                <a:prstDash val="solid"/>
              </a:ln>
            </spPr>
          </marker>
          <xVal>
            <numRef>
              <f>'Geometry'!$AW$3:$AW$4</f>
            </numRef>
          </xVal>
          <yVal>
            <numRef>
              <f>'Geometry'!$AX$3:$AX$4</f>
            </numRef>
          </yVal>
          <smooth val="0"/>
        </ser>
        <ser>
          <idx val="17"/>
          <order val="17"/>
          <tx>
            <v>BMD</v>
          </tx>
          <spPr>
            <a:ln xmlns:a="http://schemas.openxmlformats.org/drawingml/2006/main" w="19050">
              <a:solidFill>
                <a:srgbClr val="5B7F8A"/>
              </a:solidFill>
              <a:prstDash val="solid"/>
            </a:ln>
          </spPr>
          <marker>
            <symbol val="none"/>
            <spPr>
              <a:ln xmlns:a="http://schemas.openxmlformats.org/drawingml/2006/main">
                <a:prstDash val="solid"/>
              </a:ln>
            </spPr>
          </marker>
          <xVal>
            <numRef>
              <f>'Geometry'!$AZ$3:$AZ$29</f>
            </numRef>
          </xVal>
          <yVal>
            <numRef>
              <f>'Geometry'!$BA$3:$BA$29</f>
            </numRef>
          </yVal>
          <smooth val="0"/>
        </ser>
        <ser>
          <idx val="18"/>
          <order val="18"/>
          <tx>
            <v>BMD axis</v>
          </tx>
          <spPr>
            <a:ln xmlns:a="http://schemas.openxmlformats.org/drawingml/2006/main" w="9525">
              <a:solidFill>
                <a:srgbClr val="9A9A9A"/>
              </a:solidFill>
              <a:prstDash val="solid"/>
            </a:ln>
          </spPr>
          <marker>
            <symbol val="none"/>
            <spPr>
              <a:ln xmlns:a="http://schemas.openxmlformats.org/drawingml/2006/main">
                <a:prstDash val="solid"/>
              </a:ln>
            </spPr>
          </marker>
          <xVal>
            <numRef>
              <f>'Geometry'!$BC$3:$BC$4</f>
            </numRef>
          </xVal>
          <yVal>
            <numRef>
              <f>'Geometry'!$BD$3:$BD$4</f>
            </numRef>
          </yVal>
          <smooth val="0"/>
        </ser>
        <ser>
          <idx val="19"/>
          <order val="19"/>
          <tx>
            <strRef>
              <f>'Geometry'!$BF$2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'Geometry'!$BF$3</f>
            </numRef>
          </xVal>
          <yVal>
            <numRef>
              <f>'Geometry'!$BG$3</f>
            </numRef>
          </yVal>
          <smooth val="0"/>
        </ser>
        <ser>
          <idx val="20"/>
          <order val="20"/>
          <tx>
            <strRef>
              <f>'Geometry'!$BI$2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b"/>
            <showLegendKey val="0"/>
            <showVal val="0"/>
            <showCatName val="0"/>
            <showSerName val="1"/>
            <showPercent val="0"/>
          </dLbls>
          <xVal>
            <numRef>
              <f>'Geometry'!$BI$3</f>
            </numRef>
          </xVal>
          <yVal>
            <numRef>
              <f>'Geometry'!$BJ$3</f>
            </numRef>
          </yVal>
          <smooth val="0"/>
        </ser>
        <ser>
          <idx val="21"/>
          <order val="21"/>
          <tx>
            <strRef>
              <f>'Geometry'!$BL$2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'Geometry'!$BL$3</f>
            </numRef>
          </xVal>
          <yVal>
            <numRef>
              <f>'Geometry'!$BM$3</f>
            </numRef>
          </yVal>
          <smooth val="0"/>
        </ser>
        <ser>
          <idx val="22"/>
          <order val="22"/>
          <tx>
            <strRef>
              <f>'Geometry'!$BO$2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5B7F8A"/>
                    </a:solidFill>
                  </a:defRPr>
                </a:pPr>
                <a:r>
                  <a:t/>
                </a:r>
                <a:endParaRPr sz="800">
                  <a:solidFill>
                    <a:srgbClr val="5B7F8A"/>
                  </a:solidFill>
                </a:endParaRPr>
              </a:p>
            </txPr>
            <dLblPos val="t"/>
            <showLegendKey val="0"/>
            <showVal val="0"/>
            <showCatName val="0"/>
            <showSerName val="1"/>
            <showPercent val="0"/>
          </dLbls>
          <xVal>
            <numRef>
              <f>'Geometry'!$BO$3</f>
            </numRef>
          </xVal>
          <yVal>
            <numRef>
              <f>'Geometry'!$BP$3</f>
            </numRef>
          </yVal>
          <smooth val="0"/>
        </ser>
        <ser>
          <idx val="23"/>
          <order val="23"/>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'Geometry'!$BR$3:$BR$4</f>
            </numRef>
          </xVal>
          <yVal>
            <numRef>
              <f>'Geometry'!$BS$3:$BS$4</f>
            </numRef>
          </yVal>
          <smooth val="0"/>
        </ser>
        <ser>
          <idx val="24"/>
          <order val="24"/>
          <tx>
            <strRef>
              <f>'Geometry'!$BU$2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'Geometry'!$BU$3</f>
            </numRef>
          </xVal>
          <yVal>
            <numRef>
              <f>'Geometry'!$BV$3</f>
            </numRef>
          </yVal>
          <smooth val="0"/>
        </ser>
        <ser>
          <idx val="25"/>
          <order val="25"/>
          <tx>
            <v>frame</v>
          </tx>
          <spPr>
            <a:ln xmlns:a="http://schemas.openxmlformats.org/drawingml/2006/main">
              <a:noFill/>
              <a:prstDash val="solid"/>
            </a:ln>
          </spPr>
          <marker>
            <symbol val="none"/>
            <spPr>
              <a:ln xmlns:a="http://schemas.openxmlformats.org/drawingml/2006/main">
                <a:prstDash val="solid"/>
              </a:ln>
            </spPr>
          </marker>
          <xVal>
            <numRef>
              <f>'Geometry'!$BX$3:$BX$4</f>
            </numRef>
          </xVal>
          <yVal>
            <numRef>
              <f>'Geometry'!$BY$3:$BY$4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charts/chart2.xml><?xml version="1.0" encoding="utf-8"?>
<chartSpace xmlns="http://schemas.openxmlformats.org/drawingml/2006/chart">
  <style val="1"/>
  <chart>
    <plotArea>
      <scatterChart>
        <scatterStyle val="lineMarker"/>
        <ser>
          <idx val="0"/>
          <order val="0"/>
          <tx>
            <v>section</v>
          </tx>
          <spPr>
            <a:ln xmlns:a="http://schemas.openxmlformats.org/drawingml/2006/main" w="25400">
              <a:solidFill>
                <a:srgbClr val="2B2B2B"/>
              </a:solidFill>
              <a:prstDash val="solid"/>
            </a:ln>
          </spPr>
          <marker>
            <symbol val="none"/>
            <spPr>
              <a:ln xmlns:a="http://schemas.openxmlformats.org/drawingml/2006/main">
                <a:prstDash val="solid"/>
              </a:ln>
            </spPr>
          </marker>
          <xVal>
            <numRef>
              <f>'Geometry'!$CA$3:$CA$15</f>
            </numRef>
          </xVal>
          <yVal>
            <numRef>
              <f>'Geometry'!$CB$3:$CB$15</f>
            </numRef>
          </yVal>
          <smooth val="0"/>
        </ser>
        <ser>
          <idx val="1"/>
          <order val="1"/>
          <tx>
            <v>mesh</v>
          </tx>
          <spPr>
            <a:ln xmlns:a="http://schemas.openxmlformats.org/drawingml/2006/main" w="15875">
              <a:solidFill>
                <a:srgbClr val="5B7F8A"/>
              </a:solidFill>
              <a:prstDash val="solid"/>
            </a:ln>
          </spPr>
          <marker>
            <symbol val="none"/>
            <spPr>
              <a:ln xmlns:a="http://schemas.openxmlformats.org/drawingml/2006/main">
                <a:prstDash val="solid"/>
              </a:ln>
            </spPr>
          </marker>
          <xVal>
            <numRef>
              <f>'Geometry'!$CD$3:$CD$4</f>
            </numRef>
          </xVal>
          <yVal>
            <numRef>
              <f>'Geometry'!$CE$3:$CE$4</f>
            </numRef>
          </yVal>
          <smooth val="0"/>
        </ser>
        <ser>
          <idx val="2"/>
          <order val="2"/>
          <tx>
            <v>links 0</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'Geometry'!$CG$3:$CG$7</f>
            </numRef>
          </xVal>
          <yVal>
            <numRef>
              <f>'Geometry'!$CH$3:$CH$7</f>
            </numRef>
          </yVal>
          <smooth val="0"/>
        </ser>
        <ser>
          <idx val="3"/>
          <order val="3"/>
          <tx>
            <v>bottom 00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'Geometry'!$CJ$3:$CJ$13</f>
            </numRef>
          </xVal>
          <yVal>
            <numRef>
              <f>'Geometry'!$CK$3:$CK$13</f>
            </numRef>
          </yVal>
          <smooth val="0"/>
        </ser>
        <ser>
          <idx val="4"/>
          <order val="4"/>
          <tx>
            <v>bottom 01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'Geometry'!$CM$3:$CM$13</f>
            </numRef>
          </xVal>
          <yVal>
            <numRef>
              <f>'Geometry'!$CN$3:$CN$13</f>
            </numRef>
          </yVal>
          <smooth val="0"/>
        </ser>
        <ser>
          <idx val="5"/>
          <order val="5"/>
          <tx>
            <v>bottom 02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'Geometry'!$CP$3:$CP$13</f>
            </numRef>
          </xVal>
          <yVal>
            <numRef>
              <f>'Geometry'!$CQ$3:$CQ$13</f>
            </numRef>
          </yVal>
          <smooth val="0"/>
        </ser>
        <ser>
          <idx val="6"/>
          <order val="6"/>
          <tx>
            <v>top 00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'Geometry'!$CS$3:$CS$13</f>
            </numRef>
          </xVal>
          <yVal>
            <numRef>
              <f>'Geometry'!$CT$3:$CT$13</f>
            </numRef>
          </yVal>
          <smooth val="0"/>
        </ser>
        <ser>
          <idx val="7"/>
          <order val="7"/>
          <tx>
            <v>top 01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'Geometry'!$CV$3:$CV$13</f>
            </numRef>
          </xVal>
          <yVal>
            <numRef>
              <f>'Geometry'!$CW$3:$CW$13</f>
            </numRef>
          </yVal>
          <smooth val="0"/>
        </ser>
        <ser>
          <idx val="8"/>
          <order val="8"/>
          <tx>
            <v>top 02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'Geometry'!$CY$3:$CY$13</f>
            </numRef>
          </xVal>
          <yVal>
            <numRef>
              <f>'Geometry'!$CZ$3:$CZ$13</f>
            </numRef>
          </yVal>
          <smooth val="0"/>
        </ser>
        <ser>
          <idx val="9"/>
          <order val="9"/>
          <tx>
            <v>top 03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'Geometry'!$DB$3:$DB$13</f>
            </numRef>
          </xVal>
          <yVal>
            <numRef>
              <f>'Geometry'!$DC$3:$DC$13</f>
            </numRef>
          </yVal>
          <smooth val="0"/>
        </ser>
        <ser>
          <idx val="10"/>
          <order val="10"/>
          <tx>
            <v>links 1</v>
          </tx>
          <spPr>
            <a:ln xmlns:a="http://schemas.openxmlformats.org/drawingml/2006/main" w="12700">
              <a:solidFill>
                <a:srgbClr val="5B7F8A"/>
              </a:solidFill>
              <a:prstDash val="solid"/>
            </a:ln>
          </spPr>
          <marker>
            <symbol val="none"/>
            <spPr>
              <a:ln xmlns:a="http://schemas.openxmlformats.org/drawingml/2006/main">
                <a:prstDash val="solid"/>
              </a:ln>
            </spPr>
          </marker>
          <xVal>
            <numRef>
              <f>'Geometry'!$DE$3:$DE$7</f>
            </numRef>
          </xVal>
          <yVal>
            <numRef>
              <f>'Geometry'!$DF$3:$DF$7</f>
            </numRef>
          </yVal>
          <smooth val="0"/>
        </ser>
        <ser>
          <idx val="11"/>
          <order val="11"/>
          <tx>
            <v>bottom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'Geometry'!$DH$3:$DH$13</f>
            </numRef>
          </xVal>
          <yVal>
            <numRef>
              <f>'Geometry'!$DI$3:$DI$13</f>
            </numRef>
          </yVal>
          <smooth val="0"/>
        </ser>
        <ser>
          <idx val="12"/>
          <order val="12"/>
          <tx>
            <v>bottom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'Geometry'!$DK$3:$DK$13</f>
            </numRef>
          </xVal>
          <yVal>
            <numRef>
              <f>'Geometry'!$DL$3:$DL$13</f>
            </numRef>
          </yVal>
          <smooth val="0"/>
        </ser>
        <ser>
          <idx val="13"/>
          <order val="13"/>
          <tx>
            <v>bottom 12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'Geometry'!$DN$3:$DN$13</f>
            </numRef>
          </xVal>
          <yVal>
            <numRef>
              <f>'Geometry'!$DO$3:$DO$13</f>
            </numRef>
          </yVal>
          <smooth val="0"/>
        </ser>
        <ser>
          <idx val="14"/>
          <order val="14"/>
          <tx>
            <v>top 10</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'Geometry'!$DQ$3:$DQ$13</f>
            </numRef>
          </xVal>
          <yVal>
            <numRef>
              <f>'Geometry'!$DR$3:$DR$13</f>
            </numRef>
          </yVal>
          <smooth val="0"/>
        </ser>
        <ser>
          <idx val="15"/>
          <order val="15"/>
          <tx>
            <v>top 11</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'Geometry'!$DT$3:$DT$13</f>
            </numRef>
          </xVal>
          <yVal>
            <numRef>
              <f>'Geometry'!$DU$3:$DU$13</f>
            </numRef>
          </yVal>
          <smooth val="0"/>
        </ser>
        <ser>
          <idx val="16"/>
          <order val="16"/>
          <tx>
            <v>top 12</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'Geometry'!$DW$3:$DW$13</f>
            </numRef>
          </xVal>
          <yVal>
            <numRef>
              <f>'Geometry'!$DX$3:$DX$13</f>
            </numRef>
          </yVal>
          <smooth val="0"/>
        </ser>
        <ser>
          <idx val="17"/>
          <order val="17"/>
          <tx>
            <v>top 13</v>
          </tx>
          <spPr>
            <a:ln xmlns:a="http://schemas.openxmlformats.org/drawingml/2006/main" w="22225">
              <a:solidFill>
                <a:srgbClr val="2B2B2B"/>
              </a:solidFill>
              <a:prstDash val="solid"/>
            </a:ln>
          </spPr>
          <marker>
            <symbol val="none"/>
            <spPr>
              <a:ln xmlns:a="http://schemas.openxmlformats.org/drawingml/2006/main">
                <a:prstDash val="solid"/>
              </a:ln>
            </spPr>
          </marker>
          <xVal>
            <numRef>
              <f>'Geometry'!$DZ$3:$DZ$13</f>
            </numRef>
          </xVal>
          <yVal>
            <numRef>
              <f>'Geometry'!$EA$3:$EA$13</f>
            </numRef>
          </yVal>
          <smooth val="0"/>
        </ser>
        <ser>
          <idx val="18"/>
          <order val="18"/>
          <tx>
            <v>b_eff</v>
          </tx>
          <spPr>
            <a:ln xmlns:a="http://schemas.openxmlformats.org/drawingml/2006/main" w="15875">
              <a:solidFill>
                <a:srgbClr val="B3261E"/>
              </a:solidFill>
              <a:prstDash val="solid"/>
              <a:headEnd type="triangle" w="sm" len="sm"/>
              <a:tailEnd type="triangle" w="sm" len="sm"/>
            </a:ln>
          </spPr>
          <marker>
            <symbol val="none"/>
            <spPr>
              <a:ln xmlns:a="http://schemas.openxmlformats.org/drawingml/2006/main">
                <a:prstDash val="solid"/>
              </a:ln>
            </spPr>
          </marker>
          <xVal>
            <numRef>
              <f>'Geometry'!$EC$3:$EC$4</f>
            </numRef>
          </xVal>
          <yVal>
            <numRef>
              <f>'Geometry'!$ED$3:$ED$4</f>
            </numRef>
          </yVal>
          <smooth val="0"/>
        </ser>
        <ser>
          <idx val="19"/>
          <order val="19"/>
          <tx>
            <strRef>
              <f>'Geometry'!$EF$2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B3261E"/>
                    </a:solidFill>
                  </a:defRPr>
                </a:pPr>
                <a:r>
                  <a:t/>
                </a:r>
                <a:endParaRPr sz="800">
                  <a:solidFill>
                    <a:srgbClr val="B3261E"/>
                  </a:solidFill>
                </a:endParaRPr>
              </a:p>
            </txPr>
            <dLblPos val="t"/>
            <showLegendKey val="0"/>
            <showVal val="0"/>
            <showCatName val="0"/>
            <showSerName val="1"/>
            <showPercent val="0"/>
          </dLbls>
          <xVal>
            <numRef>
              <f>'Geometry'!$EF$3</f>
            </numRef>
          </xVal>
          <yVal>
            <numRef>
              <f>'Geometry'!$EG$3</f>
            </numRef>
          </yVal>
          <smooth val="0"/>
        </ser>
        <ser>
          <idx val="20"/>
          <order val="20"/>
          <tx>
            <strRef>
              <f>'Geometry'!$EI$2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b"/>
            <showLegendKey val="0"/>
            <showVal val="0"/>
            <showCatName val="0"/>
            <showSerName val="1"/>
            <showPercent val="0"/>
          </dLbls>
          <xVal>
            <numRef>
              <f>'Geometry'!$EI$3</f>
            </numRef>
          </xVal>
          <yVal>
            <numRef>
              <f>'Geometry'!$EJ$3</f>
            </numRef>
          </yVal>
          <smooth val="0"/>
        </ser>
        <ser>
          <idx val="21"/>
          <order val="21"/>
          <tx>
            <strRef>
              <f>'Geometry'!$EL$2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800">
                    <a:solidFill>
                      <a:srgbClr val="2B2B2B"/>
                    </a:solidFill>
                  </a:defRPr>
                </a:pPr>
                <a:r>
                  <a:t/>
                </a:r>
                <a:endParaRPr sz="800">
                  <a:solidFill>
                    <a:srgbClr val="2B2B2B"/>
                  </a:solidFill>
                </a:endParaRPr>
              </a:p>
            </txPr>
            <dLblPos val="t"/>
            <showLegendKey val="0"/>
            <showVal val="0"/>
            <showCatName val="0"/>
            <showSerName val="1"/>
            <showPercent val="0"/>
          </dLbls>
          <xVal>
            <numRef>
              <f>'Geometry'!$EL$3</f>
            </numRef>
          </xVal>
          <yVal>
            <numRef>
              <f>'Geometry'!$EM$3</f>
            </numRef>
          </yVal>
          <smooth val="0"/>
        </ser>
        <ser>
          <idx val="22"/>
          <order val="22"/>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'Geometry'!$EO$3:$EO$4</f>
            </numRef>
          </xVal>
          <yVal>
            <numRef>
              <f>'Geometry'!$EP$3:$EP$4</f>
            </numRef>
          </yVal>
          <smooth val="0"/>
        </ser>
        <ser>
          <idx val="23"/>
          <order val="23"/>
          <tx>
            <strRef>
              <f>'Geometry'!$ER$2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b"/>
            <showLegendKey val="0"/>
            <showVal val="0"/>
            <showCatName val="0"/>
            <showSerName val="1"/>
            <showPercent val="0"/>
          </dLbls>
          <xVal>
            <numRef>
              <f>'Geometry'!$ER$3</f>
            </numRef>
          </xVal>
          <yVal>
            <numRef>
              <f>'Geometry'!$ES$3</f>
            </numRef>
          </yVal>
          <smooth val="0"/>
        </ser>
        <ser>
          <idx val="24"/>
          <order val="24"/>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'Geometry'!$EU$3:$EU$4</f>
            </numRef>
          </xVal>
          <yVal>
            <numRef>
              <f>'Geometry'!$EV$3:$EV$4</f>
            </numRef>
          </yVal>
          <smooth val="0"/>
        </ser>
        <ser>
          <idx val="25"/>
          <order val="25"/>
          <tx>
            <strRef>
              <f>'Geometry'!$EX$2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r"/>
            <showLegendKey val="0"/>
            <showVal val="0"/>
            <showCatName val="0"/>
            <showSerName val="1"/>
            <showPercent val="0"/>
          </dLbls>
          <xVal>
            <numRef>
              <f>'Geometry'!$EX$3</f>
            </numRef>
          </xVal>
          <yVal>
            <numRef>
              <f>'Geometry'!$EY$3</f>
            </numRef>
          </yVal>
          <smooth val="0"/>
        </ser>
        <ser>
          <idx val="26"/>
          <order val="26"/>
          <tx>
            <v>dim</v>
          </tx>
          <spPr>
            <a:ln xmlns:a="http://schemas.openxmlformats.org/drawingml/2006/main" w="9525">
              <a:solidFill>
                <a:srgbClr val="2B2B2B"/>
              </a:solidFill>
              <a:prstDash val="solid"/>
              <a:headEnd type="triangle" w="sm" len="sm"/>
              <a:tailEnd type="triangle" w="sm" len="sm"/>
            </a:ln>
          </spPr>
          <marker>
            <symbol val="none"/>
            <spPr>
              <a:ln xmlns:a="http://schemas.openxmlformats.org/drawingml/2006/main">
                <a:prstDash val="solid"/>
              </a:ln>
            </spPr>
          </marker>
          <xVal>
            <numRef>
              <f>'Geometry'!$FA$3:$FA$4</f>
            </numRef>
          </xVal>
          <yVal>
            <numRef>
              <f>'Geometry'!$FB$3:$FB$4</f>
            </numRef>
          </yVal>
          <smooth val="0"/>
        </ser>
        <ser>
          <idx val="27"/>
          <order val="27"/>
          <tx>
            <strRef>
              <f>'Geometry'!$FD$2</f>
            </strRef>
          </tx>
          <spPr>
            <a:ln xmlns:a="http://schemas.openxmlformats.org/drawingml/2006/main">
              <a:noFill/>
              <a:prstDash val="solid"/>
            </a:ln>
          </spPr>
          <marker>
            <symbol val="none"/>
            <spPr>
              <a:ln xmlns:a="http://schemas.openxmlformats.org/drawingml/2006/main">
                <a:prstDash val="solid"/>
              </a:ln>
            </spPr>
          </marker>
          <dLbls>
            <spPr>
              <a:solidFill xmlns:a="http://schemas.openxmlformats.org/drawingml/2006/main">
                <a:srgbClr val="FFFFFF"/>
              </a:solidFill>
              <a:ln xmlns:a="http://schemas.openxmlformats.org/drawingml/2006/main">
                <a:prstDash val="solid"/>
              </a:ln>
            </spPr>
            <txPr>
              <a:bodyPr xmlns:a="http://schemas.openxmlformats.org/drawingml/2006/main"/>
              <a:p xmlns:a="http://schemas.openxmlformats.org/drawingml/2006/main">
                <a:pPr>
                  <a:defRPr sz="900">
                    <a:solidFill>
                      <a:srgbClr val="2B2B2B"/>
                    </a:solidFill>
                  </a:defRPr>
                </a:pPr>
                <a:r>
                  <a:t/>
                </a:r>
                <a:endParaRPr sz="900">
                  <a:solidFill>
                    <a:srgbClr val="2B2B2B"/>
                  </a:solidFill>
                </a:endParaRPr>
              </a:p>
            </txPr>
            <dLblPos val="l"/>
            <showLegendKey val="0"/>
            <showVal val="0"/>
            <showCatName val="0"/>
            <showSerName val="1"/>
            <showPercent val="0"/>
          </dLbls>
          <xVal>
            <numRef>
              <f>'Geometry'!$FD$3</f>
            </numRef>
          </xVal>
          <yVal>
            <numRef>
              <f>'Geometry'!$FE$3</f>
            </numRef>
          </yVal>
          <smooth val="0"/>
        </ser>
        <ser>
          <idx val="28"/>
          <order val="28"/>
          <tx>
            <v>frame</v>
          </tx>
          <spPr>
            <a:ln xmlns:a="http://schemas.openxmlformats.org/drawingml/2006/main">
              <a:noFill/>
              <a:prstDash val="solid"/>
            </a:ln>
          </spPr>
          <marker>
            <symbol val="none"/>
            <spPr>
              <a:ln xmlns:a="http://schemas.openxmlformats.org/drawingml/2006/main">
                <a:prstDash val="solid"/>
              </a:ln>
            </spPr>
          </marker>
          <xVal>
            <numRef>
              <f>'Geometry'!$FG$3:$FG$4</f>
            </numRef>
          </xVal>
          <yVal>
            <numRef>
              <f>'Geometry'!$FH$3:$FH$4</f>
            </numRef>
          </yVal>
          <smooth val="0"/>
        </ser>
        <axId val="10"/>
        <axId val="20"/>
      </scatterChart>
      <valAx>
        <axId val="10"/>
        <scaling>
          <orientation val="minMax"/>
        </scaling>
        <delete val="1"/>
        <axPos val="l"/>
        <majorTickMark val="none"/>
        <minorTickMark val="none"/>
        <crossAx val="20"/>
      </valAx>
      <valAx>
        <axId val="20"/>
        <scaling>
          <orientation val="minMax"/>
        </scaling>
        <delete val="1"/>
        <axPos val="l"/>
        <majorTickMark val="none"/>
        <minorTickMark val="none"/>
        <crossAx val="10"/>
      </valAx>
    </plotArea>
    <plotVisOnly val="1"/>
    <dispBlanksAs val="gap"/>
  </chart>
  <spPr>
    <a:ln xmlns:a="http://schemas.openxmlformats.org/drawingml/2006/main">
      <a:noFill/>
      <a:prstDash val="solid"/>
    </a:ln>
  </spPr>
</chartSpace>
</file>

<file path=xl/drawings/_rels/drawing1.xml.rels><Relationships xmlns="http://schemas.openxmlformats.org/package/2006/relationships"><Relationship Type="http://schemas.openxmlformats.org/officeDocument/2006/relationships/image" Target="/xl/media/image1.png" Id="rId1"/></Relationships>
</file>

<file path=xl/drawings/_rels/drawing2.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 Type="http://schemas.openxmlformats.org/officeDocument/2006/relationships/image" Target="/xl/media/image2.png" Id="rId3"/></Relationships>
</file>

<file path=xl/drawings/drawing1.xml><?xml version="1.0" encoding="utf-8"?>
<wsDr xmlns="http://schemas.openxmlformats.org/drawingml/2006/spreadsheetDrawing">
  <oneCellAnchor>
    <from>
      <col>1</col>
      <colOff>0</colOff>
      <row>1</row>
      <rowOff>0</rowOff>
    </from>
    <ext cx="2847975" cy="6096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wsDr>
</file>

<file path=xl/drawings/drawing2.xml><?xml version="1.0" encoding="utf-8"?>
<wsDr xmlns="http://schemas.openxmlformats.org/drawingml/2006/spreadsheetDrawing">
  <oneCellAnchor>
    <from>
      <col>2</col>
      <colOff>0</colOff>
      <row>52</row>
      <rowOff>0</rowOff>
    </from>
    <ext cx="4185000" cy="270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2</col>
      <colOff>0</colOff>
      <row>69</row>
      <rowOff>0</rowOff>
    </from>
    <ext cx="4185000" cy="270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oneCellAnchor>
    <from>
      <col>1</col>
      <colOff>0</colOff>
      <row>1</row>
      <rowOff>0</rowOff>
    </from>
    <ext cx="1514475" cy="32385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naengineering.uk" TargetMode="External" Id="rId1"/><Relationship Type="http://schemas.openxmlformats.org/officeDocument/2006/relationships/hyperlink" Target="mailto:adrian@naengineering.uk" TargetMode="External" Id="rId2"/><Relationship Type="http://schemas.openxmlformats.org/officeDocument/2006/relationships/hyperlink" Target="https://www.linkedin.com/company/naengineering" TargetMode="External" Id="rId3"/><Relationship Type="http://schemas.openxmlformats.org/officeDocument/2006/relationships/drawing" Target="/xl/drawings/drawing1.xml" Id="rId4"/></Relationships>
</file>

<file path=xl/worksheets/_rels/sheet2.xml.rels><Relationships xmlns="http://schemas.openxmlformats.org/package/2006/relationships"><Relationship Type="http://schemas.openxmlformats.org/officeDocument/2006/relationships/drawing" Target="/xl/drawings/drawing2.xml" Id="rId1"/></Relationships>
</file>

<file path=xl/worksheets/sheet1.xml><?xml version="1.0" encoding="utf-8"?>
<worksheet xmlns="http://schemas.openxmlformats.org/spreadsheetml/2006/main">
  <sheetPr>
    <outlinePr summaryBelow="1" summaryRight="1"/>
    <pageSetUpPr fitToPage="1"/>
  </sheetPr>
  <dimension ref="A1:D38"/>
  <sheetViews>
    <sheetView showGridLines="0" tabSelected="0" workbookViewId="0">
      <selection activeCell="A1" sqref="A1"/>
    </sheetView>
  </sheetViews>
  <sheetFormatPr baseColWidth="8" defaultRowHeight="15"/>
  <cols>
    <col width="4" customWidth="1" min="1" max="1"/>
    <col width="24" customWidth="1" min="2" max="2"/>
    <col width="78" customWidth="1" min="3" max="3"/>
    <col width="4" customWidth="1" min="4" max="4"/>
  </cols>
  <sheetData>
    <row r="1" ht="14" customHeight="1">
      <c r="A1" s="1" t="n"/>
      <c r="B1" s="1" t="n"/>
      <c r="C1" s="1" t="n"/>
      <c r="D1" s="1" t="n"/>
    </row>
    <row r="2" ht="50" customHeight="1">
      <c r="A2" s="1" t="n"/>
      <c r="B2" s="1" t="n"/>
      <c r="C2" s="1" t="n"/>
      <c r="D2" s="1" t="n"/>
    </row>
    <row r="3" ht="14" customHeight="1">
      <c r="A3" s="1" t="n"/>
      <c r="B3" s="1" t="n"/>
      <c r="C3" s="1" t="n"/>
      <c r="D3" s="1" t="n"/>
    </row>
    <row r="4" ht="18" customHeight="1">
      <c r="A4" s="1" t="n"/>
      <c r="B4" s="1" t="n"/>
      <c r="C4" s="2" t="inlineStr">
        <is>
          <t>Structural design  ·  RC modelling &amp; detailing  ·  Steel detailing</t>
        </is>
      </c>
      <c r="D4" s="1" t="n"/>
    </row>
    <row r="5" ht="10" customHeight="1">
      <c r="A5" s="1" t="n"/>
      <c r="B5" s="1" t="n"/>
      <c r="C5" s="1" t="n"/>
      <c r="D5" s="1" t="n"/>
    </row>
    <row r="7" ht="36" customHeight="1">
      <c r="B7" s="3" t="inlineStr">
        <is>
          <t>Ribbed slab</t>
        </is>
      </c>
    </row>
    <row r="8" ht="20" customHeight="1">
      <c r="B8" s="4" t="inlineStr">
        <is>
          <t>One-way ribbed slab, one rib as a T-beam  ·  EN 1992-1-1 §5.3.2, §6.1, §6.2, §7.4, §9.2  ·  UK NA / PN-EN</t>
        </is>
      </c>
    </row>
    <row r="10">
      <c r="B10" s="5" t="inlineStr">
        <is>
          <t>Reference</t>
        </is>
      </c>
      <c r="C10" s="6" t="inlineStr">
        <is>
          <t>NAE-RC-021  ·  version 1.0</t>
        </is>
      </c>
    </row>
    <row r="11" ht="31" customHeight="1">
      <c r="B11" s="5" t="inlineStr">
        <is>
          <t>Standards</t>
        </is>
      </c>
      <c r="C11" s="7" t="inlineStr">
        <is>
          <t>BS EN 1992-1-1:2004 with UK NA  ·  PN-EN 1992-1-1:2008 with Polish NA (NDP sources listed on the NDP sheet)</t>
        </is>
      </c>
    </row>
    <row r="12">
      <c r="B12" s="5" t="inlineStr">
        <is>
          <t>National Annex</t>
        </is>
      </c>
      <c r="C12" s="6" t="inlineStr">
        <is>
          <t>Selectable: UK NA to BS EN 1992-1-1 or Polish NA to PN-EN 1992-1-1</t>
        </is>
      </c>
    </row>
    <row r="13">
      <c r="B13" s="5" t="inlineStr">
        <is>
          <t>Issued</t>
        </is>
      </c>
      <c r="C13" s="6" t="inlineStr">
        <is>
          <t>30 October 2026</t>
        </is>
      </c>
    </row>
    <row r="15" ht="20" customHeight="1">
      <c r="B15" s="8" t="inlineStr">
        <is>
          <t>What it does</t>
        </is>
      </c>
      <c r="C15" s="9" t="n"/>
    </row>
    <row r="16" ht="62" customHeight="1">
      <c r="B16" s="7" t="inlineStr">
        <is>
          <t>Design of one rib of a one-way ribbed slab as a T-beam: design moments and shears per rib for a simply supported or continuous span, the effective flange width, span bending with the flange in compression, support bending with the rib in compression, shear in the rib with or without links, longitudinal shear between the rib and the topping, deflection by the span to depth ratio and the detailing of the rib and the topping.</t>
        </is>
      </c>
    </row>
    <row r="18" ht="20" customHeight="1">
      <c r="B18" s="8" t="inlineStr">
        <is>
          <t>How to use</t>
        </is>
      </c>
      <c r="C18" s="9" t="n"/>
    </row>
    <row r="19" ht="47.5" customHeight="1">
      <c r="B19" s="7" t="inlineStr">
        <is>
          <t>1.  Open the Calculation sheet and select the National Annex.
2.  Fill in the shaded input cells. Everything else is calculated.
3.  Read the Results block; every step below it quotes its clause. Print or save as PDF for your calculation package.</t>
        </is>
      </c>
    </row>
    <row r="21" ht="20" customHeight="1">
      <c r="B21" s="8" t="inlineStr">
        <is>
          <t>Scope and limitations</t>
        </is>
      </c>
      <c r="C21" s="9" t="n"/>
    </row>
    <row r="22" ht="395.5" customHeight="1">
      <c r="B22" s="7" t="inlineStr">
        <is>
          <t>Uniformly loaded one-way ribbed slab, constant rectangular ribs (tapered ribs: enter the smallest width and add the extra concrete to gk), solid zones and trough formers not modelled. Simply supported spans from statics; continuous spans from the coefficients for beams of Concise Eurocode 2 Table 15.3 (all and alternate spans loaded, 15 % redistribution at the supports, δ = 0.85), which apply only where Qk ≤ Gk, the load is substantially uniform and there are at least three spans (two-span option: support 0.106, shear 0.63) with the shortest ≥ 0.85 the longest: Qk ≤ Gk is checked and the rest must be confirmed with the input provided, otherwise every coefficient result fails. The coefficient method is a UK simplification of a redistributed linear analysis (5.5); its use under the PL annex is the designer's decision. Interior spans take 0.55 for the shears (the five-span centre span value). Effective flange width by 5.3.2.1 with l0 of Figure 5.2 (0.85 l end span, 0.7 l interior, 0.15 (l1 + l2) ≈ 0.3 l at a support). Rectangular stress block (λ = 0.8, η = 1), no compression bars; where the block runs below the topping the flange and the rib are taken separately. The top bars are designed in the rib width (rib in compression), lie under both layers of the mesh and are spread evenly over the effective flange width at the support (9.2.1.2(2)); at an outer support they are designed for 25 % of the span moment (9.2.1.2(1), UK NA value, applied to both annexes: the recommended value is 0.15), always with As,min. Shear at the support centreline (conservative): without links VRd,c (6.2.2) with the bars in tension there, assumed anchored beyond the section; minimum links are omitted (6.2.1(4)) only where the slab meets 5.3.1(6), transverse ribs included, so that the load can redistribute transversely; otherwise, and where VEd &gt; VRd,c, two-leg links by the variable strut method (6.2.3) with the longitudinal and transverse spacing limits of 9.2.2. Longitudinal shear in the topping (6.2.4): the compression flange in the span, from the outstand force of the stress block at the largest moment and at 0.75 of it (parabolic moment, Δx = l0/4), and the tension flange at each continuous support, from the support moment and shear of the coefficients (contraflexure point, Δx half of that distance), with θf = 45° and the relaxation of 6.2.4(6) not used (both conservative); the mesh is the transverse steel. Deflection by (7.16) with ρ on the concrete above the tension bars (Concise EC2 10.5.2), the flanged-section factor (0.8 for beff/bw ≥ 3, interpolated below), the 7/l and steel stress factors. Concrete classes up to C50/60, fyk ≤ 500 MPa; spans of at least 3 h (shorter: a deep beam, 5.3.1(3)). Enter the design span: for Table 15.3 the largest of the spans. The design of transverse ribs, the topping spanning between the ribs under point loads, crack widths, fire (Table 5.9 / 5.11 of EN 1992-1-2) and openings are separate checks.
The second-generation EN 1992-1-1:2023 is not yet implemented.</t>
        </is>
      </c>
    </row>
    <row r="24" ht="20" customHeight="1">
      <c r="B24" s="8" t="inlineStr">
        <is>
          <t>Further reading and independent cross-check</t>
        </is>
      </c>
      <c r="C24" s="9" t="n"/>
    </row>
    <row r="25" ht="105.5" customHeight="1">
      <c r="B25" s="10" t="inlineStr">
        <is>
          <t>•  The Concrete Centre, How to design concrete structures using Eurocode 2: Slabs (ribbed slabs) and Beams (flanged beams).
•  The Concrete Centre, Concise Eurocode 2, Table 15.3 and section 10.5.
•  The Concrete Centre, RC Spreadsheets v4, TCC32 Ribbed slabs (licensed product) can be used as an independent cross-check.
NA Engineering is not affiliated with The Concrete Centre or CIRIA; their publications are referenced for information only.</t>
        </is>
      </c>
    </row>
    <row r="27" ht="20" customHeight="1">
      <c r="B27" s="8" t="inlineStr">
        <is>
          <t>About NA Engineering</t>
        </is>
      </c>
      <c r="C27" s="9" t="n"/>
    </row>
    <row r="28" ht="62" customHeight="1">
      <c r="B28" s="7" t="inlineStr">
        <is>
          <t>NA Engineering is a structural engineering consultancy delivering structural design, reinforced concrete modelling and detailing, and steel detailing for residential, commercial, infrastructure, energy and refurbishment projects. We share tools like this one because good engineering should be transparent: every formula here is visible and referenced. If you need a design, a check or a full detailing package, talk to us.</t>
        </is>
      </c>
    </row>
    <row r="29">
      <c r="B29" s="11" t="inlineStr">
        <is>
          <t>Website</t>
        </is>
      </c>
      <c r="C29" s="12" t="inlineStr">
        <is>
          <t>naengineering.uk</t>
        </is>
      </c>
    </row>
    <row r="30">
      <c r="B30" s="11" t="inlineStr">
        <is>
          <t>Email</t>
        </is>
      </c>
      <c r="C30" s="12" t="inlineStr">
        <is>
          <t>adrian@naengineering.uk</t>
        </is>
      </c>
    </row>
    <row r="31">
      <c r="B31" s="11" t="inlineStr">
        <is>
          <t>Phone</t>
        </is>
      </c>
      <c r="C31" s="6" t="inlineStr">
        <is>
          <t>+48 505 844 422</t>
        </is>
      </c>
    </row>
    <row r="32">
      <c r="B32" s="11" t="inlineStr">
        <is>
          <t>LinkedIn</t>
        </is>
      </c>
      <c r="C32" s="12" t="inlineStr">
        <is>
          <t>linkedin.com/company/naengineering</t>
        </is>
      </c>
    </row>
    <row r="34" ht="20" customHeight="1">
      <c r="B34" s="8" t="inlineStr">
        <is>
          <t>Disclaimer</t>
        </is>
      </c>
      <c r="C34" s="9" t="n"/>
    </row>
    <row r="35" ht="76.5" customHeight="1">
      <c r="B35" s="13" t="inlineStr">
        <is>
          <t>This spreadsheet is provided free of charge, as is, for use by competent engineers. It does not replace engineering judgement. The user is responsible for the input, for checking that the method suits the element being designed and for verifying the results. NA Engineering accepts no liability for any loss arising from its use. Sheets are password-protected and the workbook structure is locked so that the formulas and the NA Engineering details cannot be changed; only the shaded input cells can be edited.</t>
        </is>
      </c>
    </row>
    <row r="37" ht="20" customHeight="1">
      <c r="B37" s="8" t="inlineStr">
        <is>
          <t>Revision history</t>
        </is>
      </c>
      <c r="C37" s="9" t="n"/>
    </row>
    <row r="38">
      <c r="B38" s="5" t="inlineStr">
        <is>
          <t>v1.0</t>
        </is>
      </c>
      <c r="C38" s="6" t="inlineStr">
        <is>
          <t>30 Oct 2026  ·  First issue</t>
        </is>
      </c>
    </row>
  </sheetData>
  <sheetProtection selectLockedCells="0" selectUnlockedCells="0" sheet="1" objects="1" insertRows="1" insertHyperlinks="1" autoFilter="1" scenarios="0" formatColumns="1" deleteColumns="1" insertColumns="1" pivotTables="1" deleteRows="1" formatCells="1" formatRows="1" sort="1" password="AA0A"/>
  <mergeCells count="6">
    <mergeCell ref="B16:C16"/>
    <mergeCell ref="B25:C25"/>
    <mergeCell ref="B19:C19"/>
    <mergeCell ref="B28:C28"/>
    <mergeCell ref="B22:C22"/>
    <mergeCell ref="B35:C35"/>
  </mergeCells>
  <hyperlinks>
    <hyperlink xmlns:r="http://schemas.openxmlformats.org/officeDocument/2006/relationships" ref="C29" r:id="rId1"/>
    <hyperlink xmlns:r="http://schemas.openxmlformats.org/officeDocument/2006/relationships" ref="C30" r:id="rId2"/>
    <hyperlink xmlns:r="http://schemas.openxmlformats.org/officeDocument/2006/relationships" ref="C32" r:id="rId3"/>
  </hyperlinks>
  <printOptions horizontalCentered="1"/>
  <pageMargins left="0.4" right="0.4" top="0.4" bottom="0.6" header="0.5" footer="0.5"/>
  <pageSetup orientation="portrait" paperSize="9" fitToHeight="1" fitToWidth="1"/>
  <headerFooter>
    <oddHeader/>
    <oddFooter>&amp;L&amp;7 &amp;K8A8A8ANA Engineering sp. z o.o.  ·  naengineering.uk  ·  adrian@naengineering.uk  ·  +48 505 844 422&amp;C&amp;7 &amp;K8A8A8A&amp;P / &amp;N&amp;R&amp;7 &amp;K8A8A8ANAE-RC-021  v1.0</oddFooter>
    <evenHeader/>
    <evenFooter/>
    <firstHeader/>
    <firstFooter/>
  </headerFooter>
  <drawing xmlns:r="http://schemas.openxmlformats.org/officeDocument/2006/relationships" r:id="rId4"/>
</worksheet>
</file>

<file path=xl/worksheets/sheet2.xml><?xml version="1.0" encoding="utf-8"?>
<worksheet xmlns="http://schemas.openxmlformats.org/spreadsheetml/2006/main">
  <sheetPr>
    <outlinePr summaryBelow="1" summaryRight="1"/>
    <pageSetUpPr fitToPage="1"/>
  </sheetPr>
  <dimension ref="A1:H205"/>
  <sheetViews>
    <sheetView showGridLines="0" tabSelected="1" workbookViewId="0">
      <selection activeCell="A1" sqref="A1"/>
    </sheetView>
  </sheetViews>
  <sheetFormatPr baseColWidth="8" defaultRowHeight="15"/>
  <cols>
    <col width="2.5" customWidth="1" min="1" max="1"/>
    <col width="11" customWidth="1" min="2" max="2"/>
    <col width="46" customWidth="1" min="3" max="3"/>
    <col width="10" customWidth="1" min="4" max="4"/>
    <col width="13" customWidth="1" min="5" max="5"/>
    <col width="8" customWidth="1" min="6" max="6"/>
    <col width="22" customWidth="1" min="7" max="7"/>
    <col width="2.5" customWidth="1" min="8" max="8"/>
  </cols>
  <sheetData>
    <row r="1" ht="8" customHeight="1">
      <c r="A1" s="1" t="n"/>
      <c r="B1" s="1" t="n"/>
      <c r="C1" s="1" t="n"/>
      <c r="D1" s="1" t="n"/>
      <c r="E1" s="1" t="n"/>
      <c r="F1" s="1" t="n"/>
      <c r="G1" s="1" t="n"/>
      <c r="H1" s="1" t="n"/>
    </row>
    <row r="2" ht="30" customHeight="1">
      <c r="A2" s="1" t="n"/>
      <c r="B2" s="1" t="n"/>
      <c r="C2" s="1" t="n"/>
      <c r="D2" s="14" t="inlineStr">
        <is>
          <t>Ribbed slab</t>
        </is>
      </c>
      <c r="H2" s="1" t="n"/>
    </row>
    <row r="3" ht="16" customHeight="1">
      <c r="A3" s="1" t="n"/>
      <c r="B3" s="1" t="n"/>
      <c r="C3" s="15" t="inlineStr">
        <is>
          <t>NAE-RC-021 v1.0  ·  naengineering.uk  ·  adrian@naengineering.uk  ·  +48 505 844 422</t>
        </is>
      </c>
      <c r="H3" s="1" t="n"/>
    </row>
    <row r="5">
      <c r="B5" s="16" t="inlineStr">
        <is>
          <t>Project</t>
        </is>
      </c>
      <c r="C5" s="17" t="n"/>
      <c r="D5" s="18" t="inlineStr">
        <is>
          <t>Job no.</t>
        </is>
      </c>
      <c r="E5" s="17" t="n"/>
    </row>
    <row r="6">
      <c r="B6" s="16" t="inlineStr">
        <is>
          <t>Element</t>
        </is>
      </c>
      <c r="C6" s="17" t="n"/>
      <c r="D6" s="18" t="inlineStr">
        <is>
          <t>Made by</t>
        </is>
      </c>
      <c r="E6" s="17" t="n"/>
    </row>
    <row r="7">
      <c r="B7" s="16" t="inlineStr">
        <is>
          <t>Date</t>
        </is>
      </c>
      <c r="C7" s="19" t="n"/>
      <c r="D7" s="18" t="inlineStr">
        <is>
          <t>Checked</t>
        </is>
      </c>
      <c r="E7" s="17" t="n"/>
    </row>
    <row r="10" ht="22" customHeight="1">
      <c r="B10" s="20" t="inlineStr">
        <is>
          <t>Inputs  ·  slab and reinforcement</t>
        </is>
      </c>
      <c r="C10" s="21" t="n"/>
      <c r="D10" s="21" t="n"/>
      <c r="E10" s="21" t="n"/>
      <c r="F10" s="21" t="n"/>
      <c r="G10" s="22" t="inlineStr">
        <is>
          <t>Shaded cells only</t>
        </is>
      </c>
    </row>
    <row r="11" ht="17" customHeight="1">
      <c r="B11" s="23" t="n"/>
      <c r="C11" s="24" t="inlineStr">
        <is>
          <t>National Annex</t>
        </is>
      </c>
      <c r="D11" s="23" t="n"/>
      <c r="E11" s="25" t="inlineStr">
        <is>
          <t>UK NA (BS EN)</t>
        </is>
      </c>
      <c r="F11" s="23" t="n"/>
      <c r="G11" s="23" t="n"/>
    </row>
    <row r="12" ht="17" customHeight="1">
      <c r="B12" s="26" t="inlineStr">
        <is>
          <t>Table 3.1</t>
        </is>
      </c>
      <c r="C12" s="24" t="inlineStr">
        <is>
          <t>Concrete strength class</t>
        </is>
      </c>
      <c r="D12" s="23" t="n"/>
      <c r="E12" s="25" t="inlineStr">
        <is>
          <t>C32/40</t>
        </is>
      </c>
      <c r="F12" s="23" t="n"/>
      <c r="G12" s="23" t="n"/>
    </row>
    <row r="13" ht="17" customHeight="1">
      <c r="B13" s="26" t="inlineStr">
        <is>
          <t>3.2.2</t>
        </is>
      </c>
      <c r="C13" s="24" t="inlineStr">
        <is>
          <t>Reinforcement characteristic yield strength  (≤ 500 MPa, bars and links)</t>
        </is>
      </c>
      <c r="D13" s="27" t="inlineStr">
        <is>
          <r>
            <rPr>
              <rFont val="Calibri"/>
              <i val="1"/>
              <color rgb="002B2B2B"/>
              <sz val="10"/>
            </rPr>
            <t>f</t>
          </r>
          <r>
            <rPr>
              <rFont val="Calibri"/>
              <i val="1"/>
              <color rgb="002B2B2B"/>
              <sz val="10"/>
              <vertAlign val="subscript"/>
            </rPr>
            <t>yk</t>
          </r>
        </is>
      </c>
      <c r="E13" s="25" t="n">
        <v>500</v>
      </c>
      <c r="F13" s="28" t="inlineStr">
        <is>
          <t>MPa</t>
        </is>
      </c>
      <c r="G13" s="23" t="n"/>
    </row>
    <row r="14" ht="17" customHeight="1">
      <c r="B14" s="26" t="inlineStr">
        <is>
          <t>8.2(2)</t>
        </is>
      </c>
      <c r="C14" s="24" t="inlineStr">
        <is>
          <t>Maximum aggregate size</t>
        </is>
      </c>
      <c r="D14" s="27" t="inlineStr">
        <is>
          <r>
            <rPr>
              <rFont val="Calibri"/>
              <i val="1"/>
              <color rgb="002B2B2B"/>
              <sz val="10"/>
            </rPr>
            <t>d</t>
          </r>
          <r>
            <rPr>
              <rFont val="Calibri"/>
              <i val="1"/>
              <color rgb="002B2B2B"/>
              <sz val="10"/>
              <vertAlign val="subscript"/>
            </rPr>
            <t>g</t>
          </r>
        </is>
      </c>
      <c r="E14" s="25" t="n">
        <v>20</v>
      </c>
      <c r="F14" s="28" t="inlineStr">
        <is>
          <t>mm</t>
        </is>
      </c>
      <c r="G14" s="23" t="n"/>
    </row>
    <row r="15" ht="17" customHeight="1">
      <c r="B15" s="23" t="n"/>
      <c r="C15" s="24" t="inlineStr">
        <is>
          <t>Span type</t>
        </is>
      </c>
      <c r="D15" s="23" t="n"/>
      <c r="E15" s="25" t="inlineStr">
        <is>
          <t>Interior span</t>
        </is>
      </c>
      <c r="F15" s="23" t="n"/>
      <c r="G15" s="26" t="inlineStr">
        <is>
          <t>Continuous: Concise EC2 Table 15.3</t>
        </is>
      </c>
    </row>
    <row r="16" ht="17" customHeight="1">
      <c r="B16" s="23" t="n"/>
      <c r="C16" s="24" t="inlineStr">
        <is>
          <t>Table 15.3 conditions met  (≥ 3 similar spans or 2 spans, uniform load)</t>
        </is>
      </c>
      <c r="D16" s="23" t="n"/>
      <c r="E16" s="25" t="inlineStr">
        <is>
          <t>Yes</t>
        </is>
      </c>
      <c r="F16" s="23" t="n"/>
      <c r="G16" s="26" t="inlineStr">
        <is>
          <t>Continuous spans only</t>
        </is>
      </c>
    </row>
    <row r="17" ht="17" customHeight="1">
      <c r="B17" s="26" t="inlineStr">
        <is>
          <t>5.3.2.2</t>
        </is>
      </c>
      <c r="C17" s="24" t="inlineStr">
        <is>
          <t>Effective span  (Table 15.3: the largest span)</t>
        </is>
      </c>
      <c r="D17" s="27" t="inlineStr">
        <is>
          <r>
            <rPr>
              <rFont val="Calibri"/>
              <i val="1"/>
              <color rgb="002B2B2B"/>
              <sz val="10"/>
            </rPr>
            <t>l</t>
          </r>
        </is>
      </c>
      <c r="E17" s="25" t="n">
        <v>7500</v>
      </c>
      <c r="F17" s="28" t="inlineStr">
        <is>
          <t>mm</t>
        </is>
      </c>
      <c r="G17" s="23" t="n"/>
    </row>
    <row r="18" ht="17" customHeight="1">
      <c r="B18" s="23" t="n"/>
      <c r="C18" s="24" t="inlineStr">
        <is>
          <t>Rib spacing  (centres)</t>
        </is>
      </c>
      <c r="D18" s="27" t="inlineStr">
        <is>
          <r>
            <rPr>
              <rFont val="Calibri"/>
              <i val="1"/>
              <color rgb="002B2B2B"/>
              <sz val="10"/>
            </rPr>
            <t>s</t>
          </r>
        </is>
      </c>
      <c r="E18" s="25" t="n">
        <v>750</v>
      </c>
      <c r="F18" s="28" t="inlineStr">
        <is>
          <t>mm</t>
        </is>
      </c>
      <c r="G18" s="23" t="n"/>
    </row>
    <row r="19" ht="17" customHeight="1">
      <c r="B19" s="23" t="n"/>
      <c r="C19" s="24" t="inlineStr">
        <is>
          <t>Rib width</t>
        </is>
      </c>
      <c r="D19" s="27" t="inlineStr">
        <is>
          <r>
            <rPr>
              <rFont val="Calibri"/>
              <i val="1"/>
              <color rgb="002B2B2B"/>
              <sz val="10"/>
            </rPr>
            <t>b</t>
          </r>
          <r>
            <rPr>
              <rFont val="Calibri"/>
              <i val="1"/>
              <color rgb="002B2B2B"/>
              <sz val="10"/>
              <vertAlign val="subscript"/>
            </rPr>
            <t>w</t>
          </r>
        </is>
      </c>
      <c r="E19" s="25" t="n">
        <v>150</v>
      </c>
      <c r="F19" s="28" t="inlineStr">
        <is>
          <t>mm</t>
        </is>
      </c>
      <c r="G19" s="26" t="inlineStr">
        <is>
          <t>Tapered: smallest width</t>
        </is>
      </c>
    </row>
    <row r="20" ht="17" customHeight="1">
      <c r="B20" s="23" t="n"/>
      <c r="C20" s="24" t="inlineStr">
        <is>
          <t>Overall depth</t>
        </is>
      </c>
      <c r="D20" s="27" t="inlineStr">
        <is>
          <r>
            <rPr>
              <rFont val="Calibri"/>
              <i val="1"/>
              <color rgb="002B2B2B"/>
              <sz val="10"/>
            </rPr>
            <t>h</t>
          </r>
        </is>
      </c>
      <c r="E20" s="25" t="n">
        <v>350</v>
      </c>
      <c r="F20" s="28" t="inlineStr">
        <is>
          <t>mm</t>
        </is>
      </c>
      <c r="G20" s="23" t="n"/>
    </row>
    <row r="21" ht="17" customHeight="1">
      <c r="B21" s="23" t="n"/>
      <c r="C21" s="24" t="inlineStr">
        <is>
          <t>Topping thickness  (flange)</t>
        </is>
      </c>
      <c r="D21" s="27" t="inlineStr">
        <is>
          <r>
            <rPr>
              <rFont val="Calibri"/>
              <i val="1"/>
              <color rgb="002B2B2B"/>
              <sz val="10"/>
            </rPr>
            <t>h</t>
          </r>
          <r>
            <rPr>
              <rFont val="Calibri"/>
              <i val="1"/>
              <color rgb="002B2B2B"/>
              <sz val="10"/>
              <vertAlign val="subscript"/>
            </rPr>
            <t>f</t>
          </r>
        </is>
      </c>
      <c r="E21" s="25" t="n">
        <v>100</v>
      </c>
      <c r="F21" s="28" t="inlineStr">
        <is>
          <t>mm</t>
        </is>
      </c>
      <c r="G21" s="23" t="n"/>
    </row>
    <row r="22" ht="17" customHeight="1">
      <c r="B22" s="26" t="inlineStr">
        <is>
          <t>4.4.1</t>
        </is>
      </c>
      <c r="C22" s="24" t="inlineStr">
        <is>
          <t>Nominal cover  (to the links or the outer bars)</t>
        </is>
      </c>
      <c r="D22" s="27" t="inlineStr">
        <is>
          <r>
            <rPr>
              <rFont val="Calibri"/>
              <i val="1"/>
              <color rgb="002B2B2B"/>
              <sz val="10"/>
            </rPr>
            <t>c</t>
          </r>
          <r>
            <rPr>
              <rFont val="Calibri"/>
              <i val="1"/>
              <color rgb="002B2B2B"/>
              <sz val="10"/>
              <vertAlign val="subscript"/>
            </rPr>
            <t>nom</t>
          </r>
        </is>
      </c>
      <c r="E22" s="25" t="n">
        <v>25</v>
      </c>
      <c r="F22" s="28" t="inlineStr">
        <is>
          <t>mm</t>
        </is>
      </c>
      <c r="G22" s="23" t="n"/>
    </row>
    <row r="23" ht="17" customHeight="1">
      <c r="B23" s="23" t="n"/>
      <c r="C23" s="24" t="inlineStr">
        <is>
          <t>Bottom bars per rib: number</t>
        </is>
      </c>
      <c r="D23" s="27" t="inlineStr">
        <is>
          <r>
            <rPr>
              <rFont val="Calibri"/>
              <i val="1"/>
              <color rgb="002B2B2B"/>
              <sz val="10"/>
            </rPr>
            <t>n</t>
          </r>
          <r>
            <rPr>
              <rFont val="Calibri"/>
              <i val="1"/>
              <color rgb="002B2B2B"/>
              <sz val="10"/>
              <vertAlign val="subscript"/>
            </rPr>
            <t>b</t>
          </r>
        </is>
      </c>
      <c r="E23" s="25" t="n">
        <v>2</v>
      </c>
      <c r="F23" s="23" t="n"/>
      <c r="G23" s="23" t="n"/>
    </row>
    <row r="24" ht="17" customHeight="1">
      <c r="B24" s="23" t="n"/>
      <c r="C24" s="24" t="inlineStr">
        <is>
          <t>Bottom bars: diameter</t>
        </is>
      </c>
      <c r="D24" s="27" t="inlineStr">
        <is>
          <r>
            <rPr>
              <rFont val="Calibri"/>
              <i val="1"/>
              <color rgb="002B2B2B"/>
              <sz val="10"/>
            </rPr>
            <t>φ</t>
          </r>
          <r>
            <rPr>
              <rFont val="Calibri"/>
              <i val="1"/>
              <color rgb="002B2B2B"/>
              <sz val="10"/>
              <vertAlign val="subscript"/>
            </rPr>
            <t>b</t>
          </r>
        </is>
      </c>
      <c r="E24" s="25" t="n">
        <v>16</v>
      </c>
      <c r="F24" s="28" t="inlineStr">
        <is>
          <t>mm</t>
        </is>
      </c>
      <c r="G24" s="23" t="n"/>
    </row>
    <row r="25" ht="17" customHeight="1">
      <c r="B25" s="23" t="n"/>
      <c r="C25" s="24" t="inlineStr">
        <is>
          <t>Top bars per rib  (supports): number</t>
        </is>
      </c>
      <c r="D25" s="27" t="inlineStr">
        <is>
          <r>
            <rPr>
              <rFont val="Calibri"/>
              <i val="1"/>
              <color rgb="002B2B2B"/>
              <sz val="10"/>
            </rPr>
            <t>n</t>
          </r>
          <r>
            <rPr>
              <rFont val="Calibri"/>
              <i val="1"/>
              <color rgb="002B2B2B"/>
              <sz val="10"/>
              <vertAlign val="subscript"/>
            </rPr>
            <t>t</t>
          </r>
        </is>
      </c>
      <c r="E25" s="25" t="n">
        <v>2</v>
      </c>
      <c r="F25" s="23" t="n"/>
      <c r="G25" s="23" t="n"/>
    </row>
    <row r="26" ht="17" customHeight="1">
      <c r="B26" s="23" t="n"/>
      <c r="C26" s="24" t="inlineStr">
        <is>
          <t>Top bars: diameter</t>
        </is>
      </c>
      <c r="D26" s="27" t="inlineStr">
        <is>
          <r>
            <rPr>
              <rFont val="Calibri"/>
              <i val="1"/>
              <color rgb="002B2B2B"/>
              <sz val="10"/>
            </rPr>
            <t>φ</t>
          </r>
          <r>
            <rPr>
              <rFont val="Calibri"/>
              <i val="1"/>
              <color rgb="002B2B2B"/>
              <sz val="10"/>
              <vertAlign val="subscript"/>
            </rPr>
            <t>t</t>
          </r>
        </is>
      </c>
      <c r="E26" s="25" t="n">
        <v>16</v>
      </c>
      <c r="F26" s="28" t="inlineStr">
        <is>
          <t>mm</t>
        </is>
      </c>
      <c r="G26" s="23" t="n"/>
    </row>
    <row r="27" ht="17" customHeight="1">
      <c r="B27" s="23" t="n"/>
      <c r="C27" s="24" t="inlineStr">
        <is>
          <t>Links in the rib, two legs: diameter  (0 = none)</t>
        </is>
      </c>
      <c r="D27" s="27" t="inlineStr">
        <is>
          <r>
            <rPr>
              <rFont val="Calibri"/>
              <i val="1"/>
              <color rgb="002B2B2B"/>
              <sz val="10"/>
            </rPr>
            <t>φ</t>
          </r>
          <r>
            <rPr>
              <rFont val="Calibri"/>
              <i val="1"/>
              <color rgb="002B2B2B"/>
              <sz val="10"/>
              <vertAlign val="subscript"/>
            </rPr>
            <t>w</t>
          </r>
        </is>
      </c>
      <c r="E27" s="25" t="n">
        <v>6</v>
      </c>
      <c r="F27" s="28" t="inlineStr">
        <is>
          <t>mm</t>
        </is>
      </c>
      <c r="G27" s="23" t="n"/>
    </row>
    <row r="28" ht="17" customHeight="1">
      <c r="B28" s="23" t="n"/>
      <c r="C28" s="24" t="inlineStr">
        <is>
          <t>Links: spacing</t>
        </is>
      </c>
      <c r="D28" s="27" t="inlineStr">
        <is>
          <r>
            <rPr>
              <rFont val="Calibri"/>
              <i val="1"/>
              <color rgb="002B2B2B"/>
              <sz val="10"/>
            </rPr>
            <t>s</t>
          </r>
          <r>
            <rPr>
              <rFont val="Calibri"/>
              <i val="1"/>
              <color rgb="002B2B2B"/>
              <sz val="10"/>
              <vertAlign val="subscript"/>
            </rPr>
            <t>w</t>
          </r>
        </is>
      </c>
      <c r="E28" s="25" t="n">
        <v>200</v>
      </c>
      <c r="F28" s="28" t="inlineStr">
        <is>
          <t>mm</t>
        </is>
      </c>
      <c r="G28" s="26" t="inlineStr">
        <is>
          <t>Used if φw &gt; 0</t>
        </is>
      </c>
    </row>
    <row r="29" ht="17" customHeight="1">
      <c r="B29" s="23" t="n"/>
      <c r="C29" s="24" t="inlineStr">
        <is>
          <t>Topping mesh: wire diameter  (both ways)</t>
        </is>
      </c>
      <c r="D29" s="27" t="inlineStr">
        <is>
          <r>
            <rPr>
              <rFont val="Calibri"/>
              <i val="1"/>
              <color rgb="002B2B2B"/>
              <sz val="10"/>
            </rPr>
            <t>φ</t>
          </r>
          <r>
            <rPr>
              <rFont val="Calibri"/>
              <i val="1"/>
              <color rgb="002B2B2B"/>
              <sz val="10"/>
              <vertAlign val="subscript"/>
            </rPr>
            <t>m</t>
          </r>
        </is>
      </c>
      <c r="E29" s="25" t="n">
        <v>7</v>
      </c>
      <c r="F29" s="28" t="inlineStr">
        <is>
          <t>mm</t>
        </is>
      </c>
      <c r="G29" s="23" t="n"/>
    </row>
    <row r="30" ht="17" customHeight="1">
      <c r="B30" s="23" t="n"/>
      <c r="C30" s="24" t="inlineStr">
        <is>
          <t>Topping mesh: spacing</t>
        </is>
      </c>
      <c r="D30" s="27" t="inlineStr">
        <is>
          <r>
            <rPr>
              <rFont val="Calibri"/>
              <i val="1"/>
              <color rgb="002B2B2B"/>
              <sz val="10"/>
            </rPr>
            <t>s</t>
          </r>
          <r>
            <rPr>
              <rFont val="Calibri"/>
              <i val="1"/>
              <color rgb="002B2B2B"/>
              <sz val="10"/>
              <vertAlign val="subscript"/>
            </rPr>
            <t>m</t>
          </r>
        </is>
      </c>
      <c r="E30" s="25" t="n">
        <v>200</v>
      </c>
      <c r="F30" s="28" t="inlineStr">
        <is>
          <t>mm</t>
        </is>
      </c>
      <c r="G30" s="23" t="n"/>
    </row>
    <row r="31" ht="17" customHeight="1">
      <c r="B31" s="26" t="inlineStr">
        <is>
          <t>5.3.1(6)</t>
        </is>
      </c>
      <c r="C31" s="24" t="inlineStr">
        <is>
          <t>Transverse ribs at a clear spacing ≤ 10 h?</t>
        </is>
      </c>
      <c r="D31" s="23" t="n"/>
      <c r="E31" s="25" t="inlineStr">
        <is>
          <t>Yes</t>
        </is>
      </c>
      <c r="F31" s="23" t="n"/>
      <c r="G31" s="26" t="inlineStr">
        <is>
          <t>No: ribs designed as beams</t>
        </is>
      </c>
    </row>
    <row r="33" ht="22" customHeight="1">
      <c r="B33" s="20" t="inlineStr">
        <is>
          <t>Inputs  ·  loads</t>
        </is>
      </c>
      <c r="C33" s="21" t="n"/>
      <c r="D33" s="21" t="n"/>
      <c r="E33" s="21" t="n"/>
      <c r="F33" s="21" t="n"/>
      <c r="G33" s="22" t="inlineStr">
        <is>
          <t>Characteristic, per m²</t>
        </is>
      </c>
    </row>
    <row r="34" ht="17" customHeight="1">
      <c r="B34" s="23" t="n"/>
      <c r="C34" s="24" t="inlineStr">
        <is>
          <t>Permanent load in addition to the self weight</t>
        </is>
      </c>
      <c r="D34" s="27" t="inlineStr">
        <is>
          <r>
            <rPr>
              <rFont val="Calibri"/>
              <i val="1"/>
              <color rgb="002B2B2B"/>
              <sz val="10"/>
            </rPr>
            <t>g</t>
          </r>
          <r>
            <rPr>
              <rFont val="Calibri"/>
              <i val="1"/>
              <color rgb="002B2B2B"/>
              <sz val="10"/>
              <vertAlign val="subscript"/>
            </rPr>
            <t>k</t>
          </r>
        </is>
      </c>
      <c r="E34" s="29" t="n">
        <v>1.5</v>
      </c>
      <c r="F34" s="28" t="inlineStr">
        <is>
          <t>kN/m²</t>
        </is>
      </c>
      <c r="G34" s="23" t="n"/>
    </row>
    <row r="35" ht="17" customHeight="1">
      <c r="B35" s="23" t="n"/>
      <c r="C35" s="24" t="inlineStr">
        <is>
          <t>Variable load</t>
        </is>
      </c>
      <c r="D35" s="27" t="inlineStr">
        <is>
          <r>
            <rPr>
              <rFont val="Calibri"/>
              <i val="1"/>
              <color rgb="002B2B2B"/>
              <sz val="10"/>
            </rPr>
            <t>q</t>
          </r>
          <r>
            <rPr>
              <rFont val="Calibri"/>
              <i val="1"/>
              <color rgb="002B2B2B"/>
              <sz val="10"/>
              <vertAlign val="subscript"/>
            </rPr>
            <t>k</t>
          </r>
        </is>
      </c>
      <c r="E35" s="29" t="n">
        <v>3.5</v>
      </c>
      <c r="F35" s="28" t="inlineStr">
        <is>
          <t>kN/m²</t>
        </is>
      </c>
      <c r="G35" s="23" t="n"/>
    </row>
    <row r="36" ht="17" customHeight="1">
      <c r="B36" s="26" t="inlineStr">
        <is>
          <t>EN 1990 A1.2(B)</t>
        </is>
      </c>
      <c r="C36" s="24" t="inlineStr">
        <is>
          <t>Partial factor, permanent</t>
        </is>
      </c>
      <c r="D36" s="27" t="inlineStr">
        <is>
          <r>
            <rPr>
              <rFont val="Calibri"/>
              <i val="1"/>
              <color rgb="002B2B2B"/>
              <sz val="10"/>
            </rPr>
            <t>γ</t>
          </r>
          <r>
            <rPr>
              <rFont val="Calibri"/>
              <i val="1"/>
              <color rgb="002B2B2B"/>
              <sz val="10"/>
              <vertAlign val="subscript"/>
            </rPr>
            <t>G</t>
          </r>
        </is>
      </c>
      <c r="E36" s="29" t="n">
        <v>1.35</v>
      </c>
      <c r="F36" s="23" t="n"/>
      <c r="G36" s="23" t="n"/>
    </row>
    <row r="37" ht="17" customHeight="1">
      <c r="B37" s="26" t="inlineStr">
        <is>
          <t>EN 1990 A1.2(B)</t>
        </is>
      </c>
      <c r="C37" s="24" t="inlineStr">
        <is>
          <t>Partial factor, variable</t>
        </is>
      </c>
      <c r="D37" s="27" t="inlineStr">
        <is>
          <r>
            <rPr>
              <rFont val="Calibri"/>
              <i val="1"/>
              <color rgb="002B2B2B"/>
              <sz val="10"/>
            </rPr>
            <t>γ</t>
          </r>
          <r>
            <rPr>
              <rFont val="Calibri"/>
              <i val="1"/>
              <color rgb="002B2B2B"/>
              <sz val="10"/>
              <vertAlign val="subscript"/>
            </rPr>
            <t>Q</t>
          </r>
        </is>
      </c>
      <c r="E37" s="29" t="n">
        <v>1.5</v>
      </c>
      <c r="F37" s="23" t="n"/>
      <c r="G37" s="23" t="n"/>
    </row>
    <row r="38" ht="17" customHeight="1">
      <c r="B38" s="26" t="inlineStr">
        <is>
          <t>7.4.2(2)</t>
        </is>
      </c>
      <c r="C38" s="24" t="inlineStr">
        <is>
          <t>Brittle partitions on a span over 7 m?</t>
        </is>
      </c>
      <c r="D38" s="23" t="n"/>
      <c r="E38" s="25" t="inlineStr">
        <is>
          <t>No</t>
        </is>
      </c>
      <c r="F38" s="23" t="n"/>
      <c r="G38" s="23" t="n"/>
    </row>
    <row r="39" ht="17" customHeight="1">
      <c r="B39" s="23" t="n"/>
      <c r="C39" s="24" t="inlineStr">
        <is>
          <t>Inputs valid and consistent</t>
        </is>
      </c>
      <c r="D39" s="23" t="n"/>
      <c r="E39" s="9" t="n"/>
      <c r="F39" s="23" t="n"/>
      <c r="G39" s="30">
        <f>IF(inputs_ok,"OK","FAIL")</f>
        <v/>
      </c>
    </row>
    <row r="41" ht="22" customHeight="1">
      <c r="B41" s="20" t="inlineStr">
        <is>
          <t>Results  ·  per rib</t>
        </is>
      </c>
      <c r="C41" s="21" t="n"/>
      <c r="D41" s="21" t="n"/>
      <c r="E41" s="21" t="n"/>
      <c r="F41" s="21" t="n"/>
      <c r="G41" s="21" t="n"/>
    </row>
    <row r="42" ht="26" customHeight="1">
      <c r="B42" s="31" t="n"/>
      <c r="C42" s="32" t="inlineStr">
        <is>
          <t>Span bending  As,req / As,prov  (flange in compression)</t>
        </is>
      </c>
      <c r="D42" s="31" t="n"/>
      <c r="E42" s="33">
        <f>IF(inputs_ok,IFERROR(MAX(Asr_sp,Asmin_b)/Asp_b,"–"),"–")</f>
        <v/>
      </c>
      <c r="F42" s="34" t="inlineStr"/>
      <c r="G42" s="35">
        <f>IF(NOT(inputs_ok),"FAIL",IF(NOT(coef_ok),"FAIL",IF(span_ok,"OK","FAIL")))</f>
        <v/>
      </c>
    </row>
    <row r="43" ht="26" customHeight="1">
      <c r="B43" s="31" t="n"/>
      <c r="C43" s="32" t="inlineStr">
        <is>
          <t>Support bending  As,req / As,prov  (rib in compression)</t>
        </is>
      </c>
      <c r="D43" s="31" t="n"/>
      <c r="E43" s="33">
        <f>IF(inputs_ok,IFERROR(sup_req/Asp_t,"–"),"–")</f>
        <v/>
      </c>
      <c r="F43" s="34" t="inlineStr"/>
      <c r="G43" s="35">
        <f>IF(NOT(inputs_ok),"FAIL",IF(NOT(coef_ok),"FAIL",IF(sup_ok,"OK","FAIL")))</f>
        <v/>
      </c>
    </row>
    <row r="44" ht="26" customHeight="1">
      <c r="B44" s="31" t="n"/>
      <c r="C44" s="32" t="inlineStr">
        <is>
          <t>Shear in the rib  VEd / VRd  (VRd,c; links where needed)</t>
        </is>
      </c>
      <c r="D44" s="31" t="n"/>
      <c r="E44" s="33">
        <f>IF(inputs_ok,IF(OR(links_off,phi_w=0),v_ut,MAX(Asw_need/Asw_prov,ratio_v)),"–")</f>
        <v/>
      </c>
      <c r="F44" s="34" t="inlineStr"/>
      <c r="G44" s="35">
        <f>IF(NOT(inputs_ok),"FAIL",IF(NOT(coef_ok),"FAIL",IF(shear_ok,"OK","FAIL")))</f>
        <v/>
      </c>
    </row>
    <row r="45" ht="26" customHeight="1">
      <c r="B45" s="31" t="n"/>
      <c r="C45" s="32" t="inlineStr">
        <is>
          <t>Links in the rib  (VEd / VRd,c; slab to 5.3.1(6))</t>
        </is>
      </c>
      <c r="D45" s="31" t="n"/>
      <c r="E45" s="33">
        <f>IF(inputs_ok,v_ut,"–")</f>
        <v/>
      </c>
      <c r="F45" s="34" t="inlineStr"/>
      <c r="G45" s="35">
        <f>IF(NOT(inputs_ok),"FAIL",IF(v_ut&gt;1,"! Needed",IF(geom_ok,"Not needed","! Minimum links")))</f>
        <v/>
      </c>
    </row>
    <row r="46" ht="26" customHeight="1">
      <c r="B46" s="31" t="n"/>
      <c r="C46" s="32" t="inlineStr">
        <is>
          <t>Longitudinal shear, rib to topping  vEd</t>
        </is>
      </c>
      <c r="D46" s="36" t="inlineStr">
        <is>
          <r>
            <rPr>
              <rFont val="Calibri"/>
              <i val="1"/>
              <color rgb="002B2B2B"/>
              <sz val="11"/>
            </rPr>
            <t>v</t>
          </r>
          <r>
            <rPr>
              <rFont val="Calibri"/>
              <i val="1"/>
              <color rgb="002B2B2B"/>
              <sz val="11"/>
              <vertAlign val="subscript"/>
            </rPr>
            <t>Ed</t>
          </r>
        </is>
      </c>
      <c r="E46" s="33">
        <f>IF(inputs_ok,IFERROR(v_f,"–"),"–")</f>
        <v/>
      </c>
      <c r="F46" s="34" t="inlineStr">
        <is>
          <t>MPa</t>
        </is>
      </c>
      <c r="G46" s="35">
        <f>IF(NOT(inputs_ok),"FAIL",IF(NOT(coef_ok),"FAIL",IF(flange_ok,"OK","FAIL")))</f>
        <v/>
      </c>
    </row>
    <row r="47" ht="26" customHeight="1">
      <c r="B47" s="31" t="n"/>
      <c r="C47" s="32" t="inlineStr">
        <is>
          <t>Deflection  actual l/d ÷ limiting l/d</t>
        </is>
      </c>
      <c r="D47" s="31" t="n"/>
      <c r="E47" s="33">
        <f>IF(inputs_ok,IFERROR(ld_act/ld_lim,"–"),"–")</f>
        <v/>
      </c>
      <c r="F47" s="34" t="inlineStr"/>
      <c r="G47" s="35">
        <f>IF(NOT(inputs_ok),"FAIL",IF(NOT(coef_ok),"FAIL",IF(defl_ok,"OK","FAIL")))</f>
        <v/>
      </c>
    </row>
    <row r="48" ht="26" customHeight="1">
      <c r="B48" s="31" t="n"/>
      <c r="C48" s="32" t="inlineStr">
        <is>
          <t>Detailing  (bar gaps, mesh, links, As,max)</t>
        </is>
      </c>
      <c r="D48" s="31" t="n"/>
      <c r="E48" s="37">
        <f>IF(inputs_ok,Asp_b,"–")</f>
        <v/>
      </c>
      <c r="F48" s="34" t="inlineStr">
        <is>
          <t>mm²</t>
        </is>
      </c>
      <c r="G48" s="35">
        <f>IF(NOT(inputs_ok),"FAIL",IF(det_ok,"OK","FAIL"))</f>
        <v/>
      </c>
    </row>
    <row r="49" ht="26" customHeight="1">
      <c r="B49" s="31" t="n"/>
      <c r="C49" s="32" t="inlineStr">
        <is>
          <t>Ribbed slab to 5.3.1(6)  (spacing, rib depth, topping, transverse ribs)</t>
        </is>
      </c>
      <c r="D49" s="36" t="inlineStr">
        <is>
          <r>
            <rPr>
              <rFont val="Calibri"/>
              <i val="1"/>
              <color rgb="002B2B2B"/>
              <sz val="11"/>
            </rPr>
            <t>h</t>
          </r>
          <r>
            <rPr>
              <rFont val="Calibri"/>
              <i val="1"/>
              <color rgb="002B2B2B"/>
              <sz val="11"/>
              <vertAlign val="subscript"/>
            </rPr>
            <t>f</t>
          </r>
        </is>
      </c>
      <c r="E49" s="37">
        <f>IF(inputs_ok,h_f,"–")</f>
        <v/>
      </c>
      <c r="F49" s="34" t="inlineStr">
        <is>
          <t>mm</t>
        </is>
      </c>
      <c r="G49" s="35">
        <f>IF(NOT(inputs_ok),"FAIL",IF(geom_ok,"OK","! Design as beams"))</f>
        <v/>
      </c>
    </row>
    <row r="50" ht="26" customHeight="1">
      <c r="B50" s="31" t="n"/>
      <c r="C50" s="32" t="inlineStr">
        <is>
          <t>Table 15.3 conditions  (continuous spans)  Qk / Gk</t>
        </is>
      </c>
      <c r="D50" s="31" t="n"/>
      <c r="E50" s="33">
        <f>IF(inputs_ok,qk_rb/(gk_rb+g_sw),"–")</f>
        <v/>
      </c>
      <c r="F50" s="34" t="inlineStr"/>
      <c r="G50" s="35">
        <f>IF(NOT(inputs_ok),"FAIL",IF(NOT(cont),"n/a",IF(coef_ok,"OK","FAIL")))</f>
        <v/>
      </c>
    </row>
    <row r="51"/>
    <row r="52">
      <c r="B52" s="38" t="inlineStr">
        <is>
          <t>Your rib, to scale  ·  elevation, load and design moments per rib (schematic: sagging below, hogging above)</t>
        </is>
      </c>
    </row>
    <row r="53"/>
    <row r="54"/>
    <row r="55"/>
    <row r="56"/>
    <row r="57"/>
    <row r="58"/>
    <row r="59"/>
    <row r="60"/>
    <row r="61"/>
    <row r="62"/>
    <row r="63"/>
    <row r="64"/>
    <row r="65"/>
    <row r="66"/>
    <row r="67"/>
    <row r="68"/>
    <row r="69">
      <c r="B69" s="38" t="inlineStr">
        <is>
          <t>Cross-section, to scale  ·  two ribs, topping and mesh, bars and links as entered, effective flange width at mid-span</t>
        </is>
      </c>
    </row>
    <row r="70"/>
    <row r="71"/>
    <row r="72"/>
    <row r="73"/>
    <row r="74"/>
    <row r="75"/>
    <row r="76"/>
    <row r="77"/>
    <row r="78"/>
    <row r="79"/>
    <row r="80"/>
    <row r="81"/>
    <row r="82"/>
    <row r="83"/>
    <row r="84"/>
    <row r="85"/>
    <row r="86" ht="22" customHeight="1">
      <c r="B86" s="20" t="inlineStr">
        <is>
          <t>Calculation  ·  loads and actions  (per rib)</t>
        </is>
      </c>
      <c r="C86" s="21" t="n"/>
      <c r="D86" s="21" t="n"/>
      <c r="E86" s="21" t="n"/>
      <c r="F86" s="21" t="n"/>
      <c r="G86" s="21" t="n"/>
    </row>
    <row r="87" ht="17" customHeight="1">
      <c r="B87" s="26" t="inlineStr">
        <is>
          <t>2.4.2.4(1)</t>
        </is>
      </c>
      <c r="C87" s="24" t="inlineStr">
        <is>
          <t>Partial factor, concrete</t>
        </is>
      </c>
      <c r="D87" s="27" t="inlineStr">
        <is>
          <r>
            <rPr>
              <rFont val="Calibri"/>
              <i val="1"/>
              <color rgb="002B2B2B"/>
              <sz val="10"/>
            </rPr>
            <t>γ</t>
          </r>
          <r>
            <rPr>
              <rFont val="Calibri"/>
              <i val="1"/>
              <color rgb="002B2B2B"/>
              <sz val="10"/>
              <vertAlign val="subscript"/>
            </rPr>
            <t>c</t>
          </r>
        </is>
      </c>
      <c r="E87" s="39">
        <f>IF(inputs_ok,ndp_gamma_c,NA())</f>
        <v/>
      </c>
      <c r="F87" s="23" t="n"/>
      <c r="G87" s="26" t="inlineStr">
        <is>
          <t>NDP sheet</t>
        </is>
      </c>
    </row>
    <row r="88" ht="17" customHeight="1">
      <c r="B88" s="26" t="inlineStr">
        <is>
          <t>2.4.2.4(1)</t>
        </is>
      </c>
      <c r="C88" s="24" t="inlineStr">
        <is>
          <t>Partial factor, reinforcement</t>
        </is>
      </c>
      <c r="D88" s="27" t="inlineStr">
        <is>
          <r>
            <rPr>
              <rFont val="Calibri"/>
              <i val="1"/>
              <color rgb="002B2B2B"/>
              <sz val="10"/>
            </rPr>
            <t>γ</t>
          </r>
          <r>
            <rPr>
              <rFont val="Calibri"/>
              <i val="1"/>
              <color rgb="002B2B2B"/>
              <sz val="10"/>
              <vertAlign val="subscript"/>
            </rPr>
            <t>s</t>
          </r>
        </is>
      </c>
      <c r="E88" s="39">
        <f>IF(inputs_ok,ndp_gamma_s,NA())</f>
        <v/>
      </c>
      <c r="F88" s="23" t="n"/>
      <c r="G88" s="26" t="inlineStr">
        <is>
          <t>NDP sheet</t>
        </is>
      </c>
    </row>
    <row r="89" ht="17" customHeight="1">
      <c r="B89" s="26" t="inlineStr">
        <is>
          <t>3.1.6(1)</t>
        </is>
      </c>
      <c r="C89" s="24" t="inlineStr">
        <is>
          <t>Coefficient on compressive strength (flexure)</t>
        </is>
      </c>
      <c r="D89" s="27" t="inlineStr">
        <is>
          <r>
            <rPr>
              <rFont val="Calibri"/>
              <i val="1"/>
              <color rgb="002B2B2B"/>
              <sz val="10"/>
            </rPr>
            <t>α</t>
          </r>
          <r>
            <rPr>
              <rFont val="Calibri"/>
              <i val="1"/>
              <color rgb="002B2B2B"/>
              <sz val="10"/>
              <vertAlign val="subscript"/>
            </rPr>
            <t>cc</t>
          </r>
        </is>
      </c>
      <c r="E89" s="39">
        <f>IF(inputs_ok,ndp_alpha_cc,NA())</f>
        <v/>
      </c>
      <c r="F89" s="23" t="n"/>
      <c r="G89" s="26" t="inlineStr">
        <is>
          <t>NDP sheet</t>
        </is>
      </c>
    </row>
    <row r="90" ht="17" customHeight="1">
      <c r="B90" s="26" t="inlineStr">
        <is>
          <t>3.1.6(1)</t>
        </is>
      </c>
      <c r="C90" s="24" t="inlineStr">
        <is>
          <t>Coefficient on compressive strength (shear)</t>
        </is>
      </c>
      <c r="D90" s="27" t="inlineStr">
        <is>
          <r>
            <rPr>
              <rFont val="Calibri"/>
              <i val="1"/>
              <color rgb="002B2B2B"/>
              <sz val="10"/>
            </rPr>
            <t>α</t>
          </r>
          <r>
            <rPr>
              <rFont val="Calibri"/>
              <i val="1"/>
              <color rgb="002B2B2B"/>
              <sz val="10"/>
              <vertAlign val="subscript"/>
            </rPr>
            <t>cc</t>
          </r>
        </is>
      </c>
      <c r="E90" s="39">
        <f>IF(inputs_ok,ndp_alpha_cc_shear,NA())</f>
        <v/>
      </c>
      <c r="F90" s="23" t="n"/>
      <c r="G90" s="26" t="inlineStr">
        <is>
          <t>NDP sheet</t>
        </is>
      </c>
    </row>
    <row r="91" ht="17" customHeight="1">
      <c r="B91" s="26" t="inlineStr">
        <is>
          <t>6.2.2(1), 6.4.4(1)</t>
        </is>
      </c>
      <c r="C91" s="24" t="inlineStr">
        <is>
          <t>Coefficient  0.18 / γc</t>
        </is>
      </c>
      <c r="D91" s="27" t="inlineStr">
        <is>
          <r>
            <rPr>
              <rFont val="Calibri"/>
              <i val="1"/>
              <color rgb="002B2B2B"/>
              <sz val="10"/>
            </rPr>
            <t>C</t>
          </r>
          <r>
            <rPr>
              <rFont val="Calibri"/>
              <i val="1"/>
              <color rgb="002B2B2B"/>
              <sz val="10"/>
              <vertAlign val="subscript"/>
            </rPr>
            <t>Rd,c</t>
          </r>
        </is>
      </c>
      <c r="E91" s="40">
        <f>IF(inputs_ok,ndp_C_Rdc/ndp_gamma_c,NA())</f>
        <v/>
      </c>
      <c r="F91" s="23" t="n"/>
      <c r="G91" s="26" t="inlineStr">
        <is>
          <t>NDP sheet</t>
        </is>
      </c>
    </row>
    <row r="92" ht="17" customHeight="1">
      <c r="B92" s="26" t="inlineStr">
        <is>
          <t>6.2.3(2)</t>
        </is>
      </c>
      <c r="C92" s="24" t="inlineStr">
        <is>
          <t>Upper limit of cot θ</t>
        </is>
      </c>
      <c r="D92" s="27" t="inlineStr">
        <is>
          <r>
            <rPr>
              <rFont val="Calibri"/>
              <i val="1"/>
              <color rgb="002B2B2B"/>
              <sz val="10"/>
            </rPr>
            <t>cot θ</t>
          </r>
          <r>
            <rPr>
              <rFont val="Calibri"/>
              <i val="1"/>
              <color rgb="002B2B2B"/>
              <sz val="10"/>
              <vertAlign val="subscript"/>
            </rPr>
            <t>max</t>
          </r>
        </is>
      </c>
      <c r="E92" s="39">
        <f>IF(inputs_ok,ndp_cot_max,NA())</f>
        <v/>
      </c>
      <c r="F92" s="23" t="n"/>
      <c r="G92" s="26" t="inlineStr">
        <is>
          <t>NDP sheet</t>
        </is>
      </c>
    </row>
    <row r="93" ht="17" customHeight="1">
      <c r="B93" s="26" t="inlineStr">
        <is>
          <t>5.5(4)</t>
        </is>
      </c>
      <c r="C93" s="24" t="inlineStr">
        <is>
          <t>Coefficient for x/d limit</t>
        </is>
      </c>
      <c r="D93" s="27" t="inlineStr">
        <is>
          <r>
            <rPr>
              <rFont val="Calibri"/>
              <i val="1"/>
              <color rgb="002B2B2B"/>
              <sz val="10"/>
            </rPr>
            <t>k</t>
          </r>
          <r>
            <rPr>
              <rFont val="Calibri"/>
              <i val="1"/>
              <color rgb="002B2B2B"/>
              <sz val="10"/>
              <vertAlign val="subscript"/>
            </rPr>
            <t>1</t>
          </r>
        </is>
      </c>
      <c r="E93" s="39">
        <f>IF(inputs_ok,ndp_k1_red,NA())</f>
        <v/>
      </c>
      <c r="F93" s="23" t="n"/>
      <c r="G93" s="26" t="inlineStr">
        <is>
          <t>NDP sheet</t>
        </is>
      </c>
    </row>
    <row r="94" ht="17" customHeight="1">
      <c r="B94" s="26" t="inlineStr">
        <is>
          <t>5.5(4)</t>
        </is>
      </c>
      <c r="C94" s="24" t="inlineStr">
        <is>
          <t>Coefficient for x/d limit</t>
        </is>
      </c>
      <c r="D94" s="27" t="inlineStr">
        <is>
          <r>
            <rPr>
              <rFont val="Calibri"/>
              <i val="1"/>
              <color rgb="002B2B2B"/>
              <sz val="10"/>
            </rPr>
            <t>k</t>
          </r>
          <r>
            <rPr>
              <rFont val="Calibri"/>
              <i val="1"/>
              <color rgb="002B2B2B"/>
              <sz val="10"/>
              <vertAlign val="subscript"/>
            </rPr>
            <t>2</t>
          </r>
        </is>
      </c>
      <c r="E94" s="39">
        <f>IF(inputs_ok,ndp_k2_red,NA())</f>
        <v/>
      </c>
      <c r="F94" s="23" t="n"/>
      <c r="G94" s="26" t="inlineStr">
        <is>
          <t>NDP sheet</t>
        </is>
      </c>
    </row>
    <row r="95" ht="17" customHeight="1">
      <c r="B95" s="26" t="inlineStr">
        <is>
          <t>7.4.2(2)</t>
        </is>
      </c>
      <c r="C95" s="24" t="inlineStr">
        <is>
          <t>Upper limit on the stress / area factor</t>
        </is>
      </c>
      <c r="D95" s="23" t="n"/>
      <c r="E95" s="39">
        <f>IF(inputs_ok,ndp_ld_mod_max,NA())</f>
        <v/>
      </c>
      <c r="F95" s="23" t="n"/>
      <c r="G95" s="26" t="inlineStr">
        <is>
          <t>NDP sheet</t>
        </is>
      </c>
    </row>
    <row r="96" ht="17" customHeight="1">
      <c r="B96" s="26" t="inlineStr">
        <is>
          <t>7.4.2(2)</t>
        </is>
      </c>
      <c r="C96" s="24" t="inlineStr">
        <is>
          <t>L/d ≤ 40K applies (1 = yes)</t>
        </is>
      </c>
      <c r="D96" s="23" t="n"/>
      <c r="E96" s="39">
        <f>IF(inputs_ok,ndp_ld_cap_40K,NA())</f>
        <v/>
      </c>
      <c r="F96" s="23" t="n"/>
      <c r="G96" s="26" t="inlineStr">
        <is>
          <t>NDP sheet</t>
        </is>
      </c>
    </row>
    <row r="97" ht="17" customHeight="1">
      <c r="B97" s="26" t="inlineStr">
        <is>
          <t>Table 3.1</t>
        </is>
      </c>
      <c r="C97" s="24" t="inlineStr">
        <is>
          <t>Characteristic cylinder strength</t>
        </is>
      </c>
      <c r="D97" s="27" t="inlineStr">
        <is>
          <r>
            <rPr>
              <rFont val="Calibri"/>
              <i val="1"/>
              <color rgb="002B2B2B"/>
              <sz val="10"/>
            </rPr>
            <t>f</t>
          </r>
          <r>
            <rPr>
              <rFont val="Calibri"/>
              <i val="1"/>
              <color rgb="002B2B2B"/>
              <sz val="10"/>
              <vertAlign val="subscript"/>
            </rPr>
            <t>ck</t>
          </r>
        </is>
      </c>
      <c r="E97" s="41">
        <f>IF(inputs_ok,VALUE(MID(conc_class,2,FIND("/",conc_class)-2)),NA())</f>
        <v/>
      </c>
      <c r="F97" s="28" t="inlineStr">
        <is>
          <t>MPa</t>
        </is>
      </c>
      <c r="G97" s="23" t="n"/>
    </row>
    <row r="98" ht="17" customHeight="1">
      <c r="B98" s="26" t="inlineStr">
        <is>
          <t>Table 3.1</t>
        </is>
      </c>
      <c r="C98" s="24" t="inlineStr">
        <is>
          <t>Mean tensile strength</t>
        </is>
      </c>
      <c r="D98" s="27" t="inlineStr">
        <is>
          <r>
            <rPr>
              <rFont val="Calibri"/>
              <i val="1"/>
              <color rgb="002B2B2B"/>
              <sz val="10"/>
            </rPr>
            <t>f</t>
          </r>
          <r>
            <rPr>
              <rFont val="Calibri"/>
              <i val="1"/>
              <color rgb="002B2B2B"/>
              <sz val="10"/>
              <vertAlign val="subscript"/>
            </rPr>
            <t>ctm</t>
          </r>
        </is>
      </c>
      <c r="E98" s="39">
        <f>IF(inputs_ok,IF(f_ck&lt;=50,0.3*f_ck^(2/3),2.12*LN(1+(f_ck+8)/10)),NA())</f>
        <v/>
      </c>
      <c r="F98" s="28" t="inlineStr">
        <is>
          <t>MPa</t>
        </is>
      </c>
      <c r="G98" s="23" t="n"/>
    </row>
    <row r="99" ht="17" customHeight="1">
      <c r="B99" s="26" t="inlineStr">
        <is>
          <t>3.1.6(1)</t>
        </is>
      </c>
      <c r="C99" s="24" t="inlineStr">
        <is>
          <t>Design compressive strength  αcc fck / γc</t>
        </is>
      </c>
      <c r="D99" s="27" t="inlineStr">
        <is>
          <r>
            <rPr>
              <rFont val="Calibri"/>
              <i val="1"/>
              <color rgb="002B2B2B"/>
              <sz val="10"/>
            </rPr>
            <t>f</t>
          </r>
          <r>
            <rPr>
              <rFont val="Calibri"/>
              <i val="1"/>
              <color rgb="002B2B2B"/>
              <sz val="10"/>
              <vertAlign val="subscript"/>
            </rPr>
            <t>cd</t>
          </r>
        </is>
      </c>
      <c r="E99" s="39">
        <f>IF(inputs_ok,alpha_cc*f_ck/gamma_c,NA())</f>
        <v/>
      </c>
      <c r="F99" s="28" t="inlineStr">
        <is>
          <t>MPa</t>
        </is>
      </c>
      <c r="G99" s="23" t="n"/>
    </row>
    <row r="100" ht="17" customHeight="1">
      <c r="B100" s="26" t="inlineStr">
        <is>
          <t>3.2.7</t>
        </is>
      </c>
      <c r="C100" s="24" t="inlineStr">
        <is>
          <t>Design yield strength</t>
        </is>
      </c>
      <c r="D100" s="27" t="inlineStr">
        <is>
          <r>
            <rPr>
              <rFont val="Calibri"/>
              <i val="1"/>
              <color rgb="002B2B2B"/>
              <sz val="10"/>
            </rPr>
            <t>f</t>
          </r>
          <r>
            <rPr>
              <rFont val="Calibri"/>
              <i val="1"/>
              <color rgb="002B2B2B"/>
              <sz val="10"/>
              <vertAlign val="subscript"/>
            </rPr>
            <t>yd</t>
          </r>
        </is>
      </c>
      <c r="E100" s="42">
        <f>IF(inputs_ok,f_yk/gamma_s,NA())</f>
        <v/>
      </c>
      <c r="F100" s="28" t="inlineStr">
        <is>
          <t>MPa</t>
        </is>
      </c>
      <c r="G100" s="23" t="n"/>
    </row>
    <row r="101" ht="17" customHeight="1">
      <c r="B101" s="23" t="n"/>
      <c r="C101" s="24" t="inlineStr">
        <is>
          <t>Self weight  25 (hf + bw (h − hf) / s)</t>
        </is>
      </c>
      <c r="D101" s="27" t="inlineStr">
        <is>
          <r>
            <rPr>
              <rFont val="Calibri"/>
              <i val="1"/>
              <color rgb="002B2B2B"/>
              <sz val="10"/>
            </rPr>
            <t>g</t>
          </r>
          <r>
            <rPr>
              <rFont val="Calibri"/>
              <i val="1"/>
              <color rgb="002B2B2B"/>
              <sz val="10"/>
              <vertAlign val="subscript"/>
            </rPr>
            <t>sw</t>
          </r>
        </is>
      </c>
      <c r="E101" s="39">
        <f>IF(inputs_ok,25*(h_f+b_w*(h_rb-h_f)/s_r)/1000,NA())</f>
        <v/>
      </c>
      <c r="F101" s="28" t="inlineStr">
        <is>
          <t>kN/m²</t>
        </is>
      </c>
      <c r="G101" s="23" t="n"/>
    </row>
    <row r="102" ht="17" customHeight="1">
      <c r="B102" s="26" t="inlineStr">
        <is>
          <t>EN 1990 (6.10)</t>
        </is>
      </c>
      <c r="C102" s="24" t="inlineStr">
        <is>
          <t>Permanent design load per rib  γG (gk + gsw) s</t>
        </is>
      </c>
      <c r="D102" s="27" t="inlineStr">
        <is>
          <r>
            <rPr>
              <rFont val="Calibri"/>
              <i val="1"/>
              <color rgb="002B2B2B"/>
              <sz val="10"/>
            </rPr>
            <t>w</t>
          </r>
          <r>
            <rPr>
              <rFont val="Calibri"/>
              <i val="1"/>
              <color rgb="002B2B2B"/>
              <sz val="10"/>
              <vertAlign val="subscript"/>
            </rPr>
            <t>G</t>
          </r>
        </is>
      </c>
      <c r="E102" s="39">
        <f>IF(inputs_ok,gamma_G*(gk_rb+g_sw)*s_r/1000,NA())</f>
        <v/>
      </c>
      <c r="F102" s="28" t="inlineStr">
        <is>
          <t>kN/m</t>
        </is>
      </c>
      <c r="G102" s="23" t="n"/>
    </row>
    <row r="103" ht="17" customHeight="1">
      <c r="B103" s="26" t="inlineStr">
        <is>
          <t>EN 1990 (6.10)</t>
        </is>
      </c>
      <c r="C103" s="24" t="inlineStr">
        <is>
          <t>Variable design load per rib  γQ qk s</t>
        </is>
      </c>
      <c r="D103" s="27" t="inlineStr">
        <is>
          <r>
            <rPr>
              <rFont val="Calibri"/>
              <i val="1"/>
              <color rgb="002B2B2B"/>
              <sz val="10"/>
            </rPr>
            <t>w</t>
          </r>
          <r>
            <rPr>
              <rFont val="Calibri"/>
              <i val="1"/>
              <color rgb="002B2B2B"/>
              <sz val="10"/>
              <vertAlign val="subscript"/>
            </rPr>
            <t>Q</t>
          </r>
        </is>
      </c>
      <c r="E103" s="39">
        <f>IF(inputs_ok,gamma_Q*qk_rb*s_r/1000,NA())</f>
        <v/>
      </c>
      <c r="F103" s="28" t="inlineStr">
        <is>
          <t>kN/m</t>
        </is>
      </c>
      <c r="G103" s="23" t="n"/>
    </row>
    <row r="104" ht="17" customHeight="1">
      <c r="B104" s="23" t="n"/>
      <c r="C104" s="24" t="inlineStr">
        <is>
          <t>Total design load per rib</t>
        </is>
      </c>
      <c r="D104" s="27" t="inlineStr">
        <is>
          <r>
            <rPr>
              <rFont val="Calibri"/>
              <i val="1"/>
              <color rgb="002B2B2B"/>
              <sz val="10"/>
            </rPr>
            <t>w</t>
          </r>
        </is>
      </c>
      <c r="E104" s="39">
        <f>IF(inputs_ok,wG_rb+wQ_rb,NA())</f>
        <v/>
      </c>
      <c r="F104" s="28" t="inlineStr">
        <is>
          <t>kN/m</t>
        </is>
      </c>
      <c r="G104" s="23" t="n"/>
    </row>
    <row r="105" ht="17" customHeight="1">
      <c r="B105" s="26" t="inlineStr">
        <is>
          <t>Table 15.3</t>
        </is>
      </c>
      <c r="C105" s="24" t="inlineStr">
        <is>
          <t>Span moment  (cG wG + cQ wQ) l²</t>
        </is>
      </c>
      <c r="D105" s="27" t="inlineStr">
        <is>
          <r>
            <rPr>
              <rFont val="Calibri"/>
              <i val="1"/>
              <color rgb="002B2B2B"/>
              <sz val="10"/>
            </rPr>
            <t>M</t>
          </r>
          <r>
            <rPr>
              <rFont val="Calibri"/>
              <i val="1"/>
              <color rgb="002B2B2B"/>
              <sz val="10"/>
              <vertAlign val="subscript"/>
            </rPr>
            <t>span</t>
          </r>
        </is>
      </c>
      <c r="E105" s="43">
        <f>IF(inputs_ok,(CHOOSE(sys_i,0.125,0.09,0.09,0.066,0.066)*wG_rb+CHOOSE(sys_i,0.125,0.1,0.1,0.086,0.086)*wQ_rb)*(L_rb/1000)^2,NA())</f>
        <v/>
      </c>
      <c r="F105" s="28" t="inlineStr">
        <is>
          <t>kNm</t>
        </is>
      </c>
      <c r="G105" s="23" t="n"/>
    </row>
    <row r="106" ht="17" customHeight="1">
      <c r="B106" s="26" t="inlineStr">
        <is>
          <t>Table 15.3</t>
        </is>
      </c>
      <c r="C106" s="24" t="inlineStr">
        <is>
          <t>Left support moment  (hogging)</t>
        </is>
      </c>
      <c r="D106" s="27" t="inlineStr">
        <is>
          <r>
            <rPr>
              <rFont val="Calibri"/>
              <i val="1"/>
              <color rgb="002B2B2B"/>
              <sz val="10"/>
            </rPr>
            <t>M</t>
          </r>
          <r>
            <rPr>
              <rFont val="Calibri"/>
              <i val="1"/>
              <color rgb="002B2B2B"/>
              <sz val="10"/>
              <vertAlign val="subscript"/>
            </rPr>
            <t>left</t>
          </r>
        </is>
      </c>
      <c r="E106" s="42">
        <f>IF(inputs_ok,CHOOSE(sys_i,0,0,0,0.094,0.075)*w_rb*(L_rb/1000)^2,NA())</f>
        <v/>
      </c>
      <c r="F106" s="28" t="inlineStr">
        <is>
          <t>kNm</t>
        </is>
      </c>
      <c r="G106" s="23" t="n"/>
    </row>
    <row r="107" ht="17" customHeight="1">
      <c r="B107" s="26" t="inlineStr">
        <is>
          <t>Table 15.3</t>
        </is>
      </c>
      <c r="C107" s="24" t="inlineStr">
        <is>
          <t>Right support moment  (hogging)</t>
        </is>
      </c>
      <c r="D107" s="27" t="inlineStr">
        <is>
          <r>
            <rPr>
              <rFont val="Calibri"/>
              <i val="1"/>
              <color rgb="002B2B2B"/>
              <sz val="10"/>
            </rPr>
            <t>M</t>
          </r>
          <r>
            <rPr>
              <rFont val="Calibri"/>
              <i val="1"/>
              <color rgb="002B2B2B"/>
              <sz val="10"/>
              <vertAlign val="subscript"/>
            </rPr>
            <t>right</t>
          </r>
        </is>
      </c>
      <c r="E107" s="42">
        <f>IF(inputs_ok,CHOOSE(sys_i,0,0.094,0.106,0.075,0.075)*w_rb*(L_rb/1000)^2,NA())</f>
        <v/>
      </c>
      <c r="F107" s="28" t="inlineStr">
        <is>
          <t>kNm</t>
        </is>
      </c>
      <c r="G107" s="23" t="n"/>
    </row>
    <row r="108" ht="17" customHeight="1">
      <c r="B108" s="26" t="inlineStr">
        <is>
          <t>Table 15.3</t>
        </is>
      </c>
      <c r="C108" s="24" t="inlineStr">
        <is>
          <t>Shear at the left support</t>
        </is>
      </c>
      <c r="D108" s="27" t="inlineStr">
        <is>
          <r>
            <rPr>
              <rFont val="Calibri"/>
              <i val="1"/>
              <color rgb="002B2B2B"/>
              <sz val="10"/>
            </rPr>
            <t>V</t>
          </r>
          <r>
            <rPr>
              <rFont val="Calibri"/>
              <i val="1"/>
              <color rgb="002B2B2B"/>
              <sz val="10"/>
              <vertAlign val="subscript"/>
            </rPr>
            <t>left</t>
          </r>
        </is>
      </c>
      <c r="E108" s="42">
        <f>IF(inputs_ok,CHOOSE(sys_i,0.5,0.45,0.45,0.55,0.55)*w_rb*L_rb/1000,NA())</f>
        <v/>
      </c>
      <c r="F108" s="28" t="inlineStr">
        <is>
          <t>kN</t>
        </is>
      </c>
      <c r="G108" s="23" t="n"/>
    </row>
    <row r="109" ht="17" customHeight="1">
      <c r="B109" s="26" t="inlineStr">
        <is>
          <t>Table 15.3</t>
        </is>
      </c>
      <c r="C109" s="24" t="inlineStr">
        <is>
          <t>Shear at the right support</t>
        </is>
      </c>
      <c r="D109" s="27" t="inlineStr">
        <is>
          <r>
            <rPr>
              <rFont val="Calibri"/>
              <i val="1"/>
              <color rgb="002B2B2B"/>
              <sz val="10"/>
            </rPr>
            <t>V</t>
          </r>
          <r>
            <rPr>
              <rFont val="Calibri"/>
              <i val="1"/>
              <color rgb="002B2B2B"/>
              <sz val="10"/>
              <vertAlign val="subscript"/>
            </rPr>
            <t>right</t>
          </r>
        </is>
      </c>
      <c r="E109" s="42">
        <f>IF(inputs_ok,CHOOSE(sys_i,0.5,0.63,0.63,0.55,0.55)*w_rb*L_rb/1000,NA())</f>
        <v/>
      </c>
      <c r="F109" s="28" t="inlineStr">
        <is>
          <t>kN</t>
        </is>
      </c>
      <c r="G109" s="23" t="n"/>
    </row>
    <row r="110"/>
    <row r="111" ht="22" customHeight="1">
      <c r="B111" s="20" t="inlineStr">
        <is>
          <t>Calculation  ·  effective flange and bending</t>
        </is>
      </c>
      <c r="C111" s="21" t="n"/>
      <c r="D111" s="21" t="n"/>
      <c r="E111" s="21" t="n"/>
      <c r="F111" s="21" t="n"/>
      <c r="G111" s="21" t="n"/>
    </row>
    <row r="112" ht="17" customHeight="1">
      <c r="B112" s="26" t="inlineStr">
        <is>
          <t>5.5(4)</t>
        </is>
      </c>
      <c r="C112" s="24" t="inlineStr">
        <is>
          <t>Redistribution ratio implied  (1.0, or 0.85 for Table 15.3)</t>
        </is>
      </c>
      <c r="D112" s="27" t="inlineStr">
        <is>
          <r>
            <rPr>
              <rFont val="Calibri"/>
              <i val="1"/>
              <color rgb="002B2B2B"/>
              <sz val="10"/>
            </rPr>
            <t>δ</t>
          </r>
        </is>
      </c>
      <c r="E112" s="39">
        <f>IF(inputs_ok,CHOOSE(sys_i,1.0,0.85,0.85,0.85,0.85),NA())</f>
        <v/>
      </c>
      <c r="F112" s="23" t="n"/>
      <c r="G112" s="23" t="n"/>
    </row>
    <row r="113" ht="17" customHeight="1">
      <c r="B113" s="26" t="inlineStr">
        <is>
          <t>5.5(4)</t>
        </is>
      </c>
      <c r="C113" s="24" t="inlineStr">
        <is>
          <t>Limiting neutral axis depth  min((δ − k1)/k2; εcu/(εcu + εyd))</t>
        </is>
      </c>
      <c r="D113" s="27" t="inlineStr">
        <is>
          <r>
            <rPr>
              <rFont val="Calibri"/>
              <i val="1"/>
              <color rgb="002B2B2B"/>
              <sz val="10"/>
            </rPr>
            <t>x</t>
          </r>
          <r>
            <rPr>
              <rFont val="Calibri"/>
              <i val="1"/>
              <color rgb="002B2B2B"/>
              <sz val="10"/>
              <vertAlign val="subscript"/>
            </rPr>
            <t>u/d</t>
          </r>
        </is>
      </c>
      <c r="E113" s="40">
        <f>IF(inputs_ok,MIN((delta_rb-k1_red)/k2_red,0.0035/(0.0035+f_yd/200000)),NA())</f>
        <v/>
      </c>
      <c r="F113" s="23" t="n"/>
      <c r="G113" s="23" t="n"/>
    </row>
    <row r="114" ht="17" customHeight="1">
      <c r="B114" s="26" t="inlineStr">
        <is>
          <t>3.1.7(3)</t>
        </is>
      </c>
      <c r="C114" s="24" t="inlineStr">
        <is>
          <t>Limiting K  (αcc/γc) 0.8ξ (1 − 0.4ξ)</t>
        </is>
      </c>
      <c r="D114" s="27" t="inlineStr">
        <is>
          <r>
            <rPr>
              <rFont val="Calibri"/>
              <i val="1"/>
              <color rgb="002B2B2B"/>
              <sz val="10"/>
            </rPr>
            <t>K'</t>
          </r>
        </is>
      </c>
      <c r="E114" s="40">
        <f>IF(inputs_ok,alpha_cc/gamma_c*0.8*xi_rb*(1-0.4*xi_rb),NA())</f>
        <v/>
      </c>
      <c r="F114" s="23" t="n"/>
      <c r="G114" s="23" t="n"/>
    </row>
    <row r="115" ht="17" customHeight="1">
      <c r="B115" s="23" t="n"/>
      <c r="C115" s="24" t="inlineStr">
        <is>
          <t>Effective depth, bottom bars  h − c − φw − φb/2</t>
        </is>
      </c>
      <c r="D115" s="27" t="inlineStr">
        <is>
          <r>
            <rPr>
              <rFont val="Calibri"/>
              <i val="1"/>
              <color rgb="002B2B2B"/>
              <sz val="10"/>
            </rPr>
            <t>d</t>
          </r>
          <r>
            <rPr>
              <rFont val="Calibri"/>
              <i val="1"/>
              <color rgb="002B2B2B"/>
              <sz val="10"/>
              <vertAlign val="subscript"/>
            </rPr>
            <t>b</t>
          </r>
        </is>
      </c>
      <c r="E115" s="41">
        <f>IF(inputs_ok,h_rb-c_nom-phi_w-phi_b/2,NA())</f>
        <v/>
      </c>
      <c r="F115" s="28" t="inlineStr">
        <is>
          <t>mm</t>
        </is>
      </c>
      <c r="G115" s="23" t="n"/>
    </row>
    <row r="116" ht="17" customHeight="1">
      <c r="B116" s="23" t="n"/>
      <c r="C116" s="24" t="inlineStr">
        <is>
          <t>Effective depth, top bars  h − c − max(2φm; φw) − φt/2</t>
        </is>
      </c>
      <c r="D116" s="27" t="inlineStr">
        <is>
          <r>
            <rPr>
              <rFont val="Calibri"/>
              <i val="1"/>
              <color rgb="002B2B2B"/>
              <sz val="10"/>
            </rPr>
            <t>d</t>
          </r>
          <r>
            <rPr>
              <rFont val="Calibri"/>
              <i val="1"/>
              <color rgb="002B2B2B"/>
              <sz val="10"/>
              <vertAlign val="subscript"/>
            </rPr>
            <t>t</t>
          </r>
        </is>
      </c>
      <c r="E116" s="41">
        <f>IF(inputs_ok,h_rb-c_nom-MAX(2*phi_m,phi_w)-phi_t/2,NA())</f>
        <v/>
      </c>
      <c r="F116" s="28" t="inlineStr">
        <is>
          <t>mm</t>
        </is>
      </c>
      <c r="G116" s="26" t="inlineStr">
        <is>
          <t>Under both mesh layers</t>
        </is>
      </c>
    </row>
    <row r="117" ht="17" customHeight="1">
      <c r="B117" s="26" t="inlineStr">
        <is>
          <t>Figure 5.2</t>
        </is>
      </c>
      <c r="C117" s="24" t="inlineStr">
        <is>
          <t>Distance between zero moments in the span  (1.0 / 0.85 / 0.7) l</t>
        </is>
      </c>
      <c r="D117" s="27" t="inlineStr">
        <is>
          <r>
            <rPr>
              <rFont val="Calibri"/>
              <i val="1"/>
              <color rgb="002B2B2B"/>
              <sz val="10"/>
            </rPr>
            <t>l</t>
          </r>
          <r>
            <rPr>
              <rFont val="Calibri"/>
              <i val="1"/>
              <color rgb="002B2B2B"/>
              <sz val="10"/>
              <vertAlign val="subscript"/>
            </rPr>
            <t>0</t>
          </r>
        </is>
      </c>
      <c r="E117" s="41">
        <f>IF(inputs_ok,CHOOSE(sys_i,1.0,0.85,0.85,0.7,0.7)*L_rb,NA())</f>
        <v/>
      </c>
      <c r="F117" s="28" t="inlineStr">
        <is>
          <t>mm</t>
        </is>
      </c>
      <c r="G117" s="23" t="n"/>
    </row>
    <row r="118" ht="17" customHeight="1">
      <c r="B118" s="26" t="inlineStr">
        <is>
          <t>5.3.2.1(3)</t>
        </is>
      </c>
      <c r="C118" s="24" t="inlineStr">
        <is>
          <t>Half the clear distance between ribs  (s − bw)/2</t>
        </is>
      </c>
      <c r="D118" s="27" t="inlineStr">
        <is>
          <r>
            <rPr>
              <rFont val="Calibri"/>
              <i val="1"/>
              <color rgb="002B2B2B"/>
              <sz val="10"/>
            </rPr>
            <t>b</t>
          </r>
          <r>
            <rPr>
              <rFont val="Calibri"/>
              <i val="1"/>
              <color rgb="002B2B2B"/>
              <sz val="10"/>
              <vertAlign val="subscript"/>
            </rPr>
            <t>1</t>
          </r>
        </is>
      </c>
      <c r="E118" s="41">
        <f>IF(inputs_ok,(s_r-b_w)/2,NA())</f>
        <v/>
      </c>
      <c r="F118" s="28" t="inlineStr">
        <is>
          <t>mm</t>
        </is>
      </c>
      <c r="G118" s="23" t="n"/>
    </row>
    <row r="119" ht="17" customHeight="1">
      <c r="B119" s="26" t="inlineStr">
        <is>
          <t>(5.7a)</t>
        </is>
      </c>
      <c r="C119" s="24" t="inlineStr">
        <is>
          <t>Flange outstand  min(0.2 b1 + 0.1 l0; 0.2 l0; b1)</t>
        </is>
      </c>
      <c r="D119" s="27" t="inlineStr">
        <is>
          <r>
            <rPr>
              <rFont val="Calibri"/>
              <i val="1"/>
              <color rgb="002B2B2B"/>
              <sz val="10"/>
            </rPr>
            <t>b</t>
          </r>
          <r>
            <rPr>
              <rFont val="Calibri"/>
              <i val="1"/>
              <color rgb="002B2B2B"/>
              <sz val="10"/>
              <vertAlign val="subscript"/>
            </rPr>
            <t>eff,1</t>
          </r>
        </is>
      </c>
      <c r="E119" s="41">
        <f>IF(inputs_ok,MIN(0.2*b_1+0.1*l0_sp,0.2*l0_sp,b_1),NA())</f>
        <v/>
      </c>
      <c r="F119" s="28" t="inlineStr">
        <is>
          <t>mm</t>
        </is>
      </c>
      <c r="G119" s="23" t="n"/>
    </row>
    <row r="120" ht="17" customHeight="1">
      <c r="B120" s="26" t="inlineStr">
        <is>
          <t>(5.7)</t>
        </is>
      </c>
      <c r="C120" s="24" t="inlineStr">
        <is>
          <t>Effective flange width, span  bw + 2 b_eff,1</t>
        </is>
      </c>
      <c r="D120" s="27" t="inlineStr">
        <is>
          <r>
            <rPr>
              <rFont val="Calibri"/>
              <i val="1"/>
              <color rgb="002B2B2B"/>
              <sz val="10"/>
            </rPr>
            <t>b</t>
          </r>
          <r>
            <rPr>
              <rFont val="Calibri"/>
              <i val="1"/>
              <color rgb="002B2B2B"/>
              <sz val="10"/>
              <vertAlign val="subscript"/>
            </rPr>
            <t>eff</t>
          </r>
        </is>
      </c>
      <c r="E120" s="44">
        <f>IF(inputs_ok,b_w+2*beff_1,NA())</f>
        <v/>
      </c>
      <c r="F120" s="28" t="inlineStr">
        <is>
          <t>mm</t>
        </is>
      </c>
      <c r="G120" s="23" t="n"/>
    </row>
    <row r="121" ht="17" customHeight="1">
      <c r="B121" s="26" t="inlineStr">
        <is>
          <t>(5.7)</t>
        </is>
      </c>
      <c r="C121" s="24" t="inlineStr">
        <is>
          <t>Effective flange width at a support  (l0 = 0.3 l, for As,min)</t>
        </is>
      </c>
      <c r="D121" s="27" t="inlineStr">
        <is>
          <r>
            <rPr>
              <rFont val="Calibri"/>
              <i val="1"/>
              <color rgb="002B2B2B"/>
              <sz val="10"/>
            </rPr>
            <t>b</t>
          </r>
          <r>
            <rPr>
              <rFont val="Calibri"/>
              <i val="1"/>
              <color rgb="002B2B2B"/>
              <sz val="10"/>
              <vertAlign val="subscript"/>
            </rPr>
            <t>eff,s</t>
          </r>
        </is>
      </c>
      <c r="E121" s="41">
        <f>IF(inputs_ok,b_w+2*MIN(0.2*b_1+0.1*0.3*L_rb,0.2*0.3*L_rb,b_1),NA())</f>
        <v/>
      </c>
      <c r="F121" s="28" t="inlineStr">
        <is>
          <t>mm</t>
        </is>
      </c>
      <c r="G121" s="23" t="n"/>
    </row>
    <row r="122" ht="17" customHeight="1">
      <c r="B122" s="23" t="n"/>
      <c r="C122" s="24" t="inlineStr">
        <is>
          <t>Moment with the stress block filling the topping  fcd beff hf (d − hf/2)</t>
        </is>
      </c>
      <c r="D122" s="27" t="inlineStr">
        <is>
          <r>
            <rPr>
              <rFont val="Calibri"/>
              <i val="1"/>
              <color rgb="002B2B2B"/>
              <sz val="10"/>
            </rPr>
            <t>M</t>
          </r>
          <r>
            <rPr>
              <rFont val="Calibri"/>
              <i val="1"/>
              <color rgb="002B2B2B"/>
              <sz val="10"/>
              <vertAlign val="subscript"/>
            </rPr>
            <t>f</t>
          </r>
        </is>
      </c>
      <c r="E122" s="42">
        <f>IF(inputs_ok,f_cd*b_eff*h_f*(d_b-h_f/2)/1E6,NA())</f>
        <v/>
      </c>
      <c r="F122" s="28" t="inlineStr">
        <is>
          <t>kNm</t>
        </is>
      </c>
      <c r="G122" s="23" t="n"/>
    </row>
    <row r="123" ht="17" customHeight="1">
      <c r="B123" s="26" t="inlineStr">
        <is>
          <t>3.1.7(3)</t>
        </is>
      </c>
      <c r="C123" s="24" t="inlineStr">
        <is>
          <t>Span: stress block depth  (in the topping if M ≤ Mf)</t>
        </is>
      </c>
      <c r="D123" s="27" t="inlineStr">
        <is>
          <r>
            <rPr>
              <rFont val="Calibri"/>
              <i val="1"/>
              <color rgb="002B2B2B"/>
              <sz val="10"/>
            </rPr>
            <t>λx</t>
          </r>
        </is>
      </c>
      <c r="E123" s="42">
        <f>IF(inputs_ok,IF(M_sp&lt;=M_f,d_b*(1-SQRT(1-2*M_sp*1E6/(f_cd*b_eff*d_b^2))),d_b-SQRT(d_b^2-2*(M_sp*1E6-f_cd*(b_eff-b_w)*h_f*(d_b-h_f/2))/(f_cd*b_w))),NA())</f>
        <v/>
      </c>
      <c r="F123" s="28" t="inlineStr">
        <is>
          <t>mm</t>
        </is>
      </c>
      <c r="G123" s="26" t="inlineStr">
        <is>
          <t>N/A: rib too small</t>
        </is>
      </c>
    </row>
    <row r="124" ht="17" customHeight="1">
      <c r="B124" s="26" t="inlineStr">
        <is>
          <t>5.5(4)</t>
        </is>
      </c>
      <c r="C124" s="24" t="inlineStr">
        <is>
          <t>Span: neutral axis depth ratio  λx / (0.8 d)</t>
        </is>
      </c>
      <c r="D124" s="27" t="inlineStr">
        <is>
          <r>
            <rPr>
              <rFont val="Calibri"/>
              <i val="1"/>
              <color rgb="002B2B2B"/>
              <sz val="10"/>
            </rPr>
            <t>x/d</t>
          </r>
        </is>
      </c>
      <c r="E124" s="40">
        <f>IF(inputs_ok,y_sp/0.8/d_b,NA())</f>
        <v/>
      </c>
      <c r="F124" s="23" t="n"/>
      <c r="G124" s="23" t="n"/>
    </row>
    <row r="125" ht="17" customHeight="1">
      <c r="B125" s="23" t="n"/>
      <c r="C125" s="24" t="inlineStr">
        <is>
          <t>Span: As required  (flange and rib forces) / fyd</t>
        </is>
      </c>
      <c r="D125" s="27" t="inlineStr">
        <is>
          <r>
            <rPr>
              <rFont val="Calibri"/>
              <i val="1"/>
              <color rgb="002B2B2B"/>
              <sz val="10"/>
            </rPr>
            <t>A</t>
          </r>
          <r>
            <rPr>
              <rFont val="Calibri"/>
              <i val="1"/>
              <color rgb="002B2B2B"/>
              <sz val="10"/>
              <vertAlign val="subscript"/>
            </rPr>
            <t>s,req</t>
          </r>
        </is>
      </c>
      <c r="E125" s="41">
        <f>IF(inputs_ok,IF(xd_sp&lt;=xi_rb,IF(M_sp&lt;=M_f,M_sp*1E6/(f_yd*MIN(0.95*d_b,d_b-y_sp/2)),f_cd*((b_eff-b_w)*h_f+b_w*y_sp)/f_yd),NA()),NA())</f>
        <v/>
      </c>
      <c r="F125" s="28" t="inlineStr">
        <is>
          <t>mm²</t>
        </is>
      </c>
      <c r="G125" s="26" t="inlineStr">
        <is>
          <t>z ≤ 0.95 d</t>
        </is>
      </c>
    </row>
    <row r="126" ht="17" customHeight="1">
      <c r="B126" s="26" t="inlineStr">
        <is>
          <t>(9.1N)</t>
        </is>
      </c>
      <c r="C126" s="24" t="inlineStr">
        <is>
          <t>Span: As,min  max(0.26 fctm/fyk; 0.0013) bw d</t>
        </is>
      </c>
      <c r="D126" s="27" t="inlineStr">
        <is>
          <r>
            <rPr>
              <rFont val="Calibri"/>
              <i val="1"/>
              <color rgb="002B2B2B"/>
              <sz val="10"/>
            </rPr>
            <t>A</t>
          </r>
          <r>
            <rPr>
              <rFont val="Calibri"/>
              <i val="1"/>
              <color rgb="002B2B2B"/>
              <sz val="10"/>
              <vertAlign val="subscript"/>
            </rPr>
            <t>s,min</t>
          </r>
        </is>
      </c>
      <c r="E126" s="41">
        <f>IF(inputs_ok,MAX(0.26*f_ctm/f_yk,0.0013)*b_w*d_b,NA())</f>
        <v/>
      </c>
      <c r="F126" s="28" t="inlineStr">
        <is>
          <t>mm²</t>
        </is>
      </c>
      <c r="G126" s="23" t="n"/>
    </row>
    <row r="127" ht="17" customHeight="1">
      <c r="B127" s="23" t="n"/>
      <c r="C127" s="24" t="inlineStr">
        <is>
          <t>Span: As provided  nb π φb² / 4</t>
        </is>
      </c>
      <c r="D127" s="27" t="inlineStr">
        <is>
          <r>
            <rPr>
              <rFont val="Calibri"/>
              <i val="1"/>
              <color rgb="002B2B2B"/>
              <sz val="10"/>
            </rPr>
            <t>A</t>
          </r>
          <r>
            <rPr>
              <rFont val="Calibri"/>
              <i val="1"/>
              <color rgb="002B2B2B"/>
              <sz val="10"/>
              <vertAlign val="subscript"/>
            </rPr>
            <t>s,prov</t>
          </r>
        </is>
      </c>
      <c r="E127" s="41">
        <f>IF(inputs_ok,n_b*PI()*phi_b^2/4,NA())</f>
        <v/>
      </c>
      <c r="F127" s="28" t="inlineStr">
        <is>
          <t>mm²</t>
        </is>
      </c>
      <c r="G127" s="23" t="n"/>
    </row>
    <row r="128" ht="17" customHeight="1">
      <c r="B128" s="23" t="n"/>
      <c r="C128" s="24" t="inlineStr">
        <is>
          <t>Span: As,prov ≥ max(As,req; As,min)</t>
        </is>
      </c>
      <c r="D128" s="27" t="inlineStr">
        <is>
          <r>
            <rPr>
              <rFont val="Calibri"/>
              <i val="1"/>
              <color rgb="002B2B2B"/>
              <sz val="10"/>
            </rPr>
            <t>A</t>
          </r>
          <r>
            <rPr>
              <rFont val="Calibri"/>
              <i val="1"/>
              <color rgb="002B2B2B"/>
              <sz val="10"/>
              <vertAlign val="subscript"/>
            </rPr>
            <t>s</t>
          </r>
        </is>
      </c>
      <c r="E128" s="41">
        <f>IF(inputs_ok,Asp_b,NA())</f>
        <v/>
      </c>
      <c r="F128" s="28" t="inlineStr">
        <is>
          <t>mm²</t>
        </is>
      </c>
      <c r="G128" s="30">
        <f>IF(NOT(inputs_ok),"FAIL",IF(span_ok,"OK","FAIL"))</f>
        <v/>
      </c>
    </row>
    <row r="129" ht="17" customHeight="1">
      <c r="B129" s="26" t="inlineStr">
        <is>
          <t>9.2.1.2(1)</t>
        </is>
      </c>
      <c r="C129" s="24" t="inlineStr">
        <is>
          <t>Support design moment  max(hogging; 25 % of the span moment at an outer support)</t>
        </is>
      </c>
      <c r="D129" s="27" t="inlineStr">
        <is>
          <r>
            <rPr>
              <rFont val="Calibri"/>
              <i val="1"/>
              <color rgb="002B2B2B"/>
              <sz val="10"/>
            </rPr>
            <t>M</t>
          </r>
          <r>
            <rPr>
              <rFont val="Calibri"/>
              <i val="1"/>
              <color rgb="002B2B2B"/>
              <sz val="10"/>
              <vertAlign val="subscript"/>
            </rPr>
            <t>top</t>
          </r>
        </is>
      </c>
      <c r="E129" s="42">
        <f>IF(inputs_ok,MAX(M_su,IF(pin_end,0.25*M_sp,0)),NA())</f>
        <v/>
      </c>
      <c r="F129" s="28" t="inlineStr">
        <is>
          <t>kNm</t>
        </is>
      </c>
      <c r="G129" s="23" t="n"/>
    </row>
    <row r="130" ht="17" customHeight="1">
      <c r="B130" s="23" t="n"/>
      <c r="C130" s="24" t="inlineStr">
        <is>
          <t>Support: K = M / (bw d² fck)</t>
        </is>
      </c>
      <c r="D130" s="27" t="inlineStr">
        <is>
          <r>
            <rPr>
              <rFont val="Calibri"/>
              <i val="1"/>
              <color rgb="002B2B2B"/>
              <sz val="10"/>
            </rPr>
            <t>K</t>
          </r>
        </is>
      </c>
      <c r="E130" s="40">
        <f>IF(inputs_ok,M_tp*1E6/(b_w*d_t^2*f_ck),NA())</f>
        <v/>
      </c>
      <c r="F130" s="23" t="n"/>
      <c r="G130" s="23" t="n"/>
    </row>
    <row r="131" ht="17" customHeight="1">
      <c r="B131" s="26" t="inlineStr">
        <is>
          <t>3.1.7(3)</t>
        </is>
      </c>
      <c r="C131" s="24" t="inlineStr">
        <is>
          <t>Support: lever arm  ≤ 0.95 d</t>
        </is>
      </c>
      <c r="D131" s="27" t="inlineStr">
        <is>
          <r>
            <rPr>
              <rFont val="Calibri"/>
              <i val="1"/>
              <color rgb="002B2B2B"/>
              <sz val="10"/>
            </rPr>
            <t>z</t>
          </r>
        </is>
      </c>
      <c r="E131" s="41">
        <f>IF(inputs_ok,IF(K_su&lt;=K_rb,MIN(0.95*d_t,d_t*(1-0.5*(1-SQRT(1-2*K_su/(alpha_cc/gamma_c))))),NA()),NA())</f>
        <v/>
      </c>
      <c r="F131" s="28" t="inlineStr">
        <is>
          <t>mm</t>
        </is>
      </c>
      <c r="G131" s="26" t="inlineStr">
        <is>
          <t>N/A: K &gt; K'</t>
        </is>
      </c>
    </row>
    <row r="132" ht="17" customHeight="1">
      <c r="B132" s="23" t="n"/>
      <c r="C132" s="24" t="inlineStr">
        <is>
          <t>Support: As required  M / (fyd z)</t>
        </is>
      </c>
      <c r="D132" s="27" t="inlineStr">
        <is>
          <r>
            <rPr>
              <rFont val="Calibri"/>
              <i val="1"/>
              <color rgb="002B2B2B"/>
              <sz val="10"/>
            </rPr>
            <t>A</t>
          </r>
          <r>
            <rPr>
              <rFont val="Calibri"/>
              <i val="1"/>
              <color rgb="002B2B2B"/>
              <sz val="10"/>
              <vertAlign val="subscript"/>
            </rPr>
            <t>s,req</t>
          </r>
        </is>
      </c>
      <c r="E132" s="41">
        <f>IF(inputs_ok,IF(K_su&lt;=K_rb,M_tp*1E6/(f_yd*z_su),NA()),NA())</f>
        <v/>
      </c>
      <c r="F132" s="28" t="inlineStr">
        <is>
          <t>mm²</t>
        </is>
      </c>
      <c r="G132" s="23" t="n"/>
    </row>
    <row r="133" ht="17" customHeight="1">
      <c r="B133" s="26" t="inlineStr">
        <is>
          <t>(9.1N)</t>
        </is>
      </c>
      <c r="C133" s="24" t="inlineStr">
        <is>
          <t>Support: As,min  max(0.26 fctm/fyk; 0.0013) beff,s d  (flange in tension)</t>
        </is>
      </c>
      <c r="D133" s="27" t="inlineStr">
        <is>
          <r>
            <rPr>
              <rFont val="Calibri"/>
              <i val="1"/>
              <color rgb="002B2B2B"/>
              <sz val="10"/>
            </rPr>
            <t>A</t>
          </r>
          <r>
            <rPr>
              <rFont val="Calibri"/>
              <i val="1"/>
              <color rgb="002B2B2B"/>
              <sz val="10"/>
              <vertAlign val="subscript"/>
            </rPr>
            <t>s,min</t>
          </r>
        </is>
      </c>
      <c r="E133" s="41">
        <f>IF(inputs_ok,MAX(0.26*f_ctm/f_yk,0.0013)*beff_h*d_t,NA())</f>
        <v/>
      </c>
      <c r="F133" s="28" t="inlineStr">
        <is>
          <t>mm²</t>
        </is>
      </c>
      <c r="G133" s="23" t="n"/>
    </row>
    <row r="134" ht="17" customHeight="1">
      <c r="B134" s="23" t="n"/>
      <c r="C134" s="24" t="inlineStr">
        <is>
          <t>Support: As provided  nt π φt² / 4</t>
        </is>
      </c>
      <c r="D134" s="27" t="inlineStr">
        <is>
          <r>
            <rPr>
              <rFont val="Calibri"/>
              <i val="1"/>
              <color rgb="002B2B2B"/>
              <sz val="10"/>
            </rPr>
            <t>A</t>
          </r>
          <r>
            <rPr>
              <rFont val="Calibri"/>
              <i val="1"/>
              <color rgb="002B2B2B"/>
              <sz val="10"/>
              <vertAlign val="subscript"/>
            </rPr>
            <t>s,prov</t>
          </r>
        </is>
      </c>
      <c r="E134" s="41">
        <f>IF(inputs_ok,n_t*PI()*phi_t^2/4,NA())</f>
        <v/>
      </c>
      <c r="F134" s="28" t="inlineStr">
        <is>
          <t>mm²</t>
        </is>
      </c>
      <c r="G134" s="23" t="n"/>
    </row>
    <row r="135" ht="17" customHeight="1">
      <c r="B135" s="26" t="inlineStr">
        <is>
          <t>5.5(4)</t>
        </is>
      </c>
      <c r="C135" s="24" t="inlineStr">
        <is>
          <t>Support: x/d of the bars provided  As fyd / (0.8 bw fcd d)</t>
        </is>
      </c>
      <c r="D135" s="27" t="inlineStr">
        <is>
          <r>
            <rPr>
              <rFont val="Calibri"/>
              <i val="1"/>
              <color rgb="002B2B2B"/>
              <sz val="10"/>
            </rPr>
            <t>x/d</t>
          </r>
        </is>
      </c>
      <c r="E135" s="40">
        <f>IF(inputs_ok,Asp_t*f_yd/(0.8*b_w*f_cd*d_t),NA())</f>
        <v/>
      </c>
      <c r="F135" s="23" t="n"/>
      <c r="G135" s="23" t="n"/>
    </row>
    <row r="136" ht="17" customHeight="1">
      <c r="B136" s="26" t="inlineStr">
        <is>
          <t>5.5(4), 9.2.1</t>
        </is>
      </c>
      <c r="C136" s="24" t="inlineStr">
        <is>
          <t>Support: As,prov ≥ max(As,req; As,min), x/d of the bars ≤ limit where redistributed</t>
        </is>
      </c>
      <c r="D136" s="27" t="inlineStr">
        <is>
          <r>
            <rPr>
              <rFont val="Calibri"/>
              <i val="1"/>
              <color rgb="002B2B2B"/>
              <sz val="10"/>
            </rPr>
            <t>A</t>
          </r>
          <r>
            <rPr>
              <rFont val="Calibri"/>
              <i val="1"/>
              <color rgb="002B2B2B"/>
              <sz val="10"/>
              <vertAlign val="subscript"/>
            </rPr>
            <t>s</t>
          </r>
        </is>
      </c>
      <c r="E136" s="41">
        <f>IF(inputs_ok,Asp_t,NA())</f>
        <v/>
      </c>
      <c r="F136" s="28" t="inlineStr">
        <is>
          <t>mm²</t>
        </is>
      </c>
      <c r="G136" s="30">
        <f>IF(NOT(inputs_ok),"FAIL",IF(sup_ok,"OK","FAIL"))</f>
        <v/>
      </c>
    </row>
    <row r="137"/>
    <row r="138" ht="22" customHeight="1">
      <c r="B138" s="20" t="inlineStr">
        <is>
          <t>Calculation  ·  shear in the rib</t>
        </is>
      </c>
      <c r="C138" s="21" t="n"/>
      <c r="D138" s="21" t="n"/>
      <c r="E138" s="21" t="n"/>
      <c r="F138" s="21" t="n"/>
      <c r="G138" s="21" t="n"/>
    </row>
    <row r="139" ht="17" customHeight="1">
      <c r="B139" s="26" t="inlineStr">
        <is>
          <t>6.2.2(1)</t>
        </is>
      </c>
      <c r="C139" s="24" t="inlineStr">
        <is>
          <t>Left support: ρl of the bars in tension there</t>
        </is>
      </c>
      <c r="D139" s="27" t="inlineStr">
        <is>
          <r>
            <rPr>
              <rFont val="Calibri"/>
              <i val="1"/>
              <color rgb="002B2B2B"/>
              <sz val="10"/>
            </rPr>
            <t>ρ</t>
          </r>
          <r>
            <rPr>
              <rFont val="Calibri"/>
              <i val="1"/>
              <color rgb="002B2B2B"/>
              <sz val="10"/>
              <vertAlign val="subscript"/>
            </rPr>
            <t>l</t>
          </r>
        </is>
      </c>
      <c r="E139" s="45">
        <f>IF(inputs_ok,MIN(0.02,IF(CHOOSE(sys_i,0,0,0,1,1)=1,Asp_t,Asp_b)/(b_w*d_vlt)),NA())</f>
        <v/>
      </c>
      <c r="F139" s="23" t="n"/>
      <c r="G139" s="23" t="n"/>
    </row>
    <row r="140" ht="17" customHeight="1">
      <c r="B140" s="26" t="inlineStr">
        <is>
          <t>(6.2)</t>
        </is>
      </c>
      <c r="C140" s="24" t="inlineStr">
        <is>
          <t>Left support: VRd,c</t>
        </is>
      </c>
      <c r="D140" s="27" t="inlineStr">
        <is>
          <r>
            <rPr>
              <rFont val="Calibri"/>
              <i val="1"/>
              <color rgb="002B2B2B"/>
              <sz val="10"/>
            </rPr>
            <t>V</t>
          </r>
          <r>
            <rPr>
              <rFont val="Calibri"/>
              <i val="1"/>
              <color rgb="002B2B2B"/>
              <sz val="10"/>
              <vertAlign val="subscript"/>
            </rPr>
            <t>Rd,c</t>
          </r>
        </is>
      </c>
      <c r="E140" s="42">
        <f>IF(inputs_ok,MAX(C_Rdc*MIN(2,1+SQRT(200/d_vlt))*(100*rho_lt*f_ck)^(1/3),0.035*MIN(2,1+SQRT(200/d_vlt))^1.5*SQRT(f_ck))*b_w*d_vlt/1000,NA())</f>
        <v/>
      </c>
      <c r="F140" s="28" t="inlineStr">
        <is>
          <t>kN</t>
        </is>
      </c>
      <c r="G140" s="23" t="n"/>
    </row>
    <row r="141" ht="17" customHeight="1">
      <c r="B141" s="26" t="inlineStr">
        <is>
          <t>6.2.2(1)</t>
        </is>
      </c>
      <c r="C141" s="24" t="inlineStr">
        <is>
          <t>Right support: ρl of the bars in tension there</t>
        </is>
      </c>
      <c r="D141" s="27" t="inlineStr">
        <is>
          <r>
            <rPr>
              <rFont val="Calibri"/>
              <i val="1"/>
              <color rgb="002B2B2B"/>
              <sz val="10"/>
            </rPr>
            <t>ρ</t>
          </r>
          <r>
            <rPr>
              <rFont val="Calibri"/>
              <i val="1"/>
              <color rgb="002B2B2B"/>
              <sz val="10"/>
              <vertAlign val="subscript"/>
            </rPr>
            <t>l</t>
          </r>
        </is>
      </c>
      <c r="E141" s="45">
        <f>IF(inputs_ok,MIN(0.02,IF(CHOOSE(sys_i,0,1,1,1,1)=1,Asp_t,Asp_b)/(b_w*d_vrt)),NA())</f>
        <v/>
      </c>
      <c r="F141" s="23" t="n"/>
      <c r="G141" s="23" t="n"/>
    </row>
    <row r="142" ht="17" customHeight="1">
      <c r="B142" s="26" t="inlineStr">
        <is>
          <t>(6.2)</t>
        </is>
      </c>
      <c r="C142" s="24" t="inlineStr">
        <is>
          <t>Right support: VRd,c</t>
        </is>
      </c>
      <c r="D142" s="27" t="inlineStr">
        <is>
          <r>
            <rPr>
              <rFont val="Calibri"/>
              <i val="1"/>
              <color rgb="002B2B2B"/>
              <sz val="10"/>
            </rPr>
            <t>V</t>
          </r>
          <r>
            <rPr>
              <rFont val="Calibri"/>
              <i val="1"/>
              <color rgb="002B2B2B"/>
              <sz val="10"/>
              <vertAlign val="subscript"/>
            </rPr>
            <t>Rd,c</t>
          </r>
        </is>
      </c>
      <c r="E142" s="42">
        <f>IF(inputs_ok,MAX(C_Rdc*MIN(2,1+SQRT(200/d_vrt))*(100*rho_rt*f_ck)^(1/3),0.035*MIN(2,1+SQRT(200/d_vrt))^1.5*SQRT(f_ck))*b_w*d_vrt/1000,NA())</f>
        <v/>
      </c>
      <c r="F142" s="28" t="inlineStr">
        <is>
          <t>kN</t>
        </is>
      </c>
      <c r="G142" s="23" t="n"/>
    </row>
    <row r="143" ht="17" customHeight="1">
      <c r="B143" s="26" t="inlineStr">
        <is>
          <t>(6.2)</t>
        </is>
      </c>
      <c r="C143" s="24" t="inlineStr">
        <is>
          <t>Shear utilisation without links  max(VEd / VRd,c)</t>
        </is>
      </c>
      <c r="D143" s="23" t="n"/>
      <c r="E143" s="39">
        <f>IF(inputs_ok,MAX(V_lt/VRc_lt,V_rt/VRc_rt),NA())</f>
        <v/>
      </c>
      <c r="F143" s="23" t="n"/>
      <c r="G143" s="23" t="n"/>
    </row>
    <row r="144" ht="17" customHeight="1">
      <c r="B144" s="23" t="n"/>
      <c r="C144" s="24" t="inlineStr">
        <is>
          <t>Larger support shear and the smaller depth</t>
        </is>
      </c>
      <c r="D144" s="27" t="inlineStr">
        <is>
          <r>
            <rPr>
              <rFont val="Calibri"/>
              <i val="1"/>
              <color rgb="002B2B2B"/>
              <sz val="10"/>
            </rPr>
            <t>V</t>
          </r>
          <r>
            <rPr>
              <rFont val="Calibri"/>
              <i val="1"/>
              <color rgb="002B2B2B"/>
              <sz val="10"/>
              <vertAlign val="subscript"/>
            </rPr>
            <t>Ed</t>
          </r>
        </is>
      </c>
      <c r="E144" s="42">
        <f>IF(inputs_ok,MAX(V_lt,V_rt),NA())</f>
        <v/>
      </c>
      <c r="F144" s="28" t="inlineStr">
        <is>
          <t>kN</t>
        </is>
      </c>
      <c r="G144" s="23" t="n"/>
    </row>
    <row r="145" ht="17" customHeight="1">
      <c r="B145" s="26" t="inlineStr">
        <is>
          <t>6.2.3(1)</t>
        </is>
      </c>
      <c r="C145" s="24" t="inlineStr">
        <is>
          <t>Inner lever arm  0.9 min(d)</t>
        </is>
      </c>
      <c r="D145" s="27" t="inlineStr">
        <is>
          <r>
            <rPr>
              <rFont val="Calibri"/>
              <i val="1"/>
              <color rgb="002B2B2B"/>
              <sz val="10"/>
            </rPr>
            <t>z</t>
          </r>
        </is>
      </c>
      <c r="E145" s="41">
        <f>IF(inputs_ok,0.9*MIN(d_vlt,d_vrt),NA())</f>
        <v/>
      </c>
      <c r="F145" s="28" t="inlineStr">
        <is>
          <t>mm</t>
        </is>
      </c>
      <c r="G145" s="23" t="n"/>
    </row>
    <row r="146" ht="17" customHeight="1">
      <c r="B146" s="26" t="inlineStr">
        <is>
          <t>(6.6N)</t>
        </is>
      </c>
      <c r="C146" s="24" t="inlineStr">
        <is>
          <t>Strength reduction factor  ν1 = 0.6 (1 − fck/250)</t>
        </is>
      </c>
      <c r="D146" s="27" t="inlineStr">
        <is>
          <r>
            <rPr>
              <rFont val="Calibri"/>
              <i val="1"/>
              <color rgb="002B2B2B"/>
              <sz val="10"/>
            </rPr>
            <t>ν</t>
          </r>
          <r>
            <rPr>
              <rFont val="Calibri"/>
              <i val="1"/>
              <color rgb="002B2B2B"/>
              <sz val="10"/>
              <vertAlign val="subscript"/>
            </rPr>
            <t>1</t>
          </r>
        </is>
      </c>
      <c r="E146" s="40">
        <f>IF(inputs_ok,0.6*(1-f_ck/250),NA())</f>
        <v/>
      </c>
      <c r="F146" s="23" t="n"/>
      <c r="G146" s="23" t="n"/>
    </row>
    <row r="147" ht="17" customHeight="1">
      <c r="B147" s="26" t="inlineStr">
        <is>
          <t>3.1.6(1)</t>
        </is>
      </c>
      <c r="C147" s="24" t="inlineStr">
        <is>
          <t>Design compressive strength for shear</t>
        </is>
      </c>
      <c r="D147" s="27" t="inlineStr">
        <is>
          <r>
            <rPr>
              <rFont val="Calibri"/>
              <i val="1"/>
              <color rgb="002B2B2B"/>
              <sz val="10"/>
            </rPr>
            <t>f</t>
          </r>
          <r>
            <rPr>
              <rFont val="Calibri"/>
              <i val="1"/>
              <color rgb="002B2B2B"/>
              <sz val="10"/>
              <vertAlign val="subscript"/>
            </rPr>
            <t>cd,v</t>
          </r>
        </is>
      </c>
      <c r="E147" s="39">
        <f>IF(inputs_ok,alpha_cc_shear*f_ck/gamma_c,NA())</f>
        <v/>
      </c>
      <c r="F147" s="28" t="inlineStr">
        <is>
          <t>MPa</t>
        </is>
      </c>
      <c r="G147" s="23" t="n"/>
    </row>
    <row r="148" ht="17" customHeight="1">
      <c r="B148" s="26" t="inlineStr">
        <is>
          <t>(6.9)</t>
        </is>
      </c>
      <c r="C148" s="24" t="inlineStr">
        <is>
          <t>Crushing ratio  2 VEd / (bw z ν1 fcd)  (= VEd / VRd,max at 45°)</t>
        </is>
      </c>
      <c r="D148" s="23" t="n"/>
      <c r="E148" s="40">
        <f>IF(inputs_ok,2*V_Ed*1000/(b_w*z_v*nu_1*f_cdv),NA())</f>
        <v/>
      </c>
      <c r="F148" s="23" t="n"/>
      <c r="G148" s="23" t="n"/>
    </row>
    <row r="149" ht="17" customHeight="1">
      <c r="B149" s="26" t="inlineStr">
        <is>
          <t>6.2.3(2)</t>
        </is>
      </c>
      <c r="C149" s="24" t="inlineStr">
        <is>
          <t>Strut inclination  1 ≤ cot θ ≤ cot θmax</t>
        </is>
      </c>
      <c r="D149" s="27" t="inlineStr">
        <is>
          <r>
            <rPr>
              <rFont val="Calibri"/>
              <i val="1"/>
              <color rgb="002B2B2B"/>
              <sz val="10"/>
            </rPr>
            <t>cot θ</t>
          </r>
        </is>
      </c>
      <c r="E149" s="40">
        <f>IF(inputs_ok,IF(ratio_v&gt;=1,1,MIN(cot_max,1/TAN(0.5*ASIN(ratio_v)))),NA())</f>
        <v/>
      </c>
      <c r="F149" s="23" t="n"/>
      <c r="G149" s="23" t="n"/>
    </row>
    <row r="150" ht="17" customHeight="1">
      <c r="B150" s="26" t="inlineStr">
        <is>
          <t>(6.9)</t>
        </is>
      </c>
      <c r="C150" s="24" t="inlineStr">
        <is>
          <t>Maximum shear resistance  bw z ν1 fcd / (cot θ + tan θ)</t>
        </is>
      </c>
      <c r="D150" s="27" t="inlineStr">
        <is>
          <r>
            <rPr>
              <rFont val="Calibri"/>
              <i val="1"/>
              <color rgb="002B2B2B"/>
              <sz val="10"/>
            </rPr>
            <t>V</t>
          </r>
          <r>
            <rPr>
              <rFont val="Calibri"/>
              <i val="1"/>
              <color rgb="002B2B2B"/>
              <sz val="10"/>
              <vertAlign val="subscript"/>
            </rPr>
            <t>Rd,max</t>
          </r>
        </is>
      </c>
      <c r="E150" s="42">
        <f>IF(inputs_ok,b_w*z_v*nu_1*f_cdv/(cot_theta+1/cot_theta)/1000,NA())</f>
        <v/>
      </c>
      <c r="F150" s="28" t="inlineStr">
        <is>
          <t>kN</t>
        </is>
      </c>
      <c r="G150" s="23" t="n"/>
    </row>
    <row r="151" ht="17" customHeight="1">
      <c r="B151" s="26" t="inlineStr">
        <is>
          <t>(6.8)</t>
        </is>
      </c>
      <c r="C151" s="24" t="inlineStr">
        <is>
          <t>Links required  VEd / (z fywd cot θ)</t>
        </is>
      </c>
      <c r="D151" s="27" t="inlineStr">
        <is>
          <r>
            <rPr>
              <rFont val="Calibri"/>
              <i val="1"/>
              <color rgb="002B2B2B"/>
              <sz val="10"/>
            </rPr>
            <t>A</t>
          </r>
          <r>
            <rPr>
              <rFont val="Calibri"/>
              <i val="1"/>
              <color rgb="002B2B2B"/>
              <sz val="10"/>
              <vertAlign val="subscript"/>
            </rPr>
            <t>sw/s</t>
          </r>
        </is>
      </c>
      <c r="E151" s="40">
        <f>IF(inputs_ok,V_Ed*1000/(z_v*f_yd*cot_theta),NA())</f>
        <v/>
      </c>
      <c r="F151" s="28" t="inlineStr">
        <is>
          <t>mm²/mm</t>
        </is>
      </c>
      <c r="G151" s="23" t="n"/>
    </row>
    <row r="152" ht="17" customHeight="1">
      <c r="B152" s="26" t="inlineStr">
        <is>
          <t>(9.5N)</t>
        </is>
      </c>
      <c r="C152" s="24" t="inlineStr">
        <is>
          <t>Minimum links where links are used  0.08 √fck / fyk · bw</t>
        </is>
      </c>
      <c r="D152" s="27" t="inlineStr">
        <is>
          <r>
            <rPr>
              <rFont val="Calibri"/>
              <i val="1"/>
              <color rgb="002B2B2B"/>
              <sz val="10"/>
            </rPr>
            <t>A</t>
          </r>
          <r>
            <rPr>
              <rFont val="Calibri"/>
              <i val="1"/>
              <color rgb="002B2B2B"/>
              <sz val="10"/>
              <vertAlign val="subscript"/>
            </rPr>
            <t>sw/s_min</t>
          </r>
        </is>
      </c>
      <c r="E152" s="40">
        <f>IF(inputs_ok,0.08*SQRT(f_ck)/f_yk*b_w,NA())</f>
        <v/>
      </c>
      <c r="F152" s="28" t="inlineStr">
        <is>
          <t>mm²/mm</t>
        </is>
      </c>
      <c r="G152" s="23" t="n"/>
    </row>
    <row r="153" ht="17" customHeight="1">
      <c r="B153" s="23" t="n"/>
      <c r="C153" s="24" t="inlineStr">
        <is>
          <t>Links provided  2 π φw² / 4 / s</t>
        </is>
      </c>
      <c r="D153" s="27" t="inlineStr">
        <is>
          <r>
            <rPr>
              <rFont val="Calibri"/>
              <i val="1"/>
              <color rgb="002B2B2B"/>
              <sz val="10"/>
            </rPr>
            <t>A</t>
          </r>
          <r>
            <rPr>
              <rFont val="Calibri"/>
              <i val="1"/>
              <color rgb="002B2B2B"/>
              <sz val="10"/>
              <vertAlign val="subscript"/>
            </rPr>
            <t>sw/s_prov</t>
          </r>
        </is>
      </c>
      <c r="E153" s="40">
        <f>IF(inputs_ok,IF(phi_w&gt;0,2*PI()*phi_w^2/4/s_w,0),NA())</f>
        <v/>
      </c>
      <c r="F153" s="28" t="inlineStr">
        <is>
          <t>mm²/mm</t>
        </is>
      </c>
      <c r="G153" s="23" t="n"/>
    </row>
    <row r="154" ht="17" customHeight="1">
      <c r="B154" s="23" t="n"/>
      <c r="C154" s="24" t="inlineStr">
        <is>
          <t>Links needed  (minimum where VEd ≤ VRd,c)</t>
        </is>
      </c>
      <c r="D154" s="23" t="n"/>
      <c r="E154" s="40">
        <f>IF(inputs_ok,Asw_need,NA())</f>
        <v/>
      </c>
      <c r="F154" s="28" t="inlineStr">
        <is>
          <t>mm²/mm</t>
        </is>
      </c>
      <c r="G154" s="23" t="n"/>
    </row>
    <row r="155" ht="17" customHeight="1">
      <c r="B155" s="26" t="inlineStr">
        <is>
          <t>(9.6N)</t>
        </is>
      </c>
      <c r="C155" s="24" t="inlineStr">
        <is>
          <t>Maximum longitudinal link spacing  0.75 d</t>
        </is>
      </c>
      <c r="D155" s="27" t="inlineStr">
        <is>
          <r>
            <rPr>
              <rFont val="Calibri"/>
              <i val="1"/>
              <color rgb="002B2B2B"/>
              <sz val="10"/>
            </rPr>
            <t>s</t>
          </r>
          <r>
            <rPr>
              <rFont val="Calibri"/>
              <i val="1"/>
              <color rgb="002B2B2B"/>
              <sz val="10"/>
              <vertAlign val="subscript"/>
            </rPr>
            <t>l,max</t>
          </r>
        </is>
      </c>
      <c r="E155" s="41">
        <f>IF(inputs_ok,0.75*MIN(d_vlt,d_vrt),NA())</f>
        <v/>
      </c>
      <c r="F155" s="28" t="inlineStr">
        <is>
          <t>mm</t>
        </is>
      </c>
      <c r="G155" s="23" t="n"/>
    </row>
    <row r="156" ht="17" customHeight="1">
      <c r="B156" s="26" t="inlineStr">
        <is>
          <t>9.2.2(8)</t>
        </is>
      </c>
      <c r="C156" s="24" t="inlineStr">
        <is>
          <t>Transverse spacing of the two legs  bw − 2c − φw</t>
        </is>
      </c>
      <c r="D156" s="27" t="inlineStr">
        <is>
          <r>
            <rPr>
              <rFont val="Calibri"/>
              <i val="1"/>
              <color rgb="002B2B2B"/>
              <sz val="10"/>
            </rPr>
            <t>s</t>
          </r>
          <r>
            <rPr>
              <rFont val="Calibri"/>
              <i val="1"/>
              <color rgb="002B2B2B"/>
              <sz val="10"/>
              <vertAlign val="subscript"/>
            </rPr>
            <t>t</t>
          </r>
        </is>
      </c>
      <c r="E156" s="41">
        <f>IF(inputs_ok,b_w-2*c_nom-phi_w,NA())</f>
        <v/>
      </c>
      <c r="F156" s="28" t="inlineStr">
        <is>
          <t>mm</t>
        </is>
      </c>
      <c r="G156" s="23" t="n"/>
    </row>
    <row r="157" ht="17" customHeight="1">
      <c r="B157" s="26" t="inlineStr">
        <is>
          <t>(9.8N)</t>
        </is>
      </c>
      <c r="C157" s="24" t="inlineStr">
        <is>
          <t>Maximum transverse spacing of legs  min(0.75 d; 600)</t>
        </is>
      </c>
      <c r="D157" s="27" t="inlineStr">
        <is>
          <r>
            <rPr>
              <rFont val="Calibri"/>
              <i val="1"/>
              <color rgb="002B2B2B"/>
              <sz val="10"/>
            </rPr>
            <t>s</t>
          </r>
          <r>
            <rPr>
              <rFont val="Calibri"/>
              <i val="1"/>
              <color rgb="002B2B2B"/>
              <sz val="10"/>
              <vertAlign val="subscript"/>
            </rPr>
            <t>t,max</t>
          </r>
        </is>
      </c>
      <c r="E157" s="41">
        <f>IF(inputs_ok,MIN(0.75*MIN(d_vlt,d_vrt),600),NA())</f>
        <v/>
      </c>
      <c r="F157" s="28" t="inlineStr">
        <is>
          <t>mm</t>
        </is>
      </c>
      <c r="G157" s="23" t="n"/>
    </row>
    <row r="158" ht="17" customHeight="1">
      <c r="B158" s="26" t="inlineStr">
        <is>
          <t>6.2.1(4), 6.2.3</t>
        </is>
      </c>
      <c r="C158" s="24" t="inlineStr">
        <is>
          <t>Shear: no links (VEd ≤ VRd,c, slab to 5.3.1(6)), or links ≥ needed, VEd ≤ VRd,max, spacings within 9.2.2</t>
        </is>
      </c>
      <c r="D158" s="27" t="inlineStr">
        <is>
          <r>
            <rPr>
              <rFont val="Calibri"/>
              <i val="1"/>
              <color rgb="002B2B2B"/>
              <sz val="10"/>
            </rPr>
            <t>V</t>
          </r>
          <r>
            <rPr>
              <rFont val="Calibri"/>
              <i val="1"/>
              <color rgb="002B2B2B"/>
              <sz val="10"/>
              <vertAlign val="subscript"/>
            </rPr>
            <t>Ed</t>
          </r>
        </is>
      </c>
      <c r="E158" s="42">
        <f>IF(inputs_ok,V_Ed,NA())</f>
        <v/>
      </c>
      <c r="F158" s="28" t="inlineStr">
        <is>
          <t>kN</t>
        </is>
      </c>
      <c r="G158" s="30">
        <f>IF(NOT(inputs_ok),"FAIL",IF(shear_ok,"OK","FAIL"))</f>
        <v/>
      </c>
    </row>
    <row r="159"/>
    <row r="160" ht="22" customHeight="1">
      <c r="B160" s="20" t="inlineStr">
        <is>
          <t>Calculation  ·  longitudinal shear between the rib and the topping  (6.2.4)</t>
        </is>
      </c>
      <c r="C160" s="21" t="n"/>
      <c r="D160" s="21" t="n"/>
      <c r="E160" s="21" t="n"/>
      <c r="F160" s="21" t="n"/>
      <c r="G160" s="21" t="n"/>
    </row>
    <row r="161" ht="17" customHeight="1">
      <c r="B161" s="26" t="inlineStr">
        <is>
          <t>3.1.7(3)</t>
        </is>
      </c>
      <c r="C161" s="24" t="inlineStr">
        <is>
          <t>Stress block depth at 0.75 of the span moment</t>
        </is>
      </c>
      <c r="D161" s="27" t="inlineStr">
        <is>
          <r>
            <rPr>
              <rFont val="Calibri"/>
              <i val="1"/>
              <color rgb="002B2B2B"/>
              <sz val="10"/>
            </rPr>
            <t>λx</t>
          </r>
          <r>
            <rPr>
              <rFont val="Calibri"/>
              <i val="1"/>
              <color rgb="002B2B2B"/>
              <sz val="10"/>
              <vertAlign val="subscript"/>
            </rPr>
            <t>0.75</t>
          </r>
        </is>
      </c>
      <c r="E161" s="42">
        <f>IF(inputs_ok,IF(0.75*M_sp&lt;=M_f,d_b*(1-SQRT(1-2*0.75*M_sp*1E6/(f_cd*b_eff*d_b^2))),d_b-SQRT(d_b^2-2*(0.75*M_sp*1E6-f_cd*(b_eff-b_w)*h_f*(d_b-h_f/2))/(f_cd*b_w))),NA())</f>
        <v/>
      </c>
      <c r="F161" s="28" t="inlineStr">
        <is>
          <t>mm</t>
        </is>
      </c>
      <c r="G161" s="23" t="n"/>
    </row>
    <row r="162" ht="17" customHeight="1">
      <c r="B162" s="23" t="n"/>
      <c r="C162" s="24" t="inlineStr">
        <is>
          <t>Outstand force at the span moment  fcd beff,1 min(λx; hf)</t>
        </is>
      </c>
      <c r="D162" s="27" t="inlineStr">
        <is>
          <r>
            <rPr>
              <rFont val="Calibri"/>
              <i val="1"/>
              <color rgb="002B2B2B"/>
              <sz val="10"/>
            </rPr>
            <t>F</t>
          </r>
          <r>
            <rPr>
              <rFont val="Calibri"/>
              <i val="1"/>
              <color rgb="002B2B2B"/>
              <sz val="10"/>
              <vertAlign val="subscript"/>
            </rPr>
            <t>out</t>
          </r>
        </is>
      </c>
      <c r="E162" s="42">
        <f>IF(inputs_ok,f_cd*beff_1*MIN(y_sp,h_f)/1000,NA())</f>
        <v/>
      </c>
      <c r="F162" s="28" t="inlineStr">
        <is>
          <t>kN</t>
        </is>
      </c>
      <c r="G162" s="23" t="n"/>
    </row>
    <row r="163" ht="17" customHeight="1">
      <c r="B163" s="23" t="n"/>
      <c r="C163" s="24" t="inlineStr">
        <is>
          <t>Outstand force at 0.75 of the span moment</t>
        </is>
      </c>
      <c r="D163" s="27" t="inlineStr">
        <is>
          <r>
            <rPr>
              <rFont val="Calibri"/>
              <i val="1"/>
              <color rgb="002B2B2B"/>
              <sz val="10"/>
            </rPr>
            <t>F</t>
          </r>
          <r>
            <rPr>
              <rFont val="Calibri"/>
              <i val="1"/>
              <color rgb="002B2B2B"/>
              <sz val="10"/>
              <vertAlign val="subscript"/>
            </rPr>
            <t>out,0.75</t>
          </r>
        </is>
      </c>
      <c r="E163" s="42">
        <f>IF(inputs_ok,f_cd*beff_1*MIN(y_75,h_f)/1000,NA())</f>
        <v/>
      </c>
      <c r="F163" s="28" t="inlineStr">
        <is>
          <t>kN</t>
        </is>
      </c>
      <c r="G163" s="23" t="n"/>
    </row>
    <row r="164" ht="17" customHeight="1">
      <c r="B164" s="26" t="inlineStr">
        <is>
          <t>6.2.4(3)</t>
        </is>
      </c>
      <c r="C164" s="24" t="inlineStr">
        <is>
          <t>Length Δx = half the distance from zero to the largest moment  l0/4</t>
        </is>
      </c>
      <c r="D164" s="27" t="inlineStr">
        <is>
          <r>
            <rPr>
              <rFont val="Calibri"/>
              <i val="1"/>
              <color rgb="002B2B2B"/>
              <sz val="10"/>
            </rPr>
            <t>Δx</t>
          </r>
        </is>
      </c>
      <c r="E164" s="41">
        <f>IF(inputs_ok,l0_sp/4,NA())</f>
        <v/>
      </c>
      <c r="F164" s="28" t="inlineStr">
        <is>
          <t>mm</t>
        </is>
      </c>
      <c r="G164" s="23" t="n"/>
    </row>
    <row r="165" ht="17" customHeight="1">
      <c r="B165" s="26" t="inlineStr">
        <is>
          <t>6.2.4(3)</t>
        </is>
      </c>
      <c r="C165" s="24" t="inlineStr">
        <is>
          <t>Larger force change over either half  max(F0.75; F − F0.75)</t>
        </is>
      </c>
      <c r="D165" s="27" t="inlineStr">
        <is>
          <r>
            <rPr>
              <rFont val="Calibri"/>
              <i val="1"/>
              <color rgb="002B2B2B"/>
              <sz val="10"/>
            </rPr>
            <t>ΔF</t>
          </r>
          <r>
            <rPr>
              <rFont val="Calibri"/>
              <i val="1"/>
              <color rgb="002B2B2B"/>
              <sz val="10"/>
              <vertAlign val="subscript"/>
            </rPr>
            <t>d</t>
          </r>
        </is>
      </c>
      <c r="E165" s="42">
        <f>IF(inputs_ok,MAX(Fo_75,Fo_sp-Fo_75),NA())</f>
        <v/>
      </c>
      <c r="F165" s="28" t="inlineStr">
        <is>
          <t>kN</t>
        </is>
      </c>
      <c r="G165" s="23" t="n"/>
    </row>
    <row r="166" ht="17" customHeight="1">
      <c r="B166" s="26" t="inlineStr">
        <is>
          <t>(6.20)</t>
        </is>
      </c>
      <c r="C166" s="24" t="inlineStr">
        <is>
          <t>Compression flange  vEd = ΔFd / (hf Δx)</t>
        </is>
      </c>
      <c r="D166" s="27" t="inlineStr">
        <is>
          <r>
            <rPr>
              <rFont val="Calibri"/>
              <i val="1"/>
              <color rgb="002B2B2B"/>
              <sz val="10"/>
            </rPr>
            <t>v</t>
          </r>
          <r>
            <rPr>
              <rFont val="Calibri"/>
              <i val="1"/>
              <color rgb="002B2B2B"/>
              <sz val="10"/>
              <vertAlign val="subscript"/>
            </rPr>
            <t>Ed,c</t>
          </r>
        </is>
      </c>
      <c r="E166" s="39">
        <f>IF(inputs_ok,dF_f*1000/(h_f*dx_f),NA())</f>
        <v/>
      </c>
      <c r="F166" s="28" t="inlineStr">
        <is>
          <t>MPa</t>
        </is>
      </c>
      <c r="G166" s="23" t="n"/>
    </row>
    <row r="167" ht="17" customHeight="1">
      <c r="B167" s="26" t="inlineStr">
        <is>
          <t>6.2.4(3)</t>
        </is>
      </c>
      <c r="C167" s="24" t="inlineStr">
        <is>
          <t>Left support: distance to the contraflexure point  (0: no hogging)</t>
        </is>
      </c>
      <c r="D167" s="27" t="inlineStr">
        <is>
          <r>
            <rPr>
              <rFont val="Calibri"/>
              <i val="1"/>
              <color rgb="002B2B2B"/>
              <sz val="10"/>
            </rPr>
            <t>x</t>
          </r>
          <r>
            <rPr>
              <rFont val="Calibri"/>
              <i val="1"/>
              <color rgb="002B2B2B"/>
              <sz val="10"/>
              <vertAlign val="subscript"/>
            </rPr>
            <t>0</t>
          </r>
        </is>
      </c>
      <c r="E167" s="41">
        <f>IF(inputs_ok,1000*x0_l,NA())</f>
        <v/>
      </c>
      <c r="F167" s="28" t="inlineStr">
        <is>
          <t>mm</t>
        </is>
      </c>
      <c r="G167" s="23" t="n"/>
    </row>
    <row r="168" ht="17" customHeight="1">
      <c r="B168" s="26" t="inlineStr">
        <is>
          <t>(6.20)</t>
        </is>
      </c>
      <c r="C168" s="24" t="inlineStr">
        <is>
          <t>Left support: tension flange  vEd = ½ ΔFd / (hf x0/2)</t>
        </is>
      </c>
      <c r="D168" s="27" t="inlineStr">
        <is>
          <r>
            <rPr>
              <rFont val="Calibri"/>
              <i val="1"/>
              <color rgb="002B2B2B"/>
              <sz val="10"/>
            </rPr>
            <t>v</t>
          </r>
          <r>
            <rPr>
              <rFont val="Calibri"/>
              <i val="1"/>
              <color rgb="002B2B2B"/>
              <sz val="10"/>
              <vertAlign val="subscript"/>
            </rPr>
            <t>Ed,t</t>
          </r>
        </is>
      </c>
      <c r="E168" s="39">
        <f>IF(inputs_ok,IF(x0_l&gt;0,0.5*dF_l/(h_f*500*x0_l),0),NA())</f>
        <v/>
      </c>
      <c r="F168" s="28" t="inlineStr">
        <is>
          <t>MPa</t>
        </is>
      </c>
      <c r="G168" s="23" t="n"/>
    </row>
    <row r="169" ht="17" customHeight="1">
      <c r="B169" s="26" t="inlineStr">
        <is>
          <t>6.2.4(3)</t>
        </is>
      </c>
      <c r="C169" s="24" t="inlineStr">
        <is>
          <t>Right support: distance to the contraflexure point  (0: no hogging)</t>
        </is>
      </c>
      <c r="D169" s="27" t="inlineStr">
        <is>
          <r>
            <rPr>
              <rFont val="Calibri"/>
              <i val="1"/>
              <color rgb="002B2B2B"/>
              <sz val="10"/>
            </rPr>
            <t>x</t>
          </r>
          <r>
            <rPr>
              <rFont val="Calibri"/>
              <i val="1"/>
              <color rgb="002B2B2B"/>
              <sz val="10"/>
              <vertAlign val="subscript"/>
            </rPr>
            <t>0</t>
          </r>
        </is>
      </c>
      <c r="E169" s="41">
        <f>IF(inputs_ok,1000*x0_r,NA())</f>
        <v/>
      </c>
      <c r="F169" s="28" t="inlineStr">
        <is>
          <t>mm</t>
        </is>
      </c>
      <c r="G169" s="23" t="n"/>
    </row>
    <row r="170" ht="17" customHeight="1">
      <c r="B170" s="26" t="inlineStr">
        <is>
          <t>(6.20)</t>
        </is>
      </c>
      <c r="C170" s="24" t="inlineStr">
        <is>
          <t>Right support: tension flange  vEd = ½ ΔFd / (hf x0/2)</t>
        </is>
      </c>
      <c r="D170" s="27" t="inlineStr">
        <is>
          <r>
            <rPr>
              <rFont val="Calibri"/>
              <i val="1"/>
              <color rgb="002B2B2B"/>
              <sz val="10"/>
            </rPr>
            <t>v</t>
          </r>
          <r>
            <rPr>
              <rFont val="Calibri"/>
              <i val="1"/>
              <color rgb="002B2B2B"/>
              <sz val="10"/>
              <vertAlign val="subscript"/>
            </rPr>
            <t>Ed,t</t>
          </r>
        </is>
      </c>
      <c r="E170" s="39">
        <f>IF(inputs_ok,IF(x0_r&gt;0,0.5*dF_r/(h_f*500*x0_r),0),NA())</f>
        <v/>
      </c>
      <c r="F170" s="28" t="inlineStr">
        <is>
          <t>MPa</t>
        </is>
      </c>
      <c r="G170" s="23" t="n"/>
    </row>
    <row r="171" ht="17" customHeight="1">
      <c r="B171" s="26" t="inlineStr">
        <is>
          <t>(6.20)</t>
        </is>
      </c>
      <c r="C171" s="24" t="inlineStr">
        <is>
          <t>Longitudinal shear stress  (largest)</t>
        </is>
      </c>
      <c r="D171" s="27" t="inlineStr">
        <is>
          <r>
            <rPr>
              <rFont val="Calibri"/>
              <i val="1"/>
              <color rgb="002B2B2B"/>
              <sz val="10"/>
            </rPr>
            <t>v</t>
          </r>
          <r>
            <rPr>
              <rFont val="Calibri"/>
              <i val="1"/>
              <color rgb="002B2B2B"/>
              <sz val="10"/>
              <vertAlign val="subscript"/>
            </rPr>
            <t>Ed</t>
          </r>
        </is>
      </c>
      <c r="E171" s="46">
        <f>IF(inputs_ok,MAX(v_fc,v_ftl,v_ftr),NA())</f>
        <v/>
      </c>
      <c r="F171" s="28" t="inlineStr">
        <is>
          <t>MPa</t>
        </is>
      </c>
      <c r="G171" s="23" t="n"/>
    </row>
    <row r="172" ht="17" customHeight="1">
      <c r="B172" s="26" t="inlineStr">
        <is>
          <t>(6.22)</t>
        </is>
      </c>
      <c r="C172" s="24" t="inlineStr">
        <is>
          <t>Crushing limit  ν fcd sin θf cos θf  (θf = 45°)</t>
        </is>
      </c>
      <c r="D172" s="27" t="inlineStr">
        <is>
          <r>
            <rPr>
              <rFont val="Calibri"/>
              <i val="1"/>
              <color rgb="002B2B2B"/>
              <sz val="10"/>
            </rPr>
            <t>v</t>
          </r>
          <r>
            <rPr>
              <rFont val="Calibri"/>
              <i val="1"/>
              <color rgb="002B2B2B"/>
              <sz val="10"/>
              <vertAlign val="subscript"/>
            </rPr>
            <t>Rd,max</t>
          </r>
        </is>
      </c>
      <c r="E172" s="39">
        <f>IF(inputs_ok,0.5*nu_1*f_cd,NA())</f>
        <v/>
      </c>
      <c r="F172" s="28" t="inlineStr">
        <is>
          <t>MPa</t>
        </is>
      </c>
      <c r="G172" s="23" t="n"/>
    </row>
    <row r="173" ht="17" customHeight="1">
      <c r="B173" s="26" t="inlineStr">
        <is>
          <t>(6.21)</t>
        </is>
      </c>
      <c r="C173" s="24" t="inlineStr">
        <is>
          <t>Transverse steel required  vEd hf / (fyd cot θf)</t>
        </is>
      </c>
      <c r="D173" s="27" t="inlineStr">
        <is>
          <r>
            <rPr>
              <rFont val="Calibri"/>
              <i val="1"/>
              <color rgb="002B2B2B"/>
              <sz val="10"/>
            </rPr>
            <t>A</t>
          </r>
          <r>
            <rPr>
              <rFont val="Calibri"/>
              <i val="1"/>
              <color rgb="002B2B2B"/>
              <sz val="10"/>
              <vertAlign val="subscript"/>
            </rPr>
            <t>sf/s_f</t>
          </r>
        </is>
      </c>
      <c r="E173" s="41">
        <f>IF(inputs_ok,v_f*h_f/f_yd*1000,NA())</f>
        <v/>
      </c>
      <c r="F173" s="28" t="inlineStr">
        <is>
          <t>mm²/m</t>
        </is>
      </c>
      <c r="G173" s="23" t="n"/>
    </row>
    <row r="174" ht="17" customHeight="1">
      <c r="B174" s="23" t="n"/>
      <c r="C174" s="24" t="inlineStr">
        <is>
          <t>Mesh provided  π φm² / 4 / sm</t>
        </is>
      </c>
      <c r="D174" s="27" t="inlineStr">
        <is>
          <r>
            <rPr>
              <rFont val="Calibri"/>
              <i val="1"/>
              <color rgb="002B2B2B"/>
              <sz val="10"/>
            </rPr>
            <t>A</t>
          </r>
          <r>
            <rPr>
              <rFont val="Calibri"/>
              <i val="1"/>
              <color rgb="002B2B2B"/>
              <sz val="10"/>
              <vertAlign val="subscript"/>
            </rPr>
            <t>sf/s_f</t>
          </r>
        </is>
      </c>
      <c r="E174" s="41">
        <f>IF(inputs_ok,PI()*phi_m^2/4/s_m*1000,NA())</f>
        <v/>
      </c>
      <c r="F174" s="28" t="inlineStr">
        <is>
          <t>mm²/m</t>
        </is>
      </c>
      <c r="G174" s="23" t="n"/>
    </row>
    <row r="175" ht="17" customHeight="1">
      <c r="B175" s="26" t="inlineStr">
        <is>
          <t>6.2.4</t>
        </is>
      </c>
      <c r="C175" s="24" t="inlineStr">
        <is>
          <t>Topping: no crushing and the mesh ≥ required</t>
        </is>
      </c>
      <c r="D175" s="27" t="inlineStr">
        <is>
          <r>
            <rPr>
              <rFont val="Calibri"/>
              <i val="1"/>
              <color rgb="002B2B2B"/>
              <sz val="10"/>
            </rPr>
            <t>v</t>
          </r>
          <r>
            <rPr>
              <rFont val="Calibri"/>
              <i val="1"/>
              <color rgb="002B2B2B"/>
              <sz val="10"/>
              <vertAlign val="subscript"/>
            </rPr>
            <t>Ed</t>
          </r>
        </is>
      </c>
      <c r="E175" s="39">
        <f>IF(inputs_ok,v_f,NA())</f>
        <v/>
      </c>
      <c r="F175" s="28" t="inlineStr">
        <is>
          <t>MPa</t>
        </is>
      </c>
      <c r="G175" s="30">
        <f>IF(NOT(inputs_ok),"FAIL",IF(flange_ok,"OK","FAIL"))</f>
        <v/>
      </c>
    </row>
    <row r="176" ht="41.5" customHeight="1">
      <c r="B176" s="47" t="inlineStr">
        <is>
          <t>Tension flange: the larger change of the tension force M / z over the two halves of the hogging length (z of the rib section at each end), taken entirely in the flange, half in each outstand (conservative for any arrangement of the top bars and the mesh); anchor the bars in the flange beyond the strut needed to bring their force back to the rib (6.2.4(7)).</t>
        </is>
      </c>
    </row>
    <row r="177"/>
    <row r="178" ht="22" customHeight="1">
      <c r="B178" s="20" t="inlineStr">
        <is>
          <t>Calculation  ·  deflection  (7.4.2)</t>
        </is>
      </c>
      <c r="C178" s="21" t="n"/>
      <c r="D178" s="21" t="n"/>
      <c r="E178" s="21" t="n"/>
      <c r="F178" s="21" t="n"/>
      <c r="G178" s="21" t="n"/>
    </row>
    <row r="179" ht="17" customHeight="1">
      <c r="B179" s="26" t="inlineStr">
        <is>
          <t>Concise EC2 10.5.2</t>
        </is>
      </c>
      <c r="C179" s="24" t="inlineStr">
        <is>
          <t>Tension bars for deflection  As,req / (beff hf + bw (d − hf))</t>
        </is>
      </c>
      <c r="D179" s="27" t="inlineStr">
        <is>
          <r>
            <rPr>
              <rFont val="Calibri"/>
              <i val="1"/>
              <color rgb="002B2B2B"/>
              <sz val="10"/>
            </rPr>
            <t>ρ</t>
          </r>
        </is>
      </c>
      <c r="E179" s="48">
        <f>IF(inputs_ok,MAX(Asr_sp,Asmin_b)/(b_eff*h_f+b_w*(d_b-h_f)),NA())</f>
        <v/>
      </c>
      <c r="F179" s="23" t="n"/>
      <c r="G179" s="26" t="inlineStr">
        <is>
          <t>N/A: bending fails</t>
        </is>
      </c>
    </row>
    <row r="180" ht="17" customHeight="1">
      <c r="B180" s="26" t="inlineStr">
        <is>
          <t>(7.16)</t>
        </is>
      </c>
      <c r="C180" s="24" t="inlineStr">
        <is>
          <t>Reference ratio  ρ0 = √fck · 10⁻³</t>
        </is>
      </c>
      <c r="D180" s="27" t="inlineStr">
        <is>
          <r>
            <rPr>
              <rFont val="Calibri"/>
              <i val="1"/>
              <color rgb="002B2B2B"/>
              <sz val="10"/>
            </rPr>
            <t>ρ</t>
          </r>
          <r>
            <rPr>
              <rFont val="Calibri"/>
              <i val="1"/>
              <color rgb="002B2B2B"/>
              <sz val="10"/>
              <vertAlign val="subscript"/>
            </rPr>
            <t>0</t>
          </r>
        </is>
      </c>
      <c r="E180" s="48">
        <f>IF(inputs_ok,SQRT(f_ck)/1000,NA())</f>
        <v/>
      </c>
      <c r="F180" s="23" t="n"/>
      <c r="G180" s="23" t="n"/>
    </row>
    <row r="181" ht="17" customHeight="1">
      <c r="B181" s="26" t="inlineStr">
        <is>
          <t>Table 7.4N</t>
        </is>
      </c>
      <c r="C181" s="24" t="inlineStr">
        <is>
          <t>K for the structural system</t>
        </is>
      </c>
      <c r="D181" s="27" t="inlineStr">
        <is>
          <r>
            <rPr>
              <rFont val="Calibri"/>
              <i val="1"/>
              <color rgb="002B2B2B"/>
              <sz val="10"/>
            </rPr>
            <t>K</t>
          </r>
        </is>
      </c>
      <c r="E181" s="42">
        <f>IF(inputs_ok,CHOOSE(sys_i,1.0,1.3,1.3,1.5,1.5),NA())</f>
        <v/>
      </c>
      <c r="F181" s="23" t="n"/>
      <c r="G181" s="23" t="n"/>
    </row>
    <row r="182" ht="17" customHeight="1">
      <c r="B182" s="26" t="inlineStr">
        <is>
          <t>(7.16)</t>
        </is>
      </c>
      <c r="C182" s="24" t="inlineStr">
        <is>
          <t>Basic span to depth ratio</t>
        </is>
      </c>
      <c r="D182" s="27" t="inlineStr">
        <is>
          <r>
            <rPr>
              <rFont val="Calibri"/>
              <i val="1"/>
              <color rgb="002B2B2B"/>
              <sz val="10"/>
            </rPr>
            <t>l/d</t>
          </r>
        </is>
      </c>
      <c r="E182" s="42">
        <f>IF(inputs_ok,K_d*IF(rho_d&lt;=rho_0,11+1.5*SQRT(f_ck)*rho_0/rho_d+3.2*SQRT(f_ck)*(rho_0/rho_d-1)^1.5,11+1.5*SQRT(f_ck)*rho_0/rho_d),NA())</f>
        <v/>
      </c>
      <c r="F182" s="23" t="n"/>
      <c r="G182" s="23" t="n"/>
    </row>
    <row r="183" ht="17" customHeight="1">
      <c r="B183" s="26" t="inlineStr">
        <is>
          <t>7.4.2(2)</t>
        </is>
      </c>
      <c r="C183" s="24" t="inlineStr">
        <is>
          <t>Flanged section factor  (0.8 for beff/bw ≥ 3, interpolated below)</t>
        </is>
      </c>
      <c r="D183" s="27" t="inlineStr">
        <is>
          <r>
            <rPr>
              <rFont val="Calibri"/>
              <i val="1"/>
              <color rgb="002B2B2B"/>
              <sz val="10"/>
            </rPr>
            <t>F</t>
          </r>
          <r>
            <rPr>
              <rFont val="Calibri"/>
              <i val="1"/>
              <color rgb="002B2B2B"/>
              <sz val="10"/>
              <vertAlign val="subscript"/>
            </rPr>
            <t>1</t>
          </r>
        </is>
      </c>
      <c r="E183" s="40">
        <f>IF(inputs_ok,IF(b_eff/b_w&gt;=3,0.8,1-0.1*(b_eff/b_w-1)),NA())</f>
        <v/>
      </c>
      <c r="F183" s="23" t="n"/>
      <c r="G183" s="23" t="n"/>
    </row>
    <row r="184" ht="17" customHeight="1">
      <c r="B184" s="26" t="inlineStr">
        <is>
          <t>7.4.2(2)</t>
        </is>
      </c>
      <c r="C184" s="24" t="inlineStr">
        <is>
          <t>Long span factor  7 / l  (l &gt; 7 m, brittle partitions)</t>
        </is>
      </c>
      <c r="D184" s="27" t="inlineStr">
        <is>
          <r>
            <rPr>
              <rFont val="Calibri"/>
              <i val="1"/>
              <color rgb="002B2B2B"/>
              <sz val="10"/>
            </rPr>
            <t>F</t>
          </r>
          <r>
            <rPr>
              <rFont val="Calibri"/>
              <i val="1"/>
              <color rgb="002B2B2B"/>
              <sz val="10"/>
              <vertAlign val="subscript"/>
            </rPr>
            <t>2</t>
          </r>
        </is>
      </c>
      <c r="E184" s="40">
        <f>IF(inputs_ok,IF(AND(partitions="Yes",L_rb&gt;7000),7000/L_rb,1),NA())</f>
        <v/>
      </c>
      <c r="F184" s="23" t="n"/>
      <c r="G184" s="23" t="n"/>
    </row>
    <row r="185" ht="17" customHeight="1">
      <c r="B185" s="26" t="inlineStr">
        <is>
          <t>(7.17)</t>
        </is>
      </c>
      <c r="C185" s="24" t="inlineStr">
        <is>
          <t>Steel stress factor  (As,prov / As,req)(500 / fyk)  (UK ≤ 1.5)</t>
        </is>
      </c>
      <c r="D185" s="27" t="inlineStr">
        <is>
          <r>
            <rPr>
              <rFont val="Calibri"/>
              <i val="1"/>
              <color rgb="002B2B2B"/>
              <sz val="10"/>
            </rPr>
            <t>F</t>
          </r>
          <r>
            <rPr>
              <rFont val="Calibri"/>
              <i val="1"/>
              <color rgb="002B2B2B"/>
              <sz val="10"/>
              <vertAlign val="subscript"/>
            </rPr>
            <t>3</t>
          </r>
        </is>
      </c>
      <c r="E185" s="40">
        <f>IF(inputs_ok,IF(ld_mod_max&gt;0,MIN(ld_mod_max,Asp_b/MAX(Asr_sp,Asmin_b)*500/f_yk),Asp_b/MAX(Asr_sp,Asmin_b)*500/f_yk),NA())</f>
        <v/>
      </c>
      <c r="F185" s="23" t="n"/>
      <c r="G185" s="23" t="n"/>
    </row>
    <row r="186" ht="17" customHeight="1">
      <c r="B186" s="26" t="inlineStr">
        <is>
          <t>7.4.2</t>
        </is>
      </c>
      <c r="C186" s="24" t="inlineStr">
        <is>
          <t>Limiting span to depth ratio  (UK NA: ≤ 40 K)</t>
        </is>
      </c>
      <c r="D186" s="27" t="inlineStr">
        <is>
          <r>
            <rPr>
              <rFont val="Calibri"/>
              <i val="1"/>
              <color rgb="002B2B2B"/>
              <sz val="10"/>
            </rPr>
            <t>l/d</t>
          </r>
          <r>
            <rPr>
              <rFont val="Calibri"/>
              <i val="1"/>
              <color rgb="002B2B2B"/>
              <sz val="10"/>
              <vertAlign val="subscript"/>
            </rPr>
            <t>lim</t>
          </r>
        </is>
      </c>
      <c r="E186" s="43">
        <f>IF(inputs_ok,IF(ld_cap_40K=1,MIN(40*K_d,ld_bas*F1_rb*F2_rb*F3_rb),ld_bas*F1_rb*F2_rb*F3_rb),NA())</f>
        <v/>
      </c>
      <c r="F186" s="23" t="n"/>
      <c r="G186" s="23" t="n"/>
    </row>
    <row r="187" ht="17" customHeight="1">
      <c r="B187" s="23" t="n"/>
      <c r="C187" s="24" t="inlineStr">
        <is>
          <t>Actual span to depth ratio</t>
        </is>
      </c>
      <c r="D187" s="27" t="inlineStr">
        <is>
          <r>
            <rPr>
              <rFont val="Calibri"/>
              <i val="1"/>
              <color rgb="002B2B2B"/>
              <sz val="10"/>
            </rPr>
            <t>l/d</t>
          </r>
        </is>
      </c>
      <c r="E187" s="42">
        <f>IF(inputs_ok,L_rb/d_b,NA())</f>
        <v/>
      </c>
      <c r="F187" s="23" t="n"/>
      <c r="G187" s="23" t="n"/>
    </row>
    <row r="188" ht="17" customHeight="1">
      <c r="B188" s="26" t="inlineStr">
        <is>
          <t>7.4.2</t>
        </is>
      </c>
      <c r="C188" s="24" t="inlineStr">
        <is>
          <t>Deflection  l/d ≤ limit  (with the bending checks passing)</t>
        </is>
      </c>
      <c r="D188" s="27" t="inlineStr">
        <is>
          <r>
            <rPr>
              <rFont val="Calibri"/>
              <i val="1"/>
              <color rgb="002B2B2B"/>
              <sz val="10"/>
            </rPr>
            <t>l/d</t>
          </r>
        </is>
      </c>
      <c r="E188" s="42">
        <f>IF(inputs_ok,ld_act,NA())</f>
        <v/>
      </c>
      <c r="F188" s="23" t="n"/>
      <c r="G188" s="30">
        <f>IF(NOT(inputs_ok),"FAIL",IF(AND(coef_ok,defl_ok),"OK","FAIL"))</f>
        <v/>
      </c>
    </row>
    <row r="189"/>
    <row r="190" ht="22" customHeight="1">
      <c r="B190" s="20" t="inlineStr">
        <is>
          <t>Calculation  ·  detailing</t>
        </is>
      </c>
      <c r="C190" s="21" t="n"/>
      <c r="D190" s="21" t="n"/>
      <c r="E190" s="21" t="n"/>
      <c r="F190" s="21" t="n"/>
      <c r="G190" s="21" t="n"/>
    </row>
    <row r="191" ht="17" customHeight="1">
      <c r="B191" s="26" t="inlineStr">
        <is>
          <t>8.2(2)</t>
        </is>
      </c>
      <c r="C191" s="24" t="inlineStr">
        <is>
          <t>Minimum clear gap, bottom bars  max(φb; dg + 5; 20)</t>
        </is>
      </c>
      <c r="D191" s="27" t="inlineStr">
        <is>
          <r>
            <rPr>
              <rFont val="Calibri"/>
              <i val="1"/>
              <color rgb="002B2B2B"/>
              <sz val="10"/>
            </rPr>
            <t>a</t>
          </r>
          <r>
            <rPr>
              <rFont val="Calibri"/>
              <i val="1"/>
              <color rgb="002B2B2B"/>
              <sz val="10"/>
              <vertAlign val="subscript"/>
            </rPr>
            <t>min</t>
          </r>
        </is>
      </c>
      <c r="E191" s="41">
        <f>IF(inputs_ok,MAX(phi_b,d_g+5,20),NA())</f>
        <v/>
      </c>
      <c r="F191" s="28" t="inlineStr">
        <is>
          <t>mm</t>
        </is>
      </c>
      <c r="G191" s="23" t="n"/>
    </row>
    <row r="192" ht="17" customHeight="1">
      <c r="B192" s="23" t="n"/>
      <c r="C192" s="24" t="inlineStr">
        <is>
          <t>Clear gap between the bottom bars  (bw − 2c − 2φw − nb φb)/(nb − 1)</t>
        </is>
      </c>
      <c r="D192" s="27" t="inlineStr">
        <is>
          <r>
            <rPr>
              <rFont val="Calibri"/>
              <i val="1"/>
              <color rgb="002B2B2B"/>
              <sz val="10"/>
            </rPr>
            <t>a</t>
          </r>
        </is>
      </c>
      <c r="E192" s="41">
        <f>IF(inputs_ok,IF(n_b&gt;1,(b_w-2*c_nom-2*phi_w-n_b*phi_b)/(n_b-1),"n/a"),NA())</f>
        <v/>
      </c>
      <c r="F192" s="28" t="inlineStr">
        <is>
          <t>mm</t>
        </is>
      </c>
      <c r="G192" s="23" t="n"/>
    </row>
    <row r="193" ht="17" customHeight="1">
      <c r="B193" s="26" t="inlineStr">
        <is>
          <t>8.2(2)</t>
        </is>
      </c>
      <c r="C193" s="24" t="inlineStr">
        <is>
          <t>Minimum vertical gap  max(φb; φt; dg + 5; 20)</t>
        </is>
      </c>
      <c r="D193" s="27" t="inlineStr">
        <is>
          <r>
            <rPr>
              <rFont val="Calibri"/>
              <i val="1"/>
              <color rgb="002B2B2B"/>
              <sz val="10"/>
            </rPr>
            <t>a</t>
          </r>
          <r>
            <rPr>
              <rFont val="Calibri"/>
              <i val="1"/>
              <color rgb="002B2B2B"/>
              <sz val="10"/>
              <vertAlign val="subscript"/>
            </rPr>
            <t>min,v</t>
          </r>
        </is>
      </c>
      <c r="E193" s="41">
        <f>IF(inputs_ok,MAX(phi_b,phi_t,d_g+5,20),NA())</f>
        <v/>
      </c>
      <c r="F193" s="28" t="inlineStr">
        <is>
          <t>mm</t>
        </is>
      </c>
      <c r="G193" s="23" t="n"/>
    </row>
    <row r="194" ht="17" customHeight="1">
      <c r="B194" s="23" t="n"/>
      <c r="C194" s="24" t="inlineStr">
        <is>
          <t>Vertical gap between the top and bottom bars</t>
        </is>
      </c>
      <c r="D194" s="27" t="inlineStr">
        <is>
          <r>
            <rPr>
              <rFont val="Calibri"/>
              <i val="1"/>
              <color rgb="002B2B2B"/>
              <sz val="10"/>
            </rPr>
            <t>a</t>
          </r>
          <r>
            <rPr>
              <rFont val="Calibri"/>
              <i val="1"/>
              <color rgb="002B2B2B"/>
              <sz val="10"/>
              <vertAlign val="subscript"/>
            </rPr>
            <t>v</t>
          </r>
        </is>
      </c>
      <c r="E194" s="41">
        <f>IF(inputs_ok,(d_b-phi_b/2)-(h_rb-d_t+phi_t/2),NA())</f>
        <v/>
      </c>
      <c r="F194" s="28" t="inlineStr">
        <is>
          <t>mm</t>
        </is>
      </c>
      <c r="G194" s="23" t="n"/>
    </row>
    <row r="195" ht="17" customHeight="1">
      <c r="B195" s="26" t="inlineStr">
        <is>
          <t>9.2.1.1(3)</t>
        </is>
      </c>
      <c r="C195" s="24" t="inlineStr">
        <is>
          <t>Maximum reinforcement  0.04 Ac  (Ac = s hf + bw (h − hf))</t>
        </is>
      </c>
      <c r="D195" s="27" t="inlineStr">
        <is>
          <r>
            <rPr>
              <rFont val="Calibri"/>
              <i val="1"/>
              <color rgb="002B2B2B"/>
              <sz val="10"/>
            </rPr>
            <t>A</t>
          </r>
          <r>
            <rPr>
              <rFont val="Calibri"/>
              <i val="1"/>
              <color rgb="002B2B2B"/>
              <sz val="10"/>
              <vertAlign val="subscript"/>
            </rPr>
            <t>s,max</t>
          </r>
        </is>
      </c>
      <c r="E195" s="41">
        <f>IF(inputs_ok,0.04*(s_r*h_f+b_w*(h_rb-h_f)),NA())</f>
        <v/>
      </c>
      <c r="F195" s="28" t="inlineStr">
        <is>
          <t>mm²</t>
        </is>
      </c>
      <c r="G195" s="23" t="n"/>
    </row>
    <row r="196" ht="17" customHeight="1">
      <c r="B196" s="26" t="inlineStr">
        <is>
          <t>9.3.1.1(3)</t>
        </is>
      </c>
      <c r="C196" s="24" t="inlineStr">
        <is>
          <t>Maximum mesh spacing in the topping  min(3 hf; 400)</t>
        </is>
      </c>
      <c r="D196" s="27" t="inlineStr">
        <is>
          <r>
            <rPr>
              <rFont val="Calibri"/>
              <i val="1"/>
              <color rgb="002B2B2B"/>
              <sz val="10"/>
            </rPr>
            <t>s</t>
          </r>
          <r>
            <rPr>
              <rFont val="Calibri"/>
              <i val="1"/>
              <color rgb="002B2B2B"/>
              <sz val="10"/>
              <vertAlign val="subscript"/>
            </rPr>
            <t>max</t>
          </r>
        </is>
      </c>
      <c r="E196" s="41">
        <f>IF(inputs_ok,MIN(3*h_f,400),NA())</f>
        <v/>
      </c>
      <c r="F196" s="28" t="inlineStr">
        <is>
          <t>mm</t>
        </is>
      </c>
      <c r="G196" s="23" t="n"/>
    </row>
    <row r="197" ht="17" customHeight="1">
      <c r="B197" s="26" t="inlineStr">
        <is>
          <t>8.2(2)</t>
        </is>
      </c>
      <c r="C197" s="24" t="inlineStr">
        <is>
          <t>Minimum clear gap of the mesh  max(φm; dg + 5; 20)</t>
        </is>
      </c>
      <c r="D197" s="27" t="inlineStr">
        <is>
          <r>
            <rPr>
              <rFont val="Calibri"/>
              <i val="1"/>
              <color rgb="002B2B2B"/>
              <sz val="10"/>
            </rPr>
            <t>a</t>
          </r>
          <r>
            <rPr>
              <rFont val="Calibri"/>
              <i val="1"/>
              <color rgb="002B2B2B"/>
              <sz val="10"/>
              <vertAlign val="subscript"/>
            </rPr>
            <t>min,m</t>
          </r>
        </is>
      </c>
      <c r="E197" s="41">
        <f>IF(inputs_ok,MAX(phi_m,d_g+5,20),NA())</f>
        <v/>
      </c>
      <c r="F197" s="28" t="inlineStr">
        <is>
          <t>mm</t>
        </is>
      </c>
      <c r="G197" s="23" t="n"/>
    </row>
    <row r="198" ht="17" customHeight="1">
      <c r="B198" s="26" t="inlineStr">
        <is>
          <t>8.2(2)</t>
        </is>
      </c>
      <c r="C198" s="24" t="inlineStr">
        <is>
          <t>Minimum clear gap, top bars  max(φt; dg + 5; 20)</t>
        </is>
      </c>
      <c r="D198" s="27" t="inlineStr">
        <is>
          <r>
            <rPr>
              <rFont val="Calibri"/>
              <i val="1"/>
              <color rgb="002B2B2B"/>
              <sz val="10"/>
            </rPr>
            <t>a</t>
          </r>
          <r>
            <rPr>
              <rFont val="Calibri"/>
              <i val="1"/>
              <color rgb="002B2B2B"/>
              <sz val="10"/>
              <vertAlign val="subscript"/>
            </rPr>
            <t>min,t</t>
          </r>
        </is>
      </c>
      <c r="E198" s="41">
        <f>IF(inputs_ok,MAX(phi_t,d_g+5,20),NA())</f>
        <v/>
      </c>
      <c r="F198" s="28" t="inlineStr">
        <is>
          <t>mm</t>
        </is>
      </c>
      <c r="G198" s="23" t="n"/>
    </row>
    <row r="199" ht="17" customHeight="1">
      <c r="B199" s="23" t="n"/>
      <c r="C199" s="24" t="inlineStr">
        <is>
          <t>Clear gap between the top bars  b_eff,s / nt − φt  (spread evenly)</t>
        </is>
      </c>
      <c r="D199" s="27" t="inlineStr">
        <is>
          <r>
            <rPr>
              <rFont val="Calibri"/>
              <i val="1"/>
              <color rgb="002B2B2B"/>
              <sz val="10"/>
            </rPr>
            <t>a</t>
          </r>
          <r>
            <rPr>
              <rFont val="Calibri"/>
              <i val="1"/>
              <color rgb="002B2B2B"/>
              <sz val="10"/>
              <vertAlign val="subscript"/>
            </rPr>
            <t>t</t>
          </r>
        </is>
      </c>
      <c r="E199" s="41">
        <f>IF(inputs_ok,beff_h/n_t-phi_t,NA())</f>
        <v/>
      </c>
      <c r="F199" s="28" t="inlineStr">
        <is>
          <t>mm</t>
        </is>
      </c>
      <c r="G199" s="23" t="n"/>
    </row>
    <row r="200" ht="17" customHeight="1">
      <c r="B200" s="26" t="inlineStr">
        <is>
          <t>4.4.1</t>
        </is>
      </c>
      <c r="C200" s="24" t="inlineStr">
        <is>
          <t>Cover from the topping soffit to the top bars in the outstands</t>
        </is>
      </c>
      <c r="D200" s="27" t="inlineStr">
        <is>
          <r>
            <rPr>
              <rFont val="Calibri"/>
              <i val="1"/>
              <color rgb="002B2B2B"/>
              <sz val="10"/>
            </rPr>
            <t>c</t>
          </r>
          <r>
            <rPr>
              <rFont val="Calibri"/>
              <i val="1"/>
              <color rgb="002B2B2B"/>
              <sz val="10"/>
              <vertAlign val="subscript"/>
            </rPr>
            <t>t</t>
          </r>
        </is>
      </c>
      <c r="E200" s="41">
        <f>IF(inputs_ok,d_t-phi_t/2-(h_rb-h_f),NA())</f>
        <v/>
      </c>
      <c r="F200" s="28" t="inlineStr">
        <is>
          <t>mm</t>
        </is>
      </c>
      <c r="G200" s="23" t="n"/>
    </row>
    <row r="201" ht="17" customHeight="1">
      <c r="B201" s="26" t="inlineStr">
        <is>
          <t>8.2(2), 9.2</t>
        </is>
      </c>
      <c r="C201" s="24" t="inlineStr">
        <is>
          <t>Bars, links and mesh fit, top bars in the topping; As ≤ As,max</t>
        </is>
      </c>
      <c r="D201" s="23" t="n"/>
      <c r="E201" s="41">
        <f>IF(inputs_ok,MAX(Asp_b,Asp_t),NA())</f>
        <v/>
      </c>
      <c r="F201" s="28" t="inlineStr">
        <is>
          <t>mm²</t>
        </is>
      </c>
      <c r="G201" s="30">
        <f>IF(NOT(inputs_ok),"FAIL",IF(det_ok,"OK","FAIL"))</f>
        <v/>
      </c>
    </row>
    <row r="202" ht="17" customHeight="1">
      <c r="B202" s="26" t="inlineStr">
        <is>
          <t>5.3.1(6)</t>
        </is>
      </c>
      <c r="C202" s="24" t="inlineStr">
        <is>
          <t>Rib spacing ≤ 1500, rib depth below the topping ≤ 4 bw, hf ≥ max(0.1 clear spacing; 50), transverse ribs ≤ 10 h</t>
        </is>
      </c>
      <c r="D202" s="27" t="inlineStr">
        <is>
          <r>
            <rPr>
              <rFont val="Calibri"/>
              <i val="1"/>
              <color rgb="002B2B2B"/>
              <sz val="10"/>
            </rPr>
            <t>h</t>
          </r>
          <r>
            <rPr>
              <rFont val="Calibri"/>
              <i val="1"/>
              <color rgb="002B2B2B"/>
              <sz val="10"/>
              <vertAlign val="subscript"/>
            </rPr>
            <t>f</t>
          </r>
        </is>
      </c>
      <c r="E202" s="41">
        <f>IF(inputs_ok,h_f,NA())</f>
        <v/>
      </c>
      <c r="F202" s="28" t="inlineStr">
        <is>
          <t>mm</t>
        </is>
      </c>
      <c r="G202" s="30">
        <f>IF(NOT(inputs_ok),"FAIL",IF(geom_ok,"OK","! Design as beams"))</f>
        <v/>
      </c>
    </row>
    <row r="203" ht="66.5" customHeight="1">
      <c r="B203" s="47" t="inlineStr">
        <is>
          <t>Within the limits of 5.3.1(6), transverse ribs included, the ribbed slab may be analysed as a solid slab. b_eff,s uses l0 = 0.3 l with the largest span, the upper bound of 0.15 (l1 + l2), so As,min at the supports is not understated. Spread the top bars over the effective flange width at the support (9.2.1.2(2)); curtail and anchor them for the design moments (9.2.1.3). At an end support at least a quarter of the span bars continue and are anchored (9.2.1.4). The topping spanning between the ribs and point loads on it are not checked.</t>
        </is>
      </c>
    </row>
    <row r="204"/>
    <row r="205" ht="29" customHeight="1">
      <c r="B205" s="47" t="inlineStr">
        <is>
          <t>Prepared with NA Engineering calculation tools  ·  naengineering.uk  ·  adrian@naengineering.uk. Free for use by competent engineers; see the About sheet for scope and disclaimer.</t>
        </is>
      </c>
    </row>
  </sheetData>
  <sheetProtection selectLockedCells="0" selectUnlockedCells="0" sheet="1" objects="1" insertRows="1" insertHyperlinks="1" autoFilter="1" scenarios="0" formatColumns="0" deleteColumns="1" insertColumns="1" pivotTables="1" deleteRows="1" formatCells="1" formatRows="0" sort="1" password="AA0A"/>
  <mergeCells count="8">
    <mergeCell ref="B205:G205"/>
    <mergeCell ref="E5:G5"/>
    <mergeCell ref="B203:G203"/>
    <mergeCell ref="B176:G176"/>
    <mergeCell ref="D2:G2"/>
    <mergeCell ref="E7:G7"/>
    <mergeCell ref="E6:G6"/>
    <mergeCell ref="C3:G3"/>
  </mergeCells>
  <conditionalFormatting sqref="G9:G206">
    <cfRule type="expression" priority="1" dxfId="0">
      <formula>G9="OK"</formula>
    </cfRule>
    <cfRule type="expression" priority="2" dxfId="1">
      <formula>G9="FAIL"</formula>
    </cfRule>
    <cfRule type="expression" priority="3" dxfId="2">
      <formula>LEFT(G9,1)="!"</formula>
    </cfRule>
  </conditionalFormatting>
  <dataValidations count="24">
    <dataValidation sqref="E11" showDropDown="0" showInputMessage="0" showErrorMessage="1" allowBlank="0" errorTitle="NA Engineering" error="Pick a value from the list." type="list" errorStyle="stop">
      <formula1>"UK NA (BS EN),PL NA (PN-EN)"</formula1>
    </dataValidation>
    <dataValidation sqref="E12" showDropDown="0" showInputMessage="0" showErrorMessage="1" allowBlank="0" errorTitle="NA Engineering" error="Pick a value from the list." type="list" errorStyle="stop">
      <formula1>"C20/25,C25/30,C28/35,C30/37,C32/40,C35/45,C40/50,C45/55,C50/60"</formula1>
    </dataValidation>
    <dataValidation sqref="E13" showDropDown="0" showInputMessage="0" showErrorMessage="1" allowBlank="0" errorTitle="NA Engineering" error="Enter a number greater than 0." type="decimal" errorStyle="stop" operator="greaterThan">
      <formula1>0</formula1>
    </dataValidation>
    <dataValidation sqref="E14" showDropDown="0" showInputMessage="0" showErrorMessage="1" allowBlank="0" errorTitle="NA Engineering" error="Enter a number greater than 0." type="decimal" errorStyle="stop" operator="greaterThan">
      <formula1>0</formula1>
    </dataValidation>
    <dataValidation sqref="E15" showDropDown="0" showInputMessage="0" showErrorMessage="1" allowBlank="0" errorTitle="NA Engineering" error="Pick a value from the list." type="list" errorStyle="stop">
      <formula1>"Simply supported,End span  (3 or more spans),End span of two spans,Interior span next to the end span,Interior span"</formula1>
    </dataValidation>
    <dataValidation sqref="E16 E31" showDropDown="0" showInputMessage="0" showErrorMessage="1" allowBlank="0" errorTitle="NA Engineering" error="Pick a value from the list." type="list" errorStyle="stop">
      <formula1>"Yes,No"</formula1>
    </dataValidation>
    <dataValidation sqref="E17" showDropDown="0" showInputMessage="0" showErrorMessage="1" allowBlank="0" errorTitle="NA Engineering" error="Enter a number greater than 0." type="decimal" errorStyle="stop" operator="greaterThan">
      <formula1>0</formula1>
    </dataValidation>
    <dataValidation sqref="E18" showDropDown="0" showInputMessage="0" showErrorMessage="1" allowBlank="0" errorTitle="NA Engineering" error="Enter a number greater than 0." type="decimal" errorStyle="stop" operator="greaterThan">
      <formula1>0</formula1>
    </dataValidation>
    <dataValidation sqref="E19" showDropDown="0" showInputMessage="0" showErrorMessage="1" allowBlank="0" errorTitle="NA Engineering" error="Enter a number greater than 0." type="decimal" errorStyle="stop" operator="greaterThan">
      <formula1>0</formula1>
    </dataValidation>
    <dataValidation sqref="E20" showDropDown="0" showInputMessage="0" showErrorMessage="1" allowBlank="0" errorTitle="NA Engineering" error="Enter a number greater than 0." type="decimal" errorStyle="stop" operator="greaterThan">
      <formula1>0</formula1>
    </dataValidation>
    <dataValidation sqref="E21" showDropDown="0" showInputMessage="0" showErrorMessage="1" allowBlank="0" errorTitle="NA Engineering" error="Enter a number greater than 0." type="decimal" errorStyle="stop" operator="greaterThan">
      <formula1>0</formula1>
    </dataValidation>
    <dataValidation sqref="E22" showDropDown="0" showInputMessage="0" showErrorMessage="1" allowBlank="0" errorTitle="NA Engineering" error="Enter a number greater than 0." type="decimal" errorStyle="stop" operator="greaterThan">
      <formula1>0</formula1>
    </dataValidation>
    <dataValidation sqref="E23" showDropDown="0" showInputMessage="0" showErrorMessage="1" allowBlank="0" errorTitle="NA Engineering" error="Pick a value from the list." type="list" errorStyle="stop">
      <formula1>"1,2,3"</formula1>
    </dataValidation>
    <dataValidation sqref="E24 E26" showDropDown="0" showInputMessage="0" showErrorMessage="1" allowBlank="0" errorTitle="NA Engineering" error="Pick a value from the list." type="list" errorStyle="stop">
      <formula1>"8,10,12,16,20,25,32,40"</formula1>
    </dataValidation>
    <dataValidation sqref="E25" showDropDown="0" showInputMessage="0" showErrorMessage="1" allowBlank="0" errorTitle="NA Engineering" error="Pick a value from the list." type="list" errorStyle="stop">
      <formula1>"1,2,3,4"</formula1>
    </dataValidation>
    <dataValidation sqref="E27" showDropDown="0" showInputMessage="0" showErrorMessage="1" allowBlank="0" errorTitle="NA Engineering" error="Pick a value from the list." type="list" errorStyle="stop">
      <formula1>"0,6,8,10,12"</formula1>
    </dataValidation>
    <dataValidation sqref="E28" showDropDown="0" showInputMessage="0" showErrorMessage="1" allowBlank="1" errorTitle="NA Engineering" error="Enter a number greater than 0." type="custom" errorStyle="stop">
      <formula1>IF(phi_w&gt;0,AND(ISNUMBER(E28),E28&gt;0),TRUE)</formula1>
    </dataValidation>
    <dataValidation sqref="E29" showDropDown="0" showInputMessage="0" showErrorMessage="1" allowBlank="0" errorTitle="NA Engineering" error="Pick a value from the list." type="list" errorStyle="stop">
      <formula1>"6,7,8,10,12"</formula1>
    </dataValidation>
    <dataValidation sqref="E30" showDropDown="0" showInputMessage="0" showErrorMessage="1" allowBlank="0" errorTitle="NA Engineering" error="Enter a number greater than 0." type="decimal" errorStyle="stop" operator="greaterThan">
      <formula1>0</formula1>
    </dataValidation>
    <dataValidation sqref="E34" showDropDown="0" showInputMessage="0" showErrorMessage="1" allowBlank="0" errorTitle="NA Engineering" error="Enter a number ≥ 0." type="decimal" errorStyle="stop" operator="greaterThanOrEqual">
      <formula1>0</formula1>
    </dataValidation>
    <dataValidation sqref="E35" showDropDown="0" showInputMessage="0" showErrorMessage="1" allowBlank="0" errorTitle="NA Engineering" error="Enter a number ≥ 0." type="decimal" errorStyle="stop" operator="greaterThanOrEqual">
      <formula1>0</formula1>
    </dataValidation>
    <dataValidation sqref="E36" showDropDown="0" showInputMessage="0" showErrorMessage="1" allowBlank="0" errorTitle="NA Engineering" error="Enter a number greater than 0." type="decimal" errorStyle="stop" operator="greaterThan">
      <formula1>0</formula1>
    </dataValidation>
    <dataValidation sqref="E37" showDropDown="0" showInputMessage="0" showErrorMessage="1" allowBlank="0" errorTitle="NA Engineering" error="Enter a number greater than 0." type="decimal" errorStyle="stop" operator="greaterThan">
      <formula1>0</formula1>
    </dataValidation>
    <dataValidation sqref="E38" showDropDown="0" showInputMessage="0" showErrorMessage="1" allowBlank="0" errorTitle="NA Engineering" error="Pick a value from the list." type="list" errorStyle="stop">
      <formula1>"No,Yes"</formula1>
    </dataValidation>
  </dataValidations>
  <printOptions horizontalCentered="1"/>
  <pageMargins left="0.4" right="0.4" top="0.4" bottom="0.6" header="0.5" footer="0.5"/>
  <pageSetup orientation="portrait" paperSize="9" fitToHeight="0" fitToWidth="1"/>
  <headerFooter>
    <oddHeader/>
    <oddFooter>&amp;L&amp;7 &amp;K8A8A8ANA Engineering sp. z o.o.  ·  naengineering.uk  ·  adrian@naengineering.uk  ·  +48 505 844 422&amp;C&amp;7 &amp;K8A8A8A&amp;P / &amp;N&amp;R&amp;7 &amp;K8A8A8ANAE-RC-021  v1.0</oddFooter>
    <evenHeader/>
    <evenFooter/>
    <firstHeader/>
    <firstFooter/>
  </headerFooter>
  <rowBreaks count="1" manualBreakCount="1">
    <brk id="40" min="0" max="16383" man="1"/>
  </rowBreaks>
  <drawing xmlns:r="http://schemas.openxmlformats.org/officeDocument/2006/relationships" r:id="rId1"/>
</worksheet>
</file>

<file path=xl/worksheets/sheet3.xml><?xml version="1.0" encoding="utf-8"?>
<worksheet xmlns="http://schemas.openxmlformats.org/spreadsheetml/2006/main">
  <sheetPr>
    <outlinePr summaryBelow="1" summaryRight="1"/>
    <pageSetUpPr/>
  </sheetPr>
  <dimension ref="A1:FH29"/>
  <sheetViews>
    <sheetView tabSelected="0" workbookViewId="0">
      <selection activeCell="A1" sqref="A1"/>
    </sheetView>
  </sheetViews>
  <sheetFormatPr baseColWidth="8" defaultRowHeight="15"/>
  <sheetData>
    <row r="1">
      <c r="A1" t="inlineStr">
        <is>
          <t>Coordinates for the live drawings (mm). Generated - do not edit.</t>
        </is>
      </c>
    </row>
    <row r="2">
      <c r="A2">
        <f>IF(inputs_ok,"","check the inputs")</f>
        <v/>
      </c>
      <c r="D2" t="inlineStr">
        <is>
          <t>rib</t>
        </is>
      </c>
      <c r="G2" t="inlineStr">
        <is>
          <t>topping</t>
        </is>
      </c>
      <c r="J2" t="inlineStr">
        <is>
          <t>left support</t>
        </is>
      </c>
      <c r="M2" t="inlineStr">
        <is>
          <t>right support</t>
        </is>
      </c>
      <c r="P2" t="inlineStr">
        <is>
          <t>continuity left</t>
        </is>
      </c>
      <c r="S2" t="inlineStr">
        <is>
          <t>continuity right</t>
        </is>
      </c>
      <c r="V2" t="inlineStr">
        <is>
          <t>load 0</t>
        </is>
      </c>
      <c r="Y2" t="inlineStr">
        <is>
          <t>load 1</t>
        </is>
      </c>
      <c r="AB2" t="inlineStr">
        <is>
          <t>load 2</t>
        </is>
      </c>
      <c r="AE2" t="inlineStr">
        <is>
          <t>load 3</t>
        </is>
      </c>
      <c r="AH2" t="inlineStr">
        <is>
          <t>load 4</t>
        </is>
      </c>
      <c r="AK2" t="inlineStr">
        <is>
          <t>load 5</t>
        </is>
      </c>
      <c r="AN2" t="inlineStr">
        <is>
          <t>load 6</t>
        </is>
      </c>
      <c r="AQ2" t="inlineStr">
        <is>
          <t>load 7</t>
        </is>
      </c>
      <c r="AT2" t="inlineStr">
        <is>
          <t>load 8</t>
        </is>
      </c>
      <c r="AW2" t="inlineStr">
        <is>
          <t>load line</t>
        </is>
      </c>
      <c r="AZ2" t="inlineStr">
        <is>
          <t>BMD</t>
        </is>
      </c>
      <c r="BC2" t="inlineStr">
        <is>
          <t>BMD axis</t>
        </is>
      </c>
      <c r="BF2">
        <f>IF(inputs_ok,"w = "&amp;TEXT(w_rb,"0.00")&amp;" kN/m per rib","")</f>
        <v/>
      </c>
      <c r="BI2">
        <f>IF(inputs_ok,"M = "&amp;TEXT(M_sp,"0.0"),"")</f>
        <v/>
      </c>
      <c r="BL2">
        <f>IF(inputs_ok,IF(M_lt&gt;0,"M = −"&amp;TEXT(M_lt,"0.0"),""),"")</f>
        <v/>
      </c>
      <c r="BO2">
        <f>IF(inputs_ok,IF(M_rt&gt;0,"M = −"&amp;TEXT(M_rt,"0.0"),""),"")</f>
        <v/>
      </c>
      <c r="BR2" t="inlineStr">
        <is>
          <t>dim</t>
        </is>
      </c>
      <c r="BU2">
        <f>IF(inputs_ok,"L = "&amp;TEXT(L_rb,"0"),"")</f>
        <v/>
      </c>
      <c r="BX2" t="inlineStr">
        <is>
          <t>frame</t>
        </is>
      </c>
      <c r="CA2" t="inlineStr">
        <is>
          <t>section</t>
        </is>
      </c>
      <c r="CD2" t="inlineStr">
        <is>
          <t>mesh</t>
        </is>
      </c>
      <c r="CG2" t="inlineStr">
        <is>
          <t>links 0</t>
        </is>
      </c>
      <c r="CJ2" t="inlineStr">
        <is>
          <t>bottom 00</t>
        </is>
      </c>
      <c r="CM2" t="inlineStr">
        <is>
          <t>bottom 01</t>
        </is>
      </c>
      <c r="CP2" t="inlineStr">
        <is>
          <t>bottom 02</t>
        </is>
      </c>
      <c r="CS2" t="inlineStr">
        <is>
          <t>top 00</t>
        </is>
      </c>
      <c r="CV2" t="inlineStr">
        <is>
          <t>top 01</t>
        </is>
      </c>
      <c r="CY2" t="inlineStr">
        <is>
          <t>top 02</t>
        </is>
      </c>
      <c r="DB2" t="inlineStr">
        <is>
          <t>top 03</t>
        </is>
      </c>
      <c r="DE2" t="inlineStr">
        <is>
          <t>links 1</t>
        </is>
      </c>
      <c r="DH2" t="inlineStr">
        <is>
          <t>bottom 10</t>
        </is>
      </c>
      <c r="DK2" t="inlineStr">
        <is>
          <t>bottom 11</t>
        </is>
      </c>
      <c r="DN2" t="inlineStr">
        <is>
          <t>bottom 12</t>
        </is>
      </c>
      <c r="DQ2" t="inlineStr">
        <is>
          <t>top 10</t>
        </is>
      </c>
      <c r="DT2" t="inlineStr">
        <is>
          <t>top 11</t>
        </is>
      </c>
      <c r="DW2" t="inlineStr">
        <is>
          <t>top 12</t>
        </is>
      </c>
      <c r="DZ2" t="inlineStr">
        <is>
          <t>top 13</t>
        </is>
      </c>
      <c r="EC2" t="inlineStr">
        <is>
          <t>b_eff</t>
        </is>
      </c>
      <c r="EF2">
        <f>IF(inputs_ok,"b_eff = "&amp;TEXT(b_eff,"0"),"")</f>
        <v/>
      </c>
      <c r="EI2">
        <f>IF(inputs_ok,"B "&amp;n_b&amp;" φ"&amp;phi_b&amp;" per rib"&amp;IF(phi_w&gt;0,",  links φ"&amp;phi_w&amp;" @ "&amp;s_w,""),"")</f>
        <v/>
      </c>
      <c r="EL2">
        <f>IF(inputs_ok,"T "&amp;n_t&amp;" φ"&amp;phi_t&amp;" per rib over b_eff,s,  mesh φ"&amp;phi_m&amp;" @ "&amp;s_m,"")</f>
        <v/>
      </c>
      <c r="EO2" t="inlineStr">
        <is>
          <t>dim</t>
        </is>
      </c>
      <c r="ER2">
        <f>IF(inputs_ok,"s = "&amp;TEXT(s_r,"0"),"")</f>
        <v/>
      </c>
      <c r="EU2" t="inlineStr">
        <is>
          <t>dim</t>
        </is>
      </c>
      <c r="EX2">
        <f>IF(inputs_ok,"h = "&amp;TEXT(h_rb,"0"),"")</f>
        <v/>
      </c>
      <c r="FA2" t="inlineStr">
        <is>
          <t>dim</t>
        </is>
      </c>
      <c r="FD2">
        <f>IF(inputs_ok,"h_f = "&amp;TEXT(h_f,"0"),"")</f>
        <v/>
      </c>
      <c r="FG2" t="inlineStr">
        <is>
          <t>frame</t>
        </is>
      </c>
    </row>
    <row r="3">
      <c r="A3">
        <f>0</f>
        <v/>
      </c>
      <c r="B3">
        <f>0</f>
        <v/>
      </c>
      <c r="D3">
        <f>IF(inputs_ok,0,NA())</f>
        <v/>
      </c>
      <c r="E3">
        <f>0</f>
        <v/>
      </c>
      <c r="G3">
        <f>IF(inputs_ok,0,NA())</f>
        <v/>
      </c>
      <c r="H3">
        <f>h_rb-h_f</f>
        <v/>
      </c>
      <c r="J3">
        <f>IF(inputs_ok,0-0.05*L_rb,NA())</f>
        <v/>
      </c>
      <c r="K3">
        <f>-0.05*L_rb</f>
        <v/>
      </c>
      <c r="M3">
        <f>IF(inputs_ok,L_rb-0.05*L_rb,NA())</f>
        <v/>
      </c>
      <c r="N3">
        <f>-0.05*L_rb</f>
        <v/>
      </c>
      <c r="P3">
        <f>IF(inputs_ok,IF(sys_i&gt;=4,-0.12*L_rb,NA()),NA())</f>
        <v/>
      </c>
      <c r="Q3">
        <f>h_rb/2</f>
        <v/>
      </c>
      <c r="S3">
        <f>IF(inputs_ok,IF(sys_i&gt;=2,L_rb,NA()),NA())</f>
        <v/>
      </c>
      <c r="T3">
        <f>h_rb/2</f>
        <v/>
      </c>
      <c r="V3">
        <f>IF(inputs_ok,(0+0.5)*L_rb/9,NA())</f>
        <v/>
      </c>
      <c r="W3">
        <f>h_rb+0.12*L_rb</f>
        <v/>
      </c>
      <c r="Y3">
        <f>IF(inputs_ok,(1+0.5)*L_rb/9,NA())</f>
        <v/>
      </c>
      <c r="Z3">
        <f>h_rb+0.12*L_rb</f>
        <v/>
      </c>
      <c r="AB3">
        <f>IF(inputs_ok,(2+0.5)*L_rb/9,NA())</f>
        <v/>
      </c>
      <c r="AC3">
        <f>h_rb+0.12*L_rb</f>
        <v/>
      </c>
      <c r="AE3">
        <f>IF(inputs_ok,(3+0.5)*L_rb/9,NA())</f>
        <v/>
      </c>
      <c r="AF3">
        <f>h_rb+0.12*L_rb</f>
        <v/>
      </c>
      <c r="AH3">
        <f>IF(inputs_ok,(4+0.5)*L_rb/9,NA())</f>
        <v/>
      </c>
      <c r="AI3">
        <f>h_rb+0.12*L_rb</f>
        <v/>
      </c>
      <c r="AK3">
        <f>IF(inputs_ok,(5+0.5)*L_rb/9,NA())</f>
        <v/>
      </c>
      <c r="AL3">
        <f>h_rb+0.12*L_rb</f>
        <v/>
      </c>
      <c r="AN3">
        <f>IF(inputs_ok,(6+0.5)*L_rb/9,NA())</f>
        <v/>
      </c>
      <c r="AO3">
        <f>h_rb+0.12*L_rb</f>
        <v/>
      </c>
      <c r="AQ3">
        <f>IF(inputs_ok,(7+0.5)*L_rb/9,NA())</f>
        <v/>
      </c>
      <c r="AR3">
        <f>h_rb+0.12*L_rb</f>
        <v/>
      </c>
      <c r="AT3">
        <f>IF(inputs_ok,(8+0.5)*L_rb/9,NA())</f>
        <v/>
      </c>
      <c r="AU3">
        <f>h_rb+0.12*L_rb</f>
        <v/>
      </c>
      <c r="AW3">
        <f>IF(inputs_ok,0,NA())</f>
        <v/>
      </c>
      <c r="AX3">
        <f>h_rb+0.12*L_rb</f>
        <v/>
      </c>
      <c r="AZ3">
        <f>IF(inputs_ok,0,NA())</f>
        <v/>
      </c>
      <c r="BA3">
        <f>(-0.35*L_rb)</f>
        <v/>
      </c>
      <c r="BC3">
        <f>IF(inputs_ok,0,NA())</f>
        <v/>
      </c>
      <c r="BD3">
        <f>(-0.35*L_rb)</f>
        <v/>
      </c>
      <c r="BF3">
        <f>IF(inputs_ok,L_rb/2,NA())</f>
        <v/>
      </c>
      <c r="BG3">
        <f>h_rb+0.12*L_rb</f>
        <v/>
      </c>
      <c r="BI3">
        <f>IF(inputs_ok,L_rb/2,NA())</f>
        <v/>
      </c>
      <c r="BJ3">
        <f>(-0.35*L_rb)-(0.22*L_rb/MAX(M_sp,M_su,0.001))*M_sp</f>
        <v/>
      </c>
      <c r="BL3">
        <f>IF(inputs_ok,0,NA())</f>
        <v/>
      </c>
      <c r="BM3">
        <f>(-0.35*L_rb)+(0.22*L_rb/MAX(M_sp,M_su,0.001))*M_lt</f>
        <v/>
      </c>
      <c r="BO3">
        <f>IF(inputs_ok,L_rb,NA())</f>
        <v/>
      </c>
      <c r="BP3">
        <f>(-0.35*L_rb)+(0.22*L_rb/MAX(M_sp,M_su,0.001))*M_rt</f>
        <v/>
      </c>
      <c r="BR3">
        <f>IF(inputs_ok,IF(TRUE,0,NA()),NA())</f>
        <v/>
      </c>
      <c r="BS3">
        <f>IF(TRUE,-0.1*L_rb,NA())</f>
        <v/>
      </c>
      <c r="BU3">
        <f>IF(inputs_ok,IF(TRUE,((0)+(L_rb))/2,NA()),NA())</f>
        <v/>
      </c>
      <c r="BV3">
        <f>IF(TRUE,((-0.1*L_rb)+(-0.1*L_rb))/2,NA())</f>
        <v/>
      </c>
      <c r="BX3">
        <f>((-0.15*L_rb)+(1.15*L_rb))/2-MAX((0.22*L_rb)-(-0.65*L_rb),((1.15*L_rb)-(-0.15*L_rb))/1.55)*0.58*1.55</f>
        <v/>
      </c>
      <c r="BY3">
        <f>((-0.65*L_rb)+(0.22*L_rb))/2-MAX((0.22*L_rb)-(-0.65*L_rb),((1.15*L_rb)-(-0.15*L_rb))/1.55)*0.58</f>
        <v/>
      </c>
      <c r="CA3">
        <f>IF(inputs_ok,0,NA())</f>
        <v/>
      </c>
      <c r="CB3">
        <f>h_rb</f>
        <v/>
      </c>
      <c r="CD3">
        <f>IF(inputs_ok,c_nom,NA())</f>
        <v/>
      </c>
      <c r="CE3">
        <f>h_rb-c_nom-phi_m/2</f>
        <v/>
      </c>
      <c r="CG3">
        <f>IF(inputs_ok,IF(phi_w&gt;0,0.5*s_r-b_w/2+(c_nom+phi_w/2),NA()),NA())</f>
        <v/>
      </c>
      <c r="CH3">
        <f>IF(phi_w&gt;0,(c_nom+phi_w/2),NA())</f>
        <v/>
      </c>
      <c r="CJ3">
        <f>IF(inputs_ok,IF(0&lt;n_b,(IF(n_b=1,0.5*s_r,0.5*s_r-b_w/2+c_nom+phi_w+phi_b/2+0*(b_w-2*c_nom-2*phi_w-phi_b)/MAX(n_b-1,1)))+(phi_b/2)*1.000000,NA()),NA())</f>
        <v/>
      </c>
      <c r="CK3">
        <f>IF(0&lt;n_b,(h_rb-d_b)+(phi_b/2)*0.000000,NA())</f>
        <v/>
      </c>
      <c r="CM3">
        <f>IF(inputs_ok,IF(1&lt;n_b,(IF(n_b=1,0.5*s_r,0.5*s_r-b_w/2+c_nom+phi_w+phi_b/2+1*(b_w-2*c_nom-2*phi_w-phi_b)/MAX(n_b-1,1)))+(phi_b/2)*1.000000,NA()),NA())</f>
        <v/>
      </c>
      <c r="CN3">
        <f>IF(1&lt;n_b,(h_rb-d_b)+(phi_b/2)*0.000000,NA())</f>
        <v/>
      </c>
      <c r="CP3">
        <f>IF(inputs_ok,IF(2&lt;n_b,(IF(n_b=1,0.5*s_r,0.5*s_r-b_w/2+c_nom+phi_w+phi_b/2+2*(b_w-2*c_nom-2*phi_w-phi_b)/MAX(n_b-1,1)))+(phi_b/2)*1.000000,NA()),NA())</f>
        <v/>
      </c>
      <c r="CQ3">
        <f>IF(2&lt;n_b,(h_rb-d_b)+(phi_b/2)*0.000000,NA())</f>
        <v/>
      </c>
      <c r="CS3">
        <f>IF(inputs_ok,IF(0&lt;n_t,(0.5*s_r+(0-(n_t-1)/2)*beff_h/n_t)+(phi_t/2)*1.000000,NA()),NA())</f>
        <v/>
      </c>
      <c r="CT3">
        <f>IF(0&lt;n_t,(d_t)+(phi_t/2)*0.000000,NA())</f>
        <v/>
      </c>
      <c r="CV3">
        <f>IF(inputs_ok,IF(1&lt;n_t,(0.5*s_r+(1-(n_t-1)/2)*beff_h/n_t)+(phi_t/2)*1.000000,NA()),NA())</f>
        <v/>
      </c>
      <c r="CW3">
        <f>IF(1&lt;n_t,(d_t)+(phi_t/2)*0.000000,NA())</f>
        <v/>
      </c>
      <c r="CY3">
        <f>IF(inputs_ok,IF(2&lt;n_t,(0.5*s_r+(2-(n_t-1)/2)*beff_h/n_t)+(phi_t/2)*1.000000,NA()),NA())</f>
        <v/>
      </c>
      <c r="CZ3">
        <f>IF(2&lt;n_t,(d_t)+(phi_t/2)*0.000000,NA())</f>
        <v/>
      </c>
      <c r="DB3">
        <f>IF(inputs_ok,IF(3&lt;n_t,(0.5*s_r+(3-(n_t-1)/2)*beff_h/n_t)+(phi_t/2)*1.000000,NA()),NA())</f>
        <v/>
      </c>
      <c r="DC3">
        <f>IF(3&lt;n_t,(d_t)+(phi_t/2)*0.000000,NA())</f>
        <v/>
      </c>
      <c r="DE3">
        <f>IF(inputs_ok,IF(phi_w&gt;0,1.5*s_r-b_w/2+(c_nom+phi_w/2),NA()),NA())</f>
        <v/>
      </c>
      <c r="DF3">
        <f>IF(phi_w&gt;0,(c_nom+phi_w/2),NA())</f>
        <v/>
      </c>
      <c r="DH3">
        <f>IF(inputs_ok,IF(0&lt;n_b,(IF(n_b=1,1.5*s_r,1.5*s_r-b_w/2+c_nom+phi_w+phi_b/2+0*(b_w-2*c_nom-2*phi_w-phi_b)/MAX(n_b-1,1)))+(phi_b/2)*1.000000,NA()),NA())</f>
        <v/>
      </c>
      <c r="DI3">
        <f>IF(0&lt;n_b,(h_rb-d_b)+(phi_b/2)*0.000000,NA())</f>
        <v/>
      </c>
      <c r="DK3">
        <f>IF(inputs_ok,IF(1&lt;n_b,(IF(n_b=1,1.5*s_r,1.5*s_r-b_w/2+c_nom+phi_w+phi_b/2+1*(b_w-2*c_nom-2*phi_w-phi_b)/MAX(n_b-1,1)))+(phi_b/2)*1.000000,NA()),NA())</f>
        <v/>
      </c>
      <c r="DL3">
        <f>IF(1&lt;n_b,(h_rb-d_b)+(phi_b/2)*0.000000,NA())</f>
        <v/>
      </c>
      <c r="DN3">
        <f>IF(inputs_ok,IF(2&lt;n_b,(IF(n_b=1,1.5*s_r,1.5*s_r-b_w/2+c_nom+phi_w+phi_b/2+2*(b_w-2*c_nom-2*phi_w-phi_b)/MAX(n_b-1,1)))+(phi_b/2)*1.000000,NA()),NA())</f>
        <v/>
      </c>
      <c r="DO3">
        <f>IF(2&lt;n_b,(h_rb-d_b)+(phi_b/2)*0.000000,NA())</f>
        <v/>
      </c>
      <c r="DQ3">
        <f>IF(inputs_ok,IF(0&lt;n_t,(1.5*s_r+(0-(n_t-1)/2)*beff_h/n_t)+(phi_t/2)*1.000000,NA()),NA())</f>
        <v/>
      </c>
      <c r="DR3">
        <f>IF(0&lt;n_t,(d_t)+(phi_t/2)*0.000000,NA())</f>
        <v/>
      </c>
      <c r="DT3">
        <f>IF(inputs_ok,IF(1&lt;n_t,(1.5*s_r+(1-(n_t-1)/2)*beff_h/n_t)+(phi_t/2)*1.000000,NA()),NA())</f>
        <v/>
      </c>
      <c r="DU3">
        <f>IF(1&lt;n_t,(d_t)+(phi_t/2)*0.000000,NA())</f>
        <v/>
      </c>
      <c r="DW3">
        <f>IF(inputs_ok,IF(2&lt;n_t,(1.5*s_r+(2-(n_t-1)/2)*beff_h/n_t)+(phi_t/2)*1.000000,NA()),NA())</f>
        <v/>
      </c>
      <c r="DX3">
        <f>IF(2&lt;n_t,(d_t)+(phi_t/2)*0.000000,NA())</f>
        <v/>
      </c>
      <c r="DZ3">
        <f>IF(inputs_ok,IF(3&lt;n_t,(1.5*s_r+(3-(n_t-1)/2)*beff_h/n_t)+(phi_t/2)*1.000000,NA()),NA())</f>
        <v/>
      </c>
      <c r="EA3">
        <f>IF(3&lt;n_t,(d_t)+(phi_t/2)*0.000000,NA())</f>
        <v/>
      </c>
      <c r="EC3">
        <f>IF(inputs_ok,0.5*s_r-b_eff/2,NA())</f>
        <v/>
      </c>
      <c r="ED3">
        <f>h_rb+0.25*h_rb</f>
        <v/>
      </c>
      <c r="EF3">
        <f>IF(inputs_ok,0.5*s_r,NA())</f>
        <v/>
      </c>
      <c r="EG3">
        <f>h_rb+0.25*h_rb</f>
        <v/>
      </c>
      <c r="EI3">
        <f>IF(inputs_ok,s_r,NA())</f>
        <v/>
      </c>
      <c r="EJ3">
        <f>-0.5*h_rb</f>
        <v/>
      </c>
      <c r="EL3">
        <f>IF(inputs_ok,1.5*s_r,NA())</f>
        <v/>
      </c>
      <c r="EM3">
        <f>h_rb+0.25*h_rb</f>
        <v/>
      </c>
      <c r="EO3">
        <f>IF(inputs_ok,IF(TRUE,0.5*s_r,NA()),NA())</f>
        <v/>
      </c>
      <c r="EP3">
        <f>IF(TRUE,-0.22*h_rb,NA())</f>
        <v/>
      </c>
      <c r="ER3">
        <f>IF(inputs_ok,IF(TRUE,((0.5*s_r)+(1.5*s_r))/2,NA()),NA())</f>
        <v/>
      </c>
      <c r="ES3">
        <f>IF(TRUE,((-0.22*h_rb)+(-0.22*h_rb))/2,NA())</f>
        <v/>
      </c>
      <c r="EU3">
        <f>IF(inputs_ok,IF(TRUE,2*s_r+0.06*s_r,NA()),NA())</f>
        <v/>
      </c>
      <c r="EV3">
        <f>IF(TRUE,0,NA())</f>
        <v/>
      </c>
      <c r="EX3">
        <f>IF(inputs_ok,IF(TRUE,((2*s_r+0.06*s_r)+(2*s_r+0.06*s_r))/2,NA()),NA())</f>
        <v/>
      </c>
      <c r="EY3">
        <f>IF(TRUE,((0)+(h_rb))/2,NA())</f>
        <v/>
      </c>
      <c r="FA3">
        <f>IF(inputs_ok,IF(TRUE,-0.06*s_r,NA()),NA())</f>
        <v/>
      </c>
      <c r="FB3">
        <f>IF(TRUE,h_rb-h_f,NA())</f>
        <v/>
      </c>
      <c r="FD3">
        <f>IF(inputs_ok,IF(TRUE,((-0.06*s_r)+(-0.06*s_r))/2,NA()),NA())</f>
        <v/>
      </c>
      <c r="FE3">
        <f>IF(TRUE,((h_rb-h_f)+(h_rb))/2,NA())</f>
        <v/>
      </c>
      <c r="FG3">
        <f>((-0.3*s_r)+(2.3*s_r))/2-MAX((1.45*h_rb)-(-0.75*h_rb),((2.3*s_r)-(-0.3*s_r))/1.55)*0.52*1.55</f>
        <v/>
      </c>
      <c r="FH3">
        <f>((-0.75*h_rb)+(1.45*h_rb))/2-MAX((1.45*h_rb)-(-0.75*h_rb),((2.3*s_r)-(-0.3*s_r))/1.55)*0.52</f>
        <v/>
      </c>
    </row>
    <row r="4">
      <c r="D4">
        <f>IF(inputs_ok,L_rb,NA())</f>
        <v/>
      </c>
      <c r="E4">
        <f>0</f>
        <v/>
      </c>
      <c r="G4">
        <f>IF(inputs_ok,L_rb,NA())</f>
        <v/>
      </c>
      <c r="H4">
        <f>h_rb-h_f</f>
        <v/>
      </c>
      <c r="J4">
        <f>IF(inputs_ok,0,NA())</f>
        <v/>
      </c>
      <c r="K4">
        <f>0</f>
        <v/>
      </c>
      <c r="M4">
        <f>IF(inputs_ok,L_rb,NA())</f>
        <v/>
      </c>
      <c r="N4">
        <f>0</f>
        <v/>
      </c>
      <c r="P4">
        <f>IF(inputs_ok,IF(sys_i&gt;=4,0,NA()),NA())</f>
        <v/>
      </c>
      <c r="Q4">
        <f>h_rb/2</f>
        <v/>
      </c>
      <c r="S4">
        <f>IF(inputs_ok,IF(sys_i&gt;=2,1.12*L_rb,NA()),NA())</f>
        <v/>
      </c>
      <c r="T4">
        <f>h_rb/2</f>
        <v/>
      </c>
      <c r="V4">
        <f>IF(inputs_ok,(0+0.5)*L_rb/9,NA())</f>
        <v/>
      </c>
      <c r="W4">
        <f>h_rb+0.02*L_rb</f>
        <v/>
      </c>
      <c r="Y4">
        <f>IF(inputs_ok,(1+0.5)*L_rb/9,NA())</f>
        <v/>
      </c>
      <c r="Z4">
        <f>h_rb+0.02*L_rb</f>
        <v/>
      </c>
      <c r="AB4">
        <f>IF(inputs_ok,(2+0.5)*L_rb/9,NA())</f>
        <v/>
      </c>
      <c r="AC4">
        <f>h_rb+0.02*L_rb</f>
        <v/>
      </c>
      <c r="AE4">
        <f>IF(inputs_ok,(3+0.5)*L_rb/9,NA())</f>
        <v/>
      </c>
      <c r="AF4">
        <f>h_rb+0.02*L_rb</f>
        <v/>
      </c>
      <c r="AH4">
        <f>IF(inputs_ok,(4+0.5)*L_rb/9,NA())</f>
        <v/>
      </c>
      <c r="AI4">
        <f>h_rb+0.02*L_rb</f>
        <v/>
      </c>
      <c r="AK4">
        <f>IF(inputs_ok,(5+0.5)*L_rb/9,NA())</f>
        <v/>
      </c>
      <c r="AL4">
        <f>h_rb+0.02*L_rb</f>
        <v/>
      </c>
      <c r="AN4">
        <f>IF(inputs_ok,(6+0.5)*L_rb/9,NA())</f>
        <v/>
      </c>
      <c r="AO4">
        <f>h_rb+0.02*L_rb</f>
        <v/>
      </c>
      <c r="AQ4">
        <f>IF(inputs_ok,(7+0.5)*L_rb/9,NA())</f>
        <v/>
      </c>
      <c r="AR4">
        <f>h_rb+0.02*L_rb</f>
        <v/>
      </c>
      <c r="AT4">
        <f>IF(inputs_ok,(8+0.5)*L_rb/9,NA())</f>
        <v/>
      </c>
      <c r="AU4">
        <f>h_rb+0.02*L_rb</f>
        <v/>
      </c>
      <c r="AW4">
        <f>IF(inputs_ok,L_rb,NA())</f>
        <v/>
      </c>
      <c r="AX4">
        <f>h_rb+0.12*L_rb</f>
        <v/>
      </c>
      <c r="AZ4">
        <f>IF(inputs_ok,0.000000*L_rb,NA())</f>
        <v/>
      </c>
      <c r="BA4">
        <f>(-0.35*L_rb)-(0.22*L_rb/MAX(M_sp,M_su,0.001))*(-M_lt*1.000000+M_sp*0.000000-M_rt*-0.000000)</f>
        <v/>
      </c>
      <c r="BC4">
        <f>IF(inputs_ok,L_rb,NA())</f>
        <v/>
      </c>
      <c r="BD4">
        <f>(-0.35*L_rb)</f>
        <v/>
      </c>
      <c r="BR4">
        <f>IF(inputs_ok,IF(TRUE,L_rb,NA()),NA())</f>
        <v/>
      </c>
      <c r="BS4">
        <f>IF(TRUE,-0.1*L_rb,NA())</f>
        <v/>
      </c>
      <c r="BX4">
        <f>((-0.15*L_rb)+(1.15*L_rb))/2+MAX((0.22*L_rb)-(-0.65*L_rb),((1.15*L_rb)-(-0.15*L_rb))/1.55)*0.58*1.55</f>
        <v/>
      </c>
      <c r="BY4">
        <f>((-0.65*L_rb)+(0.22*L_rb))/2+MAX((0.22*L_rb)-(-0.65*L_rb),((1.15*L_rb)-(-0.15*L_rb))/1.55)*0.58</f>
        <v/>
      </c>
      <c r="CA4">
        <f>IF(inputs_ok,(2*s_r),NA())</f>
        <v/>
      </c>
      <c r="CB4">
        <f>h_rb</f>
        <v/>
      </c>
      <c r="CD4">
        <f>IF(inputs_ok,2*s_r-c_nom,NA())</f>
        <v/>
      </c>
      <c r="CE4">
        <f>h_rb-c_nom-phi_m/2</f>
        <v/>
      </c>
      <c r="CG4">
        <f>IF(inputs_ok,IF(phi_w&gt;0,0.5*s_r+b_w/2-(c_nom+phi_w/2),NA()),NA())</f>
        <v/>
      </c>
      <c r="CH4">
        <f>IF(phi_w&gt;0,(c_nom+phi_w/2),NA())</f>
        <v/>
      </c>
      <c r="CJ4">
        <f>IF(inputs_ok,IF(0&lt;n_b,(IF(n_b=1,0.5*s_r,0.5*s_r-b_w/2+c_nom+phi_w+phi_b/2+0*(b_w-2*c_nom-2*phi_w-phi_b)/MAX(n_b-1,1)))+(phi_b/2)*0.809017,NA()),NA())</f>
        <v/>
      </c>
      <c r="CK4">
        <f>IF(0&lt;n_b,(h_rb-d_b)+(phi_b/2)*0.587785,NA())</f>
        <v/>
      </c>
      <c r="CM4">
        <f>IF(inputs_ok,IF(1&lt;n_b,(IF(n_b=1,0.5*s_r,0.5*s_r-b_w/2+c_nom+phi_w+phi_b/2+1*(b_w-2*c_nom-2*phi_w-phi_b)/MAX(n_b-1,1)))+(phi_b/2)*0.809017,NA()),NA())</f>
        <v/>
      </c>
      <c r="CN4">
        <f>IF(1&lt;n_b,(h_rb-d_b)+(phi_b/2)*0.587785,NA())</f>
        <v/>
      </c>
      <c r="CP4">
        <f>IF(inputs_ok,IF(2&lt;n_b,(IF(n_b=1,0.5*s_r,0.5*s_r-b_w/2+c_nom+phi_w+phi_b/2+2*(b_w-2*c_nom-2*phi_w-phi_b)/MAX(n_b-1,1)))+(phi_b/2)*0.809017,NA()),NA())</f>
        <v/>
      </c>
      <c r="CQ4">
        <f>IF(2&lt;n_b,(h_rb-d_b)+(phi_b/2)*0.587785,NA())</f>
        <v/>
      </c>
      <c r="CS4">
        <f>IF(inputs_ok,IF(0&lt;n_t,(0.5*s_r+(0-(n_t-1)/2)*beff_h/n_t)+(phi_t/2)*0.809017,NA()),NA())</f>
        <v/>
      </c>
      <c r="CT4">
        <f>IF(0&lt;n_t,(d_t)+(phi_t/2)*0.587785,NA())</f>
        <v/>
      </c>
      <c r="CV4">
        <f>IF(inputs_ok,IF(1&lt;n_t,(0.5*s_r+(1-(n_t-1)/2)*beff_h/n_t)+(phi_t/2)*0.809017,NA()),NA())</f>
        <v/>
      </c>
      <c r="CW4">
        <f>IF(1&lt;n_t,(d_t)+(phi_t/2)*0.587785,NA())</f>
        <v/>
      </c>
      <c r="CY4">
        <f>IF(inputs_ok,IF(2&lt;n_t,(0.5*s_r+(2-(n_t-1)/2)*beff_h/n_t)+(phi_t/2)*0.809017,NA()),NA())</f>
        <v/>
      </c>
      <c r="CZ4">
        <f>IF(2&lt;n_t,(d_t)+(phi_t/2)*0.587785,NA())</f>
        <v/>
      </c>
      <c r="DB4">
        <f>IF(inputs_ok,IF(3&lt;n_t,(0.5*s_r+(3-(n_t-1)/2)*beff_h/n_t)+(phi_t/2)*0.809017,NA()),NA())</f>
        <v/>
      </c>
      <c r="DC4">
        <f>IF(3&lt;n_t,(d_t)+(phi_t/2)*0.587785,NA())</f>
        <v/>
      </c>
      <c r="DE4">
        <f>IF(inputs_ok,IF(phi_w&gt;0,1.5*s_r+b_w/2-(c_nom+phi_w/2),NA()),NA())</f>
        <v/>
      </c>
      <c r="DF4">
        <f>IF(phi_w&gt;0,(c_nom+phi_w/2),NA())</f>
        <v/>
      </c>
      <c r="DH4">
        <f>IF(inputs_ok,IF(0&lt;n_b,(IF(n_b=1,1.5*s_r,1.5*s_r-b_w/2+c_nom+phi_w+phi_b/2+0*(b_w-2*c_nom-2*phi_w-phi_b)/MAX(n_b-1,1)))+(phi_b/2)*0.809017,NA()),NA())</f>
        <v/>
      </c>
      <c r="DI4">
        <f>IF(0&lt;n_b,(h_rb-d_b)+(phi_b/2)*0.587785,NA())</f>
        <v/>
      </c>
      <c r="DK4">
        <f>IF(inputs_ok,IF(1&lt;n_b,(IF(n_b=1,1.5*s_r,1.5*s_r-b_w/2+c_nom+phi_w+phi_b/2+1*(b_w-2*c_nom-2*phi_w-phi_b)/MAX(n_b-1,1)))+(phi_b/2)*0.809017,NA()),NA())</f>
        <v/>
      </c>
      <c r="DL4">
        <f>IF(1&lt;n_b,(h_rb-d_b)+(phi_b/2)*0.587785,NA())</f>
        <v/>
      </c>
      <c r="DN4">
        <f>IF(inputs_ok,IF(2&lt;n_b,(IF(n_b=1,1.5*s_r,1.5*s_r-b_w/2+c_nom+phi_w+phi_b/2+2*(b_w-2*c_nom-2*phi_w-phi_b)/MAX(n_b-1,1)))+(phi_b/2)*0.809017,NA()),NA())</f>
        <v/>
      </c>
      <c r="DO4">
        <f>IF(2&lt;n_b,(h_rb-d_b)+(phi_b/2)*0.587785,NA())</f>
        <v/>
      </c>
      <c r="DQ4">
        <f>IF(inputs_ok,IF(0&lt;n_t,(1.5*s_r+(0-(n_t-1)/2)*beff_h/n_t)+(phi_t/2)*0.809017,NA()),NA())</f>
        <v/>
      </c>
      <c r="DR4">
        <f>IF(0&lt;n_t,(d_t)+(phi_t/2)*0.587785,NA())</f>
        <v/>
      </c>
      <c r="DT4">
        <f>IF(inputs_ok,IF(1&lt;n_t,(1.5*s_r+(1-(n_t-1)/2)*beff_h/n_t)+(phi_t/2)*0.809017,NA()),NA())</f>
        <v/>
      </c>
      <c r="DU4">
        <f>IF(1&lt;n_t,(d_t)+(phi_t/2)*0.587785,NA())</f>
        <v/>
      </c>
      <c r="DW4">
        <f>IF(inputs_ok,IF(2&lt;n_t,(1.5*s_r+(2-(n_t-1)/2)*beff_h/n_t)+(phi_t/2)*0.809017,NA()),NA())</f>
        <v/>
      </c>
      <c r="DX4">
        <f>IF(2&lt;n_t,(d_t)+(phi_t/2)*0.587785,NA())</f>
        <v/>
      </c>
      <c r="DZ4">
        <f>IF(inputs_ok,IF(3&lt;n_t,(1.5*s_r+(3-(n_t-1)/2)*beff_h/n_t)+(phi_t/2)*0.809017,NA()),NA())</f>
        <v/>
      </c>
      <c r="EA4">
        <f>IF(3&lt;n_t,(d_t)+(phi_t/2)*0.587785,NA())</f>
        <v/>
      </c>
      <c r="EC4">
        <f>IF(inputs_ok,0.5*s_r+b_eff/2,NA())</f>
        <v/>
      </c>
      <c r="ED4">
        <f>h_rb+0.25*h_rb</f>
        <v/>
      </c>
      <c r="EO4">
        <f>IF(inputs_ok,IF(TRUE,1.5*s_r,NA()),NA())</f>
        <v/>
      </c>
      <c r="EP4">
        <f>IF(TRUE,-0.22*h_rb,NA())</f>
        <v/>
      </c>
      <c r="EU4">
        <f>IF(inputs_ok,IF(TRUE,2*s_r+0.06*s_r,NA()),NA())</f>
        <v/>
      </c>
      <c r="EV4">
        <f>IF(TRUE,h_rb,NA())</f>
        <v/>
      </c>
      <c r="FA4">
        <f>IF(inputs_ok,IF(TRUE,-0.06*s_r,NA()),NA())</f>
        <v/>
      </c>
      <c r="FB4">
        <f>IF(TRUE,h_rb,NA())</f>
        <v/>
      </c>
      <c r="FG4">
        <f>((-0.3*s_r)+(2.3*s_r))/2+MAX((1.45*h_rb)-(-0.75*h_rb),((2.3*s_r)-(-0.3*s_r))/1.55)*0.52*1.55</f>
        <v/>
      </c>
      <c r="FH4">
        <f>((-0.75*h_rb)+(1.45*h_rb))/2+MAX((1.45*h_rb)-(-0.75*h_rb),((2.3*s_r)-(-0.3*s_r))/1.55)*0.52</f>
        <v/>
      </c>
    </row>
    <row r="5">
      <c r="D5">
        <f>IF(inputs_ok,L_rb,NA())</f>
        <v/>
      </c>
      <c r="E5">
        <f>h_rb</f>
        <v/>
      </c>
      <c r="J5">
        <f>IF(inputs_ok,0+0.05*L_rb,NA())</f>
        <v/>
      </c>
      <c r="K5">
        <f>-0.05*L_rb</f>
        <v/>
      </c>
      <c r="M5">
        <f>IF(inputs_ok,L_rb+0.05*L_rb,NA())</f>
        <v/>
      </c>
      <c r="N5">
        <f>-0.05*L_rb</f>
        <v/>
      </c>
      <c r="AZ5">
        <f>IF(inputs_ok,0.041667*L_rb,NA())</f>
        <v/>
      </c>
      <c r="BA5">
        <f>(-0.35*L_rb)-(0.22*L_rb/MAX(M_sp,M_su,0.001))*(-M_lt*0.878472+M_sp*0.159722-M_rt*-0.038194)</f>
        <v/>
      </c>
      <c r="CA5">
        <f>IF(inputs_ok,(2*s_r),NA())</f>
        <v/>
      </c>
      <c r="CB5">
        <f>h_rb-h_f</f>
        <v/>
      </c>
      <c r="CG5">
        <f>IF(inputs_ok,IF(phi_w&gt;0,0.5*s_r+b_w/2-(c_nom+phi_w/2),NA()),NA())</f>
        <v/>
      </c>
      <c r="CH5">
        <f>IF(phi_w&gt;0,h_rb-c_nom-MAX(2*phi_m,phi_w)+phi_w/2,NA())</f>
        <v/>
      </c>
      <c r="CJ5">
        <f>IF(inputs_ok,IF(0&lt;n_b,(IF(n_b=1,0.5*s_r,0.5*s_r-b_w/2+c_nom+phi_w+phi_b/2+0*(b_w-2*c_nom-2*phi_w-phi_b)/MAX(n_b-1,1)))+(phi_b/2)*0.309017,NA()),NA())</f>
        <v/>
      </c>
      <c r="CK5">
        <f>IF(0&lt;n_b,(h_rb-d_b)+(phi_b/2)*0.951057,NA())</f>
        <v/>
      </c>
      <c r="CM5">
        <f>IF(inputs_ok,IF(1&lt;n_b,(IF(n_b=1,0.5*s_r,0.5*s_r-b_w/2+c_nom+phi_w+phi_b/2+1*(b_w-2*c_nom-2*phi_w-phi_b)/MAX(n_b-1,1)))+(phi_b/2)*0.309017,NA()),NA())</f>
        <v/>
      </c>
      <c r="CN5">
        <f>IF(1&lt;n_b,(h_rb-d_b)+(phi_b/2)*0.951057,NA())</f>
        <v/>
      </c>
      <c r="CP5">
        <f>IF(inputs_ok,IF(2&lt;n_b,(IF(n_b=1,0.5*s_r,0.5*s_r-b_w/2+c_nom+phi_w+phi_b/2+2*(b_w-2*c_nom-2*phi_w-phi_b)/MAX(n_b-1,1)))+(phi_b/2)*0.309017,NA()),NA())</f>
        <v/>
      </c>
      <c r="CQ5">
        <f>IF(2&lt;n_b,(h_rb-d_b)+(phi_b/2)*0.951057,NA())</f>
        <v/>
      </c>
      <c r="CS5">
        <f>IF(inputs_ok,IF(0&lt;n_t,(0.5*s_r+(0-(n_t-1)/2)*beff_h/n_t)+(phi_t/2)*0.309017,NA()),NA())</f>
        <v/>
      </c>
      <c r="CT5">
        <f>IF(0&lt;n_t,(d_t)+(phi_t/2)*0.951057,NA())</f>
        <v/>
      </c>
      <c r="CV5">
        <f>IF(inputs_ok,IF(1&lt;n_t,(0.5*s_r+(1-(n_t-1)/2)*beff_h/n_t)+(phi_t/2)*0.309017,NA()),NA())</f>
        <v/>
      </c>
      <c r="CW5">
        <f>IF(1&lt;n_t,(d_t)+(phi_t/2)*0.951057,NA())</f>
        <v/>
      </c>
      <c r="CY5">
        <f>IF(inputs_ok,IF(2&lt;n_t,(0.5*s_r+(2-(n_t-1)/2)*beff_h/n_t)+(phi_t/2)*0.309017,NA()),NA())</f>
        <v/>
      </c>
      <c r="CZ5">
        <f>IF(2&lt;n_t,(d_t)+(phi_t/2)*0.951057,NA())</f>
        <v/>
      </c>
      <c r="DB5">
        <f>IF(inputs_ok,IF(3&lt;n_t,(0.5*s_r+(3-(n_t-1)/2)*beff_h/n_t)+(phi_t/2)*0.309017,NA()),NA())</f>
        <v/>
      </c>
      <c r="DC5">
        <f>IF(3&lt;n_t,(d_t)+(phi_t/2)*0.951057,NA())</f>
        <v/>
      </c>
      <c r="DE5">
        <f>IF(inputs_ok,IF(phi_w&gt;0,1.5*s_r+b_w/2-(c_nom+phi_w/2),NA()),NA())</f>
        <v/>
      </c>
      <c r="DF5">
        <f>IF(phi_w&gt;0,h_rb-c_nom-MAX(2*phi_m,phi_w)+phi_w/2,NA())</f>
        <v/>
      </c>
      <c r="DH5">
        <f>IF(inputs_ok,IF(0&lt;n_b,(IF(n_b=1,1.5*s_r,1.5*s_r-b_w/2+c_nom+phi_w+phi_b/2+0*(b_w-2*c_nom-2*phi_w-phi_b)/MAX(n_b-1,1)))+(phi_b/2)*0.309017,NA()),NA())</f>
        <v/>
      </c>
      <c r="DI5">
        <f>IF(0&lt;n_b,(h_rb-d_b)+(phi_b/2)*0.951057,NA())</f>
        <v/>
      </c>
      <c r="DK5">
        <f>IF(inputs_ok,IF(1&lt;n_b,(IF(n_b=1,1.5*s_r,1.5*s_r-b_w/2+c_nom+phi_w+phi_b/2+1*(b_w-2*c_nom-2*phi_w-phi_b)/MAX(n_b-1,1)))+(phi_b/2)*0.309017,NA()),NA())</f>
        <v/>
      </c>
      <c r="DL5">
        <f>IF(1&lt;n_b,(h_rb-d_b)+(phi_b/2)*0.951057,NA())</f>
        <v/>
      </c>
      <c r="DN5">
        <f>IF(inputs_ok,IF(2&lt;n_b,(IF(n_b=1,1.5*s_r,1.5*s_r-b_w/2+c_nom+phi_w+phi_b/2+2*(b_w-2*c_nom-2*phi_w-phi_b)/MAX(n_b-1,1)))+(phi_b/2)*0.309017,NA()),NA())</f>
        <v/>
      </c>
      <c r="DO5">
        <f>IF(2&lt;n_b,(h_rb-d_b)+(phi_b/2)*0.951057,NA())</f>
        <v/>
      </c>
      <c r="DQ5">
        <f>IF(inputs_ok,IF(0&lt;n_t,(1.5*s_r+(0-(n_t-1)/2)*beff_h/n_t)+(phi_t/2)*0.309017,NA()),NA())</f>
        <v/>
      </c>
      <c r="DR5">
        <f>IF(0&lt;n_t,(d_t)+(phi_t/2)*0.951057,NA())</f>
        <v/>
      </c>
      <c r="DT5">
        <f>IF(inputs_ok,IF(1&lt;n_t,(1.5*s_r+(1-(n_t-1)/2)*beff_h/n_t)+(phi_t/2)*0.309017,NA()),NA())</f>
        <v/>
      </c>
      <c r="DU5">
        <f>IF(1&lt;n_t,(d_t)+(phi_t/2)*0.951057,NA())</f>
        <v/>
      </c>
      <c r="DW5">
        <f>IF(inputs_ok,IF(2&lt;n_t,(1.5*s_r+(2-(n_t-1)/2)*beff_h/n_t)+(phi_t/2)*0.309017,NA()),NA())</f>
        <v/>
      </c>
      <c r="DX5">
        <f>IF(2&lt;n_t,(d_t)+(phi_t/2)*0.951057,NA())</f>
        <v/>
      </c>
      <c r="DZ5">
        <f>IF(inputs_ok,IF(3&lt;n_t,(1.5*s_r+(3-(n_t-1)/2)*beff_h/n_t)+(phi_t/2)*0.309017,NA()),NA())</f>
        <v/>
      </c>
      <c r="EA5">
        <f>IF(3&lt;n_t,(d_t)+(phi_t/2)*0.951057,NA())</f>
        <v/>
      </c>
    </row>
    <row r="6">
      <c r="D6">
        <f>IF(inputs_ok,0,NA())</f>
        <v/>
      </c>
      <c r="E6">
        <f>h_rb</f>
        <v/>
      </c>
      <c r="J6">
        <f>IF(inputs_ok,0-0.05*L_rb,NA())</f>
        <v/>
      </c>
      <c r="K6">
        <f>-0.05*L_rb</f>
        <v/>
      </c>
      <c r="M6">
        <f>IF(inputs_ok,L_rb-0.05*L_rb,NA())</f>
        <v/>
      </c>
      <c r="N6">
        <f>-0.05*L_rb</f>
        <v/>
      </c>
      <c r="AZ6">
        <f>IF(inputs_ok,0.083333*L_rb,NA())</f>
        <v/>
      </c>
      <c r="BA6">
        <f>(-0.35*L_rb)-(0.22*L_rb/MAX(M_sp,M_su,0.001))*(-M_lt*0.763889+M_sp*0.305556-M_rt*-0.069444)</f>
        <v/>
      </c>
      <c r="CA6">
        <f>IF(inputs_ok,1.5*s_r+b_w/2,NA())</f>
        <v/>
      </c>
      <c r="CB6">
        <f>h_rb-h_f</f>
        <v/>
      </c>
      <c r="CG6">
        <f>IF(inputs_ok,IF(phi_w&gt;0,0.5*s_r-b_w/2+(c_nom+phi_w/2),NA()),NA())</f>
        <v/>
      </c>
      <c r="CH6">
        <f>IF(phi_w&gt;0,h_rb-c_nom-MAX(2*phi_m,phi_w)+phi_w/2,NA())</f>
        <v/>
      </c>
      <c r="CJ6">
        <f>IF(inputs_ok,IF(0&lt;n_b,(IF(n_b=1,0.5*s_r,0.5*s_r-b_w/2+c_nom+phi_w+phi_b/2+0*(b_w-2*c_nom-2*phi_w-phi_b)/MAX(n_b-1,1)))+(phi_b/2)*-0.309017,NA()),NA())</f>
        <v/>
      </c>
      <c r="CK6">
        <f>IF(0&lt;n_b,(h_rb-d_b)+(phi_b/2)*0.951057,NA())</f>
        <v/>
      </c>
      <c r="CM6">
        <f>IF(inputs_ok,IF(1&lt;n_b,(IF(n_b=1,0.5*s_r,0.5*s_r-b_w/2+c_nom+phi_w+phi_b/2+1*(b_w-2*c_nom-2*phi_w-phi_b)/MAX(n_b-1,1)))+(phi_b/2)*-0.309017,NA()),NA())</f>
        <v/>
      </c>
      <c r="CN6">
        <f>IF(1&lt;n_b,(h_rb-d_b)+(phi_b/2)*0.951057,NA())</f>
        <v/>
      </c>
      <c r="CP6">
        <f>IF(inputs_ok,IF(2&lt;n_b,(IF(n_b=1,0.5*s_r,0.5*s_r-b_w/2+c_nom+phi_w+phi_b/2+2*(b_w-2*c_nom-2*phi_w-phi_b)/MAX(n_b-1,1)))+(phi_b/2)*-0.309017,NA()),NA())</f>
        <v/>
      </c>
      <c r="CQ6">
        <f>IF(2&lt;n_b,(h_rb-d_b)+(phi_b/2)*0.951057,NA())</f>
        <v/>
      </c>
      <c r="CS6">
        <f>IF(inputs_ok,IF(0&lt;n_t,(0.5*s_r+(0-(n_t-1)/2)*beff_h/n_t)+(phi_t/2)*-0.309017,NA()),NA())</f>
        <v/>
      </c>
      <c r="CT6">
        <f>IF(0&lt;n_t,(d_t)+(phi_t/2)*0.951057,NA())</f>
        <v/>
      </c>
      <c r="CV6">
        <f>IF(inputs_ok,IF(1&lt;n_t,(0.5*s_r+(1-(n_t-1)/2)*beff_h/n_t)+(phi_t/2)*-0.309017,NA()),NA())</f>
        <v/>
      </c>
      <c r="CW6">
        <f>IF(1&lt;n_t,(d_t)+(phi_t/2)*0.951057,NA())</f>
        <v/>
      </c>
      <c r="CY6">
        <f>IF(inputs_ok,IF(2&lt;n_t,(0.5*s_r+(2-(n_t-1)/2)*beff_h/n_t)+(phi_t/2)*-0.309017,NA()),NA())</f>
        <v/>
      </c>
      <c r="CZ6">
        <f>IF(2&lt;n_t,(d_t)+(phi_t/2)*0.951057,NA())</f>
        <v/>
      </c>
      <c r="DB6">
        <f>IF(inputs_ok,IF(3&lt;n_t,(0.5*s_r+(3-(n_t-1)/2)*beff_h/n_t)+(phi_t/2)*-0.309017,NA()),NA())</f>
        <v/>
      </c>
      <c r="DC6">
        <f>IF(3&lt;n_t,(d_t)+(phi_t/2)*0.951057,NA())</f>
        <v/>
      </c>
      <c r="DE6">
        <f>IF(inputs_ok,IF(phi_w&gt;0,1.5*s_r-b_w/2+(c_nom+phi_w/2),NA()),NA())</f>
        <v/>
      </c>
      <c r="DF6">
        <f>IF(phi_w&gt;0,h_rb-c_nom-MAX(2*phi_m,phi_w)+phi_w/2,NA())</f>
        <v/>
      </c>
      <c r="DH6">
        <f>IF(inputs_ok,IF(0&lt;n_b,(IF(n_b=1,1.5*s_r,1.5*s_r-b_w/2+c_nom+phi_w+phi_b/2+0*(b_w-2*c_nom-2*phi_w-phi_b)/MAX(n_b-1,1)))+(phi_b/2)*-0.309017,NA()),NA())</f>
        <v/>
      </c>
      <c r="DI6">
        <f>IF(0&lt;n_b,(h_rb-d_b)+(phi_b/2)*0.951057,NA())</f>
        <v/>
      </c>
      <c r="DK6">
        <f>IF(inputs_ok,IF(1&lt;n_b,(IF(n_b=1,1.5*s_r,1.5*s_r-b_w/2+c_nom+phi_w+phi_b/2+1*(b_w-2*c_nom-2*phi_w-phi_b)/MAX(n_b-1,1)))+(phi_b/2)*-0.309017,NA()),NA())</f>
        <v/>
      </c>
      <c r="DL6">
        <f>IF(1&lt;n_b,(h_rb-d_b)+(phi_b/2)*0.951057,NA())</f>
        <v/>
      </c>
      <c r="DN6">
        <f>IF(inputs_ok,IF(2&lt;n_b,(IF(n_b=1,1.5*s_r,1.5*s_r-b_w/2+c_nom+phi_w+phi_b/2+2*(b_w-2*c_nom-2*phi_w-phi_b)/MAX(n_b-1,1)))+(phi_b/2)*-0.309017,NA()),NA())</f>
        <v/>
      </c>
      <c r="DO6">
        <f>IF(2&lt;n_b,(h_rb-d_b)+(phi_b/2)*0.951057,NA())</f>
        <v/>
      </c>
      <c r="DQ6">
        <f>IF(inputs_ok,IF(0&lt;n_t,(1.5*s_r+(0-(n_t-1)/2)*beff_h/n_t)+(phi_t/2)*-0.309017,NA()),NA())</f>
        <v/>
      </c>
      <c r="DR6">
        <f>IF(0&lt;n_t,(d_t)+(phi_t/2)*0.951057,NA())</f>
        <v/>
      </c>
      <c r="DT6">
        <f>IF(inputs_ok,IF(1&lt;n_t,(1.5*s_r+(1-(n_t-1)/2)*beff_h/n_t)+(phi_t/2)*-0.309017,NA()),NA())</f>
        <v/>
      </c>
      <c r="DU6">
        <f>IF(1&lt;n_t,(d_t)+(phi_t/2)*0.951057,NA())</f>
        <v/>
      </c>
      <c r="DW6">
        <f>IF(inputs_ok,IF(2&lt;n_t,(1.5*s_r+(2-(n_t-1)/2)*beff_h/n_t)+(phi_t/2)*-0.309017,NA()),NA())</f>
        <v/>
      </c>
      <c r="DX6">
        <f>IF(2&lt;n_t,(d_t)+(phi_t/2)*0.951057,NA())</f>
        <v/>
      </c>
      <c r="DZ6">
        <f>IF(inputs_ok,IF(3&lt;n_t,(1.5*s_r+(3-(n_t-1)/2)*beff_h/n_t)+(phi_t/2)*-0.309017,NA()),NA())</f>
        <v/>
      </c>
      <c r="EA6">
        <f>IF(3&lt;n_t,(d_t)+(phi_t/2)*0.951057,NA())</f>
        <v/>
      </c>
    </row>
    <row r="7">
      <c r="D7">
        <f>IF(inputs_ok,0,NA())</f>
        <v/>
      </c>
      <c r="E7">
        <f>0</f>
        <v/>
      </c>
      <c r="AZ7">
        <f>IF(inputs_ok,0.125000*L_rb,NA())</f>
        <v/>
      </c>
      <c r="BA7">
        <f>(-0.35*L_rb)-(0.22*L_rb/MAX(M_sp,M_su,0.001))*(-M_lt*0.656250+M_sp*0.437500-M_rt*-0.093750)</f>
        <v/>
      </c>
      <c r="CA7">
        <f>IF(inputs_ok,1.5*s_r+b_w/2,NA())</f>
        <v/>
      </c>
      <c r="CB7">
        <f>0</f>
        <v/>
      </c>
      <c r="CG7">
        <f>IF(inputs_ok,IF(phi_w&gt;0,0.5*s_r-b_w/2+(c_nom+phi_w/2),NA()),NA())</f>
        <v/>
      </c>
      <c r="CH7">
        <f>IF(phi_w&gt;0,(c_nom+phi_w/2),NA())</f>
        <v/>
      </c>
      <c r="CJ7">
        <f>IF(inputs_ok,IF(0&lt;n_b,(IF(n_b=1,0.5*s_r,0.5*s_r-b_w/2+c_nom+phi_w+phi_b/2+0*(b_w-2*c_nom-2*phi_w-phi_b)/MAX(n_b-1,1)))+(phi_b/2)*-0.809017,NA()),NA())</f>
        <v/>
      </c>
      <c r="CK7">
        <f>IF(0&lt;n_b,(h_rb-d_b)+(phi_b/2)*0.587785,NA())</f>
        <v/>
      </c>
      <c r="CM7">
        <f>IF(inputs_ok,IF(1&lt;n_b,(IF(n_b=1,0.5*s_r,0.5*s_r-b_w/2+c_nom+phi_w+phi_b/2+1*(b_w-2*c_nom-2*phi_w-phi_b)/MAX(n_b-1,1)))+(phi_b/2)*-0.809017,NA()),NA())</f>
        <v/>
      </c>
      <c r="CN7">
        <f>IF(1&lt;n_b,(h_rb-d_b)+(phi_b/2)*0.587785,NA())</f>
        <v/>
      </c>
      <c r="CP7">
        <f>IF(inputs_ok,IF(2&lt;n_b,(IF(n_b=1,0.5*s_r,0.5*s_r-b_w/2+c_nom+phi_w+phi_b/2+2*(b_w-2*c_nom-2*phi_w-phi_b)/MAX(n_b-1,1)))+(phi_b/2)*-0.809017,NA()),NA())</f>
        <v/>
      </c>
      <c r="CQ7">
        <f>IF(2&lt;n_b,(h_rb-d_b)+(phi_b/2)*0.587785,NA())</f>
        <v/>
      </c>
      <c r="CS7">
        <f>IF(inputs_ok,IF(0&lt;n_t,(0.5*s_r+(0-(n_t-1)/2)*beff_h/n_t)+(phi_t/2)*-0.809017,NA()),NA())</f>
        <v/>
      </c>
      <c r="CT7">
        <f>IF(0&lt;n_t,(d_t)+(phi_t/2)*0.587785,NA())</f>
        <v/>
      </c>
      <c r="CV7">
        <f>IF(inputs_ok,IF(1&lt;n_t,(0.5*s_r+(1-(n_t-1)/2)*beff_h/n_t)+(phi_t/2)*-0.809017,NA()),NA())</f>
        <v/>
      </c>
      <c r="CW7">
        <f>IF(1&lt;n_t,(d_t)+(phi_t/2)*0.587785,NA())</f>
        <v/>
      </c>
      <c r="CY7">
        <f>IF(inputs_ok,IF(2&lt;n_t,(0.5*s_r+(2-(n_t-1)/2)*beff_h/n_t)+(phi_t/2)*-0.809017,NA()),NA())</f>
        <v/>
      </c>
      <c r="CZ7">
        <f>IF(2&lt;n_t,(d_t)+(phi_t/2)*0.587785,NA())</f>
        <v/>
      </c>
      <c r="DB7">
        <f>IF(inputs_ok,IF(3&lt;n_t,(0.5*s_r+(3-(n_t-1)/2)*beff_h/n_t)+(phi_t/2)*-0.809017,NA()),NA())</f>
        <v/>
      </c>
      <c r="DC7">
        <f>IF(3&lt;n_t,(d_t)+(phi_t/2)*0.587785,NA())</f>
        <v/>
      </c>
      <c r="DE7">
        <f>IF(inputs_ok,IF(phi_w&gt;0,1.5*s_r-b_w/2+(c_nom+phi_w/2),NA()),NA())</f>
        <v/>
      </c>
      <c r="DF7">
        <f>IF(phi_w&gt;0,(c_nom+phi_w/2),NA())</f>
        <v/>
      </c>
      <c r="DH7">
        <f>IF(inputs_ok,IF(0&lt;n_b,(IF(n_b=1,1.5*s_r,1.5*s_r-b_w/2+c_nom+phi_w+phi_b/2+0*(b_w-2*c_nom-2*phi_w-phi_b)/MAX(n_b-1,1)))+(phi_b/2)*-0.809017,NA()),NA())</f>
        <v/>
      </c>
      <c r="DI7">
        <f>IF(0&lt;n_b,(h_rb-d_b)+(phi_b/2)*0.587785,NA())</f>
        <v/>
      </c>
      <c r="DK7">
        <f>IF(inputs_ok,IF(1&lt;n_b,(IF(n_b=1,1.5*s_r,1.5*s_r-b_w/2+c_nom+phi_w+phi_b/2+1*(b_w-2*c_nom-2*phi_w-phi_b)/MAX(n_b-1,1)))+(phi_b/2)*-0.809017,NA()),NA())</f>
        <v/>
      </c>
      <c r="DL7">
        <f>IF(1&lt;n_b,(h_rb-d_b)+(phi_b/2)*0.587785,NA())</f>
        <v/>
      </c>
      <c r="DN7">
        <f>IF(inputs_ok,IF(2&lt;n_b,(IF(n_b=1,1.5*s_r,1.5*s_r-b_w/2+c_nom+phi_w+phi_b/2+2*(b_w-2*c_nom-2*phi_w-phi_b)/MAX(n_b-1,1)))+(phi_b/2)*-0.809017,NA()),NA())</f>
        <v/>
      </c>
      <c r="DO7">
        <f>IF(2&lt;n_b,(h_rb-d_b)+(phi_b/2)*0.587785,NA())</f>
        <v/>
      </c>
      <c r="DQ7">
        <f>IF(inputs_ok,IF(0&lt;n_t,(1.5*s_r+(0-(n_t-1)/2)*beff_h/n_t)+(phi_t/2)*-0.809017,NA()),NA())</f>
        <v/>
      </c>
      <c r="DR7">
        <f>IF(0&lt;n_t,(d_t)+(phi_t/2)*0.587785,NA())</f>
        <v/>
      </c>
      <c r="DT7">
        <f>IF(inputs_ok,IF(1&lt;n_t,(1.5*s_r+(1-(n_t-1)/2)*beff_h/n_t)+(phi_t/2)*-0.809017,NA()),NA())</f>
        <v/>
      </c>
      <c r="DU7">
        <f>IF(1&lt;n_t,(d_t)+(phi_t/2)*0.587785,NA())</f>
        <v/>
      </c>
      <c r="DW7">
        <f>IF(inputs_ok,IF(2&lt;n_t,(1.5*s_r+(2-(n_t-1)/2)*beff_h/n_t)+(phi_t/2)*-0.809017,NA()),NA())</f>
        <v/>
      </c>
      <c r="DX7">
        <f>IF(2&lt;n_t,(d_t)+(phi_t/2)*0.587785,NA())</f>
        <v/>
      </c>
      <c r="DZ7">
        <f>IF(inputs_ok,IF(3&lt;n_t,(1.5*s_r+(3-(n_t-1)/2)*beff_h/n_t)+(phi_t/2)*-0.809017,NA()),NA())</f>
        <v/>
      </c>
      <c r="EA7">
        <f>IF(3&lt;n_t,(d_t)+(phi_t/2)*0.587785,NA())</f>
        <v/>
      </c>
    </row>
    <row r="8">
      <c r="AZ8">
        <f>IF(inputs_ok,0.166667*L_rb,NA())</f>
        <v/>
      </c>
      <c r="BA8">
        <f>(-0.35*L_rb)-(0.22*L_rb/MAX(M_sp,M_su,0.001))*(-M_lt*0.555556+M_sp*0.555556-M_rt*-0.111111)</f>
        <v/>
      </c>
      <c r="CA8">
        <f>IF(inputs_ok,1.5*s_r-b_w/2,NA())</f>
        <v/>
      </c>
      <c r="CB8">
        <f>0</f>
        <v/>
      </c>
      <c r="CJ8">
        <f>IF(inputs_ok,IF(0&lt;n_b,(IF(n_b=1,0.5*s_r,0.5*s_r-b_w/2+c_nom+phi_w+phi_b/2+0*(b_w-2*c_nom-2*phi_w-phi_b)/MAX(n_b-1,1)))+(phi_b/2)*-1.000000,NA()),NA())</f>
        <v/>
      </c>
      <c r="CK8">
        <f>IF(0&lt;n_b,(h_rb-d_b)+(phi_b/2)*0.000000,NA())</f>
        <v/>
      </c>
      <c r="CM8">
        <f>IF(inputs_ok,IF(1&lt;n_b,(IF(n_b=1,0.5*s_r,0.5*s_r-b_w/2+c_nom+phi_w+phi_b/2+1*(b_w-2*c_nom-2*phi_w-phi_b)/MAX(n_b-1,1)))+(phi_b/2)*-1.000000,NA()),NA())</f>
        <v/>
      </c>
      <c r="CN8">
        <f>IF(1&lt;n_b,(h_rb-d_b)+(phi_b/2)*0.000000,NA())</f>
        <v/>
      </c>
      <c r="CP8">
        <f>IF(inputs_ok,IF(2&lt;n_b,(IF(n_b=1,0.5*s_r,0.5*s_r-b_w/2+c_nom+phi_w+phi_b/2+2*(b_w-2*c_nom-2*phi_w-phi_b)/MAX(n_b-1,1)))+(phi_b/2)*-1.000000,NA()),NA())</f>
        <v/>
      </c>
      <c r="CQ8">
        <f>IF(2&lt;n_b,(h_rb-d_b)+(phi_b/2)*0.000000,NA())</f>
        <v/>
      </c>
      <c r="CS8">
        <f>IF(inputs_ok,IF(0&lt;n_t,(0.5*s_r+(0-(n_t-1)/2)*beff_h/n_t)+(phi_t/2)*-1.000000,NA()),NA())</f>
        <v/>
      </c>
      <c r="CT8">
        <f>IF(0&lt;n_t,(d_t)+(phi_t/2)*0.000000,NA())</f>
        <v/>
      </c>
      <c r="CV8">
        <f>IF(inputs_ok,IF(1&lt;n_t,(0.5*s_r+(1-(n_t-1)/2)*beff_h/n_t)+(phi_t/2)*-1.000000,NA()),NA())</f>
        <v/>
      </c>
      <c r="CW8">
        <f>IF(1&lt;n_t,(d_t)+(phi_t/2)*0.000000,NA())</f>
        <v/>
      </c>
      <c r="CY8">
        <f>IF(inputs_ok,IF(2&lt;n_t,(0.5*s_r+(2-(n_t-1)/2)*beff_h/n_t)+(phi_t/2)*-1.000000,NA()),NA())</f>
        <v/>
      </c>
      <c r="CZ8">
        <f>IF(2&lt;n_t,(d_t)+(phi_t/2)*0.000000,NA())</f>
        <v/>
      </c>
      <c r="DB8">
        <f>IF(inputs_ok,IF(3&lt;n_t,(0.5*s_r+(3-(n_t-1)/2)*beff_h/n_t)+(phi_t/2)*-1.000000,NA()),NA())</f>
        <v/>
      </c>
      <c r="DC8">
        <f>IF(3&lt;n_t,(d_t)+(phi_t/2)*0.000000,NA())</f>
        <v/>
      </c>
      <c r="DH8">
        <f>IF(inputs_ok,IF(0&lt;n_b,(IF(n_b=1,1.5*s_r,1.5*s_r-b_w/2+c_nom+phi_w+phi_b/2+0*(b_w-2*c_nom-2*phi_w-phi_b)/MAX(n_b-1,1)))+(phi_b/2)*-1.000000,NA()),NA())</f>
        <v/>
      </c>
      <c r="DI8">
        <f>IF(0&lt;n_b,(h_rb-d_b)+(phi_b/2)*0.000000,NA())</f>
        <v/>
      </c>
      <c r="DK8">
        <f>IF(inputs_ok,IF(1&lt;n_b,(IF(n_b=1,1.5*s_r,1.5*s_r-b_w/2+c_nom+phi_w+phi_b/2+1*(b_w-2*c_nom-2*phi_w-phi_b)/MAX(n_b-1,1)))+(phi_b/2)*-1.000000,NA()),NA())</f>
        <v/>
      </c>
      <c r="DL8">
        <f>IF(1&lt;n_b,(h_rb-d_b)+(phi_b/2)*0.000000,NA())</f>
        <v/>
      </c>
      <c r="DN8">
        <f>IF(inputs_ok,IF(2&lt;n_b,(IF(n_b=1,1.5*s_r,1.5*s_r-b_w/2+c_nom+phi_w+phi_b/2+2*(b_w-2*c_nom-2*phi_w-phi_b)/MAX(n_b-1,1)))+(phi_b/2)*-1.000000,NA()),NA())</f>
        <v/>
      </c>
      <c r="DO8">
        <f>IF(2&lt;n_b,(h_rb-d_b)+(phi_b/2)*0.000000,NA())</f>
        <v/>
      </c>
      <c r="DQ8">
        <f>IF(inputs_ok,IF(0&lt;n_t,(1.5*s_r+(0-(n_t-1)/2)*beff_h/n_t)+(phi_t/2)*-1.000000,NA()),NA())</f>
        <v/>
      </c>
      <c r="DR8">
        <f>IF(0&lt;n_t,(d_t)+(phi_t/2)*0.000000,NA())</f>
        <v/>
      </c>
      <c r="DT8">
        <f>IF(inputs_ok,IF(1&lt;n_t,(1.5*s_r+(1-(n_t-1)/2)*beff_h/n_t)+(phi_t/2)*-1.000000,NA()),NA())</f>
        <v/>
      </c>
      <c r="DU8">
        <f>IF(1&lt;n_t,(d_t)+(phi_t/2)*0.000000,NA())</f>
        <v/>
      </c>
      <c r="DW8">
        <f>IF(inputs_ok,IF(2&lt;n_t,(1.5*s_r+(2-(n_t-1)/2)*beff_h/n_t)+(phi_t/2)*-1.000000,NA()),NA())</f>
        <v/>
      </c>
      <c r="DX8">
        <f>IF(2&lt;n_t,(d_t)+(phi_t/2)*0.000000,NA())</f>
        <v/>
      </c>
      <c r="DZ8">
        <f>IF(inputs_ok,IF(3&lt;n_t,(1.5*s_r+(3-(n_t-1)/2)*beff_h/n_t)+(phi_t/2)*-1.000000,NA()),NA())</f>
        <v/>
      </c>
      <c r="EA8">
        <f>IF(3&lt;n_t,(d_t)+(phi_t/2)*0.000000,NA())</f>
        <v/>
      </c>
    </row>
    <row r="9">
      <c r="AZ9">
        <f>IF(inputs_ok,0.208333*L_rb,NA())</f>
        <v/>
      </c>
      <c r="BA9">
        <f>(-0.35*L_rb)-(0.22*L_rb/MAX(M_sp,M_su,0.001))*(-M_lt*0.461806+M_sp*0.659722-M_rt*-0.121528)</f>
        <v/>
      </c>
      <c r="CA9">
        <f>IF(inputs_ok,1.5*s_r-b_w/2,NA())</f>
        <v/>
      </c>
      <c r="CB9">
        <f>h_rb-h_f</f>
        <v/>
      </c>
      <c r="CJ9">
        <f>IF(inputs_ok,IF(0&lt;n_b,(IF(n_b=1,0.5*s_r,0.5*s_r-b_w/2+c_nom+phi_w+phi_b/2+0*(b_w-2*c_nom-2*phi_w-phi_b)/MAX(n_b-1,1)))+(phi_b/2)*-0.809017,NA()),NA())</f>
        <v/>
      </c>
      <c r="CK9">
        <f>IF(0&lt;n_b,(h_rb-d_b)+(phi_b/2)*-0.587785,NA())</f>
        <v/>
      </c>
      <c r="CM9">
        <f>IF(inputs_ok,IF(1&lt;n_b,(IF(n_b=1,0.5*s_r,0.5*s_r-b_w/2+c_nom+phi_w+phi_b/2+1*(b_w-2*c_nom-2*phi_w-phi_b)/MAX(n_b-1,1)))+(phi_b/2)*-0.809017,NA()),NA())</f>
        <v/>
      </c>
      <c r="CN9">
        <f>IF(1&lt;n_b,(h_rb-d_b)+(phi_b/2)*-0.587785,NA())</f>
        <v/>
      </c>
      <c r="CP9">
        <f>IF(inputs_ok,IF(2&lt;n_b,(IF(n_b=1,0.5*s_r,0.5*s_r-b_w/2+c_nom+phi_w+phi_b/2+2*(b_w-2*c_nom-2*phi_w-phi_b)/MAX(n_b-1,1)))+(phi_b/2)*-0.809017,NA()),NA())</f>
        <v/>
      </c>
      <c r="CQ9">
        <f>IF(2&lt;n_b,(h_rb-d_b)+(phi_b/2)*-0.587785,NA())</f>
        <v/>
      </c>
      <c r="CS9">
        <f>IF(inputs_ok,IF(0&lt;n_t,(0.5*s_r+(0-(n_t-1)/2)*beff_h/n_t)+(phi_t/2)*-0.809017,NA()),NA())</f>
        <v/>
      </c>
      <c r="CT9">
        <f>IF(0&lt;n_t,(d_t)+(phi_t/2)*-0.587785,NA())</f>
        <v/>
      </c>
      <c r="CV9">
        <f>IF(inputs_ok,IF(1&lt;n_t,(0.5*s_r+(1-(n_t-1)/2)*beff_h/n_t)+(phi_t/2)*-0.809017,NA()),NA())</f>
        <v/>
      </c>
      <c r="CW9">
        <f>IF(1&lt;n_t,(d_t)+(phi_t/2)*-0.587785,NA())</f>
        <v/>
      </c>
      <c r="CY9">
        <f>IF(inputs_ok,IF(2&lt;n_t,(0.5*s_r+(2-(n_t-1)/2)*beff_h/n_t)+(phi_t/2)*-0.809017,NA()),NA())</f>
        <v/>
      </c>
      <c r="CZ9">
        <f>IF(2&lt;n_t,(d_t)+(phi_t/2)*-0.587785,NA())</f>
        <v/>
      </c>
      <c r="DB9">
        <f>IF(inputs_ok,IF(3&lt;n_t,(0.5*s_r+(3-(n_t-1)/2)*beff_h/n_t)+(phi_t/2)*-0.809017,NA()),NA())</f>
        <v/>
      </c>
      <c r="DC9">
        <f>IF(3&lt;n_t,(d_t)+(phi_t/2)*-0.587785,NA())</f>
        <v/>
      </c>
      <c r="DH9">
        <f>IF(inputs_ok,IF(0&lt;n_b,(IF(n_b=1,1.5*s_r,1.5*s_r-b_w/2+c_nom+phi_w+phi_b/2+0*(b_w-2*c_nom-2*phi_w-phi_b)/MAX(n_b-1,1)))+(phi_b/2)*-0.809017,NA()),NA())</f>
        <v/>
      </c>
      <c r="DI9">
        <f>IF(0&lt;n_b,(h_rb-d_b)+(phi_b/2)*-0.587785,NA())</f>
        <v/>
      </c>
      <c r="DK9">
        <f>IF(inputs_ok,IF(1&lt;n_b,(IF(n_b=1,1.5*s_r,1.5*s_r-b_w/2+c_nom+phi_w+phi_b/2+1*(b_w-2*c_nom-2*phi_w-phi_b)/MAX(n_b-1,1)))+(phi_b/2)*-0.809017,NA()),NA())</f>
        <v/>
      </c>
      <c r="DL9">
        <f>IF(1&lt;n_b,(h_rb-d_b)+(phi_b/2)*-0.587785,NA())</f>
        <v/>
      </c>
      <c r="DN9">
        <f>IF(inputs_ok,IF(2&lt;n_b,(IF(n_b=1,1.5*s_r,1.5*s_r-b_w/2+c_nom+phi_w+phi_b/2+2*(b_w-2*c_nom-2*phi_w-phi_b)/MAX(n_b-1,1)))+(phi_b/2)*-0.809017,NA()),NA())</f>
        <v/>
      </c>
      <c r="DO9">
        <f>IF(2&lt;n_b,(h_rb-d_b)+(phi_b/2)*-0.587785,NA())</f>
        <v/>
      </c>
      <c r="DQ9">
        <f>IF(inputs_ok,IF(0&lt;n_t,(1.5*s_r+(0-(n_t-1)/2)*beff_h/n_t)+(phi_t/2)*-0.809017,NA()),NA())</f>
        <v/>
      </c>
      <c r="DR9">
        <f>IF(0&lt;n_t,(d_t)+(phi_t/2)*-0.587785,NA())</f>
        <v/>
      </c>
      <c r="DT9">
        <f>IF(inputs_ok,IF(1&lt;n_t,(1.5*s_r+(1-(n_t-1)/2)*beff_h/n_t)+(phi_t/2)*-0.809017,NA()),NA())</f>
        <v/>
      </c>
      <c r="DU9">
        <f>IF(1&lt;n_t,(d_t)+(phi_t/2)*-0.587785,NA())</f>
        <v/>
      </c>
      <c r="DW9">
        <f>IF(inputs_ok,IF(2&lt;n_t,(1.5*s_r+(2-(n_t-1)/2)*beff_h/n_t)+(phi_t/2)*-0.809017,NA()),NA())</f>
        <v/>
      </c>
      <c r="DX9">
        <f>IF(2&lt;n_t,(d_t)+(phi_t/2)*-0.587785,NA())</f>
        <v/>
      </c>
      <c r="DZ9">
        <f>IF(inputs_ok,IF(3&lt;n_t,(1.5*s_r+(3-(n_t-1)/2)*beff_h/n_t)+(phi_t/2)*-0.809017,NA()),NA())</f>
        <v/>
      </c>
      <c r="EA9">
        <f>IF(3&lt;n_t,(d_t)+(phi_t/2)*-0.587785,NA())</f>
        <v/>
      </c>
    </row>
    <row r="10">
      <c r="AZ10">
        <f>IF(inputs_ok,0.250000*L_rb,NA())</f>
        <v/>
      </c>
      <c r="BA10">
        <f>(-0.35*L_rb)-(0.22*L_rb/MAX(M_sp,M_su,0.001))*(-M_lt*0.375000+M_sp*0.750000-M_rt*-0.125000)</f>
        <v/>
      </c>
      <c r="CA10">
        <f>IF(inputs_ok,0.5*s_r+b_w/2,NA())</f>
        <v/>
      </c>
      <c r="CB10">
        <f>h_rb-h_f</f>
        <v/>
      </c>
      <c r="CJ10">
        <f>IF(inputs_ok,IF(0&lt;n_b,(IF(n_b=1,0.5*s_r,0.5*s_r-b_w/2+c_nom+phi_w+phi_b/2+0*(b_w-2*c_nom-2*phi_w-phi_b)/MAX(n_b-1,1)))+(phi_b/2)*-0.309017,NA()),NA())</f>
        <v/>
      </c>
      <c r="CK10">
        <f>IF(0&lt;n_b,(h_rb-d_b)+(phi_b/2)*-0.951057,NA())</f>
        <v/>
      </c>
      <c r="CM10">
        <f>IF(inputs_ok,IF(1&lt;n_b,(IF(n_b=1,0.5*s_r,0.5*s_r-b_w/2+c_nom+phi_w+phi_b/2+1*(b_w-2*c_nom-2*phi_w-phi_b)/MAX(n_b-1,1)))+(phi_b/2)*-0.309017,NA()),NA())</f>
        <v/>
      </c>
      <c r="CN10">
        <f>IF(1&lt;n_b,(h_rb-d_b)+(phi_b/2)*-0.951057,NA())</f>
        <v/>
      </c>
      <c r="CP10">
        <f>IF(inputs_ok,IF(2&lt;n_b,(IF(n_b=1,0.5*s_r,0.5*s_r-b_w/2+c_nom+phi_w+phi_b/2+2*(b_w-2*c_nom-2*phi_w-phi_b)/MAX(n_b-1,1)))+(phi_b/2)*-0.309017,NA()),NA())</f>
        <v/>
      </c>
      <c r="CQ10">
        <f>IF(2&lt;n_b,(h_rb-d_b)+(phi_b/2)*-0.951057,NA())</f>
        <v/>
      </c>
      <c r="CS10">
        <f>IF(inputs_ok,IF(0&lt;n_t,(0.5*s_r+(0-(n_t-1)/2)*beff_h/n_t)+(phi_t/2)*-0.309017,NA()),NA())</f>
        <v/>
      </c>
      <c r="CT10">
        <f>IF(0&lt;n_t,(d_t)+(phi_t/2)*-0.951057,NA())</f>
        <v/>
      </c>
      <c r="CV10">
        <f>IF(inputs_ok,IF(1&lt;n_t,(0.5*s_r+(1-(n_t-1)/2)*beff_h/n_t)+(phi_t/2)*-0.309017,NA()),NA())</f>
        <v/>
      </c>
      <c r="CW10">
        <f>IF(1&lt;n_t,(d_t)+(phi_t/2)*-0.951057,NA())</f>
        <v/>
      </c>
      <c r="CY10">
        <f>IF(inputs_ok,IF(2&lt;n_t,(0.5*s_r+(2-(n_t-1)/2)*beff_h/n_t)+(phi_t/2)*-0.309017,NA()),NA())</f>
        <v/>
      </c>
      <c r="CZ10">
        <f>IF(2&lt;n_t,(d_t)+(phi_t/2)*-0.951057,NA())</f>
        <v/>
      </c>
      <c r="DB10">
        <f>IF(inputs_ok,IF(3&lt;n_t,(0.5*s_r+(3-(n_t-1)/2)*beff_h/n_t)+(phi_t/2)*-0.309017,NA()),NA())</f>
        <v/>
      </c>
      <c r="DC10">
        <f>IF(3&lt;n_t,(d_t)+(phi_t/2)*-0.951057,NA())</f>
        <v/>
      </c>
      <c r="DH10">
        <f>IF(inputs_ok,IF(0&lt;n_b,(IF(n_b=1,1.5*s_r,1.5*s_r-b_w/2+c_nom+phi_w+phi_b/2+0*(b_w-2*c_nom-2*phi_w-phi_b)/MAX(n_b-1,1)))+(phi_b/2)*-0.309017,NA()),NA())</f>
        <v/>
      </c>
      <c r="DI10">
        <f>IF(0&lt;n_b,(h_rb-d_b)+(phi_b/2)*-0.951057,NA())</f>
        <v/>
      </c>
      <c r="DK10">
        <f>IF(inputs_ok,IF(1&lt;n_b,(IF(n_b=1,1.5*s_r,1.5*s_r-b_w/2+c_nom+phi_w+phi_b/2+1*(b_w-2*c_nom-2*phi_w-phi_b)/MAX(n_b-1,1)))+(phi_b/2)*-0.309017,NA()),NA())</f>
        <v/>
      </c>
      <c r="DL10">
        <f>IF(1&lt;n_b,(h_rb-d_b)+(phi_b/2)*-0.951057,NA())</f>
        <v/>
      </c>
      <c r="DN10">
        <f>IF(inputs_ok,IF(2&lt;n_b,(IF(n_b=1,1.5*s_r,1.5*s_r-b_w/2+c_nom+phi_w+phi_b/2+2*(b_w-2*c_nom-2*phi_w-phi_b)/MAX(n_b-1,1)))+(phi_b/2)*-0.309017,NA()),NA())</f>
        <v/>
      </c>
      <c r="DO10">
        <f>IF(2&lt;n_b,(h_rb-d_b)+(phi_b/2)*-0.951057,NA())</f>
        <v/>
      </c>
      <c r="DQ10">
        <f>IF(inputs_ok,IF(0&lt;n_t,(1.5*s_r+(0-(n_t-1)/2)*beff_h/n_t)+(phi_t/2)*-0.309017,NA()),NA())</f>
        <v/>
      </c>
      <c r="DR10">
        <f>IF(0&lt;n_t,(d_t)+(phi_t/2)*-0.951057,NA())</f>
        <v/>
      </c>
      <c r="DT10">
        <f>IF(inputs_ok,IF(1&lt;n_t,(1.5*s_r+(1-(n_t-1)/2)*beff_h/n_t)+(phi_t/2)*-0.309017,NA()),NA())</f>
        <v/>
      </c>
      <c r="DU10">
        <f>IF(1&lt;n_t,(d_t)+(phi_t/2)*-0.951057,NA())</f>
        <v/>
      </c>
      <c r="DW10">
        <f>IF(inputs_ok,IF(2&lt;n_t,(1.5*s_r+(2-(n_t-1)/2)*beff_h/n_t)+(phi_t/2)*-0.309017,NA()),NA())</f>
        <v/>
      </c>
      <c r="DX10">
        <f>IF(2&lt;n_t,(d_t)+(phi_t/2)*-0.951057,NA())</f>
        <v/>
      </c>
      <c r="DZ10">
        <f>IF(inputs_ok,IF(3&lt;n_t,(1.5*s_r+(3-(n_t-1)/2)*beff_h/n_t)+(phi_t/2)*-0.309017,NA()),NA())</f>
        <v/>
      </c>
      <c r="EA10">
        <f>IF(3&lt;n_t,(d_t)+(phi_t/2)*-0.951057,NA())</f>
        <v/>
      </c>
    </row>
    <row r="11">
      <c r="AZ11">
        <f>IF(inputs_ok,0.291667*L_rb,NA())</f>
        <v/>
      </c>
      <c r="BA11">
        <f>(-0.35*L_rb)-(0.22*L_rb/MAX(M_sp,M_su,0.001))*(-M_lt*0.295139+M_sp*0.826389-M_rt*-0.121528)</f>
        <v/>
      </c>
      <c r="CA11">
        <f>IF(inputs_ok,0.5*s_r+b_w/2,NA())</f>
        <v/>
      </c>
      <c r="CB11">
        <f>0</f>
        <v/>
      </c>
      <c r="CJ11">
        <f>IF(inputs_ok,IF(0&lt;n_b,(IF(n_b=1,0.5*s_r,0.5*s_r-b_w/2+c_nom+phi_w+phi_b/2+0*(b_w-2*c_nom-2*phi_w-phi_b)/MAX(n_b-1,1)))+(phi_b/2)*0.309017,NA()),NA())</f>
        <v/>
      </c>
      <c r="CK11">
        <f>IF(0&lt;n_b,(h_rb-d_b)+(phi_b/2)*-0.951057,NA())</f>
        <v/>
      </c>
      <c r="CM11">
        <f>IF(inputs_ok,IF(1&lt;n_b,(IF(n_b=1,0.5*s_r,0.5*s_r-b_w/2+c_nom+phi_w+phi_b/2+1*(b_w-2*c_nom-2*phi_w-phi_b)/MAX(n_b-1,1)))+(phi_b/2)*0.309017,NA()),NA())</f>
        <v/>
      </c>
      <c r="CN11">
        <f>IF(1&lt;n_b,(h_rb-d_b)+(phi_b/2)*-0.951057,NA())</f>
        <v/>
      </c>
      <c r="CP11">
        <f>IF(inputs_ok,IF(2&lt;n_b,(IF(n_b=1,0.5*s_r,0.5*s_r-b_w/2+c_nom+phi_w+phi_b/2+2*(b_w-2*c_nom-2*phi_w-phi_b)/MAX(n_b-1,1)))+(phi_b/2)*0.309017,NA()),NA())</f>
        <v/>
      </c>
      <c r="CQ11">
        <f>IF(2&lt;n_b,(h_rb-d_b)+(phi_b/2)*-0.951057,NA())</f>
        <v/>
      </c>
      <c r="CS11">
        <f>IF(inputs_ok,IF(0&lt;n_t,(0.5*s_r+(0-(n_t-1)/2)*beff_h/n_t)+(phi_t/2)*0.309017,NA()),NA())</f>
        <v/>
      </c>
      <c r="CT11">
        <f>IF(0&lt;n_t,(d_t)+(phi_t/2)*-0.951057,NA())</f>
        <v/>
      </c>
      <c r="CV11">
        <f>IF(inputs_ok,IF(1&lt;n_t,(0.5*s_r+(1-(n_t-1)/2)*beff_h/n_t)+(phi_t/2)*0.309017,NA()),NA())</f>
        <v/>
      </c>
      <c r="CW11">
        <f>IF(1&lt;n_t,(d_t)+(phi_t/2)*-0.951057,NA())</f>
        <v/>
      </c>
      <c r="CY11">
        <f>IF(inputs_ok,IF(2&lt;n_t,(0.5*s_r+(2-(n_t-1)/2)*beff_h/n_t)+(phi_t/2)*0.309017,NA()),NA())</f>
        <v/>
      </c>
      <c r="CZ11">
        <f>IF(2&lt;n_t,(d_t)+(phi_t/2)*-0.951057,NA())</f>
        <v/>
      </c>
      <c r="DB11">
        <f>IF(inputs_ok,IF(3&lt;n_t,(0.5*s_r+(3-(n_t-1)/2)*beff_h/n_t)+(phi_t/2)*0.309017,NA()),NA())</f>
        <v/>
      </c>
      <c r="DC11">
        <f>IF(3&lt;n_t,(d_t)+(phi_t/2)*-0.951057,NA())</f>
        <v/>
      </c>
      <c r="DH11">
        <f>IF(inputs_ok,IF(0&lt;n_b,(IF(n_b=1,1.5*s_r,1.5*s_r-b_w/2+c_nom+phi_w+phi_b/2+0*(b_w-2*c_nom-2*phi_w-phi_b)/MAX(n_b-1,1)))+(phi_b/2)*0.309017,NA()),NA())</f>
        <v/>
      </c>
      <c r="DI11">
        <f>IF(0&lt;n_b,(h_rb-d_b)+(phi_b/2)*-0.951057,NA())</f>
        <v/>
      </c>
      <c r="DK11">
        <f>IF(inputs_ok,IF(1&lt;n_b,(IF(n_b=1,1.5*s_r,1.5*s_r-b_w/2+c_nom+phi_w+phi_b/2+1*(b_w-2*c_nom-2*phi_w-phi_b)/MAX(n_b-1,1)))+(phi_b/2)*0.309017,NA()),NA())</f>
        <v/>
      </c>
      <c r="DL11">
        <f>IF(1&lt;n_b,(h_rb-d_b)+(phi_b/2)*-0.951057,NA())</f>
        <v/>
      </c>
      <c r="DN11">
        <f>IF(inputs_ok,IF(2&lt;n_b,(IF(n_b=1,1.5*s_r,1.5*s_r-b_w/2+c_nom+phi_w+phi_b/2+2*(b_w-2*c_nom-2*phi_w-phi_b)/MAX(n_b-1,1)))+(phi_b/2)*0.309017,NA()),NA())</f>
        <v/>
      </c>
      <c r="DO11">
        <f>IF(2&lt;n_b,(h_rb-d_b)+(phi_b/2)*-0.951057,NA())</f>
        <v/>
      </c>
      <c r="DQ11">
        <f>IF(inputs_ok,IF(0&lt;n_t,(1.5*s_r+(0-(n_t-1)/2)*beff_h/n_t)+(phi_t/2)*0.309017,NA()),NA())</f>
        <v/>
      </c>
      <c r="DR11">
        <f>IF(0&lt;n_t,(d_t)+(phi_t/2)*-0.951057,NA())</f>
        <v/>
      </c>
      <c r="DT11">
        <f>IF(inputs_ok,IF(1&lt;n_t,(1.5*s_r+(1-(n_t-1)/2)*beff_h/n_t)+(phi_t/2)*0.309017,NA()),NA())</f>
        <v/>
      </c>
      <c r="DU11">
        <f>IF(1&lt;n_t,(d_t)+(phi_t/2)*-0.951057,NA())</f>
        <v/>
      </c>
      <c r="DW11">
        <f>IF(inputs_ok,IF(2&lt;n_t,(1.5*s_r+(2-(n_t-1)/2)*beff_h/n_t)+(phi_t/2)*0.309017,NA()),NA())</f>
        <v/>
      </c>
      <c r="DX11">
        <f>IF(2&lt;n_t,(d_t)+(phi_t/2)*-0.951057,NA())</f>
        <v/>
      </c>
      <c r="DZ11">
        <f>IF(inputs_ok,IF(3&lt;n_t,(1.5*s_r+(3-(n_t-1)/2)*beff_h/n_t)+(phi_t/2)*0.309017,NA()),NA())</f>
        <v/>
      </c>
      <c r="EA11">
        <f>IF(3&lt;n_t,(d_t)+(phi_t/2)*-0.951057,NA())</f>
        <v/>
      </c>
    </row>
    <row r="12">
      <c r="AZ12">
        <f>IF(inputs_ok,0.333333*L_rb,NA())</f>
        <v/>
      </c>
      <c r="BA12">
        <f>(-0.35*L_rb)-(0.22*L_rb/MAX(M_sp,M_su,0.001))*(-M_lt*0.222222+M_sp*0.888889-M_rt*-0.111111)</f>
        <v/>
      </c>
      <c r="CA12">
        <f>IF(inputs_ok,0.5*s_r-b_w/2,NA())</f>
        <v/>
      </c>
      <c r="CB12">
        <f>0</f>
        <v/>
      </c>
      <c r="CJ12">
        <f>IF(inputs_ok,IF(0&lt;n_b,(IF(n_b=1,0.5*s_r,0.5*s_r-b_w/2+c_nom+phi_w+phi_b/2+0*(b_w-2*c_nom-2*phi_w-phi_b)/MAX(n_b-1,1)))+(phi_b/2)*0.809017,NA()),NA())</f>
        <v/>
      </c>
      <c r="CK12">
        <f>IF(0&lt;n_b,(h_rb-d_b)+(phi_b/2)*-0.587785,NA())</f>
        <v/>
      </c>
      <c r="CM12">
        <f>IF(inputs_ok,IF(1&lt;n_b,(IF(n_b=1,0.5*s_r,0.5*s_r-b_w/2+c_nom+phi_w+phi_b/2+1*(b_w-2*c_nom-2*phi_w-phi_b)/MAX(n_b-1,1)))+(phi_b/2)*0.809017,NA()),NA())</f>
        <v/>
      </c>
      <c r="CN12">
        <f>IF(1&lt;n_b,(h_rb-d_b)+(phi_b/2)*-0.587785,NA())</f>
        <v/>
      </c>
      <c r="CP12">
        <f>IF(inputs_ok,IF(2&lt;n_b,(IF(n_b=1,0.5*s_r,0.5*s_r-b_w/2+c_nom+phi_w+phi_b/2+2*(b_w-2*c_nom-2*phi_w-phi_b)/MAX(n_b-1,1)))+(phi_b/2)*0.809017,NA()),NA())</f>
        <v/>
      </c>
      <c r="CQ12">
        <f>IF(2&lt;n_b,(h_rb-d_b)+(phi_b/2)*-0.587785,NA())</f>
        <v/>
      </c>
      <c r="CS12">
        <f>IF(inputs_ok,IF(0&lt;n_t,(0.5*s_r+(0-(n_t-1)/2)*beff_h/n_t)+(phi_t/2)*0.809017,NA()),NA())</f>
        <v/>
      </c>
      <c r="CT12">
        <f>IF(0&lt;n_t,(d_t)+(phi_t/2)*-0.587785,NA())</f>
        <v/>
      </c>
      <c r="CV12">
        <f>IF(inputs_ok,IF(1&lt;n_t,(0.5*s_r+(1-(n_t-1)/2)*beff_h/n_t)+(phi_t/2)*0.809017,NA()),NA())</f>
        <v/>
      </c>
      <c r="CW12">
        <f>IF(1&lt;n_t,(d_t)+(phi_t/2)*-0.587785,NA())</f>
        <v/>
      </c>
      <c r="CY12">
        <f>IF(inputs_ok,IF(2&lt;n_t,(0.5*s_r+(2-(n_t-1)/2)*beff_h/n_t)+(phi_t/2)*0.809017,NA()),NA())</f>
        <v/>
      </c>
      <c r="CZ12">
        <f>IF(2&lt;n_t,(d_t)+(phi_t/2)*-0.587785,NA())</f>
        <v/>
      </c>
      <c r="DB12">
        <f>IF(inputs_ok,IF(3&lt;n_t,(0.5*s_r+(3-(n_t-1)/2)*beff_h/n_t)+(phi_t/2)*0.809017,NA()),NA())</f>
        <v/>
      </c>
      <c r="DC12">
        <f>IF(3&lt;n_t,(d_t)+(phi_t/2)*-0.587785,NA())</f>
        <v/>
      </c>
      <c r="DH12">
        <f>IF(inputs_ok,IF(0&lt;n_b,(IF(n_b=1,1.5*s_r,1.5*s_r-b_w/2+c_nom+phi_w+phi_b/2+0*(b_w-2*c_nom-2*phi_w-phi_b)/MAX(n_b-1,1)))+(phi_b/2)*0.809017,NA()),NA())</f>
        <v/>
      </c>
      <c r="DI12">
        <f>IF(0&lt;n_b,(h_rb-d_b)+(phi_b/2)*-0.587785,NA())</f>
        <v/>
      </c>
      <c r="DK12">
        <f>IF(inputs_ok,IF(1&lt;n_b,(IF(n_b=1,1.5*s_r,1.5*s_r-b_w/2+c_nom+phi_w+phi_b/2+1*(b_w-2*c_nom-2*phi_w-phi_b)/MAX(n_b-1,1)))+(phi_b/2)*0.809017,NA()),NA())</f>
        <v/>
      </c>
      <c r="DL12">
        <f>IF(1&lt;n_b,(h_rb-d_b)+(phi_b/2)*-0.587785,NA())</f>
        <v/>
      </c>
      <c r="DN12">
        <f>IF(inputs_ok,IF(2&lt;n_b,(IF(n_b=1,1.5*s_r,1.5*s_r-b_w/2+c_nom+phi_w+phi_b/2+2*(b_w-2*c_nom-2*phi_w-phi_b)/MAX(n_b-1,1)))+(phi_b/2)*0.809017,NA()),NA())</f>
        <v/>
      </c>
      <c r="DO12">
        <f>IF(2&lt;n_b,(h_rb-d_b)+(phi_b/2)*-0.587785,NA())</f>
        <v/>
      </c>
      <c r="DQ12">
        <f>IF(inputs_ok,IF(0&lt;n_t,(1.5*s_r+(0-(n_t-1)/2)*beff_h/n_t)+(phi_t/2)*0.809017,NA()),NA())</f>
        <v/>
      </c>
      <c r="DR12">
        <f>IF(0&lt;n_t,(d_t)+(phi_t/2)*-0.587785,NA())</f>
        <v/>
      </c>
      <c r="DT12">
        <f>IF(inputs_ok,IF(1&lt;n_t,(1.5*s_r+(1-(n_t-1)/2)*beff_h/n_t)+(phi_t/2)*0.809017,NA()),NA())</f>
        <v/>
      </c>
      <c r="DU12">
        <f>IF(1&lt;n_t,(d_t)+(phi_t/2)*-0.587785,NA())</f>
        <v/>
      </c>
      <c r="DW12">
        <f>IF(inputs_ok,IF(2&lt;n_t,(1.5*s_r+(2-(n_t-1)/2)*beff_h/n_t)+(phi_t/2)*0.809017,NA()),NA())</f>
        <v/>
      </c>
      <c r="DX12">
        <f>IF(2&lt;n_t,(d_t)+(phi_t/2)*-0.587785,NA())</f>
        <v/>
      </c>
      <c r="DZ12">
        <f>IF(inputs_ok,IF(3&lt;n_t,(1.5*s_r+(3-(n_t-1)/2)*beff_h/n_t)+(phi_t/2)*0.809017,NA()),NA())</f>
        <v/>
      </c>
      <c r="EA12">
        <f>IF(3&lt;n_t,(d_t)+(phi_t/2)*-0.587785,NA())</f>
        <v/>
      </c>
    </row>
    <row r="13">
      <c r="AZ13">
        <f>IF(inputs_ok,0.375000*L_rb,NA())</f>
        <v/>
      </c>
      <c r="BA13">
        <f>(-0.35*L_rb)-(0.22*L_rb/MAX(M_sp,M_su,0.001))*(-M_lt*0.156250+M_sp*0.937500-M_rt*-0.093750)</f>
        <v/>
      </c>
      <c r="CA13">
        <f>IF(inputs_ok,0.5*s_r-b_w/2,NA())</f>
        <v/>
      </c>
      <c r="CB13">
        <f>h_rb-h_f</f>
        <v/>
      </c>
      <c r="CJ13">
        <f>IF(inputs_ok,IF(0&lt;n_b,(IF(n_b=1,0.5*s_r,0.5*s_r-b_w/2+c_nom+phi_w+phi_b/2+0*(b_w-2*c_nom-2*phi_w-phi_b)/MAX(n_b-1,1)))+(phi_b/2)*1.000000,NA()),NA())</f>
        <v/>
      </c>
      <c r="CK13">
        <f>IF(0&lt;n_b,(h_rb-d_b)+(phi_b/2)*-0.000000,NA())</f>
        <v/>
      </c>
      <c r="CM13">
        <f>IF(inputs_ok,IF(1&lt;n_b,(IF(n_b=1,0.5*s_r,0.5*s_r-b_w/2+c_nom+phi_w+phi_b/2+1*(b_w-2*c_nom-2*phi_w-phi_b)/MAX(n_b-1,1)))+(phi_b/2)*1.000000,NA()),NA())</f>
        <v/>
      </c>
      <c r="CN13">
        <f>IF(1&lt;n_b,(h_rb-d_b)+(phi_b/2)*-0.000000,NA())</f>
        <v/>
      </c>
      <c r="CP13">
        <f>IF(inputs_ok,IF(2&lt;n_b,(IF(n_b=1,0.5*s_r,0.5*s_r-b_w/2+c_nom+phi_w+phi_b/2+2*(b_w-2*c_nom-2*phi_w-phi_b)/MAX(n_b-1,1)))+(phi_b/2)*1.000000,NA()),NA())</f>
        <v/>
      </c>
      <c r="CQ13">
        <f>IF(2&lt;n_b,(h_rb-d_b)+(phi_b/2)*-0.000000,NA())</f>
        <v/>
      </c>
      <c r="CS13">
        <f>IF(inputs_ok,IF(0&lt;n_t,(0.5*s_r+(0-(n_t-1)/2)*beff_h/n_t)+(phi_t/2)*1.000000,NA()),NA())</f>
        <v/>
      </c>
      <c r="CT13">
        <f>IF(0&lt;n_t,(d_t)+(phi_t/2)*-0.000000,NA())</f>
        <v/>
      </c>
      <c r="CV13">
        <f>IF(inputs_ok,IF(1&lt;n_t,(0.5*s_r+(1-(n_t-1)/2)*beff_h/n_t)+(phi_t/2)*1.000000,NA()),NA())</f>
        <v/>
      </c>
      <c r="CW13">
        <f>IF(1&lt;n_t,(d_t)+(phi_t/2)*-0.000000,NA())</f>
        <v/>
      </c>
      <c r="CY13">
        <f>IF(inputs_ok,IF(2&lt;n_t,(0.5*s_r+(2-(n_t-1)/2)*beff_h/n_t)+(phi_t/2)*1.000000,NA()),NA())</f>
        <v/>
      </c>
      <c r="CZ13">
        <f>IF(2&lt;n_t,(d_t)+(phi_t/2)*-0.000000,NA())</f>
        <v/>
      </c>
      <c r="DB13">
        <f>IF(inputs_ok,IF(3&lt;n_t,(0.5*s_r+(3-(n_t-1)/2)*beff_h/n_t)+(phi_t/2)*1.000000,NA()),NA())</f>
        <v/>
      </c>
      <c r="DC13">
        <f>IF(3&lt;n_t,(d_t)+(phi_t/2)*-0.000000,NA())</f>
        <v/>
      </c>
      <c r="DH13">
        <f>IF(inputs_ok,IF(0&lt;n_b,(IF(n_b=1,1.5*s_r,1.5*s_r-b_w/2+c_nom+phi_w+phi_b/2+0*(b_w-2*c_nom-2*phi_w-phi_b)/MAX(n_b-1,1)))+(phi_b/2)*1.000000,NA()),NA())</f>
        <v/>
      </c>
      <c r="DI13">
        <f>IF(0&lt;n_b,(h_rb-d_b)+(phi_b/2)*-0.000000,NA())</f>
        <v/>
      </c>
      <c r="DK13">
        <f>IF(inputs_ok,IF(1&lt;n_b,(IF(n_b=1,1.5*s_r,1.5*s_r-b_w/2+c_nom+phi_w+phi_b/2+1*(b_w-2*c_nom-2*phi_w-phi_b)/MAX(n_b-1,1)))+(phi_b/2)*1.000000,NA()),NA())</f>
        <v/>
      </c>
      <c r="DL13">
        <f>IF(1&lt;n_b,(h_rb-d_b)+(phi_b/2)*-0.000000,NA())</f>
        <v/>
      </c>
      <c r="DN13">
        <f>IF(inputs_ok,IF(2&lt;n_b,(IF(n_b=1,1.5*s_r,1.5*s_r-b_w/2+c_nom+phi_w+phi_b/2+2*(b_w-2*c_nom-2*phi_w-phi_b)/MAX(n_b-1,1)))+(phi_b/2)*1.000000,NA()),NA())</f>
        <v/>
      </c>
      <c r="DO13">
        <f>IF(2&lt;n_b,(h_rb-d_b)+(phi_b/2)*-0.000000,NA())</f>
        <v/>
      </c>
      <c r="DQ13">
        <f>IF(inputs_ok,IF(0&lt;n_t,(1.5*s_r+(0-(n_t-1)/2)*beff_h/n_t)+(phi_t/2)*1.000000,NA()),NA())</f>
        <v/>
      </c>
      <c r="DR13">
        <f>IF(0&lt;n_t,(d_t)+(phi_t/2)*-0.000000,NA())</f>
        <v/>
      </c>
      <c r="DT13">
        <f>IF(inputs_ok,IF(1&lt;n_t,(1.5*s_r+(1-(n_t-1)/2)*beff_h/n_t)+(phi_t/2)*1.000000,NA()),NA())</f>
        <v/>
      </c>
      <c r="DU13">
        <f>IF(1&lt;n_t,(d_t)+(phi_t/2)*-0.000000,NA())</f>
        <v/>
      </c>
      <c r="DW13">
        <f>IF(inputs_ok,IF(2&lt;n_t,(1.5*s_r+(2-(n_t-1)/2)*beff_h/n_t)+(phi_t/2)*1.000000,NA()),NA())</f>
        <v/>
      </c>
      <c r="DX13">
        <f>IF(2&lt;n_t,(d_t)+(phi_t/2)*-0.000000,NA())</f>
        <v/>
      </c>
      <c r="DZ13">
        <f>IF(inputs_ok,IF(3&lt;n_t,(1.5*s_r+(3-(n_t-1)/2)*beff_h/n_t)+(phi_t/2)*1.000000,NA()),NA())</f>
        <v/>
      </c>
      <c r="EA13">
        <f>IF(3&lt;n_t,(d_t)+(phi_t/2)*-0.000000,NA())</f>
        <v/>
      </c>
    </row>
    <row r="14">
      <c r="AZ14">
        <f>IF(inputs_ok,0.416667*L_rb,NA())</f>
        <v/>
      </c>
      <c r="BA14">
        <f>(-0.35*L_rb)-(0.22*L_rb/MAX(M_sp,M_su,0.001))*(-M_lt*0.097222+M_sp*0.972222-M_rt*-0.069444)</f>
        <v/>
      </c>
      <c r="CA14">
        <f>IF(inputs_ok,0,NA())</f>
        <v/>
      </c>
      <c r="CB14">
        <f>h_rb-h_f</f>
        <v/>
      </c>
    </row>
    <row r="15">
      <c r="AZ15">
        <f>IF(inputs_ok,0.458333*L_rb,NA())</f>
        <v/>
      </c>
      <c r="BA15">
        <f>(-0.35*L_rb)-(0.22*L_rb/MAX(M_sp,M_su,0.001))*(-M_lt*0.045139+M_sp*0.993056-M_rt*-0.038194)</f>
        <v/>
      </c>
      <c r="CA15">
        <f>IF(inputs_ok,0,NA())</f>
        <v/>
      </c>
      <c r="CB15">
        <f>h_rb</f>
        <v/>
      </c>
    </row>
    <row r="16">
      <c r="AZ16">
        <f>IF(inputs_ok,0.500000*L_rb,NA())</f>
        <v/>
      </c>
      <c r="BA16">
        <f>(-0.35*L_rb)-(0.22*L_rb/MAX(M_sp,M_su,0.001))*(-M_lt*-0.000000+M_sp*1.000000-M_rt*0.000000)</f>
        <v/>
      </c>
    </row>
    <row r="17">
      <c r="AZ17">
        <f>IF(inputs_ok,0.541667*L_rb,NA())</f>
        <v/>
      </c>
      <c r="BA17">
        <f>(-0.35*L_rb)-(0.22*L_rb/MAX(M_sp,M_su,0.001))*(-M_lt*-0.038194+M_sp*0.993056-M_rt*0.045139)</f>
        <v/>
      </c>
    </row>
    <row r="18">
      <c r="AZ18">
        <f>IF(inputs_ok,0.583333*L_rb,NA())</f>
        <v/>
      </c>
      <c r="BA18">
        <f>(-0.35*L_rb)-(0.22*L_rb/MAX(M_sp,M_su,0.001))*(-M_lt*-0.069444+M_sp*0.972222-M_rt*0.097222)</f>
        <v/>
      </c>
    </row>
    <row r="19">
      <c r="AZ19">
        <f>IF(inputs_ok,0.625000*L_rb,NA())</f>
        <v/>
      </c>
      <c r="BA19">
        <f>(-0.35*L_rb)-(0.22*L_rb/MAX(M_sp,M_su,0.001))*(-M_lt*-0.093750+M_sp*0.937500-M_rt*0.156250)</f>
        <v/>
      </c>
    </row>
    <row r="20">
      <c r="AZ20">
        <f>IF(inputs_ok,0.666667*L_rb,NA())</f>
        <v/>
      </c>
      <c r="BA20">
        <f>(-0.35*L_rb)-(0.22*L_rb/MAX(M_sp,M_su,0.001))*(-M_lt*-0.111111+M_sp*0.888889-M_rt*0.222222)</f>
        <v/>
      </c>
    </row>
    <row r="21">
      <c r="AZ21">
        <f>IF(inputs_ok,0.708333*L_rb,NA())</f>
        <v/>
      </c>
      <c r="BA21">
        <f>(-0.35*L_rb)-(0.22*L_rb/MAX(M_sp,M_su,0.001))*(-M_lt*-0.121528+M_sp*0.826389-M_rt*0.295139)</f>
        <v/>
      </c>
    </row>
    <row r="22">
      <c r="AZ22">
        <f>IF(inputs_ok,0.750000*L_rb,NA())</f>
        <v/>
      </c>
      <c r="BA22">
        <f>(-0.35*L_rb)-(0.22*L_rb/MAX(M_sp,M_su,0.001))*(-M_lt*-0.125000+M_sp*0.750000-M_rt*0.375000)</f>
        <v/>
      </c>
    </row>
    <row r="23">
      <c r="AZ23">
        <f>IF(inputs_ok,0.791667*L_rb,NA())</f>
        <v/>
      </c>
      <c r="BA23">
        <f>(-0.35*L_rb)-(0.22*L_rb/MAX(M_sp,M_su,0.001))*(-M_lt*-0.121528+M_sp*0.659722-M_rt*0.461806)</f>
        <v/>
      </c>
    </row>
    <row r="24">
      <c r="AZ24">
        <f>IF(inputs_ok,0.833333*L_rb,NA())</f>
        <v/>
      </c>
      <c r="BA24">
        <f>(-0.35*L_rb)-(0.22*L_rb/MAX(M_sp,M_su,0.001))*(-M_lt*-0.111111+M_sp*0.555556-M_rt*0.555556)</f>
        <v/>
      </c>
    </row>
    <row r="25">
      <c r="AZ25">
        <f>IF(inputs_ok,0.875000*L_rb,NA())</f>
        <v/>
      </c>
      <c r="BA25">
        <f>(-0.35*L_rb)-(0.22*L_rb/MAX(M_sp,M_su,0.001))*(-M_lt*-0.093750+M_sp*0.437500-M_rt*0.656250)</f>
        <v/>
      </c>
    </row>
    <row r="26">
      <c r="AZ26">
        <f>IF(inputs_ok,0.916667*L_rb,NA())</f>
        <v/>
      </c>
      <c r="BA26">
        <f>(-0.35*L_rb)-(0.22*L_rb/MAX(M_sp,M_su,0.001))*(-M_lt*-0.069444+M_sp*0.305556-M_rt*0.763889)</f>
        <v/>
      </c>
    </row>
    <row r="27">
      <c r="AZ27">
        <f>IF(inputs_ok,0.958333*L_rb,NA())</f>
        <v/>
      </c>
      <c r="BA27">
        <f>(-0.35*L_rb)-(0.22*L_rb/MAX(M_sp,M_su,0.001))*(-M_lt*-0.038194+M_sp*0.159722-M_rt*0.878472)</f>
        <v/>
      </c>
    </row>
    <row r="28">
      <c r="AZ28">
        <f>IF(inputs_ok,1.000000*L_rb,NA())</f>
        <v/>
      </c>
      <c r="BA28">
        <f>(-0.35*L_rb)-(0.22*L_rb/MAX(M_sp,M_su,0.001))*(-M_lt*0.000000+M_sp*0.000000-M_rt*1.000000)</f>
        <v/>
      </c>
    </row>
    <row r="29">
      <c r="AZ29">
        <f>IF(inputs_ok,L_rb,NA())</f>
        <v/>
      </c>
      <c r="BA29">
        <f>(-0.35*L_rb)</f>
        <v/>
      </c>
    </row>
  </sheetData>
  <sheetProtection selectLockedCells="0" selectUnlockedCells="0" sheet="1" objects="1" insertRows="1" insertHyperlinks="1" autoFilter="1" scenarios="0" formatColumns="1" deleteColumns="1" insertColumns="1" pivotTables="1" deleteRows="1" formatCells="1" formatRows="1" sort="1" password="AA0A"/>
  <pageMargins left="0.75" right="0.75" top="1" bottom="1" header="0.5" footer="0.5"/>
</worksheet>
</file>

<file path=xl/worksheets/sheet4.xml><?xml version="1.0" encoding="utf-8"?>
<worksheet xmlns="http://schemas.openxmlformats.org/spreadsheetml/2006/main">
  <sheetPr>
    <outlinePr summaryBelow="1" summaryRight="1"/>
    <pageSetUpPr fitToPage="1"/>
  </sheetPr>
  <dimension ref="B2:F28"/>
  <sheetViews>
    <sheetView showGridLines="0" tabSelected="0" workbookViewId="0">
      <selection activeCell="A1" sqref="A1"/>
    </sheetView>
  </sheetViews>
  <sheetFormatPr baseColWidth="8" defaultRowHeight="15"/>
  <cols>
    <col width="2.5" customWidth="1" min="1" max="1"/>
    <col width="34" customWidth="1" min="2" max="2"/>
    <col width="16" customWidth="1" min="3" max="3"/>
    <col width="12" customWidth="1" min="4" max="4"/>
    <col width="12" customWidth="1" min="5" max="5"/>
    <col width="60" customWidth="1" min="6" max="6"/>
  </cols>
  <sheetData>
    <row r="2">
      <c r="B2" s="49" t="inlineStr">
        <is>
          <t>Nationally Determined Parameters</t>
        </is>
      </c>
    </row>
    <row r="3">
      <c r="B3" s="16" t="inlineStr">
        <is>
          <t>Values used by the Calculation sheet for the selected National Annex. Sources: UK NA to BS EN 1992-1-1:2004, Table NA.1; PN-EN 1992-1-1:2008, Załącznik krajowy NA. Edit only if your project specifies different values.</t>
        </is>
      </c>
    </row>
    <row r="5">
      <c r="B5" s="50" t="inlineStr">
        <is>
          <t>Parameter</t>
        </is>
      </c>
      <c r="C5" s="50" t="inlineStr">
        <is>
          <t>Clause</t>
        </is>
      </c>
      <c r="D5" s="50" t="inlineStr">
        <is>
          <t>UK NA</t>
        </is>
      </c>
      <c r="E5" s="50" t="inlineStr">
        <is>
          <t>PL NA</t>
        </is>
      </c>
      <c r="F5" s="50" t="inlineStr">
        <is>
          <t>Notes</t>
        </is>
      </c>
    </row>
    <row r="6">
      <c r="B6" s="51" t="inlineStr">
        <is>
          <t>Partial factor, concrete  γc</t>
        </is>
      </c>
      <c r="C6" s="52" t="inlineStr">
        <is>
          <t>2.4.2.4(1)</t>
        </is>
      </c>
      <c r="D6" s="53" t="n">
        <v>1.5</v>
      </c>
      <c r="E6" s="53" t="n">
        <v>1.4</v>
      </c>
      <c r="F6" s="52" t="inlineStr">
        <is>
          <t>Persistent &amp; transient. UK NA: recommended; PL: NA.2, Table NA.2</t>
        </is>
      </c>
    </row>
    <row r="7">
      <c r="B7" s="51" t="inlineStr">
        <is>
          <t>Partial factor, reinforcement  γs</t>
        </is>
      </c>
      <c r="C7" s="52" t="inlineStr">
        <is>
          <t>2.4.2.4(1)</t>
        </is>
      </c>
      <c r="D7" s="53" t="n">
        <v>1.15</v>
      </c>
      <c r="E7" s="53" t="n">
        <v>1.15</v>
      </c>
      <c r="F7" s="52" t="inlineStr">
        <is>
          <t>UK NA: recommended; PL: NA.2, Table NA.2</t>
        </is>
      </c>
    </row>
    <row r="8">
      <c r="B8" s="51" t="inlineStr">
        <is>
          <t>αcc  (compression in flexure / axial)</t>
        </is>
      </c>
      <c r="C8" s="52" t="inlineStr">
        <is>
          <t>3.1.6(1)</t>
        </is>
      </c>
      <c r="D8" s="53" t="n">
        <v>0.85</v>
      </c>
      <c r="E8" s="53" t="n">
        <v>1</v>
      </c>
      <c r="F8" s="52" t="inlineStr">
        <is>
          <t>UK NA: 0.85; PL: recommended (NA.9)</t>
        </is>
      </c>
    </row>
    <row r="9">
      <c r="B9" s="51" t="inlineStr">
        <is>
          <t>αcc,pl  (plain concrete, compression)</t>
        </is>
      </c>
      <c r="C9" s="52" t="inlineStr">
        <is>
          <t>12.3.1(1)</t>
        </is>
      </c>
      <c r="D9" s="53" t="n">
        <v>0.6</v>
      </c>
      <c r="E9" s="53" t="n">
        <v>0.8</v>
      </c>
      <c r="F9" s="52" t="inlineStr">
        <is>
          <t>UK NA Table NA.1: 0.6; PL: recommended (NA.9)</t>
        </is>
      </c>
    </row>
    <row r="10">
      <c r="B10" s="51" t="inlineStr">
        <is>
          <t>αcc  (shear and punching)</t>
        </is>
      </c>
      <c r="C10" s="52" t="inlineStr">
        <is>
          <t>3.1.6(1)</t>
        </is>
      </c>
      <c r="D10" s="53" t="n">
        <v>1</v>
      </c>
      <c r="E10" s="53" t="n">
        <v>1</v>
      </c>
      <c r="F10" s="52" t="inlineStr">
        <is>
          <t>UK NA: 1.0 for other phenomena; PL: recommended (NA.9)</t>
        </is>
      </c>
    </row>
    <row r="11">
      <c r="B11" s="51" t="inlineStr">
        <is>
          <t>αct  (design tensile strength)</t>
        </is>
      </c>
      <c r="C11" s="52" t="inlineStr">
        <is>
          <t>3.1.6(2)</t>
        </is>
      </c>
      <c r="D11" s="53" t="n">
        <v>1</v>
      </c>
      <c r="E11" s="53" t="n">
        <v>1</v>
      </c>
      <c r="F11" s="52" t="inlineStr">
        <is>
          <t>Recommended value in both annexes</t>
        </is>
      </c>
    </row>
    <row r="12">
      <c r="B12" s="51" t="inlineStr">
        <is>
          <t>CRd,c numerator  (CRd,c = value / γc)</t>
        </is>
      </c>
      <c r="C12" s="52" t="inlineStr">
        <is>
          <t>6.2.2(1), 6.4.4(1)</t>
        </is>
      </c>
      <c r="D12" s="53" t="n">
        <v>0.18</v>
      </c>
      <c r="E12" s="53" t="n">
        <v>0.18</v>
      </c>
      <c r="F12" s="52" t="inlineStr">
        <is>
          <t>Recommended value in both annexes</t>
        </is>
      </c>
    </row>
    <row r="13">
      <c r="B13" s="51" t="inlineStr">
        <is>
          <t>k1  (axial stress term, punching)</t>
        </is>
      </c>
      <c r="C13" s="52" t="inlineStr">
        <is>
          <t>6.4.4(1)</t>
        </is>
      </c>
      <c r="D13" s="53" t="n">
        <v>0.1</v>
      </c>
      <c r="E13" s="53" t="n">
        <v>0.1</v>
      </c>
      <c r="F13" s="52" t="inlineStr">
        <is>
          <t>Recommended value in both annexes</t>
        </is>
      </c>
    </row>
    <row r="14">
      <c r="B14" s="51" t="inlineStr">
        <is>
          <t>vRd,max factor  (vRd,max = factor · ν · fcd)</t>
        </is>
      </c>
      <c r="C14" s="52" t="inlineStr">
        <is>
          <t>6.4.5(3)</t>
        </is>
      </c>
      <c r="D14" s="53" t="n">
        <v>0.5</v>
      </c>
      <c r="E14" s="53" t="n">
        <v>0.4</v>
      </c>
      <c r="F14" s="52" t="inlineStr">
        <is>
          <t>UK NA: 0.5 ν fcd; PL: recommended value (NA.9), 0.4 ν fcd since EN 1992-1-1 AC:2010 (PN-EN 1992-1-1:2008/AC:2011)</t>
        </is>
      </c>
    </row>
    <row r="15">
      <c r="B15" s="51" t="inlineStr">
        <is>
          <t>kmax  (vEd ≤ kmax · vRd,c at u1)</t>
        </is>
      </c>
      <c r="C15" s="52" t="inlineStr">
        <is>
          <t>6.4.5</t>
        </is>
      </c>
      <c r="D15" s="53" t="n">
        <v>2</v>
      </c>
      <c r="E15" s="53" t="n">
        <v>1.5</v>
      </c>
      <c r="F15" s="52" t="inlineStr">
        <is>
          <t>UK NA 6.4.5(3): 2 vRd,c. PL: no limit in PN-EN 1992-1-1:2008; 1.5 (A1:2014 recommendation) applied conservatively</t>
        </is>
      </c>
    </row>
    <row r="16">
      <c r="B16" s="51" t="inlineStr">
        <is>
          <t>φlarge  (large bar threshold, mm)</t>
        </is>
      </c>
      <c r="C16" s="52" t="inlineStr">
        <is>
          <t>8.8(1)</t>
        </is>
      </c>
      <c r="D16" s="53" t="n">
        <v>40</v>
      </c>
      <c r="E16" s="53" t="n">
        <v>32</v>
      </c>
      <c r="F16" s="52" t="inlineStr">
        <is>
          <t>UK NA: 40 mm; PL: 32 mm recommended (NA.9)</t>
        </is>
      </c>
    </row>
    <row r="17">
      <c r="B17" s="51" t="inlineStr">
        <is>
          <t>cot θ upper limit  (variable strut)</t>
        </is>
      </c>
      <c r="C17" s="52" t="inlineStr">
        <is>
          <t>6.2.3(2)</t>
        </is>
      </c>
      <c r="D17" s="53" t="n">
        <v>2.5</v>
      </c>
      <c r="E17" s="53" t="n">
        <v>2</v>
      </c>
      <c r="F17" s="52" t="inlineStr">
        <is>
          <t>UK NA: 2.5 (1.25 with axial tension); PL: NA.4, 1 ≤ cot θ ≤ 2.0</t>
        </is>
      </c>
    </row>
    <row r="18">
      <c r="B18" s="51" t="inlineStr">
        <is>
          <t>k1  (x/d limit, δ ≥ k1 + k2 xu/d)</t>
        </is>
      </c>
      <c r="C18" s="52" t="inlineStr">
        <is>
          <t>5.5(4)</t>
        </is>
      </c>
      <c r="D18" s="53" t="n">
        <v>0.4</v>
      </c>
      <c r="E18" s="53" t="n">
        <v>0.44</v>
      </c>
      <c r="F18" s="52" t="inlineStr">
        <is>
          <t>UK NA for fyk ≤ 500 MPa; PL: recommended (NA.9)</t>
        </is>
      </c>
    </row>
    <row r="19">
      <c r="B19" s="51" t="inlineStr">
        <is>
          <t>k2  (x/d limit, εcu2 = 0.0035)</t>
        </is>
      </c>
      <c r="C19" s="52" t="inlineStr">
        <is>
          <t>5.5(4)</t>
        </is>
      </c>
      <c r="D19" s="53" t="n">
        <v>1</v>
      </c>
      <c r="E19" s="53" t="n">
        <v>1.25</v>
      </c>
      <c r="F19" s="52" t="inlineStr">
        <is>
          <t>UK NA: 0.6 + 0.0014/εcu2; PL: 1.25(0.6 + 0.0014/εcu2)</t>
        </is>
      </c>
    </row>
    <row r="20">
      <c r="B20" s="51" t="inlineStr">
        <is>
          <t>Upper limit on the (310/σs) factor  (0 = none)</t>
        </is>
      </c>
      <c r="C20" s="52" t="inlineStr">
        <is>
          <t>7.4.2(2)</t>
        </is>
      </c>
      <c r="D20" s="53" t="n">
        <v>1.5</v>
      </c>
      <c r="E20" s="53" t="n">
        <v>0</v>
      </c>
      <c r="F20" s="52" t="inlineStr">
        <is>
          <t>UK NA Table NA.5 Note 5: (310/σs) or (500/fyk)(As,prov/As,req) ≤ 1.5; PL: none</t>
        </is>
      </c>
    </row>
    <row r="21">
      <c r="B21" s="51" t="inlineStr">
        <is>
          <t>L/d not to exceed 40 K  (1 = applies)</t>
        </is>
      </c>
      <c r="C21" s="52" t="inlineStr">
        <is>
          <t>7.4.2(2)</t>
        </is>
      </c>
      <c r="D21" s="53" t="n">
        <v>1</v>
      </c>
      <c r="E21" s="53" t="n">
        <v>0</v>
      </c>
      <c r="F21" s="52" t="inlineStr">
        <is>
          <t>UK NA Table NA.5 Note 6; not in EN text</t>
        </is>
      </c>
    </row>
    <row r="22">
      <c r="B22" s="51" t="inlineStr">
        <is>
          <t>φmin  (longitudinal bars in columns, mm)</t>
        </is>
      </c>
      <c r="C22" s="52" t="inlineStr">
        <is>
          <t>9.5.2(1)</t>
        </is>
      </c>
      <c r="D22" s="53" t="n">
        <v>12</v>
      </c>
      <c r="E22" s="53" t="n">
        <v>6</v>
      </c>
      <c r="F22" s="52" t="inlineStr">
        <is>
          <t>UK NA: 12 mm; PL: NA.6, 6 mm</t>
        </is>
      </c>
    </row>
    <row r="23">
      <c r="B23" s="51" t="inlineStr">
        <is>
          <t>k3  (crack spacing)</t>
        </is>
      </c>
      <c r="C23" s="52" t="inlineStr">
        <is>
          <t>7.3.4(3)</t>
        </is>
      </c>
      <c r="D23" s="53" t="n">
        <v>3.4</v>
      </c>
      <c r="E23" s="53" t="n">
        <v>3.4</v>
      </c>
      <c r="F23" s="52" t="inlineStr">
        <is>
          <t>Recommended value in both annexes</t>
        </is>
      </c>
    </row>
    <row r="24">
      <c r="B24" s="51" t="inlineStr">
        <is>
          <t>k4  (crack spacing)</t>
        </is>
      </c>
      <c r="C24" s="52" t="inlineStr">
        <is>
          <t>7.3.4(3)</t>
        </is>
      </c>
      <c r="D24" s="53" t="n">
        <v>0.425</v>
      </c>
      <c r="E24" s="53" t="n">
        <v>0.425</v>
      </c>
      <c r="F24" s="52" t="inlineStr">
        <is>
          <t>Recommended value in both annexes</t>
        </is>
      </c>
    </row>
    <row r="25">
      <c r="B25" s="51" t="inlineStr">
        <is>
          <t>k1  (concrete stress, characteristic; XD, XF, XS)</t>
        </is>
      </c>
      <c r="C25" s="52" t="inlineStr">
        <is>
          <t>7.2(2)</t>
        </is>
      </c>
      <c r="D25" s="53" t="n">
        <v>0.6</v>
      </c>
      <c r="E25" s="53" t="n">
        <v>1</v>
      </c>
      <c r="F25" s="52" t="inlineStr">
        <is>
          <t>UK NA: recommended; PL: NA.5, k1 = 1.0</t>
        </is>
      </c>
    </row>
    <row r="26">
      <c r="B26" s="51" t="inlineStr">
        <is>
          <t>k2  (concrete stress, quasi-permanent; linear creep)</t>
        </is>
      </c>
      <c r="C26" s="52" t="inlineStr">
        <is>
          <t>7.2(3)</t>
        </is>
      </c>
      <c r="D26" s="53" t="n">
        <v>0.45</v>
      </c>
      <c r="E26" s="53" t="n">
        <v>0.45</v>
      </c>
      <c r="F26" s="52" t="inlineStr">
        <is>
          <t>Recommended value in both annexes (UK NA; PL NA.9)</t>
        </is>
      </c>
    </row>
    <row r="27">
      <c r="B27" s="51" t="inlineStr">
        <is>
          <t>k3  (steel stress, characteristic)</t>
        </is>
      </c>
      <c r="C27" s="52" t="inlineStr">
        <is>
          <t>7.2(5)</t>
        </is>
      </c>
      <c r="D27" s="53" t="n">
        <v>0.8</v>
      </c>
      <c r="E27" s="53" t="n">
        <v>0.8</v>
      </c>
      <c r="F27" s="52" t="inlineStr">
        <is>
          <t>Recommended value in both annexes (UK NA; PL NA.9)</t>
        </is>
      </c>
    </row>
    <row r="28">
      <c r="B28" s="51" t="inlineStr">
        <is>
          <t>k4  (steel stress, imposed deformation)</t>
        </is>
      </c>
      <c r="C28" s="52" t="inlineStr">
        <is>
          <t>7.2(5)</t>
        </is>
      </c>
      <c r="D28" s="53" t="n">
        <v>1</v>
      </c>
      <c r="E28" s="53" t="n">
        <v>1</v>
      </c>
      <c r="F28" s="52" t="inlineStr">
        <is>
          <t>Recommended value in both annexes (UK NA; PL NA.9)</t>
        </is>
      </c>
    </row>
  </sheetData>
  <sheetProtection selectLockedCells="0" selectUnlockedCells="0" sheet="1" objects="1" insertRows="1" insertHyperlinks="1" autoFilter="1" scenarios="0" formatColumns="1" deleteColumns="1" insertColumns="1" pivotTables="1" deleteRows="1" formatCells="1" formatRows="1" sort="1" password="AA0A"/>
  <printOptions horizontalCentered="1"/>
  <pageMargins left="0.4" right="0.4" top="0.4" bottom="0.6" header="0.5" footer="0.5"/>
  <pageSetup orientation="landscape" paperSize="9" fitToHeight="0" fitToWidth="1"/>
  <headerFooter>
    <oddHeader/>
    <oddFooter>&amp;L&amp;7 &amp;K8A8A8ANA Engineering sp. z o.o.  ·  naengineering.uk  ·  adrian@naengineering.uk  ·  +48 505 844 422&amp;C&amp;7 &amp;K8A8A8A&amp;P / &amp;N&amp;R&amp;7 &amp;K8A8A8ANAE-RC-021  v1.0</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NA Engineering sp. z o.o.</dc:creator>
  <dc:title xmlns:dc="http://purl.org/dc/elements/1.1/">NAE-RC-021 Ribbed slab</dc:title>
  <dc:subject xmlns:dc="http://purl.org/dc/elements/1.1/">One-way ribbed slab, one rib as a T-beam  ·  EN 1992-1-1 §5.3.2, §6.1, §6.2, §7.4, §9.2  ·  UK NA / PN-EN</dc:subject>
  <dcterms:created xmlns:dcterms="http://purl.org/dc/terms/" xmlns:xsi="http://www.w3.org/2001/XMLSchema-instance" xsi:type="dcterms:W3CDTF">2026-10-30T10:58:38Z</dcterms:created>
  <dcterms:modified xmlns:dcterms="http://purl.org/dc/terms/" xmlns:xsi="http://www.w3.org/2001/XMLSchema-instance" xsi:type="dcterms:W3CDTF">2026-10-30T10:58:38Z</dcterms:modified>
  <cp:lastModifiedBy>NA Engineering sp. z o.o.</cp:lastModifiedBy>
  <cp:keywords>NA Engineering; Eurocode 2; EN 1992-1-1</cp:keywords>
</cp:coreProperties>
</file>