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d_g">'Calculation'!$E$14</definedName>
    <definedName name="L_bw">'Calculation'!$E$15</definedName>
    <definedName name="t_bw">'Calculation'!$E$16</definedName>
    <definedName name="base_bw">'Calculation'!$E$17</definedName>
    <definedName name="c_nom">'Calculation'!$E$18</definedName>
    <definedName name="phi_in">'Calculation'!$E$19</definedName>
    <definedName name="s_in">'Calculation'!$E$20</definedName>
    <definedName name="phi_out">'Calculation'!$E$21</definedName>
    <definedName name="s_out">'Calculation'!$E$22</definedName>
    <definedName name="h0_bw">'Calculation'!$E$25</definedName>
    <definedName name="zw_bw">'Calculation'!$E$26</definedName>
    <definedName name="gam_bw">'Calculation'!$E$27</definedName>
    <definedName name="gsat_bw">'Calculation'!$E$28</definedName>
    <definedName name="phi_bw">'Calculation'!$E$29</definedName>
    <definedName name="q_bw">'Calculation'!$E$30</definedName>
    <definedName name="gamma_G">'Calculation'!$E$31</definedName>
    <definedName name="gamma_Q">'Calculation'!$E$32</definedName>
    <definedName name="inputs_ok">IFERROR(AND(OR(NA_sel="UK NA (BS EN)",NA_sel="PL NA (PN-EN)"),OR(conc_class="C20/25",conc_class="C25/30",conc_class="C28/35",conc_class="C30/37",conc_class="C32/40",conc_class="C35/45",conc_class="C40/50",conc_class="C45/55",conc_class="C50/60"),ISNUMBER(f_yk),f_yk&gt;0,ISNUMBER(d_g),d_g&gt;0,ISNUMBER(L_bw),L_bw&gt;0,ISNUMBER(t_bw),t_bw&gt;0,OR(base_bw="Pinned",base_bw="Fixed"),ISNUMBER(c_nom),c_nom&gt;0,OR(AND(ISNUMBER(phi_in),phi_in=8),AND(ISNUMBER(phi_in),phi_in=10),AND(ISNUMBER(phi_in),phi_in=12),AND(ISNUMBER(phi_in),phi_in=16),AND(ISNUMBER(phi_in),phi_in=20),AND(ISNUMBER(phi_in),phi_in=25),AND(ISNUMBER(phi_in),phi_in=32),AND(ISNUMBER(phi_in),phi_in=40)),ISNUMBER(s_in),s_in&gt;0,OR(AND(ISNUMBER(phi_out),phi_out=8),AND(ISNUMBER(phi_out),phi_out=10),AND(ISNUMBER(phi_out),phi_out=12),AND(ISNUMBER(phi_out),phi_out=16),AND(ISNUMBER(phi_out),phi_out=20),AND(ISNUMBER(phi_out),phi_out=25),AND(ISNUMBER(phi_out),phi_out=32),AND(ISNUMBER(phi_out),phi_out=40)),ISNUMBER(s_out),s_out&gt;0,ISNUMBER(h0_bw),h0_bw&gt;=0,ISNUMBER(zw_bw),zw_bw&gt;=0,ISNUMBER(gam_bw),gam_bw&gt;0,ISNUMBER(gsat_bw),gsat_bw&gt;0,ISNUMBER(phi_bw),phi_bw&gt;0,ISNUMBER(q_bw),q_bw&gt;=0,ISNUMBER(gamma_G),gamma_G&gt;0,ISNUMBER(gamma_Q),gamma_Q&gt;0,AND(f_yk&gt;=400,f_yk&lt;=500,phi_bw&gt;=15,phi_bw&lt;=45,h0_bw&lt;L_bw,gsat_bw&gt;9.81,t_bw-2*c_nom-phi_in-phi_out&gt;=MAX(phi_in,phi_out,d_g+5,20),s_in&gt;=50,s_out&gt;=50)),FALSE)</definedName>
    <definedName name="input_status">'Calculation'!$G$33</definedName>
    <definedName name="bw_L">L_bw/1000</definedName>
    <definedName name="bw_h0">h0_bw/1000</definedName>
    <definedName name="bw_zw">zw_bw/1000</definedName>
    <definedName name="bw_b1">MIN(bw_h0,bw_L)</definedName>
    <definedName name="bw_b2">MIN(bw_h0+bw_zw,bw_L)</definedName>
    <definedName name="bw_on2">NA_sel="UK NA (BS EN)"</definedName>
    <definedName name="K0_2">1-SIN(ATAN(TAN(RADIANS(phi_bw))/1.25))</definedName>
    <definedName name="bw_A0_1">gamma_Q*K0_bw*q_bw</definedName>
    <definedName name="bw_A1_1">gamma_G*K0_bw*gam_bw</definedName>
    <definedName name="bw_A2_1">gamma_G*(K0_bw*(gsat_bw-9.81)+9.81)</definedName>
    <definedName name="bw_pmax_1">IF(bw_L&lt;bw_h0,0,bw_A0_1+bw_A1_1*MIN(bw_L-bw_h0,bw_zw)+bw_A2_1*MAX(0,bw_L-bw_h0-bw_zw))</definedName>
    <definedName name="bw_R_1">IF(base_bw="Fixed",(IF(MIN(bw_L,bw_b2)&gt;MAX(0,bw_b1),((MIN(bw_L,bw_b2))-(MAX(0,bw_b1)))/2*(0.5555555555555556*IF(((MAX(0,bw_b1))+(MIN(bw_L,bw_b2)))/2+((MIN(bw_L,bw_b2))-(MAX(0,bw_b1)))/2*(-0.7745966692414834)&lt;bw_h0,0,bw_A0_1+bw_A1_1*MIN(((MAX(0,bw_b1))+(MIN(bw_L,bw_b2)))/2+((MIN(bw_L,bw_b2))-(MAX(0,bw_b1)))/2*(-0.7745966692414834)-bw_h0,bw_zw)+bw_A2_1*MAX(0,((MAX(0,bw_b1))+(MIN(bw_L,bw_b2)))/2+((MIN(bw_L,bw_b2))-(MAX(0,bw_b1)))/2*(-0.7745966692414834)-bw_h0-bw_zw))*((bw_L-(((MAX(0,bw_b1))+(MIN(bw_L,bw_b2)))/2+((MIN(bw_L,bw_b2))-(MAX(0,bw_b1)))/2*(-0.7745966692414834)))^2*(2*bw_L+(((MAX(0,bw_b1))+(MIN(bw_L,bw_b2)))/2+((MIN(bw_L,bw_b2))-(MAX(0,bw_b1)))/2*(-0.7745966692414834)))/(2*bw_L^3))+0.8888888888888888*IF(((MAX(0,bw_b1))+(MIN(bw_L,bw_b2)))/2+((MIN(bw_L,bw_b2))-(MAX(0,bw_b1)))/2*(0.0)&lt;bw_h0,0,bw_A0_1+bw_A1_1*MIN(((MAX(0,bw_b1))+(MIN(bw_L,bw_b2)))/2+((MIN(bw_L,bw_b2))-(MAX(0,bw_b1)))/2*(0.0)-bw_h0,bw_zw)+bw_A2_1*MAX(0,((MAX(0,bw_b1))+(MIN(bw_L,bw_b2)))/2+((MIN(bw_L,bw_b2))-(MAX(0,bw_b1)))/2*(0.0)-bw_h0-bw_zw))*((bw_L-(((MAX(0,bw_b1))+(MIN(bw_L,bw_b2)))/2+((MIN(bw_L,bw_b2))-(MAX(0,bw_b1)))/2*(0.0)))^2*(2*bw_L+(((MAX(0,bw_b1))+(MIN(bw_L,bw_b2)))/2+((MIN(bw_L,bw_b2))-(MAX(0,bw_b1)))/2*(0.0)))/(2*bw_L^3))+0.5555555555555556*IF(((MAX(0,bw_b1))+(MIN(bw_L,bw_b2)))/2+((MIN(bw_L,bw_b2))-(MAX(0,bw_b1)))/2*(0.7745966692414834)&lt;bw_h0,0,bw_A0_1+bw_A1_1*MIN(((MAX(0,bw_b1))+(MIN(bw_L,bw_b2)))/2+((MIN(bw_L,bw_b2))-(MAX(0,bw_b1)))/2*(0.7745966692414834)-bw_h0,bw_zw)+bw_A2_1*MAX(0,((MAX(0,bw_b1))+(MIN(bw_L,bw_b2)))/2+((MIN(bw_L,bw_b2))-(MAX(0,bw_b1)))/2*(0.7745966692414834)-bw_h0-bw_zw))*((bw_L-(((MAX(0,bw_b1))+(MIN(bw_L,bw_b2)))/2+((MIN(bw_L,bw_b2))-(MAX(0,bw_b1)))/2*(0.7745966692414834)))^2*(2*bw_L+(((MAX(0,bw_b1))+(MIN(bw_L,bw_b2)))/2+((MIN(bw_L,bw_b2))-(MAX(0,bw_b1)))/2*(0.7745966692414834)))/(2*bw_L^3))),0)+IF(MIN(bw_L,bw_L)&gt;MAX(0,bw_b2),((MIN(bw_L,bw_L))-(MAX(0,bw_b2)))/2*(0.5555555555555556*IF(((MAX(0,bw_b2))+(MIN(bw_L,bw_L)))/2+((MIN(bw_L,bw_L))-(MAX(0,bw_b2)))/2*(-0.7745966692414834)&lt;bw_h0,0,bw_A0_1+bw_A1_1*MIN(((MAX(0,bw_b2))+(MIN(bw_L,bw_L)))/2+((MIN(bw_L,bw_L))-(MAX(0,bw_b2)))/2*(-0.7745966692414834)-bw_h0,bw_zw)+bw_A2_1*MAX(0,((MAX(0,bw_b2))+(MIN(bw_L,bw_L)))/2+((MIN(bw_L,bw_L))-(MAX(0,bw_b2)))/2*(-0.7745966692414834)-bw_h0-bw_zw))*((bw_L-(((MAX(0,bw_b2))+(MIN(bw_L,bw_L)))/2+((MIN(bw_L,bw_L))-(MAX(0,bw_b2)))/2*(-0.7745966692414834)))^2*(2*bw_L+(((MAX(0,bw_b2))+(MIN(bw_L,bw_L)))/2+((MIN(bw_L,bw_L))-(MAX(0,bw_b2)))/2*(-0.7745966692414834)))/(2*bw_L^3))+0.8888888888888888*IF(((MAX(0,bw_b2))+(MIN(bw_L,bw_L)))/2+((MIN(bw_L,bw_L))-(MAX(0,bw_b2)))/2*(0.0)&lt;bw_h0,0,bw_A0_1+bw_A1_1*MIN(((MAX(0,bw_b2))+(MIN(bw_L,bw_L)))/2+((MIN(bw_L,bw_L))-(MAX(0,bw_b2)))/2*(0.0)-bw_h0,bw_zw)+bw_A2_1*MAX(0,((MAX(0,bw_b2))+(MIN(bw_L,bw_L)))/2+((MIN(bw_L,bw_L))-(MAX(0,bw_b2)))/2*(0.0)-bw_h0-bw_zw))*((bw_L-(((MAX(0,bw_b2))+(MIN(bw_L,bw_L)))/2+((MIN(bw_L,bw_L))-(MAX(0,bw_b2)))/2*(0.0)))^2*(2*bw_L+(((MAX(0,bw_b2))+(MIN(bw_L,bw_L)))/2+((MIN(bw_L,bw_L))-(MAX(0,bw_b2)))/2*(0.0)))/(2*bw_L^3))+0.5555555555555556*IF(((MAX(0,bw_b2))+(MIN(bw_L,bw_L)))/2+((MIN(bw_L,bw_L))-(MAX(0,bw_b2)))/2*(0.7745966692414834)&lt;bw_h0,0,bw_A0_1+bw_A1_1*MIN(((MAX(0,bw_b2))+(MIN(bw_L,bw_L)))/2+((MIN(bw_L,bw_L))-(MAX(0,bw_b2)))/2*(0.7745966692414834)-bw_h0,bw_zw)+bw_A2_1*MAX(0,((MAX(0,bw_b2))+(MIN(bw_L,bw_L)))/2+((MIN(bw_L,bw_L))-(MAX(0,bw_b2)))/2*(0.7745966692414834)-bw_h0-bw_zw))*((bw_L-(((MAX(0,bw_b2))+(MIN(bw_L,bw_L)))/2+((MIN(bw_L,bw_L))-(MAX(0,bw_b2)))/2*(0.7745966692414834)))^2*(2*bw_L+(((MAX(0,bw_b2))+(MIN(bw_L,bw_L)))/2+((MIN(bw_L,bw_L))-(MAX(0,bw_b2)))/2*(0.7745966692414834)))/(2*bw_L^3))),0)),(IF(MIN(bw_L,bw_b2)&gt;MAX(0,bw_b1),((MIN(bw_L,bw_b2))-(MAX(0,bw_b1)))/2*(0.5555555555555556*IF(((MAX(0,bw_b1))+(MIN(bw_L,bw_b2)))/2+((MIN(bw_L,bw_b2))-(MAX(0,bw_b1)))/2*(-0.7745966692414834)&lt;bw_h0,0,bw_A0_1+bw_A1_1*MIN(((MAX(0,bw_b1))+(MIN(bw_L,bw_b2)))/2+((MIN(bw_L,bw_b2))-(MAX(0,bw_b1)))/2*(-0.7745966692414834)-bw_h0,bw_zw)+bw_A2_1*MAX(0,((MAX(0,bw_b1))+(MIN(bw_L,bw_b2)))/2+((MIN(bw_L,bw_b2))-(MAX(0,bw_b1)))/2*(-0.7745966692414834)-bw_h0-bw_zw))*((bw_L-(((MAX(0,bw_b1))+(MIN(bw_L,bw_b2)))/2+((MIN(bw_L,bw_b2))-(MAX(0,bw_b1)))/2*(-0.7745966692414834)))/bw_L)+0.8888888888888888*IF(((MAX(0,bw_b1))+(MIN(bw_L,bw_b2)))/2+((MIN(bw_L,bw_b2))-(MAX(0,bw_b1)))/2*(0.0)&lt;bw_h0,0,bw_A0_1+bw_A1_1*MIN(((MAX(0,bw_b1))+(MIN(bw_L,bw_b2)))/2+((MIN(bw_L,bw_b2))-(MAX(0,bw_b1)))/2*(0.0)-bw_h0,bw_zw)+bw_A2_1*MAX(0,((MAX(0,bw_b1))+(MIN(bw_L,bw_b2)))/2+((MIN(bw_L,bw_b2))-(MAX(0,bw_b1)))/2*(0.0)-bw_h0-bw_zw))*((bw_L-(((MAX(0,bw_b1))+(MIN(bw_L,bw_b2)))/2+((MIN(bw_L,bw_b2))-(MAX(0,bw_b1)))/2*(0.0)))/bw_L)+0.5555555555555556*IF(((MAX(0,bw_b1))+(MIN(bw_L,bw_b2)))/2+((MIN(bw_L,bw_b2))-(MAX(0,bw_b1)))/2*(0.7745966692414834)&lt;bw_h0,0,bw_A0_1+bw_A1_1*MIN(((MAX(0,bw_b1))+(MIN(bw_L,bw_b2)))/2+((MIN(bw_L,bw_b2))-(MAX(0,bw_b1)))/2*(0.7745966692414834)-bw_h0,bw_zw)+bw_A2_1*MAX(0,((MAX(0,bw_b1))+(MIN(bw_L,bw_b2)))/2+((MIN(bw_L,bw_b2))-(MAX(0,bw_b1)))/2*(0.7745966692414834)-bw_h0-bw_zw))*((bw_L-(((MAX(0,bw_b1))+(MIN(bw_L,bw_b2)))/2+((MIN(bw_L,bw_b2))-(MAX(0,bw_b1)))/2*(0.7745966692414834)))/bw_L)),0)+IF(MIN(bw_L,bw_L)&gt;MAX(0,bw_b2),((MIN(bw_L,bw_L))-(MAX(0,bw_b2)))/2*(0.5555555555555556*IF(((MAX(0,bw_b2))+(MIN(bw_L,bw_L)))/2+((MIN(bw_L,bw_L))-(MAX(0,bw_b2)))/2*(-0.7745966692414834)&lt;bw_h0,0,bw_A0_1+bw_A1_1*MIN(((MAX(0,bw_b2))+(MIN(bw_L,bw_L)))/2+((MIN(bw_L,bw_L))-(MAX(0,bw_b2)))/2*(-0.7745966692414834)-bw_h0,bw_zw)+bw_A2_1*MAX(0,((MAX(0,bw_b2))+(MIN(bw_L,bw_L)))/2+((MIN(bw_L,bw_L))-(MAX(0,bw_b2)))/2*(-0.7745966692414834)-bw_h0-bw_zw))*((bw_L-(((MAX(0,bw_b2))+(MIN(bw_L,bw_L)))/2+((MIN(bw_L,bw_L))-(MAX(0,bw_b2)))/2*(-0.7745966692414834)))/bw_L)+0.8888888888888888*IF(((MAX(0,bw_b2))+(MIN(bw_L,bw_L)))/2+((MIN(bw_L,bw_L))-(MAX(0,bw_b2)))/2*(0.0)&lt;bw_h0,0,bw_A0_1+bw_A1_1*MIN(((MAX(0,bw_b2))+(MIN(bw_L,bw_L)))/2+((MIN(bw_L,bw_L))-(MAX(0,bw_b2)))/2*(0.0)-bw_h0,bw_zw)+bw_A2_1*MAX(0,((MAX(0,bw_b2))+(MIN(bw_L,bw_L)))/2+((MIN(bw_L,bw_L))-(MAX(0,bw_b2)))/2*(0.0)-bw_h0-bw_zw))*((bw_L-(((MAX(0,bw_b2))+(MIN(bw_L,bw_L)))/2+((MIN(bw_L,bw_L))-(MAX(0,bw_b2)))/2*(0.0)))/bw_L)+0.5555555555555556*IF(((MAX(0,bw_b2))+(MIN(bw_L,bw_L)))/2+((MIN(bw_L,bw_L))-(MAX(0,bw_b2)))/2*(0.7745966692414834)&lt;bw_h0,0,bw_A0_1+bw_A1_1*MIN(((MAX(0,bw_b2))+(MIN(bw_L,bw_L)))/2+((MIN(bw_L,bw_L))-(MAX(0,bw_b2)))/2*(0.7745966692414834)-bw_h0,bw_zw)+bw_A2_1*MAX(0,((MAX(0,bw_b2))+(MIN(bw_L,bw_L)))/2+((MIN(bw_L,bw_L))-(MAX(0,bw_b2)))/2*(0.7745966692414834)-bw_h0-bw_zw))*((bw_L-(((MAX(0,bw_b2))+(MIN(bw_L,bw_L)))/2+((MIN(bw_L,bw_L))-(MAX(0,bw_b2)))/2*(0.7745966692414834)))/bw_L)),0)))</definedName>
    <definedName name="bw_W_1">(IF(MIN(bw_L,bw_b2)&gt;MAX(0,bw_b1),((MIN(bw_L,bw_b2))-(MAX(0,bw_b1)))/2*(0.5555555555555556*IF(((MAX(0,bw_b1))+(MIN(bw_L,bw_b2)))/2+((MIN(bw_L,bw_b2))-(MAX(0,bw_b1)))/2*(-0.7745966692414834)&lt;bw_h0,0,bw_A0_1+bw_A1_1*MIN(((MAX(0,bw_b1))+(MIN(bw_L,bw_b2)))/2+((MIN(bw_L,bw_b2))-(MAX(0,bw_b1)))/2*(-0.7745966692414834)-bw_h0,bw_zw)+bw_A2_1*MAX(0,((MAX(0,bw_b1))+(MIN(bw_L,bw_b2)))/2+((MIN(bw_L,bw_b2))-(MAX(0,bw_b1)))/2*(-0.7745966692414834)-bw_h0-bw_zw))*(1)+0.8888888888888888*IF(((MAX(0,bw_b1))+(MIN(bw_L,bw_b2)))/2+((MIN(bw_L,bw_b2))-(MAX(0,bw_b1)))/2*(0.0)&lt;bw_h0,0,bw_A0_1+bw_A1_1*MIN(((MAX(0,bw_b1))+(MIN(bw_L,bw_b2)))/2+((MIN(bw_L,bw_b2))-(MAX(0,bw_b1)))/2*(0.0)-bw_h0,bw_zw)+bw_A2_1*MAX(0,((MAX(0,bw_b1))+(MIN(bw_L,bw_b2)))/2+((MIN(bw_L,bw_b2))-(MAX(0,bw_b1)))/2*(0.0)-bw_h0-bw_zw))*(1)+0.5555555555555556*IF(((MAX(0,bw_b1))+(MIN(bw_L,bw_b2)))/2+((MIN(bw_L,bw_b2))-(MAX(0,bw_b1)))/2*(0.7745966692414834)&lt;bw_h0,0,bw_A0_1+bw_A1_1*MIN(((MAX(0,bw_b1))+(MIN(bw_L,bw_b2)))/2+((MIN(bw_L,bw_b2))-(MAX(0,bw_b1)))/2*(0.7745966692414834)-bw_h0,bw_zw)+bw_A2_1*MAX(0,((MAX(0,bw_b1))+(MIN(bw_L,bw_b2)))/2+((MIN(bw_L,bw_b2))-(MAX(0,bw_b1)))/2*(0.7745966692414834)-bw_h0-bw_zw))*(1)),0)+IF(MIN(bw_L,bw_L)&gt;MAX(0,bw_b2),((MIN(bw_L,bw_L))-(MAX(0,bw_b2)))/2*(0.5555555555555556*IF(((MAX(0,bw_b2))+(MIN(bw_L,bw_L)))/2+((MIN(bw_L,bw_L))-(MAX(0,bw_b2)))/2*(-0.7745966692414834)&lt;bw_h0,0,bw_A0_1+bw_A1_1*MIN(((MAX(0,bw_b2))+(MIN(bw_L,bw_L)))/2+((MIN(bw_L,bw_L))-(MAX(0,bw_b2)))/2*(-0.7745966692414834)-bw_h0,bw_zw)+bw_A2_1*MAX(0,((MAX(0,bw_b2))+(MIN(bw_L,bw_L)))/2+((MIN(bw_L,bw_L))-(MAX(0,bw_b2)))/2*(-0.7745966692414834)-bw_h0-bw_zw))*(1)+0.8888888888888888*IF(((MAX(0,bw_b2))+(MIN(bw_L,bw_L)))/2+((MIN(bw_L,bw_L))-(MAX(0,bw_b2)))/2*(0.0)&lt;bw_h0,0,bw_A0_1+bw_A1_1*MIN(((MAX(0,bw_b2))+(MIN(bw_L,bw_L)))/2+((MIN(bw_L,bw_L))-(MAX(0,bw_b2)))/2*(0.0)-bw_h0,bw_zw)+bw_A2_1*MAX(0,((MAX(0,bw_b2))+(MIN(bw_L,bw_L)))/2+((MIN(bw_L,bw_L))-(MAX(0,bw_b2)))/2*(0.0)-bw_h0-bw_zw))*(1)+0.5555555555555556*IF(((MAX(0,bw_b2))+(MIN(bw_L,bw_L)))/2+((MIN(bw_L,bw_L))-(MAX(0,bw_b2)))/2*(0.7745966692414834)&lt;bw_h0,0,bw_A0_1+bw_A1_1*MIN(((MAX(0,bw_b2))+(MIN(bw_L,bw_L)))/2+((MIN(bw_L,bw_L))-(MAX(0,bw_b2)))/2*(0.7745966692414834)-bw_h0,bw_zw)+bw_A2_1*MAX(0,((MAX(0,bw_b2))+(MIN(bw_L,bw_L)))/2+((MIN(bw_L,bw_L))-(MAX(0,bw_b2)))/2*(0.7745966692414834)-bw_h0-bw_zw))*(1)),0))</definedName>
    <definedName name="bw_Rb_1">bw_W_1-bw_R_1</definedName>
    <definedName name="bw_Vs1_1">bw_R_1-(IF(MIN(bw_b1,bw_b2)&gt;MAX(0,bw_b1),((MIN(bw_b1,bw_b2))-(MAX(0,bw_b1)))/2*(0.5555555555555556*IF(((MAX(0,bw_b1))+(MIN(bw_b1,bw_b2)))/2+((MIN(bw_b1,bw_b2))-(MAX(0,bw_b1)))/2*(-0.7745966692414834)&lt;bw_h0,0,bw_A0_1+bw_A1_1*MIN(((MAX(0,bw_b1))+(MIN(bw_b1,bw_b2)))/2+((MIN(bw_b1,bw_b2))-(MAX(0,bw_b1)))/2*(-0.7745966692414834)-bw_h0,bw_zw)+bw_A2_1*MAX(0,((MAX(0,bw_b1))+(MIN(bw_b1,bw_b2)))/2+((MIN(bw_b1,bw_b2))-(MAX(0,bw_b1)))/2*(-0.7745966692414834)-bw_h0-bw_zw))*(1)+0.8888888888888888*IF(((MAX(0,bw_b1))+(MIN(bw_b1,bw_b2)))/2+((MIN(bw_b1,bw_b2))-(MAX(0,bw_b1)))/2*(0.0)&lt;bw_h0,0,bw_A0_1+bw_A1_1*MIN(((MAX(0,bw_b1))+(MIN(bw_b1,bw_b2)))/2+((MIN(bw_b1,bw_b2))-(MAX(0,bw_b1)))/2*(0.0)-bw_h0,bw_zw)+bw_A2_1*MAX(0,((MAX(0,bw_b1))+(MIN(bw_b1,bw_b2)))/2+((MIN(bw_b1,bw_b2))-(MAX(0,bw_b1)))/2*(0.0)-bw_h0-bw_zw))*(1)+0.5555555555555556*IF(((MAX(0,bw_b1))+(MIN(bw_b1,bw_b2)))/2+((MIN(bw_b1,bw_b2))-(MAX(0,bw_b1)))/2*(0.7745966692414834)&lt;bw_h0,0,bw_A0_1+bw_A1_1*MIN(((MAX(0,bw_b1))+(MIN(bw_b1,bw_b2)))/2+((MIN(bw_b1,bw_b2))-(MAX(0,bw_b1)))/2*(0.7745966692414834)-bw_h0,bw_zw)+bw_A2_1*MAX(0,((MAX(0,bw_b1))+(MIN(bw_b1,bw_b2)))/2+((MIN(bw_b1,bw_b2))-(MAX(0,bw_b1)))/2*(0.7745966692414834)-bw_h0-bw_zw))*(1)),0)+IF(MIN(bw_b1,bw_L)&gt;MAX(0,bw_b2),((MIN(bw_b1,bw_L))-(MAX(0,bw_b2)))/2*(0.5555555555555556*IF(((MAX(0,bw_b2))+(MIN(bw_b1,bw_L)))/2+((MIN(bw_b1,bw_L))-(MAX(0,bw_b2)))/2*(-0.7745966692414834)&lt;bw_h0,0,bw_A0_1+bw_A1_1*MIN(((MAX(0,bw_b2))+(MIN(bw_b1,bw_L)))/2+((MIN(bw_b1,bw_L))-(MAX(0,bw_b2)))/2*(-0.7745966692414834)-bw_h0,bw_zw)+bw_A2_1*MAX(0,((MAX(0,bw_b2))+(MIN(bw_b1,bw_L)))/2+((MIN(bw_b1,bw_L))-(MAX(0,bw_b2)))/2*(-0.7745966692414834)-bw_h0-bw_zw))*(1)+0.8888888888888888*IF(((MAX(0,bw_b2))+(MIN(bw_b1,bw_L)))/2+((MIN(bw_b1,bw_L))-(MAX(0,bw_b2)))/2*(0.0)&lt;bw_h0,0,bw_A0_1+bw_A1_1*MIN(((MAX(0,bw_b2))+(MIN(bw_b1,bw_L)))/2+((MIN(bw_b1,bw_L))-(MAX(0,bw_b2)))/2*(0.0)-bw_h0,bw_zw)+bw_A2_1*MAX(0,((MAX(0,bw_b2))+(MIN(bw_b1,bw_L)))/2+((MIN(bw_b1,bw_L))-(MAX(0,bw_b2)))/2*(0.0)-bw_h0-bw_zw))*(1)+0.5555555555555556*IF(((MAX(0,bw_b2))+(MIN(bw_b1,bw_L)))/2+((MIN(bw_b1,bw_L))-(MAX(0,bw_b2)))/2*(0.7745966692414834)&lt;bw_h0,0,bw_A0_1+bw_A1_1*MIN(((MAX(0,bw_b2))+(MIN(bw_b1,bw_L)))/2+((MIN(bw_b1,bw_L))-(MAX(0,bw_b2)))/2*(0.7745966692414834)-bw_h0,bw_zw)+bw_A2_1*MAX(0,((MAX(0,bw_b2))+(MIN(bw_b1,bw_L)))/2+((MIN(bw_b1,bw_L))-(MAX(0,bw_b2)))/2*(0.7745966692414834)-bw_h0-bw_zw))*(1)),0))</definedName>
    <definedName name="bw_Ve1_1">bw_R_1-(IF(MIN(bw_b2,bw_b2)&gt;MAX(0,bw_b1),((MIN(bw_b2,bw_b2))-(MAX(0,bw_b1)))/2*(0.5555555555555556*IF(((MAX(0,bw_b1))+(MIN(bw_b2,bw_b2)))/2+((MIN(bw_b2,bw_b2))-(MAX(0,bw_b1)))/2*(-0.7745966692414834)&lt;bw_h0,0,bw_A0_1+bw_A1_1*MIN(((MAX(0,bw_b1))+(MIN(bw_b2,bw_b2)))/2+((MIN(bw_b2,bw_b2))-(MAX(0,bw_b1)))/2*(-0.7745966692414834)-bw_h0,bw_zw)+bw_A2_1*MAX(0,((MAX(0,bw_b1))+(MIN(bw_b2,bw_b2)))/2+((MIN(bw_b2,bw_b2))-(MAX(0,bw_b1)))/2*(-0.7745966692414834)-bw_h0-bw_zw))*(1)+0.8888888888888888*IF(((MAX(0,bw_b1))+(MIN(bw_b2,bw_b2)))/2+((MIN(bw_b2,bw_b2))-(MAX(0,bw_b1)))/2*(0.0)&lt;bw_h0,0,bw_A0_1+bw_A1_1*MIN(((MAX(0,bw_b1))+(MIN(bw_b2,bw_b2)))/2+((MIN(bw_b2,bw_b2))-(MAX(0,bw_b1)))/2*(0.0)-bw_h0,bw_zw)+bw_A2_1*MAX(0,((MAX(0,bw_b1))+(MIN(bw_b2,bw_b2)))/2+((MIN(bw_b2,bw_b2))-(MAX(0,bw_b1)))/2*(0.0)-bw_h0-bw_zw))*(1)+0.5555555555555556*IF(((MAX(0,bw_b1))+(MIN(bw_b2,bw_b2)))/2+((MIN(bw_b2,bw_b2))-(MAX(0,bw_b1)))/2*(0.7745966692414834)&lt;bw_h0,0,bw_A0_1+bw_A1_1*MIN(((MAX(0,bw_b1))+(MIN(bw_b2,bw_b2)))/2+((MIN(bw_b2,bw_b2))-(MAX(0,bw_b1)))/2*(0.7745966692414834)-bw_h0,bw_zw)+bw_A2_1*MAX(0,((MAX(0,bw_b1))+(MIN(bw_b2,bw_b2)))/2+((MIN(bw_b2,bw_b2))-(MAX(0,bw_b1)))/2*(0.7745966692414834)-bw_h0-bw_zw))*(1)),0)+IF(MIN(bw_b2,bw_L)&gt;MAX(0,bw_b2),((MIN(bw_b2,bw_L))-(MAX(0,bw_b2)))/2*(0.5555555555555556*IF(((MAX(0,bw_b2))+(MIN(bw_b2,bw_L)))/2+((MIN(bw_b2,bw_L))-(MAX(0,bw_b2)))/2*(-0.7745966692414834)&lt;bw_h0,0,bw_A0_1+bw_A1_1*MIN(((MAX(0,bw_b2))+(MIN(bw_b2,bw_L)))/2+((MIN(bw_b2,bw_L))-(MAX(0,bw_b2)))/2*(-0.7745966692414834)-bw_h0,bw_zw)+bw_A2_1*MAX(0,((MAX(0,bw_b2))+(MIN(bw_b2,bw_L)))/2+((MIN(bw_b2,bw_L))-(MAX(0,bw_b2)))/2*(-0.7745966692414834)-bw_h0-bw_zw))*(1)+0.8888888888888888*IF(((MAX(0,bw_b2))+(MIN(bw_b2,bw_L)))/2+((MIN(bw_b2,bw_L))-(MAX(0,bw_b2)))/2*(0.0)&lt;bw_h0,0,bw_A0_1+bw_A1_1*MIN(((MAX(0,bw_b2))+(MIN(bw_b2,bw_L)))/2+((MIN(bw_b2,bw_L))-(MAX(0,bw_b2)))/2*(0.0)-bw_h0,bw_zw)+bw_A2_1*MAX(0,((MAX(0,bw_b2))+(MIN(bw_b2,bw_L)))/2+((MIN(bw_b2,bw_L))-(MAX(0,bw_b2)))/2*(0.0)-bw_h0-bw_zw))*(1)+0.5555555555555556*IF(((MAX(0,bw_b2))+(MIN(bw_b2,bw_L)))/2+((MIN(bw_b2,bw_L))-(MAX(0,bw_b2)))/2*(0.7745966692414834)&lt;bw_h0,0,bw_A0_1+bw_A1_1*MIN(((MAX(0,bw_b2))+(MIN(bw_b2,bw_L)))/2+((MIN(bw_b2,bw_L))-(MAX(0,bw_b2)))/2*(0.7745966692414834)-bw_h0,bw_zw)+bw_A2_1*MAX(0,((MAX(0,bw_b2))+(MIN(bw_b2,bw_L)))/2+((MIN(bw_b2,bw_L))-(MAX(0,bw_b2)))/2*(0.7745966692414834)-bw_h0-bw_zw))*(1)),0))</definedName>
    <definedName name="bw_c1_1">bw_A1_1</definedName>
    <definedName name="bw_p1_1">bw_A0_1</definedName>
    <definedName name="bw_x1_1">bw_b1+2*bw_Vs1_1/(bw_p1_1+SQRT(bw_p1_1^2+2*bw_c1_1*bw_Vs1_1))</definedName>
    <definedName name="bw_Vs2_1">bw_R_1-(IF(MIN(bw_b2,bw_b2)&gt;MAX(0,bw_b1),((MIN(bw_b2,bw_b2))-(MAX(0,bw_b1)))/2*(0.5555555555555556*IF(((MAX(0,bw_b1))+(MIN(bw_b2,bw_b2)))/2+((MIN(bw_b2,bw_b2))-(MAX(0,bw_b1)))/2*(-0.7745966692414834)&lt;bw_h0,0,bw_A0_1+bw_A1_1*MIN(((MAX(0,bw_b1))+(MIN(bw_b2,bw_b2)))/2+((MIN(bw_b2,bw_b2))-(MAX(0,bw_b1)))/2*(-0.7745966692414834)-bw_h0,bw_zw)+bw_A2_1*MAX(0,((MAX(0,bw_b1))+(MIN(bw_b2,bw_b2)))/2+((MIN(bw_b2,bw_b2))-(MAX(0,bw_b1)))/2*(-0.7745966692414834)-bw_h0-bw_zw))*(1)+0.8888888888888888*IF(((MAX(0,bw_b1))+(MIN(bw_b2,bw_b2)))/2+((MIN(bw_b2,bw_b2))-(MAX(0,bw_b1)))/2*(0.0)&lt;bw_h0,0,bw_A0_1+bw_A1_1*MIN(((MAX(0,bw_b1))+(MIN(bw_b2,bw_b2)))/2+((MIN(bw_b2,bw_b2))-(MAX(0,bw_b1)))/2*(0.0)-bw_h0,bw_zw)+bw_A2_1*MAX(0,((MAX(0,bw_b1))+(MIN(bw_b2,bw_b2)))/2+((MIN(bw_b2,bw_b2))-(MAX(0,bw_b1)))/2*(0.0)-bw_h0-bw_zw))*(1)+0.5555555555555556*IF(((MAX(0,bw_b1))+(MIN(bw_b2,bw_b2)))/2+((MIN(bw_b2,bw_b2))-(MAX(0,bw_b1)))/2*(0.7745966692414834)&lt;bw_h0,0,bw_A0_1+bw_A1_1*MIN(((MAX(0,bw_b1))+(MIN(bw_b2,bw_b2)))/2+((MIN(bw_b2,bw_b2))-(MAX(0,bw_b1)))/2*(0.7745966692414834)-bw_h0,bw_zw)+bw_A2_1*MAX(0,((MAX(0,bw_b1))+(MIN(bw_b2,bw_b2)))/2+((MIN(bw_b2,bw_b2))-(MAX(0,bw_b1)))/2*(0.7745966692414834)-bw_h0-bw_zw))*(1)),0)+IF(MIN(bw_b2,bw_L)&gt;MAX(0,bw_b2),((MIN(bw_b2,bw_L))-(MAX(0,bw_b2)))/2*(0.5555555555555556*IF(((MAX(0,bw_b2))+(MIN(bw_b2,bw_L)))/2+((MIN(bw_b2,bw_L))-(MAX(0,bw_b2)))/2*(-0.7745966692414834)&lt;bw_h0,0,bw_A0_1+bw_A1_1*MIN(((MAX(0,bw_b2))+(MIN(bw_b2,bw_L)))/2+((MIN(bw_b2,bw_L))-(MAX(0,bw_b2)))/2*(-0.7745966692414834)-bw_h0,bw_zw)+bw_A2_1*MAX(0,((MAX(0,bw_b2))+(MIN(bw_b2,bw_L)))/2+((MIN(bw_b2,bw_L))-(MAX(0,bw_b2)))/2*(-0.7745966692414834)-bw_h0-bw_zw))*(1)+0.8888888888888888*IF(((MAX(0,bw_b2))+(MIN(bw_b2,bw_L)))/2+((MIN(bw_b2,bw_L))-(MAX(0,bw_b2)))/2*(0.0)&lt;bw_h0,0,bw_A0_1+bw_A1_1*MIN(((MAX(0,bw_b2))+(MIN(bw_b2,bw_L)))/2+((MIN(bw_b2,bw_L))-(MAX(0,bw_b2)))/2*(0.0)-bw_h0,bw_zw)+bw_A2_1*MAX(0,((MAX(0,bw_b2))+(MIN(bw_b2,bw_L)))/2+((MIN(bw_b2,bw_L))-(MAX(0,bw_b2)))/2*(0.0)-bw_h0-bw_zw))*(1)+0.5555555555555556*IF(((MAX(0,bw_b2))+(MIN(bw_b2,bw_L)))/2+((MIN(bw_b2,bw_L))-(MAX(0,bw_b2)))/2*(0.7745966692414834)&lt;bw_h0,0,bw_A0_1+bw_A1_1*MIN(((MAX(0,bw_b2))+(MIN(bw_b2,bw_L)))/2+((MIN(bw_b2,bw_L))-(MAX(0,bw_b2)))/2*(0.7745966692414834)-bw_h0,bw_zw)+bw_A2_1*MAX(0,((MAX(0,bw_b2))+(MIN(bw_b2,bw_L)))/2+((MIN(bw_b2,bw_L))-(MAX(0,bw_b2)))/2*(0.7745966692414834)-bw_h0-bw_zw))*(1)),0))</definedName>
    <definedName name="bw_Ve2_1">bw_R_1-(IF(MIN(bw_L,bw_b2)&gt;MAX(0,bw_b1),((MIN(bw_L,bw_b2))-(MAX(0,bw_b1)))/2*(0.5555555555555556*IF(((MAX(0,bw_b1))+(MIN(bw_L,bw_b2)))/2+((MIN(bw_L,bw_b2))-(MAX(0,bw_b1)))/2*(-0.7745966692414834)&lt;bw_h0,0,bw_A0_1+bw_A1_1*MIN(((MAX(0,bw_b1))+(MIN(bw_L,bw_b2)))/2+((MIN(bw_L,bw_b2))-(MAX(0,bw_b1)))/2*(-0.7745966692414834)-bw_h0,bw_zw)+bw_A2_1*MAX(0,((MAX(0,bw_b1))+(MIN(bw_L,bw_b2)))/2+((MIN(bw_L,bw_b2))-(MAX(0,bw_b1)))/2*(-0.7745966692414834)-bw_h0-bw_zw))*(1)+0.8888888888888888*IF(((MAX(0,bw_b1))+(MIN(bw_L,bw_b2)))/2+((MIN(bw_L,bw_b2))-(MAX(0,bw_b1)))/2*(0.0)&lt;bw_h0,0,bw_A0_1+bw_A1_1*MIN(((MAX(0,bw_b1))+(MIN(bw_L,bw_b2)))/2+((MIN(bw_L,bw_b2))-(MAX(0,bw_b1)))/2*(0.0)-bw_h0,bw_zw)+bw_A2_1*MAX(0,((MAX(0,bw_b1))+(MIN(bw_L,bw_b2)))/2+((MIN(bw_L,bw_b2))-(MAX(0,bw_b1)))/2*(0.0)-bw_h0-bw_zw))*(1)+0.5555555555555556*IF(((MAX(0,bw_b1))+(MIN(bw_L,bw_b2)))/2+((MIN(bw_L,bw_b2))-(MAX(0,bw_b1)))/2*(0.7745966692414834)&lt;bw_h0,0,bw_A0_1+bw_A1_1*MIN(((MAX(0,bw_b1))+(MIN(bw_L,bw_b2)))/2+((MIN(bw_L,bw_b2))-(MAX(0,bw_b1)))/2*(0.7745966692414834)-bw_h0,bw_zw)+bw_A2_1*MAX(0,((MAX(0,bw_b1))+(MIN(bw_L,bw_b2)))/2+((MIN(bw_L,bw_b2))-(MAX(0,bw_b1)))/2*(0.7745966692414834)-bw_h0-bw_zw))*(1)),0)+IF(MIN(bw_L,bw_L)&gt;MAX(0,bw_b2),((MIN(bw_L,bw_L))-(MAX(0,bw_b2)))/2*(0.5555555555555556*IF(((MAX(0,bw_b2))+(MIN(bw_L,bw_L)))/2+((MIN(bw_L,bw_L))-(MAX(0,bw_b2)))/2*(-0.7745966692414834)&lt;bw_h0,0,bw_A0_1+bw_A1_1*MIN(((MAX(0,bw_b2))+(MIN(bw_L,bw_L)))/2+((MIN(bw_L,bw_L))-(MAX(0,bw_b2)))/2*(-0.7745966692414834)-bw_h0,bw_zw)+bw_A2_1*MAX(0,((MAX(0,bw_b2))+(MIN(bw_L,bw_L)))/2+((MIN(bw_L,bw_L))-(MAX(0,bw_b2)))/2*(-0.7745966692414834)-bw_h0-bw_zw))*(1)+0.8888888888888888*IF(((MAX(0,bw_b2))+(MIN(bw_L,bw_L)))/2+((MIN(bw_L,bw_L))-(MAX(0,bw_b2)))/2*(0.0)&lt;bw_h0,0,bw_A0_1+bw_A1_1*MIN(((MAX(0,bw_b2))+(MIN(bw_L,bw_L)))/2+((MIN(bw_L,bw_L))-(MAX(0,bw_b2)))/2*(0.0)-bw_h0,bw_zw)+bw_A2_1*MAX(0,((MAX(0,bw_b2))+(MIN(bw_L,bw_L)))/2+((MIN(bw_L,bw_L))-(MAX(0,bw_b2)))/2*(0.0)-bw_h0-bw_zw))*(1)+0.5555555555555556*IF(((MAX(0,bw_b2))+(MIN(bw_L,bw_L)))/2+((MIN(bw_L,bw_L))-(MAX(0,bw_b2)))/2*(0.7745966692414834)&lt;bw_h0,0,bw_A0_1+bw_A1_1*MIN(((MAX(0,bw_b2))+(MIN(bw_L,bw_L)))/2+((MIN(bw_L,bw_L))-(MAX(0,bw_b2)))/2*(0.7745966692414834)-bw_h0,bw_zw)+bw_A2_1*MAX(0,((MAX(0,bw_b2))+(MIN(bw_L,bw_L)))/2+((MIN(bw_L,bw_L))-(MAX(0,bw_b2)))/2*(0.7745966692414834)-bw_h0-bw_zw))*(1)),0))</definedName>
    <definedName name="bw_c2_1">bw_A2_1</definedName>
    <definedName name="bw_p2_1">bw_A0_1+bw_A1_1*bw_zw</definedName>
    <definedName name="bw_x2_1">bw_b2+2*bw_Vs2_1/(bw_p2_1+SQRT(bw_p2_1^2+2*bw_c2_1*bw_Vs2_1))</definedName>
    <definedName name="bw_xm_1">IF(AND(bw_b2&gt;bw_b1,bw_Vs1_1&gt;0,bw_Ve1_1&lt;=0),bw_x1_1,bw_x2_1)</definedName>
    <definedName name="bw_A0_2">1.3*K0_2*q_bw</definedName>
    <definedName name="bw_A1_2">1*K0_2*gam_bw</definedName>
    <definedName name="bw_A2_2">1*(K0_2*(gsat_bw-9.81)+9.81)</definedName>
    <definedName name="bw_pmax_2">IF(bw_L&lt;bw_h0,0,bw_A0_2+bw_A1_2*MIN(bw_L-bw_h0,bw_zw)+bw_A2_2*MAX(0,bw_L-bw_h0-bw_zw))</definedName>
    <definedName name="bw_R_2">IF(base_bw="Fixed",(IF(MIN(bw_L,bw_b2)&gt;MAX(0,bw_b1),((MIN(bw_L,bw_b2))-(MAX(0,bw_b1)))/2*(0.5555555555555556*IF(((MAX(0,bw_b1))+(MIN(bw_L,bw_b2)))/2+((MIN(bw_L,bw_b2))-(MAX(0,bw_b1)))/2*(-0.7745966692414834)&lt;bw_h0,0,bw_A0_2+bw_A1_2*MIN(((MAX(0,bw_b1))+(MIN(bw_L,bw_b2)))/2+((MIN(bw_L,bw_b2))-(MAX(0,bw_b1)))/2*(-0.7745966692414834)-bw_h0,bw_zw)+bw_A2_2*MAX(0,((MAX(0,bw_b1))+(MIN(bw_L,bw_b2)))/2+((MIN(bw_L,bw_b2))-(MAX(0,bw_b1)))/2*(-0.7745966692414834)-bw_h0-bw_zw))*((bw_L-(((MAX(0,bw_b1))+(MIN(bw_L,bw_b2)))/2+((MIN(bw_L,bw_b2))-(MAX(0,bw_b1)))/2*(-0.7745966692414834)))^2*(2*bw_L+(((MAX(0,bw_b1))+(MIN(bw_L,bw_b2)))/2+((MIN(bw_L,bw_b2))-(MAX(0,bw_b1)))/2*(-0.7745966692414834)))/(2*bw_L^3))+0.8888888888888888*IF(((MAX(0,bw_b1))+(MIN(bw_L,bw_b2)))/2+((MIN(bw_L,bw_b2))-(MAX(0,bw_b1)))/2*(0.0)&lt;bw_h0,0,bw_A0_2+bw_A1_2*MIN(((MAX(0,bw_b1))+(MIN(bw_L,bw_b2)))/2+((MIN(bw_L,bw_b2))-(MAX(0,bw_b1)))/2*(0.0)-bw_h0,bw_zw)+bw_A2_2*MAX(0,((MAX(0,bw_b1))+(MIN(bw_L,bw_b2)))/2+((MIN(bw_L,bw_b2))-(MAX(0,bw_b1)))/2*(0.0)-bw_h0-bw_zw))*((bw_L-(((MAX(0,bw_b1))+(MIN(bw_L,bw_b2)))/2+((MIN(bw_L,bw_b2))-(MAX(0,bw_b1)))/2*(0.0)))^2*(2*bw_L+(((MAX(0,bw_b1))+(MIN(bw_L,bw_b2)))/2+((MIN(bw_L,bw_b2))-(MAX(0,bw_b1)))/2*(0.0)))/(2*bw_L^3))+0.5555555555555556*IF(((MAX(0,bw_b1))+(MIN(bw_L,bw_b2)))/2+((MIN(bw_L,bw_b2))-(MAX(0,bw_b1)))/2*(0.7745966692414834)&lt;bw_h0,0,bw_A0_2+bw_A1_2*MIN(((MAX(0,bw_b1))+(MIN(bw_L,bw_b2)))/2+((MIN(bw_L,bw_b2))-(MAX(0,bw_b1)))/2*(0.7745966692414834)-bw_h0,bw_zw)+bw_A2_2*MAX(0,((MAX(0,bw_b1))+(MIN(bw_L,bw_b2)))/2+((MIN(bw_L,bw_b2))-(MAX(0,bw_b1)))/2*(0.7745966692414834)-bw_h0-bw_zw))*((bw_L-(((MAX(0,bw_b1))+(MIN(bw_L,bw_b2)))/2+((MIN(bw_L,bw_b2))-(MAX(0,bw_b1)))/2*(0.7745966692414834)))^2*(2*bw_L+(((MAX(0,bw_b1))+(MIN(bw_L,bw_b2)))/2+((MIN(bw_L,bw_b2))-(MAX(0,bw_b1)))/2*(0.7745966692414834)))/(2*bw_L^3))),0)+IF(MIN(bw_L,bw_L)&gt;MAX(0,bw_b2),((MIN(bw_L,bw_L))-(MAX(0,bw_b2)))/2*(0.5555555555555556*IF(((MAX(0,bw_b2))+(MIN(bw_L,bw_L)))/2+((MIN(bw_L,bw_L))-(MAX(0,bw_b2)))/2*(-0.7745966692414834)&lt;bw_h0,0,bw_A0_2+bw_A1_2*MIN(((MAX(0,bw_b2))+(MIN(bw_L,bw_L)))/2+((MIN(bw_L,bw_L))-(MAX(0,bw_b2)))/2*(-0.7745966692414834)-bw_h0,bw_zw)+bw_A2_2*MAX(0,((MAX(0,bw_b2))+(MIN(bw_L,bw_L)))/2+((MIN(bw_L,bw_L))-(MAX(0,bw_b2)))/2*(-0.7745966692414834)-bw_h0-bw_zw))*((bw_L-(((MAX(0,bw_b2))+(MIN(bw_L,bw_L)))/2+((MIN(bw_L,bw_L))-(MAX(0,bw_b2)))/2*(-0.7745966692414834)))^2*(2*bw_L+(((MAX(0,bw_b2))+(MIN(bw_L,bw_L)))/2+((MIN(bw_L,bw_L))-(MAX(0,bw_b2)))/2*(-0.7745966692414834)))/(2*bw_L^3))+0.8888888888888888*IF(((MAX(0,bw_b2))+(MIN(bw_L,bw_L)))/2+((MIN(bw_L,bw_L))-(MAX(0,bw_b2)))/2*(0.0)&lt;bw_h0,0,bw_A0_2+bw_A1_2*MIN(((MAX(0,bw_b2))+(MIN(bw_L,bw_L)))/2+((MIN(bw_L,bw_L))-(MAX(0,bw_b2)))/2*(0.0)-bw_h0,bw_zw)+bw_A2_2*MAX(0,((MAX(0,bw_b2))+(MIN(bw_L,bw_L)))/2+((MIN(bw_L,bw_L))-(MAX(0,bw_b2)))/2*(0.0)-bw_h0-bw_zw))*((bw_L-(((MAX(0,bw_b2))+(MIN(bw_L,bw_L)))/2+((MIN(bw_L,bw_L))-(MAX(0,bw_b2)))/2*(0.0)))^2*(2*bw_L+(((MAX(0,bw_b2))+(MIN(bw_L,bw_L)))/2+((MIN(bw_L,bw_L))-(MAX(0,bw_b2)))/2*(0.0)))/(2*bw_L^3))+0.5555555555555556*IF(((MAX(0,bw_b2))+(MIN(bw_L,bw_L)))/2+((MIN(bw_L,bw_L))-(MAX(0,bw_b2)))/2*(0.7745966692414834)&lt;bw_h0,0,bw_A0_2+bw_A1_2*MIN(((MAX(0,bw_b2))+(MIN(bw_L,bw_L)))/2+((MIN(bw_L,bw_L))-(MAX(0,bw_b2)))/2*(0.7745966692414834)-bw_h0,bw_zw)+bw_A2_2*MAX(0,((MAX(0,bw_b2))+(MIN(bw_L,bw_L)))/2+((MIN(bw_L,bw_L))-(MAX(0,bw_b2)))/2*(0.7745966692414834)-bw_h0-bw_zw))*((bw_L-(((MAX(0,bw_b2))+(MIN(bw_L,bw_L)))/2+((MIN(bw_L,bw_L))-(MAX(0,bw_b2)))/2*(0.7745966692414834)))^2*(2*bw_L+(((MAX(0,bw_b2))+(MIN(bw_L,bw_L)))/2+((MIN(bw_L,bw_L))-(MAX(0,bw_b2)))/2*(0.7745966692414834)))/(2*bw_L^3))),0)),(IF(MIN(bw_L,bw_b2)&gt;MAX(0,bw_b1),((MIN(bw_L,bw_b2))-(MAX(0,bw_b1)))/2*(0.5555555555555556*IF(((MAX(0,bw_b1))+(MIN(bw_L,bw_b2)))/2+((MIN(bw_L,bw_b2))-(MAX(0,bw_b1)))/2*(-0.7745966692414834)&lt;bw_h0,0,bw_A0_2+bw_A1_2*MIN(((MAX(0,bw_b1))+(MIN(bw_L,bw_b2)))/2+((MIN(bw_L,bw_b2))-(MAX(0,bw_b1)))/2*(-0.7745966692414834)-bw_h0,bw_zw)+bw_A2_2*MAX(0,((MAX(0,bw_b1))+(MIN(bw_L,bw_b2)))/2+((MIN(bw_L,bw_b2))-(MAX(0,bw_b1)))/2*(-0.7745966692414834)-bw_h0-bw_zw))*((bw_L-(((MAX(0,bw_b1))+(MIN(bw_L,bw_b2)))/2+((MIN(bw_L,bw_b2))-(MAX(0,bw_b1)))/2*(-0.7745966692414834)))/bw_L)+0.8888888888888888*IF(((MAX(0,bw_b1))+(MIN(bw_L,bw_b2)))/2+((MIN(bw_L,bw_b2))-(MAX(0,bw_b1)))/2*(0.0)&lt;bw_h0,0,bw_A0_2+bw_A1_2*MIN(((MAX(0,bw_b1))+(MIN(bw_L,bw_b2)))/2+((MIN(bw_L,bw_b2))-(MAX(0,bw_b1)))/2*(0.0)-bw_h0,bw_zw)+bw_A2_2*MAX(0,((MAX(0,bw_b1))+(MIN(bw_L,bw_b2)))/2+((MIN(bw_L,bw_b2))-(MAX(0,bw_b1)))/2*(0.0)-bw_h0-bw_zw))*((bw_L-(((MAX(0,bw_b1))+(MIN(bw_L,bw_b2)))/2+((MIN(bw_L,bw_b2))-(MAX(0,bw_b1)))/2*(0.0)))/bw_L)+0.5555555555555556*IF(((MAX(0,bw_b1))+(MIN(bw_L,bw_b2)))/2+((MIN(bw_L,bw_b2))-(MAX(0,bw_b1)))/2*(0.7745966692414834)&lt;bw_h0,0,bw_A0_2+bw_A1_2*MIN(((MAX(0,bw_b1))+(MIN(bw_L,bw_b2)))/2+((MIN(bw_L,bw_b2))-(MAX(0,bw_b1)))/2*(0.7745966692414834)-bw_h0,bw_zw)+bw_A2_2*MAX(0,((MAX(0,bw_b1))+(MIN(bw_L,bw_b2)))/2+((MIN(bw_L,bw_b2))-(MAX(0,bw_b1)))/2*(0.7745966692414834)-bw_h0-bw_zw))*((bw_L-(((MAX(0,bw_b1))+(MIN(bw_L,bw_b2)))/2+((MIN(bw_L,bw_b2))-(MAX(0,bw_b1)))/2*(0.7745966692414834)))/bw_L)),0)+IF(MIN(bw_L,bw_L)&gt;MAX(0,bw_b2),((MIN(bw_L,bw_L))-(MAX(0,bw_b2)))/2*(0.5555555555555556*IF(((MAX(0,bw_b2))+(MIN(bw_L,bw_L)))/2+((MIN(bw_L,bw_L))-(MAX(0,bw_b2)))/2*(-0.7745966692414834)&lt;bw_h0,0,bw_A0_2+bw_A1_2*MIN(((MAX(0,bw_b2))+(MIN(bw_L,bw_L)))/2+((MIN(bw_L,bw_L))-(MAX(0,bw_b2)))/2*(-0.7745966692414834)-bw_h0,bw_zw)+bw_A2_2*MAX(0,((MAX(0,bw_b2))+(MIN(bw_L,bw_L)))/2+((MIN(bw_L,bw_L))-(MAX(0,bw_b2)))/2*(-0.7745966692414834)-bw_h0-bw_zw))*((bw_L-(((MAX(0,bw_b2))+(MIN(bw_L,bw_L)))/2+((MIN(bw_L,bw_L))-(MAX(0,bw_b2)))/2*(-0.7745966692414834)))/bw_L)+0.8888888888888888*IF(((MAX(0,bw_b2))+(MIN(bw_L,bw_L)))/2+((MIN(bw_L,bw_L))-(MAX(0,bw_b2)))/2*(0.0)&lt;bw_h0,0,bw_A0_2+bw_A1_2*MIN(((MAX(0,bw_b2))+(MIN(bw_L,bw_L)))/2+((MIN(bw_L,bw_L))-(MAX(0,bw_b2)))/2*(0.0)-bw_h0,bw_zw)+bw_A2_2*MAX(0,((MAX(0,bw_b2))+(MIN(bw_L,bw_L)))/2+((MIN(bw_L,bw_L))-(MAX(0,bw_b2)))/2*(0.0)-bw_h0-bw_zw))*((bw_L-(((MAX(0,bw_b2))+(MIN(bw_L,bw_L)))/2+((MIN(bw_L,bw_L))-(MAX(0,bw_b2)))/2*(0.0)))/bw_L)+0.5555555555555556*IF(((MAX(0,bw_b2))+(MIN(bw_L,bw_L)))/2+((MIN(bw_L,bw_L))-(MAX(0,bw_b2)))/2*(0.7745966692414834)&lt;bw_h0,0,bw_A0_2+bw_A1_2*MIN(((MAX(0,bw_b2))+(MIN(bw_L,bw_L)))/2+((MIN(bw_L,bw_L))-(MAX(0,bw_b2)))/2*(0.7745966692414834)-bw_h0,bw_zw)+bw_A2_2*MAX(0,((MAX(0,bw_b2))+(MIN(bw_L,bw_L)))/2+((MIN(bw_L,bw_L))-(MAX(0,bw_b2)))/2*(0.7745966692414834)-bw_h0-bw_zw))*((bw_L-(((MAX(0,bw_b2))+(MIN(bw_L,bw_L)))/2+((MIN(bw_L,bw_L))-(MAX(0,bw_b2)))/2*(0.7745966692414834)))/bw_L)),0)))</definedName>
    <definedName name="bw_W_2">(IF(MIN(bw_L,bw_b2)&gt;MAX(0,bw_b1),((MIN(bw_L,bw_b2))-(MAX(0,bw_b1)))/2*(0.5555555555555556*IF(((MAX(0,bw_b1))+(MIN(bw_L,bw_b2)))/2+((MIN(bw_L,bw_b2))-(MAX(0,bw_b1)))/2*(-0.7745966692414834)&lt;bw_h0,0,bw_A0_2+bw_A1_2*MIN(((MAX(0,bw_b1))+(MIN(bw_L,bw_b2)))/2+((MIN(bw_L,bw_b2))-(MAX(0,bw_b1)))/2*(-0.7745966692414834)-bw_h0,bw_zw)+bw_A2_2*MAX(0,((MAX(0,bw_b1))+(MIN(bw_L,bw_b2)))/2+((MIN(bw_L,bw_b2))-(MAX(0,bw_b1)))/2*(-0.7745966692414834)-bw_h0-bw_zw))*(1)+0.8888888888888888*IF(((MAX(0,bw_b1))+(MIN(bw_L,bw_b2)))/2+((MIN(bw_L,bw_b2))-(MAX(0,bw_b1)))/2*(0.0)&lt;bw_h0,0,bw_A0_2+bw_A1_2*MIN(((MAX(0,bw_b1))+(MIN(bw_L,bw_b2)))/2+((MIN(bw_L,bw_b2))-(MAX(0,bw_b1)))/2*(0.0)-bw_h0,bw_zw)+bw_A2_2*MAX(0,((MAX(0,bw_b1))+(MIN(bw_L,bw_b2)))/2+((MIN(bw_L,bw_b2))-(MAX(0,bw_b1)))/2*(0.0)-bw_h0-bw_zw))*(1)+0.5555555555555556*IF(((MAX(0,bw_b1))+(MIN(bw_L,bw_b2)))/2+((MIN(bw_L,bw_b2))-(MAX(0,bw_b1)))/2*(0.7745966692414834)&lt;bw_h0,0,bw_A0_2+bw_A1_2*MIN(((MAX(0,bw_b1))+(MIN(bw_L,bw_b2)))/2+((MIN(bw_L,bw_b2))-(MAX(0,bw_b1)))/2*(0.7745966692414834)-bw_h0,bw_zw)+bw_A2_2*MAX(0,((MAX(0,bw_b1))+(MIN(bw_L,bw_b2)))/2+((MIN(bw_L,bw_b2))-(MAX(0,bw_b1)))/2*(0.7745966692414834)-bw_h0-bw_zw))*(1)),0)+IF(MIN(bw_L,bw_L)&gt;MAX(0,bw_b2),((MIN(bw_L,bw_L))-(MAX(0,bw_b2)))/2*(0.5555555555555556*IF(((MAX(0,bw_b2))+(MIN(bw_L,bw_L)))/2+((MIN(bw_L,bw_L))-(MAX(0,bw_b2)))/2*(-0.7745966692414834)&lt;bw_h0,0,bw_A0_2+bw_A1_2*MIN(((MAX(0,bw_b2))+(MIN(bw_L,bw_L)))/2+((MIN(bw_L,bw_L))-(MAX(0,bw_b2)))/2*(-0.7745966692414834)-bw_h0,bw_zw)+bw_A2_2*MAX(0,((MAX(0,bw_b2))+(MIN(bw_L,bw_L)))/2+((MIN(bw_L,bw_L))-(MAX(0,bw_b2)))/2*(-0.7745966692414834)-bw_h0-bw_zw))*(1)+0.8888888888888888*IF(((MAX(0,bw_b2))+(MIN(bw_L,bw_L)))/2+((MIN(bw_L,bw_L))-(MAX(0,bw_b2)))/2*(0.0)&lt;bw_h0,0,bw_A0_2+bw_A1_2*MIN(((MAX(0,bw_b2))+(MIN(bw_L,bw_L)))/2+((MIN(bw_L,bw_L))-(MAX(0,bw_b2)))/2*(0.0)-bw_h0,bw_zw)+bw_A2_2*MAX(0,((MAX(0,bw_b2))+(MIN(bw_L,bw_L)))/2+((MIN(bw_L,bw_L))-(MAX(0,bw_b2)))/2*(0.0)-bw_h0-bw_zw))*(1)+0.5555555555555556*IF(((MAX(0,bw_b2))+(MIN(bw_L,bw_L)))/2+((MIN(bw_L,bw_L))-(MAX(0,bw_b2)))/2*(0.7745966692414834)&lt;bw_h0,0,bw_A0_2+bw_A1_2*MIN(((MAX(0,bw_b2))+(MIN(bw_L,bw_L)))/2+((MIN(bw_L,bw_L))-(MAX(0,bw_b2)))/2*(0.7745966692414834)-bw_h0,bw_zw)+bw_A2_2*MAX(0,((MAX(0,bw_b2))+(MIN(bw_L,bw_L)))/2+((MIN(bw_L,bw_L))-(MAX(0,bw_b2)))/2*(0.7745966692414834)-bw_h0-bw_zw))*(1)),0))</definedName>
    <definedName name="bw_Rb_2">bw_W_2-bw_R_2</definedName>
    <definedName name="bw_Vs1_2">bw_R_2-(IF(MIN(bw_b1,bw_b2)&gt;MAX(0,bw_b1),((MIN(bw_b1,bw_b2))-(MAX(0,bw_b1)))/2*(0.5555555555555556*IF(((MAX(0,bw_b1))+(MIN(bw_b1,bw_b2)))/2+((MIN(bw_b1,bw_b2))-(MAX(0,bw_b1)))/2*(-0.7745966692414834)&lt;bw_h0,0,bw_A0_2+bw_A1_2*MIN(((MAX(0,bw_b1))+(MIN(bw_b1,bw_b2)))/2+((MIN(bw_b1,bw_b2))-(MAX(0,bw_b1)))/2*(-0.7745966692414834)-bw_h0,bw_zw)+bw_A2_2*MAX(0,((MAX(0,bw_b1))+(MIN(bw_b1,bw_b2)))/2+((MIN(bw_b1,bw_b2))-(MAX(0,bw_b1)))/2*(-0.7745966692414834)-bw_h0-bw_zw))*(1)+0.8888888888888888*IF(((MAX(0,bw_b1))+(MIN(bw_b1,bw_b2)))/2+((MIN(bw_b1,bw_b2))-(MAX(0,bw_b1)))/2*(0.0)&lt;bw_h0,0,bw_A0_2+bw_A1_2*MIN(((MAX(0,bw_b1))+(MIN(bw_b1,bw_b2)))/2+((MIN(bw_b1,bw_b2))-(MAX(0,bw_b1)))/2*(0.0)-bw_h0,bw_zw)+bw_A2_2*MAX(0,((MAX(0,bw_b1))+(MIN(bw_b1,bw_b2)))/2+((MIN(bw_b1,bw_b2))-(MAX(0,bw_b1)))/2*(0.0)-bw_h0-bw_zw))*(1)+0.5555555555555556*IF(((MAX(0,bw_b1))+(MIN(bw_b1,bw_b2)))/2+((MIN(bw_b1,bw_b2))-(MAX(0,bw_b1)))/2*(0.7745966692414834)&lt;bw_h0,0,bw_A0_2+bw_A1_2*MIN(((MAX(0,bw_b1))+(MIN(bw_b1,bw_b2)))/2+((MIN(bw_b1,bw_b2))-(MAX(0,bw_b1)))/2*(0.7745966692414834)-bw_h0,bw_zw)+bw_A2_2*MAX(0,((MAX(0,bw_b1))+(MIN(bw_b1,bw_b2)))/2+((MIN(bw_b1,bw_b2))-(MAX(0,bw_b1)))/2*(0.7745966692414834)-bw_h0-bw_zw))*(1)),0)+IF(MIN(bw_b1,bw_L)&gt;MAX(0,bw_b2),((MIN(bw_b1,bw_L))-(MAX(0,bw_b2)))/2*(0.5555555555555556*IF(((MAX(0,bw_b2))+(MIN(bw_b1,bw_L)))/2+((MIN(bw_b1,bw_L))-(MAX(0,bw_b2)))/2*(-0.7745966692414834)&lt;bw_h0,0,bw_A0_2+bw_A1_2*MIN(((MAX(0,bw_b2))+(MIN(bw_b1,bw_L)))/2+((MIN(bw_b1,bw_L))-(MAX(0,bw_b2)))/2*(-0.7745966692414834)-bw_h0,bw_zw)+bw_A2_2*MAX(0,((MAX(0,bw_b2))+(MIN(bw_b1,bw_L)))/2+((MIN(bw_b1,bw_L))-(MAX(0,bw_b2)))/2*(-0.7745966692414834)-bw_h0-bw_zw))*(1)+0.8888888888888888*IF(((MAX(0,bw_b2))+(MIN(bw_b1,bw_L)))/2+((MIN(bw_b1,bw_L))-(MAX(0,bw_b2)))/2*(0.0)&lt;bw_h0,0,bw_A0_2+bw_A1_2*MIN(((MAX(0,bw_b2))+(MIN(bw_b1,bw_L)))/2+((MIN(bw_b1,bw_L))-(MAX(0,bw_b2)))/2*(0.0)-bw_h0,bw_zw)+bw_A2_2*MAX(0,((MAX(0,bw_b2))+(MIN(bw_b1,bw_L)))/2+((MIN(bw_b1,bw_L))-(MAX(0,bw_b2)))/2*(0.0)-bw_h0-bw_zw))*(1)+0.5555555555555556*IF(((MAX(0,bw_b2))+(MIN(bw_b1,bw_L)))/2+((MIN(bw_b1,bw_L))-(MAX(0,bw_b2)))/2*(0.7745966692414834)&lt;bw_h0,0,bw_A0_2+bw_A1_2*MIN(((MAX(0,bw_b2))+(MIN(bw_b1,bw_L)))/2+((MIN(bw_b1,bw_L))-(MAX(0,bw_b2)))/2*(0.7745966692414834)-bw_h0,bw_zw)+bw_A2_2*MAX(0,((MAX(0,bw_b2))+(MIN(bw_b1,bw_L)))/2+((MIN(bw_b1,bw_L))-(MAX(0,bw_b2)))/2*(0.7745966692414834)-bw_h0-bw_zw))*(1)),0))</definedName>
    <definedName name="bw_Ve1_2">bw_R_2-(IF(MIN(bw_b2,bw_b2)&gt;MAX(0,bw_b1),((MIN(bw_b2,bw_b2))-(MAX(0,bw_b1)))/2*(0.5555555555555556*IF(((MAX(0,bw_b1))+(MIN(bw_b2,bw_b2)))/2+((MIN(bw_b2,bw_b2))-(MAX(0,bw_b1)))/2*(-0.7745966692414834)&lt;bw_h0,0,bw_A0_2+bw_A1_2*MIN(((MAX(0,bw_b1))+(MIN(bw_b2,bw_b2)))/2+((MIN(bw_b2,bw_b2))-(MAX(0,bw_b1)))/2*(-0.7745966692414834)-bw_h0,bw_zw)+bw_A2_2*MAX(0,((MAX(0,bw_b1))+(MIN(bw_b2,bw_b2)))/2+((MIN(bw_b2,bw_b2))-(MAX(0,bw_b1)))/2*(-0.7745966692414834)-bw_h0-bw_zw))*(1)+0.8888888888888888*IF(((MAX(0,bw_b1))+(MIN(bw_b2,bw_b2)))/2+((MIN(bw_b2,bw_b2))-(MAX(0,bw_b1)))/2*(0.0)&lt;bw_h0,0,bw_A0_2+bw_A1_2*MIN(((MAX(0,bw_b1))+(MIN(bw_b2,bw_b2)))/2+((MIN(bw_b2,bw_b2))-(MAX(0,bw_b1)))/2*(0.0)-bw_h0,bw_zw)+bw_A2_2*MAX(0,((MAX(0,bw_b1))+(MIN(bw_b2,bw_b2)))/2+((MIN(bw_b2,bw_b2))-(MAX(0,bw_b1)))/2*(0.0)-bw_h0-bw_zw))*(1)+0.5555555555555556*IF(((MAX(0,bw_b1))+(MIN(bw_b2,bw_b2)))/2+((MIN(bw_b2,bw_b2))-(MAX(0,bw_b1)))/2*(0.7745966692414834)&lt;bw_h0,0,bw_A0_2+bw_A1_2*MIN(((MAX(0,bw_b1))+(MIN(bw_b2,bw_b2)))/2+((MIN(bw_b2,bw_b2))-(MAX(0,bw_b1)))/2*(0.7745966692414834)-bw_h0,bw_zw)+bw_A2_2*MAX(0,((MAX(0,bw_b1))+(MIN(bw_b2,bw_b2)))/2+((MIN(bw_b2,bw_b2))-(MAX(0,bw_b1)))/2*(0.7745966692414834)-bw_h0-bw_zw))*(1)),0)+IF(MIN(bw_b2,bw_L)&gt;MAX(0,bw_b2),((MIN(bw_b2,bw_L))-(MAX(0,bw_b2)))/2*(0.5555555555555556*IF(((MAX(0,bw_b2))+(MIN(bw_b2,bw_L)))/2+((MIN(bw_b2,bw_L))-(MAX(0,bw_b2)))/2*(-0.7745966692414834)&lt;bw_h0,0,bw_A0_2+bw_A1_2*MIN(((MAX(0,bw_b2))+(MIN(bw_b2,bw_L)))/2+((MIN(bw_b2,bw_L))-(MAX(0,bw_b2)))/2*(-0.7745966692414834)-bw_h0,bw_zw)+bw_A2_2*MAX(0,((MAX(0,bw_b2))+(MIN(bw_b2,bw_L)))/2+((MIN(bw_b2,bw_L))-(MAX(0,bw_b2)))/2*(-0.7745966692414834)-bw_h0-bw_zw))*(1)+0.8888888888888888*IF(((MAX(0,bw_b2))+(MIN(bw_b2,bw_L)))/2+((MIN(bw_b2,bw_L))-(MAX(0,bw_b2)))/2*(0.0)&lt;bw_h0,0,bw_A0_2+bw_A1_2*MIN(((MAX(0,bw_b2))+(MIN(bw_b2,bw_L)))/2+((MIN(bw_b2,bw_L))-(MAX(0,bw_b2)))/2*(0.0)-bw_h0,bw_zw)+bw_A2_2*MAX(0,((MAX(0,bw_b2))+(MIN(bw_b2,bw_L)))/2+((MIN(bw_b2,bw_L))-(MAX(0,bw_b2)))/2*(0.0)-bw_h0-bw_zw))*(1)+0.5555555555555556*IF(((MAX(0,bw_b2))+(MIN(bw_b2,bw_L)))/2+((MIN(bw_b2,bw_L))-(MAX(0,bw_b2)))/2*(0.7745966692414834)&lt;bw_h0,0,bw_A0_2+bw_A1_2*MIN(((MAX(0,bw_b2))+(MIN(bw_b2,bw_L)))/2+((MIN(bw_b2,bw_L))-(MAX(0,bw_b2)))/2*(0.7745966692414834)-bw_h0,bw_zw)+bw_A2_2*MAX(0,((MAX(0,bw_b2))+(MIN(bw_b2,bw_L)))/2+((MIN(bw_b2,bw_L))-(MAX(0,bw_b2)))/2*(0.7745966692414834)-bw_h0-bw_zw))*(1)),0))</definedName>
    <definedName name="bw_c1_2">bw_A1_2</definedName>
    <definedName name="bw_p1_2">bw_A0_2</definedName>
    <definedName name="bw_x1_2">bw_b1+2*bw_Vs1_2/(bw_p1_2+SQRT(bw_p1_2^2+2*bw_c1_2*bw_Vs1_2))</definedName>
    <definedName name="bw_Vs2_2">bw_R_2-(IF(MIN(bw_b2,bw_b2)&gt;MAX(0,bw_b1),((MIN(bw_b2,bw_b2))-(MAX(0,bw_b1)))/2*(0.5555555555555556*IF(((MAX(0,bw_b1))+(MIN(bw_b2,bw_b2)))/2+((MIN(bw_b2,bw_b2))-(MAX(0,bw_b1)))/2*(-0.7745966692414834)&lt;bw_h0,0,bw_A0_2+bw_A1_2*MIN(((MAX(0,bw_b1))+(MIN(bw_b2,bw_b2)))/2+((MIN(bw_b2,bw_b2))-(MAX(0,bw_b1)))/2*(-0.7745966692414834)-bw_h0,bw_zw)+bw_A2_2*MAX(0,((MAX(0,bw_b1))+(MIN(bw_b2,bw_b2)))/2+((MIN(bw_b2,bw_b2))-(MAX(0,bw_b1)))/2*(-0.7745966692414834)-bw_h0-bw_zw))*(1)+0.8888888888888888*IF(((MAX(0,bw_b1))+(MIN(bw_b2,bw_b2)))/2+((MIN(bw_b2,bw_b2))-(MAX(0,bw_b1)))/2*(0.0)&lt;bw_h0,0,bw_A0_2+bw_A1_2*MIN(((MAX(0,bw_b1))+(MIN(bw_b2,bw_b2)))/2+((MIN(bw_b2,bw_b2))-(MAX(0,bw_b1)))/2*(0.0)-bw_h0,bw_zw)+bw_A2_2*MAX(0,((MAX(0,bw_b1))+(MIN(bw_b2,bw_b2)))/2+((MIN(bw_b2,bw_b2))-(MAX(0,bw_b1)))/2*(0.0)-bw_h0-bw_zw))*(1)+0.5555555555555556*IF(((MAX(0,bw_b1))+(MIN(bw_b2,bw_b2)))/2+((MIN(bw_b2,bw_b2))-(MAX(0,bw_b1)))/2*(0.7745966692414834)&lt;bw_h0,0,bw_A0_2+bw_A1_2*MIN(((MAX(0,bw_b1))+(MIN(bw_b2,bw_b2)))/2+((MIN(bw_b2,bw_b2))-(MAX(0,bw_b1)))/2*(0.7745966692414834)-bw_h0,bw_zw)+bw_A2_2*MAX(0,((MAX(0,bw_b1))+(MIN(bw_b2,bw_b2)))/2+((MIN(bw_b2,bw_b2))-(MAX(0,bw_b1)))/2*(0.7745966692414834)-bw_h0-bw_zw))*(1)),0)+IF(MIN(bw_b2,bw_L)&gt;MAX(0,bw_b2),((MIN(bw_b2,bw_L))-(MAX(0,bw_b2)))/2*(0.5555555555555556*IF(((MAX(0,bw_b2))+(MIN(bw_b2,bw_L)))/2+((MIN(bw_b2,bw_L))-(MAX(0,bw_b2)))/2*(-0.7745966692414834)&lt;bw_h0,0,bw_A0_2+bw_A1_2*MIN(((MAX(0,bw_b2))+(MIN(bw_b2,bw_L)))/2+((MIN(bw_b2,bw_L))-(MAX(0,bw_b2)))/2*(-0.7745966692414834)-bw_h0,bw_zw)+bw_A2_2*MAX(0,((MAX(0,bw_b2))+(MIN(bw_b2,bw_L)))/2+((MIN(bw_b2,bw_L))-(MAX(0,bw_b2)))/2*(-0.7745966692414834)-bw_h0-bw_zw))*(1)+0.8888888888888888*IF(((MAX(0,bw_b2))+(MIN(bw_b2,bw_L)))/2+((MIN(bw_b2,bw_L))-(MAX(0,bw_b2)))/2*(0.0)&lt;bw_h0,0,bw_A0_2+bw_A1_2*MIN(((MAX(0,bw_b2))+(MIN(bw_b2,bw_L)))/2+((MIN(bw_b2,bw_L))-(MAX(0,bw_b2)))/2*(0.0)-bw_h0,bw_zw)+bw_A2_2*MAX(0,((MAX(0,bw_b2))+(MIN(bw_b2,bw_L)))/2+((MIN(bw_b2,bw_L))-(MAX(0,bw_b2)))/2*(0.0)-bw_h0-bw_zw))*(1)+0.5555555555555556*IF(((MAX(0,bw_b2))+(MIN(bw_b2,bw_L)))/2+((MIN(bw_b2,bw_L))-(MAX(0,bw_b2)))/2*(0.7745966692414834)&lt;bw_h0,0,bw_A0_2+bw_A1_2*MIN(((MAX(0,bw_b2))+(MIN(bw_b2,bw_L)))/2+((MIN(bw_b2,bw_L))-(MAX(0,bw_b2)))/2*(0.7745966692414834)-bw_h0,bw_zw)+bw_A2_2*MAX(0,((MAX(0,bw_b2))+(MIN(bw_b2,bw_L)))/2+((MIN(bw_b2,bw_L))-(MAX(0,bw_b2)))/2*(0.7745966692414834)-bw_h0-bw_zw))*(1)),0))</definedName>
    <definedName name="bw_Ve2_2">bw_R_2-(IF(MIN(bw_L,bw_b2)&gt;MAX(0,bw_b1),((MIN(bw_L,bw_b2))-(MAX(0,bw_b1)))/2*(0.5555555555555556*IF(((MAX(0,bw_b1))+(MIN(bw_L,bw_b2)))/2+((MIN(bw_L,bw_b2))-(MAX(0,bw_b1)))/2*(-0.7745966692414834)&lt;bw_h0,0,bw_A0_2+bw_A1_2*MIN(((MAX(0,bw_b1))+(MIN(bw_L,bw_b2)))/2+((MIN(bw_L,bw_b2))-(MAX(0,bw_b1)))/2*(-0.7745966692414834)-bw_h0,bw_zw)+bw_A2_2*MAX(0,((MAX(0,bw_b1))+(MIN(bw_L,bw_b2)))/2+((MIN(bw_L,bw_b2))-(MAX(0,bw_b1)))/2*(-0.7745966692414834)-bw_h0-bw_zw))*(1)+0.8888888888888888*IF(((MAX(0,bw_b1))+(MIN(bw_L,bw_b2)))/2+((MIN(bw_L,bw_b2))-(MAX(0,bw_b1)))/2*(0.0)&lt;bw_h0,0,bw_A0_2+bw_A1_2*MIN(((MAX(0,bw_b1))+(MIN(bw_L,bw_b2)))/2+((MIN(bw_L,bw_b2))-(MAX(0,bw_b1)))/2*(0.0)-bw_h0,bw_zw)+bw_A2_2*MAX(0,((MAX(0,bw_b1))+(MIN(bw_L,bw_b2)))/2+((MIN(bw_L,bw_b2))-(MAX(0,bw_b1)))/2*(0.0)-bw_h0-bw_zw))*(1)+0.5555555555555556*IF(((MAX(0,bw_b1))+(MIN(bw_L,bw_b2)))/2+((MIN(bw_L,bw_b2))-(MAX(0,bw_b1)))/2*(0.7745966692414834)&lt;bw_h0,0,bw_A0_2+bw_A1_2*MIN(((MAX(0,bw_b1))+(MIN(bw_L,bw_b2)))/2+((MIN(bw_L,bw_b2))-(MAX(0,bw_b1)))/2*(0.7745966692414834)-bw_h0,bw_zw)+bw_A2_2*MAX(0,((MAX(0,bw_b1))+(MIN(bw_L,bw_b2)))/2+((MIN(bw_L,bw_b2))-(MAX(0,bw_b1)))/2*(0.7745966692414834)-bw_h0-bw_zw))*(1)),0)+IF(MIN(bw_L,bw_L)&gt;MAX(0,bw_b2),((MIN(bw_L,bw_L))-(MAX(0,bw_b2)))/2*(0.5555555555555556*IF(((MAX(0,bw_b2))+(MIN(bw_L,bw_L)))/2+((MIN(bw_L,bw_L))-(MAX(0,bw_b2)))/2*(-0.7745966692414834)&lt;bw_h0,0,bw_A0_2+bw_A1_2*MIN(((MAX(0,bw_b2))+(MIN(bw_L,bw_L)))/2+((MIN(bw_L,bw_L))-(MAX(0,bw_b2)))/2*(-0.7745966692414834)-bw_h0,bw_zw)+bw_A2_2*MAX(0,((MAX(0,bw_b2))+(MIN(bw_L,bw_L)))/2+((MIN(bw_L,bw_L))-(MAX(0,bw_b2)))/2*(-0.7745966692414834)-bw_h0-bw_zw))*(1)+0.8888888888888888*IF(((MAX(0,bw_b2))+(MIN(bw_L,bw_L)))/2+((MIN(bw_L,bw_L))-(MAX(0,bw_b2)))/2*(0.0)&lt;bw_h0,0,bw_A0_2+bw_A1_2*MIN(((MAX(0,bw_b2))+(MIN(bw_L,bw_L)))/2+((MIN(bw_L,bw_L))-(MAX(0,bw_b2)))/2*(0.0)-bw_h0,bw_zw)+bw_A2_2*MAX(0,((MAX(0,bw_b2))+(MIN(bw_L,bw_L)))/2+((MIN(bw_L,bw_L))-(MAX(0,bw_b2)))/2*(0.0)-bw_h0-bw_zw))*(1)+0.5555555555555556*IF(((MAX(0,bw_b2))+(MIN(bw_L,bw_L)))/2+((MIN(bw_L,bw_L))-(MAX(0,bw_b2)))/2*(0.7745966692414834)&lt;bw_h0,0,bw_A0_2+bw_A1_2*MIN(((MAX(0,bw_b2))+(MIN(bw_L,bw_L)))/2+((MIN(bw_L,bw_L))-(MAX(0,bw_b2)))/2*(0.7745966692414834)-bw_h0,bw_zw)+bw_A2_2*MAX(0,((MAX(0,bw_b2))+(MIN(bw_L,bw_L)))/2+((MIN(bw_L,bw_L))-(MAX(0,bw_b2)))/2*(0.7745966692414834)-bw_h0-bw_zw))*(1)),0))</definedName>
    <definedName name="bw_c2_2">bw_A2_2</definedName>
    <definedName name="bw_p2_2">bw_A0_2+bw_A1_2*bw_zw</definedName>
    <definedName name="bw_x2_2">bw_b2+2*bw_Vs2_2/(bw_p2_2+SQRT(bw_p2_2^2+2*bw_c2_2*bw_Vs2_2))</definedName>
    <definedName name="bw_xm_2">IF(AND(bw_b2&gt;bw_b1,bw_Vs1_2&gt;0,bw_Ve1_2&lt;=0),bw_x1_2,bw_x2_2)</definedName>
    <definedName name="bw_mset">IF(AND(bw_on2,bw_Mspan_2&gt;bw_Mspan_1),2,1)</definedName>
    <definedName name="bw_xm">IF(bw_mset=2,bw_xm_2,bw_xm_1)</definedName>
    <definedName name="bw_pset">IF(AND(bw_on2,bw_pmax_2&gt;bw_pmax_1),2,1)</definedName>
    <definedName name="bw_pmax">IF(bw_pset=2,bw_pmax_2,bw_pmax_1)</definedName>
    <definedName name="bw_Vmax">MAX(bw_R_1,bw_Rb_1,IF(bw_on2,MAX(bw_R_2,bw_Rb_2),0))</definedName>
    <definedName name="ok_v">AND(Asp_in&gt;=0.001*1000*t_bw,Asp_out&gt;=0.001*1000*t_bw,Asp_in+Asp_out&lt;=0.04*1000*t_bw)</definedName>
    <definedName name="shear_status">'Calculation'!$G$38</definedName>
    <definedName name="bars_status">'Calculation'!$G$39</definedName>
    <definedName name="bw_xall">CHOOSE({1,2,3,4,5,6,7,8,9,10,11,12,13,14,15,16,17,18,19,20,21,22,23,24,25,26,27,28},0/24*bw_L,1/24*bw_L,2/24*bw_L,3/24*bw_L,4/24*bw_L,5/24*bw_L,6/24*bw_L,7/24*bw_L,8/24*bw_L,9/24*bw_L,10/24*bw_L,11/24*bw_L,12/24*bw_L,13/24*bw_L,14/24*bw_L,15/24*bw_L,16/24*bw_L,17/24*bw_L,18/24*bw_L,19/24*bw_L,20/24*bw_L,21/24*bw_L,22/24*bw_L,23/24*bw_L,24/24*bw_L,bw_h0,bw_h0,bw_b2)</definedName>
    <definedName name="K0_bw">'Calculation'!$E$68</definedName>
    <definedName name="bwc_W_1">'Calculation'!$E$72</definedName>
    <definedName name="bwc_R_1">'Calculation'!$E$73</definedName>
    <definedName name="bwc_x_1">'Calculation'!$E$75</definedName>
    <definedName name="bw_Mspan_1">'Calculation'!$E$76</definedName>
    <definedName name="bw_Mbase_1">'Calculation'!$E$77</definedName>
    <definedName name="bwc_W_2">'Calculation'!$E$79</definedName>
    <definedName name="bwc_R_2">'Calculation'!$E$80</definedName>
    <definedName name="bwc_x_2">'Calculation'!$E$82</definedName>
    <definedName name="bw_Mspan_2">'Calculation'!$E$83</definedName>
    <definedName name="bw_Mbase_2">'Calculation'!$E$84</definedName>
    <definedName name="bw_Mspan">'Calculation'!$E$85</definedName>
    <definedName name="bw_Mbase">'Calculation'!$E$86</definedName>
    <definedName name="gamma_c">'Calculation'!$E$91</definedName>
    <definedName name="gamma_s">'Calculation'!$E$92</definedName>
    <definedName name="alpha_cc">'Calculation'!$E$93</definedName>
    <definedName name="C_Rdc">'Calculation'!$E$94</definedName>
    <definedName name="f_ck">'Calculation'!$E$95</definedName>
    <definedName name="f_ctm">'Calculation'!$E$96</definedName>
    <definedName name="f_cd">'Calculation'!$E$97</definedName>
    <definedName name="f_yd">'Calculation'!$E$98</definedName>
    <definedName name="K_lw">'Calculation'!$E$99</definedName>
    <definedName name="gap_rw">'Calculation'!$E$100</definedName>
    <definedName name="d_in">'Calculation'!$E$101</definedName>
    <definedName name="K_in">'Calculation'!$E$102</definedName>
    <definedName name="z_in">'Calculation'!$E$103</definedName>
    <definedName name="Asr_in">'Calculation'!$E$104</definedName>
    <definedName name="Asm_in">'Calculation'!$E$105</definedName>
    <definedName name="Asp_in">'Calculation'!$E$106</definedName>
    <definedName name="VRc_in">'Calculation'!$E$107</definedName>
    <definedName name="smx_in">'Calculation'!$E$108</definedName>
    <definedName name="ok_in">IFERROR(AND(Asp_in&gt;=MAX(Asr_in,Asm_in),ABS(bw_Vmax)&lt;=VRc_in,s_in&lt;=smx_in,s_in-phi_in&gt;=gap_rw,Asp_in&lt;=0.04*1000*t_bw),FALSE)</definedName>
    <definedName name="d_out">'Calculation'!$E$112</definedName>
    <definedName name="K_out">'Calculation'!$E$113</definedName>
    <definedName name="z_out">'Calculation'!$E$114</definedName>
    <definedName name="Asr_out">'Calculation'!$E$115</definedName>
    <definedName name="Asm_out">'Calculation'!$E$116</definedName>
    <definedName name="Asp_out">'Calculation'!$E$117</definedName>
    <definedName name="VRc_out">'Calculation'!$E$118</definedName>
    <definedName name="smx_out">'Calculation'!$E$119</definedName>
    <definedName name="ok_out">IFERROR(AND(Asp_out&gt;=MAX(Asr_out,Asm_out),ABS(bw_Vmax)&lt;=VRc_out,s_out&lt;=smx_out,s_out-phi_out&gt;=gap_rw,Asp_out&lt;=0.04*1000*t_bw),FALSE)</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'Calculation'!$A$1:$H$128</definedName>
    <definedName name="_xlnm.Print_Area" localSheetId="3">'NDP'!$A$1:$G$29</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1">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0" fontId="0" fillId="4" borderId="0" applyAlignment="1" pivotButton="0" quotePrefix="0" xfId="0">
      <alignment horizontal="center" vertical="center"/>
    </xf>
    <xf numFmtId="165"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49" fontId="16" fillId="4" borderId="0" applyAlignment="1" pivotButton="0" quotePrefix="0" xfId="0">
      <alignment horizontal="center" vertical="center"/>
    </xf>
    <xf numFmtId="0" fontId="17" fillId="0" borderId="0" pivotButton="0" quotePrefix="0" xfId="0"/>
    <xf numFmtId="166" fontId="5" fillId="0" borderId="1" applyAlignment="1" pivotButton="0" quotePrefix="0" xfId="0">
      <alignment horizontal="center" vertical="center"/>
    </xf>
    <xf numFmtId="0" fontId="18" fillId="0" borderId="0" applyAlignment="1" pivotButton="0" quotePrefix="0" xfId="0">
      <alignment vertical="top" wrapText="1"/>
    </xf>
    <xf numFmtId="2" fontId="5" fillId="0" borderId="1" applyAlignment="1" pivotButton="0" quotePrefix="0" xfId="0">
      <alignment horizontal="center" vertical="center"/>
    </xf>
    <xf numFmtId="2" fontId="12"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wall</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top slab</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'Geometry'!$G$3:$G$6</f>
            </numRef>
          </xVal>
          <yVal>
            <numRef>
              <f>'Geometry'!$H$3:$H$6</f>
            </numRef>
          </yVal>
          <smooth val="0"/>
        </ser>
        <ser>
          <idx val="3"/>
          <order val="3"/>
          <tx>
            <v>base slab</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'Geometry'!$J$3:$J$7</f>
            </numRef>
          </xVal>
          <yVal>
            <numRef>
              <f>'Geometry'!$K$3:$K$7</f>
            </numRef>
          </yVal>
          <smooth val="0"/>
        </ser>
        <ser>
          <idx val="4"/>
          <order val="4"/>
          <tx>
            <v>fixity</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'Geometry'!$M$3:$M$4</f>
            </numRef>
          </xVal>
          <yVal>
            <numRef>
              <f>'Geometry'!$N$3:$N$4</f>
            </numRef>
          </yVal>
          <smooth val="0"/>
        </ser>
        <ser>
          <idx val="5"/>
          <order val="5"/>
          <tx>
            <v>ground</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'Geometry'!$P$3:$P$4</f>
            </numRef>
          </xVal>
          <yVal>
            <numRef>
              <f>'Geometry'!$Q$3:$Q$4</f>
            </numRef>
          </yVal>
          <smooth val="0"/>
        </ser>
        <ser>
          <idx val="6"/>
          <order val="6"/>
          <tx>
            <strRef>
              <f>'Geometry'!$S$2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'Geometry'!$S$3</f>
            </numRef>
          </xVal>
          <yVal>
            <numRef>
              <f>'Geometry'!$T$3</f>
            </numRef>
          </yVal>
          <smooth val="0"/>
        </ser>
        <ser>
          <idx val="7"/>
          <order val="7"/>
          <tx>
            <v>water</v>
          </tx>
          <spPr>
            <a:ln xmlns:a="http://schemas.openxmlformats.org/drawingml/2006/main" w="12700">
              <a:solidFill>
                <a:srgbClr val="5B7F8A"/>
              </a:solidFill>
              <a:prstDash val="dash"/>
            </a:ln>
          </spPr>
          <marker>
            <symbol val="none"/>
            <spPr>
              <a:ln xmlns:a="http://schemas.openxmlformats.org/drawingml/2006/main">
                <a:prstDash val="solid"/>
              </a:ln>
            </spPr>
          </marker>
          <xVal>
            <numRef>
              <f>'Geometry'!$V$3:$V$4</f>
            </numRef>
          </xVal>
          <yVal>
            <numRef>
              <f>'Geometry'!$W$3:$W$4</f>
            </numRef>
          </yVal>
          <smooth val="0"/>
        </ser>
        <ser>
          <idx val="8"/>
          <order val="8"/>
          <tx>
            <strRef>
              <f>'Geometry'!$Y$2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t"/>
            <showLegendKey val="0"/>
            <showVal val="0"/>
            <showCatName val="0"/>
            <showSerName val="1"/>
            <showPercent val="0"/>
          </dLbls>
          <xVal>
            <numRef>
              <f>'Geometry'!$Y$3</f>
            </numRef>
          </xVal>
          <yVal>
            <numRef>
              <f>'Geometry'!$Z$3</f>
            </numRef>
          </yVal>
          <smooth val="0"/>
        </ser>
        <ser>
          <idx val="9"/>
          <order val="9"/>
          <tx>
            <v>pressure 1</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'Geometry'!$AB$3:$AB$32</f>
            </numRef>
          </xVal>
          <yVal>
            <numRef>
              <f>'Geometry'!$AC$3:$AC$32</f>
            </numRef>
          </yVal>
          <smooth val="0"/>
        </ser>
        <ser>
          <idx val="10"/>
          <order val="10"/>
          <tx>
            <v>pressure 2</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'Geometry'!$AE$3:$AE$32</f>
            </numRef>
          </xVal>
          <yVal>
            <numRef>
              <f>'Geometry'!$AF$3:$AF$32</f>
            </numRef>
          </yVal>
          <smooth val="0"/>
        </ser>
        <ser>
          <idx val="11"/>
          <order val="11"/>
          <tx>
            <strRef>
              <f>'Geometry'!$AH$2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'Geometry'!$AH$3</f>
            </numRef>
          </xVal>
          <yVal>
            <numRef>
              <f>'Geometry'!$AI$3</f>
            </numRef>
          </yVal>
          <smooth val="0"/>
        </ser>
        <ser>
          <idx val="12"/>
          <order val="12"/>
          <tx>
            <v>BMD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'Geometry'!$AK$3:$AK$4</f>
            </numRef>
          </xVal>
          <yVal>
            <numRef>
              <f>'Geometry'!$AL$3:$AL$4</f>
            </numRef>
          </yVal>
          <smooth val="0"/>
        </ser>
        <ser>
          <idx val="13"/>
          <order val="13"/>
          <tx>
            <v>BMD 1</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'Geometry'!$AN$3:$AN$29</f>
            </numRef>
          </xVal>
          <yVal>
            <numRef>
              <f>'Geometry'!$AO$3:$AO$29</f>
            </numRef>
          </yVal>
          <smooth val="0"/>
        </ser>
        <ser>
          <idx val="14"/>
          <order val="14"/>
          <tx>
            <v>BMD 2</v>
          </tx>
          <spPr>
            <a:ln xmlns:a="http://schemas.openxmlformats.org/drawingml/2006/main" w="12700">
              <a:solidFill>
                <a:srgbClr val="2B2B2B"/>
              </a:solidFill>
              <a:prstDash val="dash"/>
            </a:ln>
          </spPr>
          <marker>
            <symbol val="none"/>
            <spPr>
              <a:ln xmlns:a="http://schemas.openxmlformats.org/drawingml/2006/main">
                <a:prstDash val="solid"/>
              </a:ln>
            </spPr>
          </marker>
          <xVal>
            <numRef>
              <f>'Geometry'!$AQ$3:$AQ$29</f>
            </numRef>
          </xVal>
          <yVal>
            <numRef>
              <f>'Geometry'!$AR$3:$AR$29</f>
            </numRef>
          </yVal>
          <smooth val="0"/>
        </ser>
        <ser>
          <idx val="15"/>
          <order val="15"/>
          <tx>
            <v>Mmax</v>
          </tx>
          <spPr>
            <a:ln xmlns:a="http://schemas.openxmlformats.org/drawingml/2006/main">
              <a:noFill/>
              <a:prstDash val="solid"/>
            </a:ln>
          </spPr>
          <marker>
            <symbol val="circle"/>
            <size val="5"/>
            <spPr>
              <a:solidFill xmlns:a="http://schemas.openxmlformats.org/drawingml/2006/main">
                <a:srgbClr val="B3261E"/>
              </a:solidFill>
              <a:ln xmlns:a="http://schemas.openxmlformats.org/drawingml/2006/main">
                <a:solidFill>
                  <a:srgbClr val="B3261E"/>
                </a:solidFill>
                <a:prstDash val="solid"/>
              </a:ln>
            </spPr>
          </marker>
          <xVal>
            <numRef>
              <f>'Geometry'!$AT$3</f>
            </numRef>
          </xVal>
          <yVal>
            <numRef>
              <f>'Geometry'!$AU$3</f>
            </numRef>
          </yVal>
          <smooth val="0"/>
        </ser>
        <ser>
          <idx val="16"/>
          <order val="16"/>
          <tx>
            <strRef>
              <f>'Geometry'!$AW$2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'Geometry'!$AW$3</f>
            </numRef>
          </xVal>
          <yVal>
            <numRef>
              <f>'Geometry'!$AX$3</f>
            </numRef>
          </yVal>
          <smooth val="0"/>
        </ser>
        <ser>
          <idx val="17"/>
          <order val="17"/>
          <tx>
            <strRef>
              <f>'Geometry'!$AZ$2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l"/>
            <showLegendKey val="0"/>
            <showVal val="0"/>
            <showCatName val="0"/>
            <showSerName val="1"/>
            <showPercent val="0"/>
          </dLbls>
          <xVal>
            <numRef>
              <f>'Geometry'!$AZ$3</f>
            </numRef>
          </xVal>
          <yVal>
            <numRef>
              <f>'Geometry'!$BA$3</f>
            </numRef>
          </yVal>
          <smooth val="0"/>
        </ser>
        <ser>
          <idx val="18"/>
          <order val="1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'Geometry'!$BC$3:$BC$4</f>
            </numRef>
          </xVal>
          <yVal>
            <numRef>
              <f>'Geometry'!$BD$3:$BD$4</f>
            </numRef>
          </yVal>
          <smooth val="0"/>
        </ser>
        <ser>
          <idx val="19"/>
          <order val="19"/>
          <tx>
            <strRef>
              <f>'Geometry'!$BF$2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'Geometry'!$BF$3</f>
            </numRef>
          </xVal>
          <yVal>
            <numRef>
              <f>'Geometry'!$BG$3</f>
            </numRef>
          </yVal>
          <smooth val="0"/>
        </ser>
        <ser>
          <idx val="20"/>
          <order val="2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'Geometry'!$BI$3:$BI$4</f>
            </numRef>
          </xVal>
          <yVal>
            <numRef>
              <f>'Geometry'!$BJ$3:$BJ$4</f>
            </numRef>
          </yVal>
          <smooth val="0"/>
        </ser>
        <ser>
          <idx val="21"/>
          <order val="21"/>
          <tx>
            <strRef>
              <f>'Geometry'!$BL$2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'Geometry'!$BL$3</f>
            </numRef>
          </xVal>
          <yVal>
            <numRef>
              <f>'Geometry'!$BM$3</f>
            </numRef>
          </yVal>
          <smooth val="0"/>
        </ser>
        <ser>
          <idx val="22"/>
          <order val="22"/>
          <tx>
            <v>frame</v>
          </tx>
          <spPr>
            <a:ln xmlns:a="http://schemas.openxmlformats.org/drawingml/2006/main">
              <a:noFill/>
              <a:prstDash val="solid"/>
            </a:ln>
          </spPr>
          <marker>
            <symbol val="none"/>
            <spPr>
              <a:ln xmlns:a="http://schemas.openxmlformats.org/drawingml/2006/main">
                <a:prstDash val="solid"/>
              </a:ln>
            </spPr>
          </marker>
          <xVal>
            <numRef>
              <f>'Geometry'!$BO$3:$BO$4</f>
            </numRef>
          </xVal>
          <yVal>
            <numRef>
              <f>'Geometry'!$BP$3:$BP$4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41</row>
      <rowOff>0</rowOff>
    </from>
    <ext cx="6696000" cy="43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Basement wall</t>
        </is>
      </c>
    </row>
    <row r="8" ht="20" customHeight="1">
      <c r="B8" s="4" t="inlineStr">
        <is>
          <t>Wall propped by the floor slab  ·  earth pressure at rest, ground water and surcharge  ·  EN 1997-1, EN 1992-1-1</t>
        </is>
      </c>
    </row>
    <row r="10">
      <c r="B10" s="5" t="inlineStr">
        <is>
          <t>Reference</t>
        </is>
      </c>
      <c r="C10" s="6" t="inlineStr">
        <is>
          <t>NAE-RC-020  ·  version 1.0</t>
        </is>
      </c>
    </row>
    <row r="11" ht="45.5" customHeight="1">
      <c r="B11" s="5" t="inlineStr">
        <is>
          <t>Standards</t>
        </is>
      </c>
      <c r="C11" s="7" t="inlineStr">
        <is>
          <t>BS EN 1992-1-1:2004 with UK NA  ·  PN-EN 1992-1-1:2008 with Polish NA (NDP sources listed on the NDP sheet)  ·  EN 1997-1 9.5 (earth pressure at rest), UK DA1 / PL DA2  ·  EN 1990 (6.10)</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76.5" customHeight="1">
      <c r="B16" s="7" t="inlineStr">
        <is>
          <t>A basement wall spanning vertically between the ground floor slab (a prop at the top) and the basement slab, pinned or fixed at the base, under the earth pressure at rest, the ground water and a surcharge on the ground behind it. The sheet gives the reactions, the largest span moment and where it occurs, the moment at a fixed base and the shear, and checks the vertical reinforcement of both faces and the shear without links, with the pressure and moment diagrams drawn to scale.</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250.5" customHeight="1">
      <c r="B22" s="7" t="inlineStr">
        <is>
          <t>Lateral loads only: a 1 m strip spanning vertically, constant thickness, rigid supports, the top prop in place (construction stages before it acts are not covered). The axial load from above, its eccentricity and second order effects (5.8, 6.1) need a separate column-type check of the wall; so do the inside water pressure, the self weight, cracking (water-resisting walls: BS EN 1992-3 and CIRIA C766), the horizontal bars, the joints, links in the wall and the global stability of the basement (uplift, sliding). Level ground at or below the top support with a uniform surcharge q; one soil, drained, c' = 0, normally consolidated: K0 = 1 − sin φ' (EN 1997-1 9.5.2(3)); compaction pressures are outside the scope. Unit weight γ above the water level, γsat below; hydrostatic water, γw = 9.81 kN/m³. Enter the design water level: the highest that can occur in the design life, drainage failure included (EN 1997-1 2.4.6.1). Factor sets: (1) the γG and γQ entered on the earth and water and on K0 q, with the characteristic φ': UK DA1 combination 1 (1.35, 1.5) and PL DA2 (A1 + M1; with the Polish NA the less favourable of 6.10a / 6.10b governs, and 1.35 / 1.5 is the conservative single expression); (2) UK only, DA1 combination 2: γG = 1.0, γQ = 1.3, tan φ'd = tan φ' / 1.25. Sources: NA+A1:2014 to BS EN 1997-1:2004+A1:2013 (Design Approach 1, factors of Annex A.3); PN-EN 1997-1:2008 with Ap2:2010, NA.2.6 (DA2 for GEO, bearing as DA2*; the action factors of A1 are used here for the STR design of the wall, whose resistance follows PN-EN 1992-1-1); PN-EN 1990:2004 with its National Annex (the less favourable of 6.10a and 6.10b). Each result is the worst of the sets on its own; they are not simultaneous actions. A real base is neither pinned nor fixed: check both if in doubt.
The second-generation EN 1997-1:2024 and EN 1992-1-1:2023 are not yet implemented.</t>
        </is>
      </c>
    </row>
    <row r="24" ht="20" customHeight="1">
      <c r="B24" s="8" t="inlineStr">
        <is>
          <t>Further reading and independent cross-check</t>
        </is>
      </c>
      <c r="C24" s="9" t="n"/>
    </row>
    <row r="25" ht="91" customHeight="1">
      <c r="B25" s="10" t="inlineStr">
        <is>
          <t>•  The Concrete Centre, How to design concrete structures using Eurocode 2: Retaining walls / basements.
•  The Institution of Structural Engineers, Design of basements; CIRIA C766 for crack control.
•  The Concrete Centre, RC Spreadsheets v4, TCC61 Basement wall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&amp;K8A8A8ANAE-RC-020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27"/>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Basement wall</t>
        </is>
      </c>
      <c r="H2" s="1" t="n"/>
    </row>
    <row r="3" ht="16" customHeight="1">
      <c r="A3" s="1" t="n"/>
      <c r="B3" s="1" t="n"/>
      <c r="C3" s="15" t="inlineStr">
        <is>
          <t>NAE-RC-020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wall and reinforcement</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3" t="n"/>
      <c r="C15" s="24" t="inlineStr">
        <is>
          <t>Span between the supports  (top slab to the base slab)</t>
        </is>
      </c>
      <c r="D15" s="27" t="inlineStr">
        <is>
          <r>
            <rPr>
              <rFont val="Calibri"/>
              <i val="1"/>
              <color rgb="002B2B2B"/>
              <sz val="10"/>
            </rPr>
            <t>L</t>
          </r>
        </is>
      </c>
      <c r="E15" s="25" t="n">
        <v>3500</v>
      </c>
      <c r="F15" s="28" t="inlineStr">
        <is>
          <t>mm</t>
        </is>
      </c>
      <c r="G15" s="23" t="n"/>
    </row>
    <row r="16" ht="17" customHeight="1">
      <c r="B16" s="23" t="n"/>
      <c r="C16" s="24" t="inlineStr">
        <is>
          <t>Wall thickness</t>
        </is>
      </c>
      <c r="D16" s="27" t="inlineStr">
        <is>
          <r>
            <rPr>
              <rFont val="Calibri"/>
              <i val="1"/>
              <color rgb="002B2B2B"/>
              <sz val="10"/>
            </rPr>
            <t>t</t>
          </r>
        </is>
      </c>
      <c r="E16" s="25" t="n">
        <v>300</v>
      </c>
      <c r="F16" s="28" t="inlineStr">
        <is>
          <t>mm</t>
        </is>
      </c>
      <c r="G16" s="23" t="n"/>
    </row>
    <row r="17" ht="17" customHeight="1">
      <c r="B17" s="23" t="n"/>
      <c r="C17" s="24" t="inlineStr">
        <is>
          <t>Support at the base</t>
        </is>
      </c>
      <c r="D17" s="23" t="n"/>
      <c r="E17" s="25" t="inlineStr">
        <is>
          <t>Pinned</t>
        </is>
      </c>
      <c r="F17" s="23" t="n"/>
      <c r="G17" s="23" t="n"/>
    </row>
    <row r="18" ht="17" customHeight="1">
      <c r="B18" s="26" t="inlineStr">
        <is>
          <t>4.4.1</t>
        </is>
      </c>
      <c r="C18" s="24" t="inlineStr">
        <is>
          <t>Nominal cover to the vertical bars</t>
        </is>
      </c>
      <c r="D18" s="27" t="inlineStr">
        <is>
          <r>
            <rPr>
              <rFont val="Calibri"/>
              <i val="1"/>
              <color rgb="002B2B2B"/>
              <sz val="10"/>
            </rPr>
            <t>c</t>
          </r>
          <r>
            <rPr>
              <rFont val="Calibri"/>
              <i val="1"/>
              <color rgb="002B2B2B"/>
              <sz val="10"/>
              <vertAlign val="subscript"/>
            </rPr>
            <t>nom</t>
          </r>
        </is>
      </c>
      <c r="E18" s="25" t="n">
        <v>45</v>
      </c>
      <c r="F18" s="28" t="inlineStr">
        <is>
          <t>mm</t>
        </is>
      </c>
      <c r="G18" s="23" t="n"/>
    </row>
    <row r="19" ht="17" customHeight="1">
      <c r="B19" s="23" t="n"/>
      <c r="C19" s="24" t="inlineStr">
        <is>
          <t>Inner face vertical bars: diameter</t>
        </is>
      </c>
      <c r="D19" s="27" t="inlineStr">
        <is>
          <r>
            <rPr>
              <rFont val="Calibri"/>
              <i val="1"/>
              <color rgb="002B2B2B"/>
              <sz val="10"/>
            </rPr>
            <t>φ</t>
          </r>
          <r>
            <rPr>
              <rFont val="Calibri"/>
              <i val="1"/>
              <color rgb="002B2B2B"/>
              <sz val="10"/>
              <vertAlign val="subscript"/>
            </rPr>
            <t>in</t>
          </r>
        </is>
      </c>
      <c r="E19" s="25" t="n">
        <v>12</v>
      </c>
      <c r="F19" s="28" t="inlineStr">
        <is>
          <t>mm</t>
        </is>
      </c>
      <c r="G19" s="23" t="n"/>
    </row>
    <row r="20" ht="17" customHeight="1">
      <c r="B20" s="23" t="n"/>
      <c r="C20" s="24" t="inlineStr">
        <is>
          <t>Inner face vertical bars: spacing</t>
        </is>
      </c>
      <c r="D20" s="27" t="inlineStr">
        <is>
          <r>
            <rPr>
              <rFont val="Calibri"/>
              <i val="1"/>
              <color rgb="002B2B2B"/>
              <sz val="10"/>
            </rPr>
            <t>s</t>
          </r>
          <r>
            <rPr>
              <rFont val="Calibri"/>
              <i val="1"/>
              <color rgb="002B2B2B"/>
              <sz val="10"/>
              <vertAlign val="subscript"/>
            </rPr>
            <t>in</t>
          </r>
        </is>
      </c>
      <c r="E20" s="25" t="n">
        <v>200</v>
      </c>
      <c r="F20" s="28" t="inlineStr">
        <is>
          <t>mm</t>
        </is>
      </c>
      <c r="G20" s="23" t="n"/>
    </row>
    <row r="21" ht="17" customHeight="1">
      <c r="B21" s="23" t="n"/>
      <c r="C21" s="24" t="inlineStr">
        <is>
          <t>Soil face vertical bars: diameter</t>
        </is>
      </c>
      <c r="D21" s="27" t="inlineStr">
        <is>
          <r>
            <rPr>
              <rFont val="Calibri"/>
              <i val="1"/>
              <color rgb="002B2B2B"/>
              <sz val="10"/>
            </rPr>
            <t>φ</t>
          </r>
          <r>
            <rPr>
              <rFont val="Calibri"/>
              <i val="1"/>
              <color rgb="002B2B2B"/>
              <sz val="10"/>
              <vertAlign val="subscript"/>
            </rPr>
            <t>out</t>
          </r>
        </is>
      </c>
      <c r="E21" s="25" t="n">
        <v>12</v>
      </c>
      <c r="F21" s="28" t="inlineStr">
        <is>
          <t>mm</t>
        </is>
      </c>
      <c r="G21" s="23" t="n"/>
    </row>
    <row r="22" ht="17" customHeight="1">
      <c r="B22" s="23" t="n"/>
      <c r="C22" s="24" t="inlineStr">
        <is>
          <t>Soil face vertical bars: spacing</t>
        </is>
      </c>
      <c r="D22" s="27" t="inlineStr">
        <is>
          <r>
            <rPr>
              <rFont val="Calibri"/>
              <i val="1"/>
              <color rgb="002B2B2B"/>
              <sz val="10"/>
            </rPr>
            <t>s</t>
          </r>
          <r>
            <rPr>
              <rFont val="Calibri"/>
              <i val="1"/>
              <color rgb="002B2B2B"/>
              <sz val="10"/>
              <vertAlign val="subscript"/>
            </rPr>
            <t>out</t>
          </r>
        </is>
      </c>
      <c r="E22" s="25" t="n">
        <v>200</v>
      </c>
      <c r="F22" s="28" t="inlineStr">
        <is>
          <t>mm</t>
        </is>
      </c>
      <c r="G22" s="23" t="n"/>
    </row>
    <row r="24" ht="22" customHeight="1">
      <c r="B24" s="20" t="inlineStr">
        <is>
          <t>Inputs  ·  soil, water and loads</t>
        </is>
      </c>
      <c r="C24" s="21" t="n"/>
      <c r="D24" s="21" t="n"/>
      <c r="E24" s="21" t="n"/>
      <c r="F24" s="21" t="n"/>
      <c r="G24" s="22" t="inlineStr">
        <is>
          <t>Characteristic values</t>
        </is>
      </c>
    </row>
    <row r="25" ht="17" customHeight="1">
      <c r="B25" s="23" t="n"/>
      <c r="C25" s="24" t="inlineStr">
        <is>
          <t>Ground level below the top support</t>
        </is>
      </c>
      <c r="D25" s="27" t="inlineStr">
        <is>
          <r>
            <rPr>
              <rFont val="Calibri"/>
              <i val="1"/>
              <color rgb="002B2B2B"/>
              <sz val="10"/>
            </rPr>
            <t>h</t>
          </r>
          <r>
            <rPr>
              <rFont val="Calibri"/>
              <i val="1"/>
              <color rgb="002B2B2B"/>
              <sz val="10"/>
              <vertAlign val="subscript"/>
            </rPr>
            <t>0</t>
          </r>
        </is>
      </c>
      <c r="E25" s="25" t="n">
        <v>300</v>
      </c>
      <c r="F25" s="28" t="inlineStr">
        <is>
          <t>mm</t>
        </is>
      </c>
      <c r="G25" s="23" t="n"/>
    </row>
    <row r="26" ht="17" customHeight="1">
      <c r="B26" s="26" t="inlineStr">
        <is>
          <t>EN 1997-1 2.4.6.1</t>
        </is>
      </c>
      <c r="C26" s="24" t="inlineStr">
        <is>
          <t>Design water level below the ground  (large: dry)</t>
        </is>
      </c>
      <c r="D26" s="27" t="inlineStr">
        <is>
          <r>
            <rPr>
              <rFont val="Calibri"/>
              <i val="1"/>
              <color rgb="002B2B2B"/>
              <sz val="10"/>
            </rPr>
            <t>z</t>
          </r>
          <r>
            <rPr>
              <rFont val="Calibri"/>
              <i val="1"/>
              <color rgb="002B2B2B"/>
              <sz val="10"/>
              <vertAlign val="subscript"/>
            </rPr>
            <t>w</t>
          </r>
        </is>
      </c>
      <c r="E26" s="25" t="n">
        <v>1500</v>
      </c>
      <c r="F26" s="28" t="inlineStr">
        <is>
          <t>mm</t>
        </is>
      </c>
      <c r="G26" s="23" t="n"/>
    </row>
    <row r="27" ht="17" customHeight="1">
      <c r="B27" s="23" t="n"/>
      <c r="C27" s="24" t="inlineStr">
        <is>
          <t>Soil unit weight above the water level</t>
        </is>
      </c>
      <c r="D27" s="27" t="inlineStr">
        <is>
          <r>
            <rPr>
              <rFont val="Calibri"/>
              <i val="1"/>
              <color rgb="002B2B2B"/>
              <sz val="10"/>
            </rPr>
            <t>γ</t>
          </r>
        </is>
      </c>
      <c r="E27" s="29" t="n">
        <v>19</v>
      </c>
      <c r="F27" s="28" t="inlineStr">
        <is>
          <t>kN/m³</t>
        </is>
      </c>
      <c r="G27" s="23" t="n"/>
    </row>
    <row r="28" ht="17" customHeight="1">
      <c r="B28" s="23" t="n"/>
      <c r="C28" s="24" t="inlineStr">
        <is>
          <t>Soil saturated unit weight</t>
        </is>
      </c>
      <c r="D28" s="27" t="inlineStr">
        <is>
          <r>
            <rPr>
              <rFont val="Calibri"/>
              <i val="1"/>
              <color rgb="002B2B2B"/>
              <sz val="10"/>
            </rPr>
            <t>γ</t>
          </r>
          <r>
            <rPr>
              <rFont val="Calibri"/>
              <i val="1"/>
              <color rgb="002B2B2B"/>
              <sz val="10"/>
              <vertAlign val="subscript"/>
            </rPr>
            <t>sat</t>
          </r>
        </is>
      </c>
      <c r="E28" s="29" t="n">
        <v>20</v>
      </c>
      <c r="F28" s="28" t="inlineStr">
        <is>
          <t>kN/m³</t>
        </is>
      </c>
      <c r="G28" s="23" t="n"/>
    </row>
    <row r="29" ht="17" customHeight="1">
      <c r="B29" s="23" t="n"/>
      <c r="C29" s="24" t="inlineStr">
        <is>
          <t>Soil angle of shearing resistance</t>
        </is>
      </c>
      <c r="D29" s="27" t="inlineStr">
        <is>
          <r>
            <rPr>
              <rFont val="Calibri"/>
              <i val="1"/>
              <color rgb="002B2B2B"/>
              <sz val="10"/>
            </rPr>
            <t>φ'</t>
          </r>
          <r>
            <rPr>
              <rFont val="Calibri"/>
              <i val="1"/>
              <color rgb="002B2B2B"/>
              <sz val="10"/>
              <vertAlign val="subscript"/>
            </rPr>
            <t>k</t>
          </r>
        </is>
      </c>
      <c r="E29" s="29" t="n">
        <v>30</v>
      </c>
      <c r="F29" s="28" t="inlineStr">
        <is>
          <t>°</t>
        </is>
      </c>
      <c r="G29" s="23" t="n"/>
    </row>
    <row r="30" ht="17" customHeight="1">
      <c r="B30" s="23" t="n"/>
      <c r="C30" s="24" t="inlineStr">
        <is>
          <t>Surcharge on the ground  (variable)</t>
        </is>
      </c>
      <c r="D30" s="27" t="inlineStr">
        <is>
          <r>
            <rPr>
              <rFont val="Calibri"/>
              <i val="1"/>
              <color rgb="002B2B2B"/>
              <sz val="10"/>
            </rPr>
            <t>q</t>
          </r>
        </is>
      </c>
      <c r="E30" s="29" t="n">
        <v>10</v>
      </c>
      <c r="F30" s="28" t="inlineStr">
        <is>
          <t>kPa</t>
        </is>
      </c>
      <c r="G30" s="23" t="n"/>
    </row>
    <row r="31" ht="17" customHeight="1">
      <c r="B31" s="26" t="inlineStr">
        <is>
          <t>EN 1990 A1.2(B)</t>
        </is>
      </c>
      <c r="C31" s="24" t="inlineStr">
        <is>
          <t>Partial factor, permanent  (earth and water), set 1</t>
        </is>
      </c>
      <c r="D31" s="27" t="inlineStr">
        <is>
          <r>
            <rPr>
              <rFont val="Calibri"/>
              <i val="1"/>
              <color rgb="002B2B2B"/>
              <sz val="10"/>
            </rPr>
            <t>γ</t>
          </r>
          <r>
            <rPr>
              <rFont val="Calibri"/>
              <i val="1"/>
              <color rgb="002B2B2B"/>
              <sz val="10"/>
              <vertAlign val="subscript"/>
            </rPr>
            <t>G</t>
          </r>
        </is>
      </c>
      <c r="E31" s="30" t="n">
        <v>1.35</v>
      </c>
      <c r="F31" s="23" t="n"/>
      <c r="G31" s="23" t="n"/>
    </row>
    <row r="32" ht="17" customHeight="1">
      <c r="B32" s="26" t="inlineStr">
        <is>
          <t>EN 1990 A1.2(B)</t>
        </is>
      </c>
      <c r="C32" s="24" t="inlineStr">
        <is>
          <t>Partial factor, variable  (surcharge), set 1</t>
        </is>
      </c>
      <c r="D32" s="27" t="inlineStr">
        <is>
          <r>
            <rPr>
              <rFont val="Calibri"/>
              <i val="1"/>
              <color rgb="002B2B2B"/>
              <sz val="10"/>
            </rPr>
            <t>γ</t>
          </r>
          <r>
            <rPr>
              <rFont val="Calibri"/>
              <i val="1"/>
              <color rgb="002B2B2B"/>
              <sz val="10"/>
              <vertAlign val="subscript"/>
            </rPr>
            <t>Q</t>
          </r>
        </is>
      </c>
      <c r="E32" s="30" t="n">
        <v>1.5</v>
      </c>
      <c r="F32" s="23" t="n"/>
      <c r="G32" s="23" t="n"/>
    </row>
    <row r="33" ht="17" customHeight="1">
      <c r="B33" s="23" t="n"/>
      <c r="C33" s="24" t="inlineStr">
        <is>
          <t>Inputs valid and consistent</t>
        </is>
      </c>
      <c r="D33" s="23" t="n"/>
      <c r="E33" s="9" t="n"/>
      <c r="F33" s="23" t="n"/>
      <c r="G33" s="31">
        <f>IF(inputs_ok,"OK","FAIL")</f>
        <v/>
      </c>
    </row>
    <row r="35" ht="22" customHeight="1">
      <c r="B35" s="20" t="inlineStr">
        <is>
          <t>Results</t>
        </is>
      </c>
      <c r="C35" s="21" t="n"/>
      <c r="D35" s="21" t="n"/>
      <c r="E35" s="21" t="n"/>
      <c r="F35" s="21" t="n"/>
      <c r="G35" s="21" t="n"/>
    </row>
    <row r="36" ht="26" customHeight="1">
      <c r="B36" s="32" t="n"/>
      <c r="C36" s="33" t="inlineStr">
        <is>
          <t>Largest span moment  (tension on the inner face)</t>
        </is>
      </c>
      <c r="D36" s="34" t="inlineStr">
        <is>
          <r>
            <rPr>
              <rFont val="Calibri"/>
              <i val="1"/>
              <color rgb="002B2B2B"/>
              <sz val="11"/>
            </rPr>
            <t>M</t>
          </r>
          <r>
            <rPr>
              <rFont val="Calibri"/>
              <i val="1"/>
              <color rgb="002B2B2B"/>
              <sz val="11"/>
              <vertAlign val="subscript"/>
            </rPr>
            <t>Ed,span</t>
          </r>
        </is>
      </c>
      <c r="E36" s="35">
        <f>IF(inputs_ok,bw_Mspan,"–")</f>
        <v/>
      </c>
      <c r="F36" s="36" t="inlineStr">
        <is>
          <t>kNm/m</t>
        </is>
      </c>
      <c r="G36" s="32" t="n"/>
    </row>
    <row r="37" ht="26" customHeight="1">
      <c r="B37" s="32" t="n"/>
      <c r="C37" s="33" t="inlineStr">
        <is>
          <t>Moment at the base  (tension on the soil face)</t>
        </is>
      </c>
      <c r="D37" s="34" t="inlineStr">
        <is>
          <r>
            <rPr>
              <rFont val="Calibri"/>
              <i val="1"/>
              <color rgb="002B2B2B"/>
              <sz val="11"/>
            </rPr>
            <t>M</t>
          </r>
          <r>
            <rPr>
              <rFont val="Calibri"/>
              <i val="1"/>
              <color rgb="002B2B2B"/>
              <sz val="11"/>
              <vertAlign val="subscript"/>
            </rPr>
            <t>Ed,base</t>
          </r>
        </is>
      </c>
      <c r="E37" s="35">
        <f>IF(inputs_ok,-bw_Mbase,"–")</f>
        <v/>
      </c>
      <c r="F37" s="36" t="inlineStr">
        <is>
          <t>kNm/m</t>
        </is>
      </c>
      <c r="G37" s="32" t="n"/>
    </row>
    <row r="38" ht="26" customHeight="1">
      <c r="B38" s="32" t="n"/>
      <c r="C38" s="33" t="inlineStr">
        <is>
          <t>Largest shear  (at a support)</t>
        </is>
      </c>
      <c r="D38" s="34" t="inlineStr">
        <is>
          <r>
            <rPr>
              <rFont val="Calibri"/>
              <i val="1"/>
              <color rgb="002B2B2B"/>
              <sz val="11"/>
            </rPr>
            <t>V</t>
          </r>
          <r>
            <rPr>
              <rFont val="Calibri"/>
              <i val="1"/>
              <color rgb="002B2B2B"/>
              <sz val="11"/>
              <vertAlign val="subscript"/>
            </rPr>
            <t>Ed</t>
          </r>
        </is>
      </c>
      <c r="E38" s="35">
        <f>IF(inputs_ok,bw_Vmax,"–")</f>
        <v/>
      </c>
      <c r="F38" s="36" t="inlineStr">
        <is>
          <t>kN/m</t>
        </is>
      </c>
      <c r="G38" s="37">
        <f>IF(NOT(inputs_ok),"FAIL",IF(AND(ABS(bw_Vmax)&lt;=VRc_in,ABS(bw_Vmax)&lt;=VRc_out),"OK","FAIL"))</f>
        <v/>
      </c>
    </row>
    <row r="39" ht="26" customHeight="1">
      <c r="B39" s="32" t="n"/>
      <c r="C39" s="33" t="inlineStr">
        <is>
          <t>Vertical reinforcement  inner and soil faces</t>
        </is>
      </c>
      <c r="D39" s="32" t="n"/>
      <c r="E39" s="38">
        <f>IF(inputs_ok,TEXT(Asp_in,"0")&amp;"  /  "&amp;TEXT(Asp_out,"0"),"–")</f>
        <v/>
      </c>
      <c r="F39" s="36" t="inlineStr">
        <is>
          <t>mm²/m</t>
        </is>
      </c>
      <c r="G39" s="37">
        <f>IF(NOT(inputs_ok),"FAIL",IF(AND(ok_in,ok_out,ok_v),"OK","FAIL"))</f>
        <v/>
      </c>
    </row>
    <row r="40"/>
    <row r="41">
      <c r="B41" s="39" t="inlineStr">
        <is>
          <t>Your wall, to scale  ·  design pressure on the soil side (red) and bending moment (dark), tension on the inner face to the right  ·  set 1 solid, UK DA1 combination 2 dashed</t>
        </is>
      </c>
    </row>
    <row r="42"/>
    <row r="43"/>
    <row r="44"/>
    <row r="45"/>
    <row r="46"/>
    <row r="47"/>
    <row r="48"/>
    <row r="49"/>
    <row r="50"/>
    <row r="51"/>
    <row r="52"/>
    <row r="53"/>
    <row r="54"/>
    <row r="55"/>
    <row r="56"/>
    <row r="57"/>
    <row r="58"/>
    <row r="59"/>
    <row r="60"/>
    <row r="61"/>
    <row r="62"/>
    <row r="63"/>
    <row r="64"/>
    <row r="65"/>
    <row r="66"/>
    <row r="67" ht="22" customHeight="1">
      <c r="B67" s="20" t="inlineStr">
        <is>
          <t>Calculation  ·  pressures and actions  (per metre run)</t>
        </is>
      </c>
      <c r="C67" s="21" t="n"/>
      <c r="D67" s="21" t="n"/>
      <c r="E67" s="21" t="n"/>
      <c r="F67" s="21" t="n"/>
      <c r="G67" s="21" t="n"/>
    </row>
    <row r="68" ht="17" customHeight="1">
      <c r="B68" s="26" t="inlineStr">
        <is>
          <t>9.5.2(3)</t>
        </is>
      </c>
      <c r="C68" s="24" t="inlineStr">
        <is>
          <t>Coefficient of earth pressure at rest  1 − sin φ'</t>
        </is>
      </c>
      <c r="D68" s="27" t="inlineStr">
        <is>
          <r>
            <rPr>
              <rFont val="Calibri"/>
              <i val="1"/>
              <color rgb="002B2B2B"/>
              <sz val="10"/>
            </rPr>
            <t>K</t>
          </r>
          <r>
            <rPr>
              <rFont val="Calibri"/>
              <i val="1"/>
              <color rgb="002B2B2B"/>
              <sz val="10"/>
              <vertAlign val="subscript"/>
            </rPr>
            <t>0</t>
          </r>
        </is>
      </c>
      <c r="E68" s="40">
        <f>IF(inputs_ok,1-SIN(RADIANS(phi_bw)),NA())</f>
        <v/>
      </c>
      <c r="F68" s="23" t="n"/>
      <c r="G68" s="23" t="n"/>
    </row>
    <row r="69" ht="17" customHeight="1">
      <c r="B69" s="26" t="inlineStr">
        <is>
          <t>UK DA1-2</t>
        </is>
      </c>
      <c r="C69" s="24" t="inlineStr">
        <is>
          <t>Set 2: K0 with tan φ'd = tan φ' / 1.25  (M2)</t>
        </is>
      </c>
      <c r="D69" s="27" t="inlineStr">
        <is>
          <r>
            <rPr>
              <rFont val="Calibri"/>
              <i val="1"/>
              <color rgb="002B2B2B"/>
              <sz val="10"/>
            </rPr>
            <t>K</t>
          </r>
          <r>
            <rPr>
              <rFont val="Calibri"/>
              <i val="1"/>
              <color rgb="002B2B2B"/>
              <sz val="10"/>
              <vertAlign val="subscript"/>
            </rPr>
            <t>0,d</t>
          </r>
        </is>
      </c>
      <c r="E69" s="40">
        <f>IF(inputs_ok,IF(bw_on2,K0_2,"n/a"),NA())</f>
        <v/>
      </c>
      <c r="F69" s="23" t="n"/>
      <c r="G69" s="23" t="n"/>
    </row>
    <row r="70" ht="29" customHeight="1">
      <c r="B70" s="41" t="inlineStr">
        <is>
          <t>p(z) = γQ K0 q + γG [K0 γ z1 + (K0 (γsat − γw) + γw) z2], z1 depth above the water level, z2 below it; no pressure above the ground. Set 1: the γG, γQ entered, K0; set 2 (UK DA1 combination 2): γG = 1.0, γQ = 1.3, K0,d.</t>
        </is>
      </c>
    </row>
    <row r="71" ht="17" customHeight="1">
      <c r="B71" s="23" t="n"/>
      <c r="C71" s="24" t="inlineStr">
        <is>
          <t>Set 1: design pressure at the base</t>
        </is>
      </c>
      <c r="D71" s="27" t="inlineStr">
        <is>
          <r>
            <rPr>
              <rFont val="Calibri"/>
              <i val="1"/>
              <color rgb="002B2B2B"/>
              <sz val="10"/>
            </rPr>
            <t>p</t>
          </r>
          <r>
            <rPr>
              <rFont val="Calibri"/>
              <i val="1"/>
              <color rgb="002B2B2B"/>
              <sz val="10"/>
              <vertAlign val="subscript"/>
            </rPr>
            <t>b</t>
          </r>
        </is>
      </c>
      <c r="E71" s="42">
        <f>IF(inputs_ok,bw_pmax_1,NA())</f>
        <v/>
      </c>
      <c r="F71" s="28" t="inlineStr">
        <is>
          <t>kPa</t>
        </is>
      </c>
      <c r="G71" s="23" t="n"/>
    </row>
    <row r="72" ht="17" customHeight="1">
      <c r="B72" s="23" t="n"/>
      <c r="C72" s="24" t="inlineStr">
        <is>
          <t>Set 1: total load on the wall  ∫ p</t>
        </is>
      </c>
      <c r="D72" s="27" t="inlineStr">
        <is>
          <r>
            <rPr>
              <rFont val="Calibri"/>
              <i val="1"/>
              <color rgb="002B2B2B"/>
              <sz val="10"/>
            </rPr>
            <t>W</t>
          </r>
        </is>
      </c>
      <c r="E72" s="42">
        <f>IF(inputs_ok,bw_W_1,NA())</f>
        <v/>
      </c>
      <c r="F72" s="28" t="inlineStr">
        <is>
          <t>kN/m</t>
        </is>
      </c>
      <c r="G72" s="23" t="n"/>
    </row>
    <row r="73" ht="17" customHeight="1">
      <c r="B73" s="23" t="n"/>
      <c r="C73" s="24" t="inlineStr">
        <is>
          <t>Set 1: reaction at the top support  (prop force)</t>
        </is>
      </c>
      <c r="D73" s="27" t="inlineStr">
        <is>
          <r>
            <rPr>
              <rFont val="Calibri"/>
              <i val="1"/>
              <color rgb="002B2B2B"/>
              <sz val="10"/>
            </rPr>
            <t>R</t>
          </r>
          <r>
            <rPr>
              <rFont val="Calibri"/>
              <i val="1"/>
              <color rgb="002B2B2B"/>
              <sz val="10"/>
              <vertAlign val="subscript"/>
            </rPr>
            <t>top</t>
          </r>
        </is>
      </c>
      <c r="E73" s="42">
        <f>IF(inputs_ok,bw_R_1,NA())</f>
        <v/>
      </c>
      <c r="F73" s="28" t="inlineStr">
        <is>
          <t>kN/m</t>
        </is>
      </c>
      <c r="G73" s="23" t="n"/>
    </row>
    <row r="74" ht="17" customHeight="1">
      <c r="B74" s="23" t="n"/>
      <c r="C74" s="24" t="inlineStr">
        <is>
          <t>Set 1: reaction at the base</t>
        </is>
      </c>
      <c r="D74" s="27" t="inlineStr">
        <is>
          <r>
            <rPr>
              <rFont val="Calibri"/>
              <i val="1"/>
              <color rgb="002B2B2B"/>
              <sz val="10"/>
            </rPr>
            <t>R</t>
          </r>
          <r>
            <rPr>
              <rFont val="Calibri"/>
              <i val="1"/>
              <color rgb="002B2B2B"/>
              <sz val="10"/>
              <vertAlign val="subscript"/>
            </rPr>
            <t>base</t>
          </r>
        </is>
      </c>
      <c r="E74" s="42">
        <f>IF(inputs_ok,bw_Rb_1,NA())</f>
        <v/>
      </c>
      <c r="F74" s="28" t="inlineStr">
        <is>
          <t>kN/m</t>
        </is>
      </c>
      <c r="G74" s="23" t="n"/>
    </row>
    <row r="75" ht="17" customHeight="1">
      <c r="B75" s="23" t="n"/>
      <c r="C75" s="24" t="inlineStr">
        <is>
          <t>Set 1: depth of the largest span moment  (V = 0)</t>
        </is>
      </c>
      <c r="D75" s="27" t="inlineStr">
        <is>
          <r>
            <rPr>
              <rFont val="Calibri"/>
              <i val="1"/>
              <color rgb="002B2B2B"/>
              <sz val="10"/>
            </rPr>
            <t>x</t>
          </r>
        </is>
      </c>
      <c r="E75" s="40">
        <f>IF(inputs_ok,bw_xm_1,NA())</f>
        <v/>
      </c>
      <c r="F75" s="28" t="inlineStr">
        <is>
          <t>m</t>
        </is>
      </c>
      <c r="G75" s="23" t="n"/>
    </row>
    <row r="76" ht="17" customHeight="1">
      <c r="B76" s="23" t="n"/>
      <c r="C76" s="24" t="inlineStr">
        <is>
          <t>Set 1: largest span moment</t>
        </is>
      </c>
      <c r="D76" s="27" t="inlineStr">
        <is>
          <r>
            <rPr>
              <rFont val="Calibri"/>
              <i val="1"/>
              <color rgb="002B2B2B"/>
              <sz val="10"/>
            </rPr>
            <t>M</t>
          </r>
          <r>
            <rPr>
              <rFont val="Calibri"/>
              <i val="1"/>
              <color rgb="002B2B2B"/>
              <sz val="10"/>
              <vertAlign val="subscript"/>
            </rPr>
            <t>span</t>
          </r>
        </is>
      </c>
      <c r="E76" s="42">
        <f>IF(inputs_ok,(bw_R_1*bw_xm_1-(IF(MIN(bw_xm_1,bw_b2)&gt;MAX(0,bw_b1),((MIN(bw_xm_1,bw_b2))-(MAX(0,bw_b1)))/2*(0.5555555555555556*IF(((MAX(0,bw_b1))+(MIN(bw_xm_1,bw_b2)))/2+((MIN(bw_xm_1,bw_b2))-(MAX(0,bw_b1)))/2*(-0.7745966692414834)&lt;bw_h0,0,bw_A0_1+bw_A1_1*MIN(((MAX(0,bw_b1))+(MIN(bw_xm_1,bw_b2)))/2+((MIN(bw_xm_1,bw_b2))-(MAX(0,bw_b1)))/2*(-0.7745966692414834)-bw_h0,bw_zw)+bw_A2_1*MAX(0,((MAX(0,bw_b1))+(MIN(bw_xm_1,bw_b2)))/2+((MIN(bw_xm_1,bw_b2))-(MAX(0,bw_b1)))/2*(-0.7745966692414834)-bw_h0-bw_zw))*((bw_xm_1)-(((MAX(0,bw_b1))+(MIN(bw_xm_1,bw_b2)))/2+((MIN(bw_xm_1,bw_b2))-(MAX(0,bw_b1)))/2*(-0.7745966692414834)))+0.8888888888888888*IF(((MAX(0,bw_b1))+(MIN(bw_xm_1,bw_b2)))/2+((MIN(bw_xm_1,bw_b2))-(MAX(0,bw_b1)))/2*(0.0)&lt;bw_h0,0,bw_A0_1+bw_A1_1*MIN(((MAX(0,bw_b1))+(MIN(bw_xm_1,bw_b2)))/2+((MIN(bw_xm_1,bw_b2))-(MAX(0,bw_b1)))/2*(0.0)-bw_h0,bw_zw)+bw_A2_1*MAX(0,((MAX(0,bw_b1))+(MIN(bw_xm_1,bw_b2)))/2+((MIN(bw_xm_1,bw_b2))-(MAX(0,bw_b1)))/2*(0.0)-bw_h0-bw_zw))*((bw_xm_1)-(((MAX(0,bw_b1))+(MIN(bw_xm_1,bw_b2)))/2+((MIN(bw_xm_1,bw_b2))-(MAX(0,bw_b1)))/2*(0.0)))+0.5555555555555556*IF(((MAX(0,bw_b1))+(MIN(bw_xm_1,bw_b2)))/2+((MIN(bw_xm_1,bw_b2))-(MAX(0,bw_b1)))/2*(0.7745966692414834)&lt;bw_h0,0,bw_A0_1+bw_A1_1*MIN(((MAX(0,bw_b1))+(MIN(bw_xm_1,bw_b2)))/2+((MIN(bw_xm_1,bw_b2))-(MAX(0,bw_b1)))/2*(0.7745966692414834)-bw_h0,bw_zw)+bw_A2_1*MAX(0,((MAX(0,bw_b1))+(MIN(bw_xm_1,bw_b2)))/2+((MIN(bw_xm_1,bw_b2))-(MAX(0,bw_b1)))/2*(0.7745966692414834)-bw_h0-bw_zw))*((bw_xm_1)-(((MAX(0,bw_b1))+(MIN(bw_xm_1,bw_b2)))/2+((MIN(bw_xm_1,bw_b2))-(MAX(0,bw_b1)))/2*(0.7745966692414834)))),0)+IF(MIN(bw_xm_1,bw_L)&gt;MAX(0,bw_b2),((MIN(bw_xm_1,bw_L))-(MAX(0,bw_b2)))/2*(0.5555555555555556*IF(((MAX(0,bw_b2))+(MIN(bw_xm_1,bw_L)))/2+((MIN(bw_xm_1,bw_L))-(MAX(0,bw_b2)))/2*(-0.7745966692414834)&lt;bw_h0,0,bw_A0_1+bw_A1_1*MIN(((MAX(0,bw_b2))+(MIN(bw_xm_1,bw_L)))/2+((MIN(bw_xm_1,bw_L))-(MAX(0,bw_b2)))/2*(-0.7745966692414834)-bw_h0,bw_zw)+bw_A2_1*MAX(0,((MAX(0,bw_b2))+(MIN(bw_xm_1,bw_L)))/2+((MIN(bw_xm_1,bw_L))-(MAX(0,bw_b2)))/2*(-0.7745966692414834)-bw_h0-bw_zw))*((bw_xm_1)-(((MAX(0,bw_b2))+(MIN(bw_xm_1,bw_L)))/2+((MIN(bw_xm_1,bw_L))-(MAX(0,bw_b2)))/2*(-0.7745966692414834)))+0.8888888888888888*IF(((MAX(0,bw_b2))+(MIN(bw_xm_1,bw_L)))/2+((MIN(bw_xm_1,bw_L))-(MAX(0,bw_b2)))/2*(0.0)&lt;bw_h0,0,bw_A0_1+bw_A1_1*MIN(((MAX(0,bw_b2))+(MIN(bw_xm_1,bw_L)))/2+((MIN(bw_xm_1,bw_L))-(MAX(0,bw_b2)))/2*(0.0)-bw_h0,bw_zw)+bw_A2_1*MAX(0,((MAX(0,bw_b2))+(MIN(bw_xm_1,bw_L)))/2+((MIN(bw_xm_1,bw_L))-(MAX(0,bw_b2)))/2*(0.0)-bw_h0-bw_zw))*((bw_xm_1)-(((MAX(0,bw_b2))+(MIN(bw_xm_1,bw_L)))/2+((MIN(bw_xm_1,bw_L))-(MAX(0,bw_b2)))/2*(0.0)))+0.5555555555555556*IF(((MAX(0,bw_b2))+(MIN(bw_xm_1,bw_L)))/2+((MIN(bw_xm_1,bw_L))-(MAX(0,bw_b2)))/2*(0.7745966692414834)&lt;bw_h0,0,bw_A0_1+bw_A1_1*MIN(((MAX(0,bw_b2))+(MIN(bw_xm_1,bw_L)))/2+((MIN(bw_xm_1,bw_L))-(MAX(0,bw_b2)))/2*(0.7745966692414834)-bw_h0,bw_zw)+bw_A2_1*MAX(0,((MAX(0,bw_b2))+(MIN(bw_xm_1,bw_L)))/2+((MIN(bw_xm_1,bw_L))-(MAX(0,bw_b2)))/2*(0.7745966692414834)-bw_h0-bw_zw))*((bw_xm_1)-(((MAX(0,bw_b2))+(MIN(bw_xm_1,bw_L)))/2+((MIN(bw_xm_1,bw_L))-(MAX(0,bw_b2)))/2*(0.7745966692414834)))),0))),NA())</f>
        <v/>
      </c>
      <c r="F76" s="28" t="inlineStr">
        <is>
          <t>kNm/m</t>
        </is>
      </c>
      <c r="G76" s="23" t="n"/>
    </row>
    <row r="77" ht="17" customHeight="1">
      <c r="B77" s="23" t="n"/>
      <c r="C77" s="24" t="inlineStr">
        <is>
          <t>Set 1: moment at the base  (pinned: 0)</t>
        </is>
      </c>
      <c r="D77" s="27" t="inlineStr">
        <is>
          <r>
            <rPr>
              <rFont val="Calibri"/>
              <i val="1"/>
              <color rgb="002B2B2B"/>
              <sz val="10"/>
            </rPr>
            <t>M</t>
          </r>
          <r>
            <rPr>
              <rFont val="Calibri"/>
              <i val="1"/>
              <color rgb="002B2B2B"/>
              <sz val="10"/>
              <vertAlign val="subscript"/>
            </rPr>
            <t>base</t>
          </r>
        </is>
      </c>
      <c r="E77" s="42">
        <f>IF(inputs_ok,IF(base_bw="Fixed",bw_R_1*bw_L-(IF(MIN(bw_L,bw_b2)&gt;MAX(0,bw_b1),((MIN(bw_L,bw_b2))-(MAX(0,bw_b1)))/2*(0.5555555555555556*IF(((MAX(0,bw_b1))+(MIN(bw_L,bw_b2)))/2+((MIN(bw_L,bw_b2))-(MAX(0,bw_b1)))/2*(-0.7745966692414834)&lt;bw_h0,0,bw_A0_1+bw_A1_1*MIN(((MAX(0,bw_b1))+(MIN(bw_L,bw_b2)))/2+((MIN(bw_L,bw_b2))-(MAX(0,bw_b1)))/2*(-0.7745966692414834)-bw_h0,bw_zw)+bw_A2_1*MAX(0,((MAX(0,bw_b1))+(MIN(bw_L,bw_b2)))/2+((MIN(bw_L,bw_b2))-(MAX(0,bw_b1)))/2*(-0.7745966692414834)-bw_h0-bw_zw))*(bw_L-(((MAX(0,bw_b1))+(MIN(bw_L,bw_b2)))/2+((MIN(bw_L,bw_b2))-(MAX(0,bw_b1)))/2*(-0.7745966692414834)))+0.8888888888888888*IF(((MAX(0,bw_b1))+(MIN(bw_L,bw_b2)))/2+((MIN(bw_L,bw_b2))-(MAX(0,bw_b1)))/2*(0.0)&lt;bw_h0,0,bw_A0_1+bw_A1_1*MIN(((MAX(0,bw_b1))+(MIN(bw_L,bw_b2)))/2+((MIN(bw_L,bw_b2))-(MAX(0,bw_b1)))/2*(0.0)-bw_h0,bw_zw)+bw_A2_1*MAX(0,((MAX(0,bw_b1))+(MIN(bw_L,bw_b2)))/2+((MIN(bw_L,bw_b2))-(MAX(0,bw_b1)))/2*(0.0)-bw_h0-bw_zw))*(bw_L-(((MAX(0,bw_b1))+(MIN(bw_L,bw_b2)))/2+((MIN(bw_L,bw_b2))-(MAX(0,bw_b1)))/2*(0.0)))+0.5555555555555556*IF(((MAX(0,bw_b1))+(MIN(bw_L,bw_b2)))/2+((MIN(bw_L,bw_b2))-(MAX(0,bw_b1)))/2*(0.7745966692414834)&lt;bw_h0,0,bw_A0_1+bw_A1_1*MIN(((MAX(0,bw_b1))+(MIN(bw_L,bw_b2)))/2+((MIN(bw_L,bw_b2))-(MAX(0,bw_b1)))/2*(0.7745966692414834)-bw_h0,bw_zw)+bw_A2_1*MAX(0,((MAX(0,bw_b1))+(MIN(bw_L,bw_b2)))/2+((MIN(bw_L,bw_b2))-(MAX(0,bw_b1)))/2*(0.7745966692414834)-bw_h0-bw_zw))*(bw_L-(((MAX(0,bw_b1))+(MIN(bw_L,bw_b2)))/2+((MIN(bw_L,bw_b2))-(MAX(0,bw_b1)))/2*(0.7745966692414834)))),0)+IF(MIN(bw_L,bw_L)&gt;MAX(0,bw_b2),((MIN(bw_L,bw_L))-(MAX(0,bw_b2)))/2*(0.5555555555555556*IF(((MAX(0,bw_b2))+(MIN(bw_L,bw_L)))/2+((MIN(bw_L,bw_L))-(MAX(0,bw_b2)))/2*(-0.7745966692414834)&lt;bw_h0,0,bw_A0_1+bw_A1_1*MIN(((MAX(0,bw_b2))+(MIN(bw_L,bw_L)))/2+((MIN(bw_L,bw_L))-(MAX(0,bw_b2)))/2*(-0.7745966692414834)-bw_h0,bw_zw)+bw_A2_1*MAX(0,((MAX(0,bw_b2))+(MIN(bw_L,bw_L)))/2+((MIN(bw_L,bw_L))-(MAX(0,bw_b2)))/2*(-0.7745966692414834)-bw_h0-bw_zw))*(bw_L-(((MAX(0,bw_b2))+(MIN(bw_L,bw_L)))/2+((MIN(bw_L,bw_L))-(MAX(0,bw_b2)))/2*(-0.7745966692414834)))+0.8888888888888888*IF(((MAX(0,bw_b2))+(MIN(bw_L,bw_L)))/2+((MIN(bw_L,bw_L))-(MAX(0,bw_b2)))/2*(0.0)&lt;bw_h0,0,bw_A0_1+bw_A1_1*MIN(((MAX(0,bw_b2))+(MIN(bw_L,bw_L)))/2+((MIN(bw_L,bw_L))-(MAX(0,bw_b2)))/2*(0.0)-bw_h0,bw_zw)+bw_A2_1*MAX(0,((MAX(0,bw_b2))+(MIN(bw_L,bw_L)))/2+((MIN(bw_L,bw_L))-(MAX(0,bw_b2)))/2*(0.0)-bw_h0-bw_zw))*(bw_L-(((MAX(0,bw_b2))+(MIN(bw_L,bw_L)))/2+((MIN(bw_L,bw_L))-(MAX(0,bw_b2)))/2*(0.0)))+0.5555555555555556*IF(((MAX(0,bw_b2))+(MIN(bw_L,bw_L)))/2+((MIN(bw_L,bw_L))-(MAX(0,bw_b2)))/2*(0.7745966692414834)&lt;bw_h0,0,bw_A0_1+bw_A1_1*MIN(((MAX(0,bw_b2))+(MIN(bw_L,bw_L)))/2+((MIN(bw_L,bw_L))-(MAX(0,bw_b2)))/2*(0.7745966692414834)-bw_h0,bw_zw)+bw_A2_1*MAX(0,((MAX(0,bw_b2))+(MIN(bw_L,bw_L)))/2+((MIN(bw_L,bw_L))-(MAX(0,bw_b2)))/2*(0.7745966692414834)-bw_h0-bw_zw))*(bw_L-(((MAX(0,bw_b2))+(MIN(bw_L,bw_L)))/2+((MIN(bw_L,bw_L))-(MAX(0,bw_b2)))/2*(0.7745966692414834)))),0)),0),NA())</f>
        <v/>
      </c>
      <c r="F77" s="28" t="inlineStr">
        <is>
          <t>kNm/m</t>
        </is>
      </c>
      <c r="G77" s="23" t="n"/>
    </row>
    <row r="78" ht="17" customHeight="1">
      <c r="B78" s="23" t="n"/>
      <c r="C78" s="24" t="inlineStr">
        <is>
          <t>Set 2 (UK): design pressure at the base</t>
        </is>
      </c>
      <c r="D78" s="27" t="inlineStr">
        <is>
          <r>
            <rPr>
              <rFont val="Calibri"/>
              <i val="1"/>
              <color rgb="002B2B2B"/>
              <sz val="10"/>
            </rPr>
            <t>p</t>
          </r>
          <r>
            <rPr>
              <rFont val="Calibri"/>
              <i val="1"/>
              <color rgb="002B2B2B"/>
              <sz val="10"/>
              <vertAlign val="subscript"/>
            </rPr>
            <t>b</t>
          </r>
        </is>
      </c>
      <c r="E78" s="42">
        <f>IF(inputs_ok,IF(bw_on2,bw_pmax_2,"n/a"),NA())</f>
        <v/>
      </c>
      <c r="F78" s="28" t="inlineStr">
        <is>
          <t>kPa</t>
        </is>
      </c>
      <c r="G78" s="23" t="n"/>
    </row>
    <row r="79" ht="17" customHeight="1">
      <c r="B79" s="23" t="n"/>
      <c r="C79" s="24" t="inlineStr">
        <is>
          <t>Set 2 (UK): total load on the wall  ∫ p</t>
        </is>
      </c>
      <c r="D79" s="27" t="inlineStr">
        <is>
          <r>
            <rPr>
              <rFont val="Calibri"/>
              <i val="1"/>
              <color rgb="002B2B2B"/>
              <sz val="10"/>
            </rPr>
            <t>W</t>
          </r>
        </is>
      </c>
      <c r="E79" s="42">
        <f>IF(inputs_ok,IF(bw_on2,bw_W_2,"n/a"),NA())</f>
        <v/>
      </c>
      <c r="F79" s="28" t="inlineStr">
        <is>
          <t>kN/m</t>
        </is>
      </c>
      <c r="G79" s="23" t="n"/>
    </row>
    <row r="80" ht="17" customHeight="1">
      <c r="B80" s="23" t="n"/>
      <c r="C80" s="24" t="inlineStr">
        <is>
          <t>Set 2 (UK): reaction at the top support  (prop force)</t>
        </is>
      </c>
      <c r="D80" s="27" t="inlineStr">
        <is>
          <r>
            <rPr>
              <rFont val="Calibri"/>
              <i val="1"/>
              <color rgb="002B2B2B"/>
              <sz val="10"/>
            </rPr>
            <t>R</t>
          </r>
          <r>
            <rPr>
              <rFont val="Calibri"/>
              <i val="1"/>
              <color rgb="002B2B2B"/>
              <sz val="10"/>
              <vertAlign val="subscript"/>
            </rPr>
            <t>top</t>
          </r>
        </is>
      </c>
      <c r="E80" s="42">
        <f>IF(inputs_ok,IF(bw_on2,bw_R_2,"n/a"),NA())</f>
        <v/>
      </c>
      <c r="F80" s="28" t="inlineStr">
        <is>
          <t>kN/m</t>
        </is>
      </c>
      <c r="G80" s="23" t="n"/>
    </row>
    <row r="81" ht="17" customHeight="1">
      <c r="B81" s="23" t="n"/>
      <c r="C81" s="24" t="inlineStr">
        <is>
          <t>Set 2 (UK): reaction at the base</t>
        </is>
      </c>
      <c r="D81" s="27" t="inlineStr">
        <is>
          <r>
            <rPr>
              <rFont val="Calibri"/>
              <i val="1"/>
              <color rgb="002B2B2B"/>
              <sz val="10"/>
            </rPr>
            <t>R</t>
          </r>
          <r>
            <rPr>
              <rFont val="Calibri"/>
              <i val="1"/>
              <color rgb="002B2B2B"/>
              <sz val="10"/>
              <vertAlign val="subscript"/>
            </rPr>
            <t>base</t>
          </r>
        </is>
      </c>
      <c r="E81" s="42">
        <f>IF(inputs_ok,IF(bw_on2,bw_Rb_2,"n/a"),NA())</f>
        <v/>
      </c>
      <c r="F81" s="28" t="inlineStr">
        <is>
          <t>kN/m</t>
        </is>
      </c>
      <c r="G81" s="23" t="n"/>
    </row>
    <row r="82" ht="17" customHeight="1">
      <c r="B82" s="23" t="n"/>
      <c r="C82" s="24" t="inlineStr">
        <is>
          <t>Set 2 (UK): depth of the largest span moment  (V = 0)</t>
        </is>
      </c>
      <c r="D82" s="27" t="inlineStr">
        <is>
          <r>
            <rPr>
              <rFont val="Calibri"/>
              <i val="1"/>
              <color rgb="002B2B2B"/>
              <sz val="10"/>
            </rPr>
            <t>x</t>
          </r>
        </is>
      </c>
      <c r="E82" s="40">
        <f>IF(inputs_ok,IF(bw_on2,bw_xm_2,"n/a"),NA())</f>
        <v/>
      </c>
      <c r="F82" s="28" t="inlineStr">
        <is>
          <t>m</t>
        </is>
      </c>
      <c r="G82" s="23" t="n"/>
    </row>
    <row r="83" ht="17" customHeight="1">
      <c r="B83" s="23" t="n"/>
      <c r="C83" s="24" t="inlineStr">
        <is>
          <t>Set 2 (UK): largest span moment</t>
        </is>
      </c>
      <c r="D83" s="27" t="inlineStr">
        <is>
          <r>
            <rPr>
              <rFont val="Calibri"/>
              <i val="1"/>
              <color rgb="002B2B2B"/>
              <sz val="10"/>
            </rPr>
            <t>M</t>
          </r>
          <r>
            <rPr>
              <rFont val="Calibri"/>
              <i val="1"/>
              <color rgb="002B2B2B"/>
              <sz val="10"/>
              <vertAlign val="subscript"/>
            </rPr>
            <t>span</t>
          </r>
        </is>
      </c>
      <c r="E83" s="42">
        <f>IF(inputs_ok,IF(bw_on2,(bw_R_2*bw_xm_2-(IF(MIN(bw_xm_2,bw_b2)&gt;MAX(0,bw_b1),((MIN(bw_xm_2,bw_b2))-(MAX(0,bw_b1)))/2*(0.5555555555555556*IF(((MAX(0,bw_b1))+(MIN(bw_xm_2,bw_b2)))/2+((MIN(bw_xm_2,bw_b2))-(MAX(0,bw_b1)))/2*(-0.7745966692414834)&lt;bw_h0,0,bw_A0_2+bw_A1_2*MIN(((MAX(0,bw_b1))+(MIN(bw_xm_2,bw_b2)))/2+((MIN(bw_xm_2,bw_b2))-(MAX(0,bw_b1)))/2*(-0.7745966692414834)-bw_h0,bw_zw)+bw_A2_2*MAX(0,((MAX(0,bw_b1))+(MIN(bw_xm_2,bw_b2)))/2+((MIN(bw_xm_2,bw_b2))-(MAX(0,bw_b1)))/2*(-0.7745966692414834)-bw_h0-bw_zw))*((bw_xm_2)-(((MAX(0,bw_b1))+(MIN(bw_xm_2,bw_b2)))/2+((MIN(bw_xm_2,bw_b2))-(MAX(0,bw_b1)))/2*(-0.7745966692414834)))+0.8888888888888888*IF(((MAX(0,bw_b1))+(MIN(bw_xm_2,bw_b2)))/2+((MIN(bw_xm_2,bw_b2))-(MAX(0,bw_b1)))/2*(0.0)&lt;bw_h0,0,bw_A0_2+bw_A1_2*MIN(((MAX(0,bw_b1))+(MIN(bw_xm_2,bw_b2)))/2+((MIN(bw_xm_2,bw_b2))-(MAX(0,bw_b1)))/2*(0.0)-bw_h0,bw_zw)+bw_A2_2*MAX(0,((MAX(0,bw_b1))+(MIN(bw_xm_2,bw_b2)))/2+((MIN(bw_xm_2,bw_b2))-(MAX(0,bw_b1)))/2*(0.0)-bw_h0-bw_zw))*((bw_xm_2)-(((MAX(0,bw_b1))+(MIN(bw_xm_2,bw_b2)))/2+((MIN(bw_xm_2,bw_b2))-(MAX(0,bw_b1)))/2*(0.0)))+0.5555555555555556*IF(((MAX(0,bw_b1))+(MIN(bw_xm_2,bw_b2)))/2+((MIN(bw_xm_2,bw_b2))-(MAX(0,bw_b1)))/2*(0.7745966692414834)&lt;bw_h0,0,bw_A0_2+bw_A1_2*MIN(((MAX(0,bw_b1))+(MIN(bw_xm_2,bw_b2)))/2+((MIN(bw_xm_2,bw_b2))-(MAX(0,bw_b1)))/2*(0.7745966692414834)-bw_h0,bw_zw)+bw_A2_2*MAX(0,((MAX(0,bw_b1))+(MIN(bw_xm_2,bw_b2)))/2+((MIN(bw_xm_2,bw_b2))-(MAX(0,bw_b1)))/2*(0.7745966692414834)-bw_h0-bw_zw))*((bw_xm_2)-(((MAX(0,bw_b1))+(MIN(bw_xm_2,bw_b2)))/2+((MIN(bw_xm_2,bw_b2))-(MAX(0,bw_b1)))/2*(0.7745966692414834)))),0)+IF(MIN(bw_xm_2,bw_L)&gt;MAX(0,bw_b2),((MIN(bw_xm_2,bw_L))-(MAX(0,bw_b2)))/2*(0.5555555555555556*IF(((MAX(0,bw_b2))+(MIN(bw_xm_2,bw_L)))/2+((MIN(bw_xm_2,bw_L))-(MAX(0,bw_b2)))/2*(-0.7745966692414834)&lt;bw_h0,0,bw_A0_2+bw_A1_2*MIN(((MAX(0,bw_b2))+(MIN(bw_xm_2,bw_L)))/2+((MIN(bw_xm_2,bw_L))-(MAX(0,bw_b2)))/2*(-0.7745966692414834)-bw_h0,bw_zw)+bw_A2_2*MAX(0,((MAX(0,bw_b2))+(MIN(bw_xm_2,bw_L)))/2+((MIN(bw_xm_2,bw_L))-(MAX(0,bw_b2)))/2*(-0.7745966692414834)-bw_h0-bw_zw))*((bw_xm_2)-(((MAX(0,bw_b2))+(MIN(bw_xm_2,bw_L)))/2+((MIN(bw_xm_2,bw_L))-(MAX(0,bw_b2)))/2*(-0.7745966692414834)))+0.8888888888888888*IF(((MAX(0,bw_b2))+(MIN(bw_xm_2,bw_L)))/2+((MIN(bw_xm_2,bw_L))-(MAX(0,bw_b2)))/2*(0.0)&lt;bw_h0,0,bw_A0_2+bw_A1_2*MIN(((MAX(0,bw_b2))+(MIN(bw_xm_2,bw_L)))/2+((MIN(bw_xm_2,bw_L))-(MAX(0,bw_b2)))/2*(0.0)-bw_h0,bw_zw)+bw_A2_2*MAX(0,((MAX(0,bw_b2))+(MIN(bw_xm_2,bw_L)))/2+((MIN(bw_xm_2,bw_L))-(MAX(0,bw_b2)))/2*(0.0)-bw_h0-bw_zw))*((bw_xm_2)-(((MAX(0,bw_b2))+(MIN(bw_xm_2,bw_L)))/2+((MIN(bw_xm_2,bw_L))-(MAX(0,bw_b2)))/2*(0.0)))+0.5555555555555556*IF(((MAX(0,bw_b2))+(MIN(bw_xm_2,bw_L)))/2+((MIN(bw_xm_2,bw_L))-(MAX(0,bw_b2)))/2*(0.7745966692414834)&lt;bw_h0,0,bw_A0_2+bw_A1_2*MIN(((MAX(0,bw_b2))+(MIN(bw_xm_2,bw_L)))/2+((MIN(bw_xm_2,bw_L))-(MAX(0,bw_b2)))/2*(0.7745966692414834)-bw_h0,bw_zw)+bw_A2_2*MAX(0,((MAX(0,bw_b2))+(MIN(bw_xm_2,bw_L)))/2+((MIN(bw_xm_2,bw_L))-(MAX(0,bw_b2)))/2*(0.7745966692414834)-bw_h0-bw_zw))*((bw_xm_2)-(((MAX(0,bw_b2))+(MIN(bw_xm_2,bw_L)))/2+((MIN(bw_xm_2,bw_L))-(MAX(0,bw_b2)))/2*(0.7745966692414834)))),0))),"n/a"),NA())</f>
        <v/>
      </c>
      <c r="F83" s="28" t="inlineStr">
        <is>
          <t>kNm/m</t>
        </is>
      </c>
      <c r="G83" s="23" t="n"/>
    </row>
    <row r="84" ht="17" customHeight="1">
      <c r="B84" s="23" t="n"/>
      <c r="C84" s="24" t="inlineStr">
        <is>
          <t>Set 2 (UK): moment at the base  (pinned: 0)</t>
        </is>
      </c>
      <c r="D84" s="27" t="inlineStr">
        <is>
          <r>
            <rPr>
              <rFont val="Calibri"/>
              <i val="1"/>
              <color rgb="002B2B2B"/>
              <sz val="10"/>
            </rPr>
            <t>M</t>
          </r>
          <r>
            <rPr>
              <rFont val="Calibri"/>
              <i val="1"/>
              <color rgb="002B2B2B"/>
              <sz val="10"/>
              <vertAlign val="subscript"/>
            </rPr>
            <t>base</t>
          </r>
        </is>
      </c>
      <c r="E84" s="42">
        <f>IF(inputs_ok,IF(bw_on2,IF(base_bw="Fixed",bw_R_2*bw_L-(IF(MIN(bw_L,bw_b2)&gt;MAX(0,bw_b1),((MIN(bw_L,bw_b2))-(MAX(0,bw_b1)))/2*(0.5555555555555556*IF(((MAX(0,bw_b1))+(MIN(bw_L,bw_b2)))/2+((MIN(bw_L,bw_b2))-(MAX(0,bw_b1)))/2*(-0.7745966692414834)&lt;bw_h0,0,bw_A0_2+bw_A1_2*MIN(((MAX(0,bw_b1))+(MIN(bw_L,bw_b2)))/2+((MIN(bw_L,bw_b2))-(MAX(0,bw_b1)))/2*(-0.7745966692414834)-bw_h0,bw_zw)+bw_A2_2*MAX(0,((MAX(0,bw_b1))+(MIN(bw_L,bw_b2)))/2+((MIN(bw_L,bw_b2))-(MAX(0,bw_b1)))/2*(-0.7745966692414834)-bw_h0-bw_zw))*(bw_L-(((MAX(0,bw_b1))+(MIN(bw_L,bw_b2)))/2+((MIN(bw_L,bw_b2))-(MAX(0,bw_b1)))/2*(-0.7745966692414834)))+0.8888888888888888*IF(((MAX(0,bw_b1))+(MIN(bw_L,bw_b2)))/2+((MIN(bw_L,bw_b2))-(MAX(0,bw_b1)))/2*(0.0)&lt;bw_h0,0,bw_A0_2+bw_A1_2*MIN(((MAX(0,bw_b1))+(MIN(bw_L,bw_b2)))/2+((MIN(bw_L,bw_b2))-(MAX(0,bw_b1)))/2*(0.0)-bw_h0,bw_zw)+bw_A2_2*MAX(0,((MAX(0,bw_b1))+(MIN(bw_L,bw_b2)))/2+((MIN(bw_L,bw_b2))-(MAX(0,bw_b1)))/2*(0.0)-bw_h0-bw_zw))*(bw_L-(((MAX(0,bw_b1))+(MIN(bw_L,bw_b2)))/2+((MIN(bw_L,bw_b2))-(MAX(0,bw_b1)))/2*(0.0)))+0.5555555555555556*IF(((MAX(0,bw_b1))+(MIN(bw_L,bw_b2)))/2+((MIN(bw_L,bw_b2))-(MAX(0,bw_b1)))/2*(0.7745966692414834)&lt;bw_h0,0,bw_A0_2+bw_A1_2*MIN(((MAX(0,bw_b1))+(MIN(bw_L,bw_b2)))/2+((MIN(bw_L,bw_b2))-(MAX(0,bw_b1)))/2*(0.7745966692414834)-bw_h0,bw_zw)+bw_A2_2*MAX(0,((MAX(0,bw_b1))+(MIN(bw_L,bw_b2)))/2+((MIN(bw_L,bw_b2))-(MAX(0,bw_b1)))/2*(0.7745966692414834)-bw_h0-bw_zw))*(bw_L-(((MAX(0,bw_b1))+(MIN(bw_L,bw_b2)))/2+((MIN(bw_L,bw_b2))-(MAX(0,bw_b1)))/2*(0.7745966692414834)))),0)+IF(MIN(bw_L,bw_L)&gt;MAX(0,bw_b2),((MIN(bw_L,bw_L))-(MAX(0,bw_b2)))/2*(0.5555555555555556*IF(((MAX(0,bw_b2))+(MIN(bw_L,bw_L)))/2+((MIN(bw_L,bw_L))-(MAX(0,bw_b2)))/2*(-0.7745966692414834)&lt;bw_h0,0,bw_A0_2+bw_A1_2*MIN(((MAX(0,bw_b2))+(MIN(bw_L,bw_L)))/2+((MIN(bw_L,bw_L))-(MAX(0,bw_b2)))/2*(-0.7745966692414834)-bw_h0,bw_zw)+bw_A2_2*MAX(0,((MAX(0,bw_b2))+(MIN(bw_L,bw_L)))/2+((MIN(bw_L,bw_L))-(MAX(0,bw_b2)))/2*(-0.7745966692414834)-bw_h0-bw_zw))*(bw_L-(((MAX(0,bw_b2))+(MIN(bw_L,bw_L)))/2+((MIN(bw_L,bw_L))-(MAX(0,bw_b2)))/2*(-0.7745966692414834)))+0.8888888888888888*IF(((MAX(0,bw_b2))+(MIN(bw_L,bw_L)))/2+((MIN(bw_L,bw_L))-(MAX(0,bw_b2)))/2*(0.0)&lt;bw_h0,0,bw_A0_2+bw_A1_2*MIN(((MAX(0,bw_b2))+(MIN(bw_L,bw_L)))/2+((MIN(bw_L,bw_L))-(MAX(0,bw_b2)))/2*(0.0)-bw_h0,bw_zw)+bw_A2_2*MAX(0,((MAX(0,bw_b2))+(MIN(bw_L,bw_L)))/2+((MIN(bw_L,bw_L))-(MAX(0,bw_b2)))/2*(0.0)-bw_h0-bw_zw))*(bw_L-(((MAX(0,bw_b2))+(MIN(bw_L,bw_L)))/2+((MIN(bw_L,bw_L))-(MAX(0,bw_b2)))/2*(0.0)))+0.5555555555555556*IF(((MAX(0,bw_b2))+(MIN(bw_L,bw_L)))/2+((MIN(bw_L,bw_L))-(MAX(0,bw_b2)))/2*(0.7745966692414834)&lt;bw_h0,0,bw_A0_2+bw_A1_2*MIN(((MAX(0,bw_b2))+(MIN(bw_L,bw_L)))/2+((MIN(bw_L,bw_L))-(MAX(0,bw_b2)))/2*(0.7745966692414834)-bw_h0,bw_zw)+bw_A2_2*MAX(0,((MAX(0,bw_b2))+(MIN(bw_L,bw_L)))/2+((MIN(bw_L,bw_L))-(MAX(0,bw_b2)))/2*(0.7745966692414834)-bw_h0-bw_zw))*(bw_L-(((MAX(0,bw_b2))+(MIN(bw_L,bw_L)))/2+((MIN(bw_L,bw_L))-(MAX(0,bw_b2)))/2*(0.7745966692414834)))),0)),0),"n/a"),NA())</f>
        <v/>
      </c>
      <c r="F84" s="28" t="inlineStr">
        <is>
          <t>kNm/m</t>
        </is>
      </c>
      <c r="G84" s="23" t="n"/>
    </row>
    <row r="85" ht="17" customHeight="1">
      <c r="B85" s="23" t="n"/>
      <c r="C85" s="24" t="inlineStr">
        <is>
          <t>Largest span moment  (worst set)</t>
        </is>
      </c>
      <c r="D85" s="27" t="inlineStr">
        <is>
          <r>
            <rPr>
              <rFont val="Calibri"/>
              <i val="1"/>
              <color rgb="002B2B2B"/>
              <sz val="10"/>
            </rPr>
            <t>M</t>
          </r>
          <r>
            <rPr>
              <rFont val="Calibri"/>
              <i val="1"/>
              <color rgb="002B2B2B"/>
              <sz val="10"/>
              <vertAlign val="subscript"/>
            </rPr>
            <t>span</t>
          </r>
        </is>
      </c>
      <c r="E85" s="43">
        <f>IF(inputs_ok,MAX(bw_Mspan_1,IF(bw_on2,bw_Mspan_2,0)),NA())</f>
        <v/>
      </c>
      <c r="F85" s="28" t="inlineStr">
        <is>
          <t>kNm/m</t>
        </is>
      </c>
      <c r="G85" s="23" t="n"/>
    </row>
    <row r="86" ht="17" customHeight="1">
      <c r="B86" s="23" t="n"/>
      <c r="C86" s="24" t="inlineStr">
        <is>
          <t>Moment at the base  (worst set)</t>
        </is>
      </c>
      <c r="D86" s="27" t="inlineStr">
        <is>
          <r>
            <rPr>
              <rFont val="Calibri"/>
              <i val="1"/>
              <color rgb="002B2B2B"/>
              <sz val="10"/>
            </rPr>
            <t>M</t>
          </r>
          <r>
            <rPr>
              <rFont val="Calibri"/>
              <i val="1"/>
              <color rgb="002B2B2B"/>
              <sz val="10"/>
              <vertAlign val="subscript"/>
            </rPr>
            <t>base</t>
          </r>
        </is>
      </c>
      <c r="E86" s="43">
        <f>IF(inputs_ok,MIN(bw_Mbase_1,IF(bw_on2,bw_Mbase_2,0)),NA())</f>
        <v/>
      </c>
      <c r="F86" s="28" t="inlineStr">
        <is>
          <t>kNm/m</t>
        </is>
      </c>
      <c r="G86" s="23" t="n"/>
    </row>
    <row r="87" ht="17" customHeight="1">
      <c r="B87" s="23" t="n"/>
      <c r="C87" s="24" t="inlineStr">
        <is>
          <t>Largest shear  max(R_top; R_base), worst set</t>
        </is>
      </c>
      <c r="D87" s="27" t="inlineStr">
        <is>
          <r>
            <rPr>
              <rFont val="Calibri"/>
              <i val="1"/>
              <color rgb="002B2B2B"/>
              <sz val="10"/>
            </rPr>
            <t>V</t>
          </r>
          <r>
            <rPr>
              <rFont val="Calibri"/>
              <i val="1"/>
              <color rgb="002B2B2B"/>
              <sz val="10"/>
              <vertAlign val="subscript"/>
            </rPr>
            <t>Ed</t>
          </r>
        </is>
      </c>
      <c r="E87" s="43">
        <f>IF(inputs_ok,bw_Vmax,NA())</f>
        <v/>
      </c>
      <c r="F87" s="28" t="inlineStr">
        <is>
          <t>kN/m</t>
        </is>
      </c>
      <c r="G87" s="23" t="n"/>
    </row>
    <row r="88" ht="41.5" customHeight="1">
      <c r="B88" s="41" t="inlineStr">
        <is>
          <t>Exact integration: 3-point Gauss on each part where the pressure is linear. Fixed base: the prop force makes the deflection at the top zero, R = ∫ p b² (3L − b) / (2L³) dξ with b = L − ξ (constant EI). The maximum span moment lies where the shear is zero, solved exactly in the part where the shear changes sign.</t>
        </is>
      </c>
    </row>
    <row r="89"/>
    <row r="90" ht="22" customHeight="1">
      <c r="B90" s="20" t="inlineStr">
        <is>
          <t>Calculation  ·  EN 1992-1-1  (STR)</t>
        </is>
      </c>
      <c r="C90" s="21" t="n"/>
      <c r="D90" s="21" t="n"/>
      <c r="E90" s="21" t="n"/>
      <c r="F90" s="21" t="n"/>
      <c r="G90" s="21" t="n"/>
    </row>
    <row r="91" ht="17" customHeight="1">
      <c r="B91" s="26" t="inlineStr">
        <is>
          <t>2.4.2.4(1)</t>
        </is>
      </c>
      <c r="C91" s="24" t="inlineStr">
        <is>
          <t>Partial factor, concrete</t>
        </is>
      </c>
      <c r="D91" s="27" t="inlineStr">
        <is>
          <r>
            <rPr>
              <rFont val="Calibri"/>
              <i val="1"/>
              <color rgb="002B2B2B"/>
              <sz val="10"/>
            </rPr>
            <t>γ</t>
          </r>
          <r>
            <rPr>
              <rFont val="Calibri"/>
              <i val="1"/>
              <color rgb="002B2B2B"/>
              <sz val="10"/>
              <vertAlign val="subscript"/>
            </rPr>
            <t>c</t>
          </r>
        </is>
      </c>
      <c r="E91" s="42">
        <f>IF(inputs_ok,ndp_gamma_c,NA())</f>
        <v/>
      </c>
      <c r="F91" s="23" t="n"/>
      <c r="G91" s="26" t="inlineStr">
        <is>
          <t>NDP sheet</t>
        </is>
      </c>
    </row>
    <row r="92" ht="17" customHeight="1">
      <c r="B92" s="26" t="inlineStr">
        <is>
          <t>2.4.2.4(1)</t>
        </is>
      </c>
      <c r="C92" s="24" t="inlineStr">
        <is>
          <t>Partial factor, reinforcement</t>
        </is>
      </c>
      <c r="D92" s="27" t="inlineStr">
        <is>
          <r>
            <rPr>
              <rFont val="Calibri"/>
              <i val="1"/>
              <color rgb="002B2B2B"/>
              <sz val="10"/>
            </rPr>
            <t>γ</t>
          </r>
          <r>
            <rPr>
              <rFont val="Calibri"/>
              <i val="1"/>
              <color rgb="002B2B2B"/>
              <sz val="10"/>
              <vertAlign val="subscript"/>
            </rPr>
            <t>s</t>
          </r>
        </is>
      </c>
      <c r="E92" s="42">
        <f>IF(inputs_ok,ndp_gamma_s,NA())</f>
        <v/>
      </c>
      <c r="F92" s="23" t="n"/>
      <c r="G92" s="26" t="inlineStr">
        <is>
          <t>NDP sheet</t>
        </is>
      </c>
    </row>
    <row r="93" ht="17" customHeight="1">
      <c r="B93" s="26" t="inlineStr">
        <is>
          <t>3.1.6(1)</t>
        </is>
      </c>
      <c r="C93" s="24" t="inlineStr">
        <is>
          <t>Coefficient on compressive strength (flexure)</t>
        </is>
      </c>
      <c r="D93" s="27" t="inlineStr">
        <is>
          <r>
            <rPr>
              <rFont val="Calibri"/>
              <i val="1"/>
              <color rgb="002B2B2B"/>
              <sz val="10"/>
            </rPr>
            <t>α</t>
          </r>
          <r>
            <rPr>
              <rFont val="Calibri"/>
              <i val="1"/>
              <color rgb="002B2B2B"/>
              <sz val="10"/>
              <vertAlign val="subscript"/>
            </rPr>
            <t>cc</t>
          </r>
        </is>
      </c>
      <c r="E93" s="42">
        <f>IF(inputs_ok,ndp_alpha_cc,NA())</f>
        <v/>
      </c>
      <c r="F93" s="23" t="n"/>
      <c r="G93" s="26" t="inlineStr">
        <is>
          <t>NDP sheet</t>
        </is>
      </c>
    </row>
    <row r="94" ht="17" customHeight="1">
      <c r="B94" s="26" t="inlineStr">
        <is>
          <t>6.2.2(1), 6.4.4(1)</t>
        </is>
      </c>
      <c r="C94" s="24" t="inlineStr">
        <is>
          <t>Coefficient  0.18 / γc</t>
        </is>
      </c>
      <c r="D94" s="27" t="inlineStr">
        <is>
          <r>
            <rPr>
              <rFont val="Calibri"/>
              <i val="1"/>
              <color rgb="002B2B2B"/>
              <sz val="10"/>
            </rPr>
            <t>C</t>
          </r>
          <r>
            <rPr>
              <rFont val="Calibri"/>
              <i val="1"/>
              <color rgb="002B2B2B"/>
              <sz val="10"/>
              <vertAlign val="subscript"/>
            </rPr>
            <t>Rd,c</t>
          </r>
        </is>
      </c>
      <c r="E94" s="40">
        <f>IF(inputs_ok,ndp_C_Rdc/ndp_gamma_c,NA())</f>
        <v/>
      </c>
      <c r="F94" s="23" t="n"/>
      <c r="G94" s="26" t="inlineStr">
        <is>
          <t>NDP sheet</t>
        </is>
      </c>
    </row>
    <row r="95" ht="17" customHeight="1">
      <c r="B95" s="26" t="inlineStr">
        <is>
          <t>Table 3.1</t>
        </is>
      </c>
      <c r="C95" s="24" t="inlineStr">
        <is>
          <t>Characteristic cylinder strength</t>
        </is>
      </c>
      <c r="D95" s="27" t="inlineStr">
        <is>
          <r>
            <rPr>
              <rFont val="Calibri"/>
              <i val="1"/>
              <color rgb="002B2B2B"/>
              <sz val="10"/>
            </rPr>
            <t>f</t>
          </r>
          <r>
            <rPr>
              <rFont val="Calibri"/>
              <i val="1"/>
              <color rgb="002B2B2B"/>
              <sz val="10"/>
              <vertAlign val="subscript"/>
            </rPr>
            <t>ck</t>
          </r>
        </is>
      </c>
      <c r="E95" s="44">
        <f>IF(inputs_ok,VALUE(MID(conc_class,2,FIND("/",conc_class)-2)),NA())</f>
        <v/>
      </c>
      <c r="F95" s="28" t="inlineStr">
        <is>
          <t>MPa</t>
        </is>
      </c>
      <c r="G95" s="23" t="n"/>
    </row>
    <row r="96" ht="17" customHeight="1">
      <c r="B96" s="26" t="inlineStr">
        <is>
          <t>Table 3.1</t>
        </is>
      </c>
      <c r="C96" s="24" t="inlineStr">
        <is>
          <t>Mean tensile strength</t>
        </is>
      </c>
      <c r="D96" s="27" t="inlineStr">
        <is>
          <r>
            <rPr>
              <rFont val="Calibri"/>
              <i val="1"/>
              <color rgb="002B2B2B"/>
              <sz val="10"/>
            </rPr>
            <t>f</t>
          </r>
          <r>
            <rPr>
              <rFont val="Calibri"/>
              <i val="1"/>
              <color rgb="002B2B2B"/>
              <sz val="10"/>
              <vertAlign val="subscript"/>
            </rPr>
            <t>ctm</t>
          </r>
        </is>
      </c>
      <c r="E96" s="42">
        <f>IF(inputs_ok,IF(f_ck&lt;=50,0.3*f_ck^(2/3),2.12*LN(1+(f_ck+8)/10)),NA())</f>
        <v/>
      </c>
      <c r="F96" s="28" t="inlineStr">
        <is>
          <t>MPa</t>
        </is>
      </c>
      <c r="G96" s="23" t="n"/>
    </row>
    <row r="97" ht="17" customHeight="1">
      <c r="B97" s="26" t="inlineStr">
        <is>
          <t>3.1.6(1)</t>
        </is>
      </c>
      <c r="C97" s="24" t="inlineStr">
        <is>
          <t>Design compressive strength  αcc fck / γc</t>
        </is>
      </c>
      <c r="D97" s="27" t="inlineStr">
        <is>
          <r>
            <rPr>
              <rFont val="Calibri"/>
              <i val="1"/>
              <color rgb="002B2B2B"/>
              <sz val="10"/>
            </rPr>
            <t>f</t>
          </r>
          <r>
            <rPr>
              <rFont val="Calibri"/>
              <i val="1"/>
              <color rgb="002B2B2B"/>
              <sz val="10"/>
              <vertAlign val="subscript"/>
            </rPr>
            <t>cd</t>
          </r>
        </is>
      </c>
      <c r="E97" s="42">
        <f>IF(inputs_ok,alpha_cc*f_ck/gamma_c,NA())</f>
        <v/>
      </c>
      <c r="F97" s="28" t="inlineStr">
        <is>
          <t>MPa</t>
        </is>
      </c>
      <c r="G97" s="23" t="n"/>
    </row>
    <row r="98" ht="17" customHeight="1">
      <c r="B98" s="26" t="inlineStr">
        <is>
          <t>3.2.7</t>
        </is>
      </c>
      <c r="C98" s="24" t="inlineStr">
        <is>
          <t>Design yield strength</t>
        </is>
      </c>
      <c r="D98" s="27" t="inlineStr">
        <is>
          <r>
            <rPr>
              <rFont val="Calibri"/>
              <i val="1"/>
              <color rgb="002B2B2B"/>
              <sz val="10"/>
            </rPr>
            <t>f</t>
          </r>
          <r>
            <rPr>
              <rFont val="Calibri"/>
              <i val="1"/>
              <color rgb="002B2B2B"/>
              <sz val="10"/>
              <vertAlign val="subscript"/>
            </rPr>
            <t>yd</t>
          </r>
        </is>
      </c>
      <c r="E98" s="45">
        <f>IF(inputs_ok,f_yk/gamma_s,NA())</f>
        <v/>
      </c>
      <c r="F98" s="28" t="inlineStr">
        <is>
          <t>MPa</t>
        </is>
      </c>
      <c r="G98" s="23" t="n"/>
    </row>
    <row r="99" ht="17" customHeight="1">
      <c r="B99" s="26" t="inlineStr">
        <is>
          <t>5.6.3</t>
        </is>
      </c>
      <c r="C99" s="24" t="inlineStr">
        <is>
          <t>Limit on K without compression bars  (ξ ≤ 0.45)</t>
        </is>
      </c>
      <c r="D99" s="27" t="inlineStr">
        <is>
          <r>
            <rPr>
              <rFont val="Calibri"/>
              <i val="1"/>
              <color rgb="002B2B2B"/>
              <sz val="10"/>
            </rPr>
            <t>K'</t>
          </r>
        </is>
      </c>
      <c r="E99" s="40">
        <f>IF(inputs_ok,alpha_cc/gamma_c*0.8*0.45*(1-0.4*0.45),NA())</f>
        <v/>
      </c>
      <c r="F99" s="23" t="n"/>
      <c r="G99" s="23" t="n"/>
    </row>
    <row r="100" ht="17" customHeight="1">
      <c r="B100" s="26" t="inlineStr">
        <is>
          <t>8.2(2)</t>
        </is>
      </c>
      <c r="C100" s="24" t="inlineStr">
        <is>
          <t>Minimum clear gap  max(φ; dg + 5; 20)</t>
        </is>
      </c>
      <c r="D100" s="27" t="inlineStr">
        <is>
          <r>
            <rPr>
              <rFont val="Calibri"/>
              <i val="1"/>
              <color rgb="002B2B2B"/>
              <sz val="10"/>
            </rPr>
            <t>a</t>
          </r>
          <r>
            <rPr>
              <rFont val="Calibri"/>
              <i val="1"/>
              <color rgb="002B2B2B"/>
              <sz val="10"/>
              <vertAlign val="subscript"/>
            </rPr>
            <t>min</t>
          </r>
        </is>
      </c>
      <c r="E100" s="44">
        <f>IF(inputs_ok,MAX(phi_in,phi_out,d_g+5,20),NA())</f>
        <v/>
      </c>
      <c r="F100" s="28" t="inlineStr">
        <is>
          <t>mm</t>
        </is>
      </c>
      <c r="G100" s="23" t="n"/>
    </row>
    <row r="101" ht="17" customHeight="1">
      <c r="B101" s="23" t="n"/>
      <c r="C101" s="24" t="inlineStr">
        <is>
          <t>Inner face: effective depth  t − c − φ/2</t>
        </is>
      </c>
      <c r="D101" s="27" t="inlineStr">
        <is>
          <r>
            <rPr>
              <rFont val="Calibri"/>
              <i val="1"/>
              <color rgb="002B2B2B"/>
              <sz val="10"/>
            </rPr>
            <t>d</t>
          </r>
        </is>
      </c>
      <c r="E101" s="44">
        <f>IF(inputs_ok,t_bw-c_nom-phi_in/2,NA())</f>
        <v/>
      </c>
      <c r="F101" s="28" t="inlineStr">
        <is>
          <t>mm</t>
        </is>
      </c>
      <c r="G101" s="23" t="n"/>
    </row>
    <row r="102" ht="17" customHeight="1">
      <c r="B102" s="23" t="n"/>
      <c r="C102" s="24" t="inlineStr">
        <is>
          <t>Inner face: K = M / (b d² fck)</t>
        </is>
      </c>
      <c r="D102" s="27" t="inlineStr">
        <is>
          <r>
            <rPr>
              <rFont val="Calibri"/>
              <i val="1"/>
              <color rgb="002B2B2B"/>
              <sz val="10"/>
            </rPr>
            <t>K</t>
          </r>
        </is>
      </c>
      <c r="E102" s="40">
        <f>IF(inputs_ok,MAX(0,bw_Mspan)*1E6/(1000*d_in^2*f_ck),NA())</f>
        <v/>
      </c>
      <c r="F102" s="23" t="n"/>
      <c r="G102" s="23" t="n"/>
    </row>
    <row r="103" ht="17" customHeight="1">
      <c r="B103" s="26" t="inlineStr">
        <is>
          <t>3.1.7(3)</t>
        </is>
      </c>
      <c r="C103" s="24" t="inlineStr">
        <is>
          <t>Inner face: lever arm  d (1 − 0.4ξ) ≤ 0.95 d</t>
        </is>
      </c>
      <c r="D103" s="27" t="inlineStr">
        <is>
          <r>
            <rPr>
              <rFont val="Calibri"/>
              <i val="1"/>
              <color rgb="002B2B2B"/>
              <sz val="10"/>
            </rPr>
            <t>z</t>
          </r>
        </is>
      </c>
      <c r="E103" s="44">
        <f>IF(inputs_ok,IF(K_in&lt;=K_lw,MIN(0.95*d_in,d_in*(1-0.5*(1-SQRT(1-2*K_in/(alpha_cc/gamma_c))))),NA()),NA())</f>
        <v/>
      </c>
      <c r="F103" s="28" t="inlineStr">
        <is>
          <t>mm</t>
        </is>
      </c>
      <c r="G103" s="23" t="n"/>
    </row>
    <row r="104" ht="17" customHeight="1">
      <c r="B104" s="23" t="n"/>
      <c r="C104" s="24" t="inlineStr">
        <is>
          <t>Inner face: As required  M / (fyd z)</t>
        </is>
      </c>
      <c r="D104" s="27" t="inlineStr">
        <is>
          <r>
            <rPr>
              <rFont val="Calibri"/>
              <i val="1"/>
              <color rgb="002B2B2B"/>
              <sz val="10"/>
            </rPr>
            <t>A</t>
          </r>
          <r>
            <rPr>
              <rFont val="Calibri"/>
              <i val="1"/>
              <color rgb="002B2B2B"/>
              <sz val="10"/>
              <vertAlign val="subscript"/>
            </rPr>
            <t>s,req</t>
          </r>
        </is>
      </c>
      <c r="E104" s="44">
        <f>IF(inputs_ok,MAX(0,bw_Mspan)*1E6/(f_yd*z_in),NA())</f>
        <v/>
      </c>
      <c r="F104" s="28" t="inlineStr">
        <is>
          <t>mm²/m</t>
        </is>
      </c>
      <c r="G104" s="23" t="n"/>
    </row>
    <row r="105" ht="17" customHeight="1">
      <c r="B105" s="26" t="inlineStr">
        <is>
          <t>(9.1N)</t>
        </is>
      </c>
      <c r="C105" s="24" t="inlineStr">
        <is>
          <t>Inner face: As,min  max(0.26 fctm/fyk; 0.0013) b d</t>
        </is>
      </c>
      <c r="D105" s="27" t="inlineStr">
        <is>
          <r>
            <rPr>
              <rFont val="Calibri"/>
              <i val="1"/>
              <color rgb="002B2B2B"/>
              <sz val="10"/>
            </rPr>
            <t>A</t>
          </r>
          <r>
            <rPr>
              <rFont val="Calibri"/>
              <i val="1"/>
              <color rgb="002B2B2B"/>
              <sz val="10"/>
              <vertAlign val="subscript"/>
            </rPr>
            <t>s,min</t>
          </r>
        </is>
      </c>
      <c r="E105" s="44">
        <f>IF(inputs_ok,MAX(0.26*f_ctm/f_yk,0.0013)*1000*d_in,NA())</f>
        <v/>
      </c>
      <c r="F105" s="28" t="inlineStr">
        <is>
          <t>mm²/m</t>
        </is>
      </c>
      <c r="G105" s="23" t="n"/>
    </row>
    <row r="106" ht="17" customHeight="1">
      <c r="B106" s="23" t="n"/>
      <c r="C106" s="24" t="inlineStr">
        <is>
          <t>Inner face: As provided  1000 π φ² / (4 s)  (span)</t>
        </is>
      </c>
      <c r="D106" s="27" t="inlineStr">
        <is>
          <r>
            <rPr>
              <rFont val="Calibri"/>
              <i val="1"/>
              <color rgb="002B2B2B"/>
              <sz val="10"/>
            </rPr>
            <t>A</t>
          </r>
          <r>
            <rPr>
              <rFont val="Calibri"/>
              <i val="1"/>
              <color rgb="002B2B2B"/>
              <sz val="10"/>
              <vertAlign val="subscript"/>
            </rPr>
            <t>s,prov</t>
          </r>
        </is>
      </c>
      <c r="E106" s="44">
        <f>IF(inputs_ok,1000*PI()*phi_in^2/4/s_in,NA())</f>
        <v/>
      </c>
      <c r="F106" s="28" t="inlineStr">
        <is>
          <t>mm²/m</t>
        </is>
      </c>
      <c r="G106" s="23" t="n"/>
    </row>
    <row r="107" ht="17" customHeight="1">
      <c r="B107" s="26" t="inlineStr">
        <is>
          <t>(6.2)</t>
        </is>
      </c>
      <c r="C107" s="24" t="inlineStr">
        <is>
          <t>Inner face: VRd,c  (no links)</t>
        </is>
      </c>
      <c r="D107" s="27" t="inlineStr">
        <is>
          <r>
            <rPr>
              <rFont val="Calibri"/>
              <i val="1"/>
              <color rgb="002B2B2B"/>
              <sz val="10"/>
            </rPr>
            <t>V</t>
          </r>
          <r>
            <rPr>
              <rFont val="Calibri"/>
              <i val="1"/>
              <color rgb="002B2B2B"/>
              <sz val="10"/>
              <vertAlign val="subscript"/>
            </rPr>
            <t>Rd,c</t>
          </r>
        </is>
      </c>
      <c r="E107" s="45">
        <f>IF(inputs_ok,MAX(C_Rdc*MIN(2,1+SQRT(200/d_in))*(100*MIN(0.02,Asp_in/(1000*d_in))*f_ck)^(1/3),0.035*MIN(2,1+SQRT(200/d_in))^1.5*SQRT(f_ck))*d_in,NA())</f>
        <v/>
      </c>
      <c r="F107" s="28" t="inlineStr">
        <is>
          <t>kN/m</t>
        </is>
      </c>
      <c r="G107" s="23" t="n"/>
    </row>
    <row r="108" ht="17" customHeight="1">
      <c r="B108" s="26" t="inlineStr">
        <is>
          <t>9.3.1.1(3)</t>
        </is>
      </c>
      <c r="C108" s="24" t="inlineStr">
        <is>
          <t>Inner face: maximum bar spacing</t>
        </is>
      </c>
      <c r="D108" s="27" t="inlineStr">
        <is>
          <r>
            <rPr>
              <rFont val="Calibri"/>
              <i val="1"/>
              <color rgb="002B2B2B"/>
              <sz val="10"/>
            </rPr>
            <t>s</t>
          </r>
          <r>
            <rPr>
              <rFont val="Calibri"/>
              <i val="1"/>
              <color rgb="002B2B2B"/>
              <sz val="10"/>
              <vertAlign val="subscript"/>
            </rPr>
            <t>max</t>
          </r>
        </is>
      </c>
      <c r="E108" s="44">
        <f>IF(inputs_ok,MIN(2*t_bw,250),NA())</f>
        <v/>
      </c>
      <c r="F108" s="28" t="inlineStr">
        <is>
          <t>mm</t>
        </is>
      </c>
      <c r="G108" s="23" t="n"/>
    </row>
    <row r="109" ht="17" customHeight="1">
      <c r="B109" s="23" t="n"/>
      <c r="C109" s="24" t="inlineStr">
        <is>
          <t>Inner face: bending  As,prov ≥ max(As,req; As,min)</t>
        </is>
      </c>
      <c r="D109" s="27" t="inlineStr">
        <is>
          <r>
            <rPr>
              <rFont val="Calibri"/>
              <i val="1"/>
              <color rgb="002B2B2B"/>
              <sz val="10"/>
            </rPr>
            <t>A</t>
          </r>
          <r>
            <rPr>
              <rFont val="Calibri"/>
              <i val="1"/>
              <color rgb="002B2B2B"/>
              <sz val="10"/>
              <vertAlign val="subscript"/>
            </rPr>
            <t>s</t>
          </r>
        </is>
      </c>
      <c r="E109" s="44">
        <f>IF(inputs_ok,Asp_in,NA())</f>
        <v/>
      </c>
      <c r="F109" s="28" t="inlineStr">
        <is>
          <t>mm²/m</t>
        </is>
      </c>
      <c r="G109" s="31">
        <f>IF(NOT(inputs_ok),"FAIL",IF(IFERROR(Asp_in&gt;=MAX(Asr_in,Asm_in),FALSE),"OK","FAIL"))</f>
        <v/>
      </c>
    </row>
    <row r="110" ht="17" customHeight="1">
      <c r="B110" s="26" t="inlineStr">
        <is>
          <t>(6.2)</t>
        </is>
      </c>
      <c r="C110" s="24" t="inlineStr">
        <is>
          <t>Inner face: shear  VEd ≤ VRd,c</t>
        </is>
      </c>
      <c r="D110" s="27" t="inlineStr">
        <is>
          <r>
            <rPr>
              <rFont val="Calibri"/>
              <i val="1"/>
              <color rgb="002B2B2B"/>
              <sz val="10"/>
            </rPr>
            <t>V</t>
          </r>
          <r>
            <rPr>
              <rFont val="Calibri"/>
              <i val="1"/>
              <color rgb="002B2B2B"/>
              <sz val="10"/>
              <vertAlign val="subscript"/>
            </rPr>
            <t>Ed</t>
          </r>
        </is>
      </c>
      <c r="E110" s="45">
        <f>IF(inputs_ok,ABS(bw_Vmax),NA())</f>
        <v/>
      </c>
      <c r="F110" s="28" t="inlineStr">
        <is>
          <t>kN/m</t>
        </is>
      </c>
      <c r="G110" s="31">
        <f>IF(NOT(inputs_ok),"FAIL",IF(ABS(bw_Vmax)&lt;=VRc_in,"OK","FAIL"))</f>
        <v/>
      </c>
    </row>
    <row r="111" ht="17" customHeight="1">
      <c r="B111" s="26" t="inlineStr">
        <is>
          <t>9.3.1.1(3)</t>
        </is>
      </c>
      <c r="C111" s="24" t="inlineStr">
        <is>
          <t>Inner face: spacing ≤ s_max, clear gap ≥ a_min, As ≤ 0.04 Ac</t>
        </is>
      </c>
      <c r="D111" s="27" t="inlineStr">
        <is>
          <r>
            <rPr>
              <rFont val="Calibri"/>
              <i val="1"/>
              <color rgb="002B2B2B"/>
              <sz val="10"/>
            </rPr>
            <t>s</t>
          </r>
        </is>
      </c>
      <c r="E111" s="44">
        <f>IF(inputs_ok,s_in,NA())</f>
        <v/>
      </c>
      <c r="F111" s="28" t="inlineStr">
        <is>
          <t>mm</t>
        </is>
      </c>
      <c r="G111" s="31">
        <f>IF(NOT(inputs_ok),"FAIL",IF(AND(s_in&lt;=smx_in,s_in-phi_in&gt;=gap_rw,Asp_in&lt;=0.04*1000*t_bw),"OK","FAIL"))</f>
        <v/>
      </c>
    </row>
    <row r="112" ht="17" customHeight="1">
      <c r="B112" s="23" t="n"/>
      <c r="C112" s="24" t="inlineStr">
        <is>
          <t>Soil face: effective depth  t − c − φ/2</t>
        </is>
      </c>
      <c r="D112" s="27" t="inlineStr">
        <is>
          <r>
            <rPr>
              <rFont val="Calibri"/>
              <i val="1"/>
              <color rgb="002B2B2B"/>
              <sz val="10"/>
            </rPr>
            <t>d</t>
          </r>
        </is>
      </c>
      <c r="E112" s="44">
        <f>IF(inputs_ok,t_bw-c_nom-phi_out/2,NA())</f>
        <v/>
      </c>
      <c r="F112" s="28" t="inlineStr">
        <is>
          <t>mm</t>
        </is>
      </c>
      <c r="G112" s="23" t="n"/>
    </row>
    <row r="113" ht="17" customHeight="1">
      <c r="B113" s="23" t="n"/>
      <c r="C113" s="24" t="inlineStr">
        <is>
          <t>Soil face: K = M / (b d² fck)</t>
        </is>
      </c>
      <c r="D113" s="27" t="inlineStr">
        <is>
          <r>
            <rPr>
              <rFont val="Calibri"/>
              <i val="1"/>
              <color rgb="002B2B2B"/>
              <sz val="10"/>
            </rPr>
            <t>K</t>
          </r>
        </is>
      </c>
      <c r="E113" s="40">
        <f>IF(inputs_ok,MAX(0,-bw_Mbase)*1E6/(1000*d_out^2*f_ck),NA())</f>
        <v/>
      </c>
      <c r="F113" s="23" t="n"/>
      <c r="G113" s="23" t="n"/>
    </row>
    <row r="114" ht="17" customHeight="1">
      <c r="B114" s="26" t="inlineStr">
        <is>
          <t>3.1.7(3)</t>
        </is>
      </c>
      <c r="C114" s="24" t="inlineStr">
        <is>
          <t>Soil face: lever arm  d (1 − 0.4ξ) ≤ 0.95 d</t>
        </is>
      </c>
      <c r="D114" s="27" t="inlineStr">
        <is>
          <r>
            <rPr>
              <rFont val="Calibri"/>
              <i val="1"/>
              <color rgb="002B2B2B"/>
              <sz val="10"/>
            </rPr>
            <t>z</t>
          </r>
        </is>
      </c>
      <c r="E114" s="44">
        <f>IF(inputs_ok,IF(K_out&lt;=K_lw,MIN(0.95*d_out,d_out*(1-0.5*(1-SQRT(1-2*K_out/(alpha_cc/gamma_c))))),NA()),NA())</f>
        <v/>
      </c>
      <c r="F114" s="28" t="inlineStr">
        <is>
          <t>mm</t>
        </is>
      </c>
      <c r="G114" s="23" t="n"/>
    </row>
    <row r="115" ht="17" customHeight="1">
      <c r="B115" s="23" t="n"/>
      <c r="C115" s="24" t="inlineStr">
        <is>
          <t>Soil face: As required  M / (fyd z)</t>
        </is>
      </c>
      <c r="D115" s="27" t="inlineStr">
        <is>
          <r>
            <rPr>
              <rFont val="Calibri"/>
              <i val="1"/>
              <color rgb="002B2B2B"/>
              <sz val="10"/>
            </rPr>
            <t>A</t>
          </r>
          <r>
            <rPr>
              <rFont val="Calibri"/>
              <i val="1"/>
              <color rgb="002B2B2B"/>
              <sz val="10"/>
              <vertAlign val="subscript"/>
            </rPr>
            <t>s,req</t>
          </r>
        </is>
      </c>
      <c r="E115" s="44">
        <f>IF(inputs_ok,MAX(0,-bw_Mbase)*1E6/(f_yd*z_out),NA())</f>
        <v/>
      </c>
      <c r="F115" s="28" t="inlineStr">
        <is>
          <t>mm²/m</t>
        </is>
      </c>
      <c r="G115" s="23" t="n"/>
    </row>
    <row r="116" ht="17" customHeight="1">
      <c r="B116" s="26" t="inlineStr">
        <is>
          <t>(9.1N)</t>
        </is>
      </c>
      <c r="C116" s="24" t="inlineStr">
        <is>
          <t>Soil face: As,min  max(0.26 fctm/fyk; 0.0013) b d</t>
        </is>
      </c>
      <c r="D116" s="27" t="inlineStr">
        <is>
          <r>
            <rPr>
              <rFont val="Calibri"/>
              <i val="1"/>
              <color rgb="002B2B2B"/>
              <sz val="10"/>
            </rPr>
            <t>A</t>
          </r>
          <r>
            <rPr>
              <rFont val="Calibri"/>
              <i val="1"/>
              <color rgb="002B2B2B"/>
              <sz val="10"/>
              <vertAlign val="subscript"/>
            </rPr>
            <t>s,min</t>
          </r>
        </is>
      </c>
      <c r="E116" s="44">
        <f>IF(inputs_ok,MAX(0.26*f_ctm/f_yk,0.0013)*1000*d_out,NA())</f>
        <v/>
      </c>
      <c r="F116" s="28" t="inlineStr">
        <is>
          <t>mm²/m</t>
        </is>
      </c>
      <c r="G116" s="23" t="n"/>
    </row>
    <row r="117" ht="17" customHeight="1">
      <c r="B117" s="23" t="n"/>
      <c r="C117" s="24" t="inlineStr">
        <is>
          <t>Soil face: As provided  1000 π φ² / (4 s)  (base)</t>
        </is>
      </c>
      <c r="D117" s="27" t="inlineStr">
        <is>
          <r>
            <rPr>
              <rFont val="Calibri"/>
              <i val="1"/>
              <color rgb="002B2B2B"/>
              <sz val="10"/>
            </rPr>
            <t>A</t>
          </r>
          <r>
            <rPr>
              <rFont val="Calibri"/>
              <i val="1"/>
              <color rgb="002B2B2B"/>
              <sz val="10"/>
              <vertAlign val="subscript"/>
            </rPr>
            <t>s,prov</t>
          </r>
        </is>
      </c>
      <c r="E117" s="44">
        <f>IF(inputs_ok,1000*PI()*phi_out^2/4/s_out,NA())</f>
        <v/>
      </c>
      <c r="F117" s="28" t="inlineStr">
        <is>
          <t>mm²/m</t>
        </is>
      </c>
      <c r="G117" s="23" t="n"/>
    </row>
    <row r="118" ht="17" customHeight="1">
      <c r="B118" s="26" t="inlineStr">
        <is>
          <t>(6.2)</t>
        </is>
      </c>
      <c r="C118" s="24" t="inlineStr">
        <is>
          <t>Soil face: VRd,c  (no links)</t>
        </is>
      </c>
      <c r="D118" s="27" t="inlineStr">
        <is>
          <r>
            <rPr>
              <rFont val="Calibri"/>
              <i val="1"/>
              <color rgb="002B2B2B"/>
              <sz val="10"/>
            </rPr>
            <t>V</t>
          </r>
          <r>
            <rPr>
              <rFont val="Calibri"/>
              <i val="1"/>
              <color rgb="002B2B2B"/>
              <sz val="10"/>
              <vertAlign val="subscript"/>
            </rPr>
            <t>Rd,c</t>
          </r>
        </is>
      </c>
      <c r="E118" s="45">
        <f>IF(inputs_ok,MAX(C_Rdc*MIN(2,1+SQRT(200/d_out))*(100*MIN(0.02,Asp_out/(1000*d_out))*f_ck)^(1/3),0.035*MIN(2,1+SQRT(200/d_out))^1.5*SQRT(f_ck))*d_out,NA())</f>
        <v/>
      </c>
      <c r="F118" s="28" t="inlineStr">
        <is>
          <t>kN/m</t>
        </is>
      </c>
      <c r="G118" s="23" t="n"/>
    </row>
    <row r="119" ht="17" customHeight="1">
      <c r="B119" s="26" t="inlineStr">
        <is>
          <t>9.3.1.1(3), 9.6.2(3)</t>
        </is>
      </c>
      <c r="C119" s="24" t="inlineStr">
        <is>
          <t>Soil face: maximum bar spacing</t>
        </is>
      </c>
      <c r="D119" s="27" t="inlineStr">
        <is>
          <r>
            <rPr>
              <rFont val="Calibri"/>
              <i val="1"/>
              <color rgb="002B2B2B"/>
              <sz val="10"/>
            </rPr>
            <t>s</t>
          </r>
          <r>
            <rPr>
              <rFont val="Calibri"/>
              <i val="1"/>
              <color rgb="002B2B2B"/>
              <sz val="10"/>
              <vertAlign val="subscript"/>
            </rPr>
            <t>max</t>
          </r>
        </is>
      </c>
      <c r="E119" s="44">
        <f>IF(inputs_ok,IF(base_bw="Fixed",MIN(2*t_bw,250),MIN(3*t_bw,400)),NA())</f>
        <v/>
      </c>
      <c r="F119" s="28" t="inlineStr">
        <is>
          <t>mm</t>
        </is>
      </c>
      <c r="G119" s="23" t="n"/>
    </row>
    <row r="120" ht="17" customHeight="1">
      <c r="B120" s="23" t="n"/>
      <c r="C120" s="24" t="inlineStr">
        <is>
          <t>Soil face: bending  As,prov ≥ max(As,req; As,min)</t>
        </is>
      </c>
      <c r="D120" s="27" t="inlineStr">
        <is>
          <r>
            <rPr>
              <rFont val="Calibri"/>
              <i val="1"/>
              <color rgb="002B2B2B"/>
              <sz val="10"/>
            </rPr>
            <t>A</t>
          </r>
          <r>
            <rPr>
              <rFont val="Calibri"/>
              <i val="1"/>
              <color rgb="002B2B2B"/>
              <sz val="10"/>
              <vertAlign val="subscript"/>
            </rPr>
            <t>s</t>
          </r>
        </is>
      </c>
      <c r="E120" s="44">
        <f>IF(inputs_ok,Asp_out,NA())</f>
        <v/>
      </c>
      <c r="F120" s="28" t="inlineStr">
        <is>
          <t>mm²/m</t>
        </is>
      </c>
      <c r="G120" s="31">
        <f>IF(NOT(inputs_ok),"FAIL",IF(IFERROR(Asp_out&gt;=MAX(Asr_out,Asm_out),FALSE),"OK","FAIL"))</f>
        <v/>
      </c>
    </row>
    <row r="121" ht="17" customHeight="1">
      <c r="B121" s="26" t="inlineStr">
        <is>
          <t>(6.2)</t>
        </is>
      </c>
      <c r="C121" s="24" t="inlineStr">
        <is>
          <t>Soil face: shear  VEd ≤ VRd,c</t>
        </is>
      </c>
      <c r="D121" s="27" t="inlineStr">
        <is>
          <r>
            <rPr>
              <rFont val="Calibri"/>
              <i val="1"/>
              <color rgb="002B2B2B"/>
              <sz val="10"/>
            </rPr>
            <t>V</t>
          </r>
          <r>
            <rPr>
              <rFont val="Calibri"/>
              <i val="1"/>
              <color rgb="002B2B2B"/>
              <sz val="10"/>
              <vertAlign val="subscript"/>
            </rPr>
            <t>Ed</t>
          </r>
        </is>
      </c>
      <c r="E121" s="45">
        <f>IF(inputs_ok,ABS(bw_Vmax),NA())</f>
        <v/>
      </c>
      <c r="F121" s="28" t="inlineStr">
        <is>
          <t>kN/m</t>
        </is>
      </c>
      <c r="G121" s="31">
        <f>IF(NOT(inputs_ok),"FAIL",IF(ABS(bw_Vmax)&lt;=VRc_out,"OK","FAIL"))</f>
        <v/>
      </c>
    </row>
    <row r="122" ht="17" customHeight="1">
      <c r="B122" s="26" t="inlineStr">
        <is>
          <t>9.3.1.1(3), 9.6.2(3)</t>
        </is>
      </c>
      <c r="C122" s="24" t="inlineStr">
        <is>
          <t>Soil face: spacing ≤ s_max, clear gap ≥ a_min, As ≤ 0.04 Ac</t>
        </is>
      </c>
      <c r="D122" s="27" t="inlineStr">
        <is>
          <r>
            <rPr>
              <rFont val="Calibri"/>
              <i val="1"/>
              <color rgb="002B2B2B"/>
              <sz val="10"/>
            </rPr>
            <t>s</t>
          </r>
        </is>
      </c>
      <c r="E122" s="44">
        <f>IF(inputs_ok,s_out,NA())</f>
        <v/>
      </c>
      <c r="F122" s="28" t="inlineStr">
        <is>
          <t>mm</t>
        </is>
      </c>
      <c r="G122" s="31">
        <f>IF(NOT(inputs_ok),"FAIL",IF(AND(s_out&lt;=smx_out,s_out-phi_out&gt;=gap_rw,Asp_out&lt;=0.04*1000*t_bw),"OK","FAIL"))</f>
        <v/>
      </c>
    </row>
    <row r="123" ht="17" customHeight="1">
      <c r="B123" s="26" t="inlineStr">
        <is>
          <t>9.6.2(2)</t>
        </is>
      </c>
      <c r="C123" s="24" t="inlineStr">
        <is>
          <t>Wall minimum: each face ≥ 0.001 Ac  (half of 0.002 Ac)</t>
        </is>
      </c>
      <c r="D123" s="27" t="inlineStr">
        <is>
          <r>
            <rPr>
              <rFont val="Calibri"/>
              <i val="1"/>
              <color rgb="002B2B2B"/>
              <sz val="10"/>
            </rPr>
            <t>A</t>
          </r>
          <r>
            <rPr>
              <rFont val="Calibri"/>
              <i val="1"/>
              <color rgb="002B2B2B"/>
              <sz val="10"/>
              <vertAlign val="subscript"/>
            </rPr>
            <t>s,min</t>
          </r>
        </is>
      </c>
      <c r="E123" s="44">
        <f>IF(inputs_ok,MIN(Asp_in,Asp_out),NA())</f>
        <v/>
      </c>
      <c r="F123" s="28" t="inlineStr">
        <is>
          <t>mm²/m</t>
        </is>
      </c>
      <c r="G123" s="31">
        <f>IF(NOT(inputs_ok),"FAIL",IF(AND(Asp_in&gt;=0.001*1000*t_bw,Asp_out&gt;=0.001*1000*t_bw),"OK","FAIL"))</f>
        <v/>
      </c>
    </row>
    <row r="124" ht="17" customHeight="1">
      <c r="B124" s="26" t="inlineStr">
        <is>
          <t>9.6.2(1)</t>
        </is>
      </c>
      <c r="C124" s="24" t="inlineStr">
        <is>
          <t>Wall maximum: both faces ≤ 0.04 Ac</t>
        </is>
      </c>
      <c r="D124" s="27" t="inlineStr">
        <is>
          <r>
            <rPr>
              <rFont val="Calibri"/>
              <i val="1"/>
              <color rgb="002B2B2B"/>
              <sz val="10"/>
            </rPr>
            <t>A</t>
          </r>
          <r>
            <rPr>
              <rFont val="Calibri"/>
              <i val="1"/>
              <color rgb="002B2B2B"/>
              <sz val="10"/>
              <vertAlign val="subscript"/>
            </rPr>
            <t>s,v</t>
          </r>
        </is>
      </c>
      <c r="E124" s="44">
        <f>IF(inputs_ok,Asp_in+Asp_out,NA())</f>
        <v/>
      </c>
      <c r="F124" s="28" t="inlineStr">
        <is>
          <t>mm²/m</t>
        </is>
      </c>
      <c r="G124" s="31">
        <f>IF(NOT(inputs_ok),"FAIL",IF(Asp_in+Asp_out&lt;=0.04*1000*t_bw,"OK","FAIL"))</f>
        <v/>
      </c>
    </row>
    <row r="125" ht="54" customHeight="1">
      <c r="B125" s="41" t="inlineStr">
        <is>
          <t>The soil face is designed for the base moment; for a pinned base it carries the wall minimum. VRd,c with the bars of each face anchored beyond the section (6.2.2(1)); the shear is taken at the support centreline (conservative, 6.2.1(8)). The thickness check keeps a clear gap between the two layers of vertical bars, measured with the cover to the vertical bars (horizontal bars inside them).</t>
        </is>
      </c>
    </row>
    <row r="126"/>
    <row r="127" ht="29" customHeight="1">
      <c r="B127" s="41"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9">
    <mergeCell ref="B125:G125"/>
    <mergeCell ref="E5:G5"/>
    <mergeCell ref="B127:G127"/>
    <mergeCell ref="B88:G88"/>
    <mergeCell ref="B70:G70"/>
    <mergeCell ref="D2:G2"/>
    <mergeCell ref="E7:G7"/>
    <mergeCell ref="E6:G6"/>
    <mergeCell ref="C3:G3"/>
  </mergeCells>
  <conditionalFormatting sqref="G9:G128">
    <cfRule type="expression" priority="1" dxfId="0">
      <formula>G9="OK"</formula>
    </cfRule>
    <cfRule type="expression" priority="2" dxfId="1">
      <formula>G9="FAIL"</formula>
    </cfRule>
    <cfRule type="expression" priority="3" dxfId="2">
      <formula>LEFT(G9,1)="!"</formula>
    </cfRule>
  </conditionalFormatting>
  <dataValidations count="19">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Pick a value from the list." type="list" errorStyle="stop">
      <formula1>"Pinned,Fixed"</formula1>
    </dataValidation>
    <dataValidation sqref="E18" showDropDown="0" showInputMessage="0" showErrorMessage="1" allowBlank="0" errorTitle="NA Engineering" error="Enter a number greater than 0." type="decimal" errorStyle="stop" operator="greaterThan">
      <formula1>0</formula1>
    </dataValidation>
    <dataValidation sqref="E19 E21" showDropDown="0" showInputMessage="0" showErrorMessage="1" allowBlank="0" errorTitle="NA Engineering" error="Pick a value from the list." type="list" errorStyle="stop">
      <formula1>"8,10,12,16,20,25,32,40"</formula1>
    </dataValidation>
    <dataValidation sqref="E20" showDropDown="0" showInputMessage="0" showErrorMessage="1" allowBlank="0" errorTitle="NA Engineering" error="Enter a number greater than 0." type="decimal" errorStyle="stop" operator="greaterThan">
      <formula1>0</formula1>
    </dataValidation>
    <dataValidation sqref="E22" showDropDown="0" showInputMessage="0" showErrorMessage="1" allowBlank="0" errorTitle="NA Engineering" error="Enter a number greater than 0." type="decimal" errorStyle="stop" operator="greaterThan">
      <formula1>0</formula1>
    </dataValidation>
    <dataValidation sqref="E25" showDropDown="0" showInputMessage="0" showErrorMessage="1" allowBlank="0" errorTitle="NA Engineering" error="Enter a number ≥ 0." type="decimal" errorStyle="stop" operator="greaterThanOrEqual">
      <formula1>0</formula1>
    </dataValidation>
    <dataValidation sqref="E26" showDropDown="0" showInputMessage="0" showErrorMessage="1" allowBlank="0" errorTitle="NA Engineering" error="Enter a number ≥ 0." type="decimal" errorStyle="stop" operator="greaterThanOrEqual">
      <formula1>0</formula1>
    </dataValidation>
    <dataValidation sqref="E27" showDropDown="0" showInputMessage="0" showErrorMessage="1" allowBlank="0" errorTitle="NA Engineering" error="Enter a number greater than 0." type="decimal" errorStyle="stop" operator="greaterThan">
      <formula1>0</formula1>
    </dataValidation>
    <dataValidation sqref="E28" showDropDown="0" showInputMessage="0" showErrorMessage="1" allowBlank="0" errorTitle="NA Engineering" error="Enter a number greater than 0." type="decimal" errorStyle="stop" operator="greaterThan">
      <formula1>0</formula1>
    </dataValidation>
    <dataValidation sqref="E29" showDropDown="0" showInputMessage="0" showErrorMessage="1" allowBlank="0" errorTitle="NA Engineering" error="Enter a number greater than 0." type="decimal" errorStyle="stop" operator="greaterThan">
      <formula1>0</formula1>
    </dataValidation>
    <dataValidation sqref="E30" showDropDown="0" showInputMessage="0" showErrorMessage="1" allowBlank="0" errorTitle="NA Engineering" error="Enter a number ≥ 0." type="decimal" errorStyle="stop" operator="greaterThanOrEqual">
      <formula1>0</formula1>
    </dataValidation>
    <dataValidation sqref="E31" showDropDown="0" showInputMessage="0" showErrorMessage="1" allowBlank="0" errorTitle="NA Engineering" error="Enter a number greater than 0." type="decimal" errorStyle="stop" operator="greaterThan">
      <formula1>0</formula1>
    </dataValidation>
    <dataValidation sqref="E32"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&amp;K8A8A8ANAE-RC-020  v1.0</oddFooter>
    <evenHeader/>
    <evenFooter/>
    <firstHeader/>
    <firstFooter/>
  </headerFooter>
  <rowBreaks count="1" manualBreakCount="1">
    <brk id="34"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P32"/>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wall</t>
        </is>
      </c>
      <c r="G2" t="inlineStr">
        <is>
          <t>top slab</t>
        </is>
      </c>
      <c r="J2" t="inlineStr">
        <is>
          <t>base slab</t>
        </is>
      </c>
      <c r="M2" t="inlineStr">
        <is>
          <t>fixity</t>
        </is>
      </c>
      <c r="P2" t="inlineStr">
        <is>
          <t>ground</t>
        </is>
      </c>
      <c r="S2">
        <f>IF(inputs_ok,"ground","")</f>
        <v/>
      </c>
      <c r="V2" t="inlineStr">
        <is>
          <t>water</t>
        </is>
      </c>
      <c r="Y2">
        <f>IF(inputs_ok,IF(h0_bw+zw_bw&lt;L_bw,"design water level",""),"")</f>
        <v/>
      </c>
      <c r="AB2" t="inlineStr">
        <is>
          <t>pressure 1</t>
        </is>
      </c>
      <c r="AE2" t="inlineStr">
        <is>
          <t>pressure 2</t>
        </is>
      </c>
      <c r="AH2">
        <f>IF(inputs_ok,TEXT(bw_pmax,"0")&amp;" kPa","")</f>
        <v/>
      </c>
      <c r="AK2" t="inlineStr">
        <is>
          <t>BMD axis</t>
        </is>
      </c>
      <c r="AN2" t="inlineStr">
        <is>
          <t>BMD 1</t>
        </is>
      </c>
      <c r="AQ2" t="inlineStr">
        <is>
          <t>BMD 2</t>
        </is>
      </c>
      <c r="AT2" t="inlineStr">
        <is>
          <t>Mmax</t>
        </is>
      </c>
      <c r="AW2">
        <f>IF(inputs_ok,TEXT(bw_Mspan,"0.0")&amp;" kNm/m","")</f>
        <v/>
      </c>
      <c r="AZ2">
        <f>IF(inputs_ok,IF(base_bw="Fixed",TEXT(bw_Mbase,"0.0;−0.0")&amp;" kNm/m",""),"")</f>
        <v/>
      </c>
      <c r="BC2" t="inlineStr">
        <is>
          <t>dim</t>
        </is>
      </c>
      <c r="BF2">
        <f>IF(inputs_ok,"L = "&amp;TEXT(L_bw,"0"),"")</f>
        <v/>
      </c>
      <c r="BI2" t="inlineStr">
        <is>
          <t>dim</t>
        </is>
      </c>
      <c r="BL2">
        <f>IF(inputs_ok,"t = "&amp;TEXT(t_bw,"0"),"")</f>
        <v/>
      </c>
      <c r="BO2" t="inlineStr">
        <is>
          <t>frame</t>
        </is>
      </c>
    </row>
    <row r="3">
      <c r="A3">
        <f>0</f>
        <v/>
      </c>
      <c r="B3">
        <f>0</f>
        <v/>
      </c>
      <c r="D3">
        <f>IF(inputs_ok,0,NA())</f>
        <v/>
      </c>
      <c r="E3">
        <f>0</f>
        <v/>
      </c>
      <c r="G3">
        <f>IF(inputs_ok,t_bw,NA())</f>
        <v/>
      </c>
      <c r="H3">
        <f>L_bw-t_bw*0.4</f>
        <v/>
      </c>
      <c r="J3">
        <f>IF(inputs_ok,-0.1*L_bw,NA())</f>
        <v/>
      </c>
      <c r="K3">
        <f>0</f>
        <v/>
      </c>
      <c r="M3">
        <f>IF(inputs_ok,IF(base_bw="Fixed",-0.1*L_bw,NA()),NA())</f>
        <v/>
      </c>
      <c r="N3">
        <f>-t_bw*1.2</f>
        <v/>
      </c>
      <c r="P3">
        <f>IF(inputs_ok,-0.55*L_bw,NA())</f>
        <v/>
      </c>
      <c r="Q3">
        <f>L_bw-h0_bw</f>
        <v/>
      </c>
      <c r="S3">
        <f>IF(inputs_ok,-0.55*L_bw,NA())</f>
        <v/>
      </c>
      <c r="T3">
        <f>L_bw-h0_bw</f>
        <v/>
      </c>
      <c r="V3">
        <f>IF(inputs_ok,-0.55*L_bw,NA())</f>
        <v/>
      </c>
      <c r="W3">
        <f>IF(h0_bw+zw_bw&lt;L_bw,L_bw-h0_bw-zw_bw,NA())</f>
        <v/>
      </c>
      <c r="Y3">
        <f>IF(inputs_ok,-0.55*L_bw,NA())</f>
        <v/>
      </c>
      <c r="Z3">
        <f>IF(h0_bw+zw_bw&lt;L_bw,L_bw-h0_bw-zw_bw,NA())</f>
        <v/>
      </c>
      <c r="AB3">
        <f>IF(inputs_ok,IF(TRUE,0,NA()),NA())</f>
        <v/>
      </c>
      <c r="AC3">
        <f>L_bw</f>
        <v/>
      </c>
      <c r="AE3">
        <f>IF(inputs_ok,IF(bw_on2,0,NA()),NA())</f>
        <v/>
      </c>
      <c r="AF3">
        <f>L_bw</f>
        <v/>
      </c>
      <c r="AH3">
        <f>IF(inputs_ok,-(0.3*L_bw/MAX(bw_pmax,0.001))*bw_pmax,NA())</f>
        <v/>
      </c>
      <c r="AI3">
        <f>0</f>
        <v/>
      </c>
      <c r="AK3">
        <f>IF(inputs_ok,(t_bw+0.08*L_bw),NA())</f>
        <v/>
      </c>
      <c r="AL3">
        <f>0</f>
        <v/>
      </c>
      <c r="AN3">
        <f>IF(inputs_ok,IF(TRUE,(t_bw+0.08*L_bw),NA()),NA())</f>
        <v/>
      </c>
      <c r="AO3">
        <f>L_bw</f>
        <v/>
      </c>
      <c r="AQ3">
        <f>IF(inputs_ok,IF(bw_on2,(t_bw+0.08*L_bw),NA()),NA())</f>
        <v/>
      </c>
      <c r="AR3">
        <f>L_bw</f>
        <v/>
      </c>
      <c r="AT3">
        <f>IF(inputs_ok,(t_bw+0.08*L_bw)+(0.28*L_bw/MAX(bw_Mspan,ABS(bw_Mbase),0.001))*bw_Mspan,NA())</f>
        <v/>
      </c>
      <c r="AU3">
        <f>L_bw-1000*bw_xm</f>
        <v/>
      </c>
      <c r="AW3">
        <f>IF(inputs_ok,(t_bw+0.08*L_bw)+(0.28*L_bw/MAX(bw_Mspan,ABS(bw_Mbase),0.001))*bw_Mspan,NA())</f>
        <v/>
      </c>
      <c r="AX3">
        <f>L_bw-1000*bw_xm</f>
        <v/>
      </c>
      <c r="AZ3">
        <f>IF(inputs_ok,IF(base_bw="Fixed",(t_bw+0.08*L_bw)+(0.28*L_bw/MAX(bw_Mspan,ABS(bw_Mbase),0.001))*bw_Mbase,NA()),NA())</f>
        <v/>
      </c>
      <c r="BA3">
        <f>0</f>
        <v/>
      </c>
      <c r="BC3">
        <f>IF(inputs_ok,IF(TRUE,t_bw+0.45*L_bw,NA()),NA())</f>
        <v/>
      </c>
      <c r="BD3">
        <f>IF(TRUE,0,NA())</f>
        <v/>
      </c>
      <c r="BF3">
        <f>IF(inputs_ok,IF(TRUE,((t_bw+0.45*L_bw)+(t_bw+0.45*L_bw))/2,NA()),NA())</f>
        <v/>
      </c>
      <c r="BG3">
        <f>IF(TRUE,((0)+(L_bw))/2,NA())</f>
        <v/>
      </c>
      <c r="BI3">
        <f>IF(inputs_ok,IF(TRUE,0,NA()),NA())</f>
        <v/>
      </c>
      <c r="BJ3">
        <f>IF(TRUE,L_bw+0.06*L_bw,NA())</f>
        <v/>
      </c>
      <c r="BL3">
        <f>IF(inputs_ok,IF(TRUE,((0)+(t_bw))/2,NA()),NA())</f>
        <v/>
      </c>
      <c r="BM3">
        <f>IF(TRUE,((L_bw+0.06*L_bw)+(L_bw+0.06*L_bw))/2,NA())</f>
        <v/>
      </c>
      <c r="BO3">
        <f>((-0.6*L_bw)+(t_bw+0.6*L_bw))/2-MAX((1.1*L_bw)-(-0.08*L_bw),((t_bw+0.6*L_bw)-(-0.6*L_bw))/1.55)*0.58*1.55</f>
        <v/>
      </c>
      <c r="BP3">
        <f>((-0.08*L_bw)+(1.1*L_bw))/2-MAX((1.1*L_bw)-(-0.08*L_bw),((t_bw+0.6*L_bw)-(-0.6*L_bw))/1.55)*0.58</f>
        <v/>
      </c>
    </row>
    <row r="4">
      <c r="D4">
        <f>IF(inputs_ok,0,NA())</f>
        <v/>
      </c>
      <c r="E4">
        <f>L_bw</f>
        <v/>
      </c>
      <c r="G4">
        <f>IF(inputs_ok,t_bw+0.35*L_bw,NA())</f>
        <v/>
      </c>
      <c r="H4">
        <f>L_bw-t_bw*0.4</f>
        <v/>
      </c>
      <c r="J4">
        <f>IF(inputs_ok,t_bw+0.35*L_bw,NA())</f>
        <v/>
      </c>
      <c r="K4">
        <f>0</f>
        <v/>
      </c>
      <c r="M4">
        <f>IF(inputs_ok,IF(base_bw="Fixed",t_bw+0.35*L_bw,NA()),NA())</f>
        <v/>
      </c>
      <c r="N4">
        <f>-t_bw*1.2</f>
        <v/>
      </c>
      <c r="P4">
        <f>IF(inputs_ok,0,NA())</f>
        <v/>
      </c>
      <c r="Q4">
        <f>L_bw-h0_bw</f>
        <v/>
      </c>
      <c r="V4">
        <f>IF(inputs_ok,0,NA())</f>
        <v/>
      </c>
      <c r="W4">
        <f>IF(h0_bw+zw_bw&lt;L_bw,L_bw-h0_bw-zw_bw,NA())</f>
        <v/>
      </c>
      <c r="AB4">
        <f>IF(inputs_ok,IF(TRUE,-(0.3*L_bw/MAX(bw_pmax,0.001))*IF(AND(SMALL(bw_xall,2)=SMALL(bw_xall,1),SMALL(bw_xall,1)=bw_h0),0,IF(SMALL(bw_xall,1)&lt;bw_h0,0,bw_A0_1+bw_A1_1*MIN(SMALL(bw_xall,1)-bw_h0,bw_zw)+bw_A2_1*MAX(0,SMALL(bw_xall,1)-bw_h0-bw_zw))),NA()),NA())</f>
        <v/>
      </c>
      <c r="AC4">
        <f>L_bw-1000*SMALL(bw_xall,1)</f>
        <v/>
      </c>
      <c r="AE4">
        <f>IF(inputs_ok,IF(bw_on2,-(0.3*L_bw/MAX(bw_pmax,0.001))*IF(AND(SMALL(bw_xall,2)=SMALL(bw_xall,1),SMALL(bw_xall,1)=bw_h0),0,IF(SMALL(bw_xall,1)&lt;bw_h0,0,bw_A0_2+bw_A1_2*MIN(SMALL(bw_xall,1)-bw_h0,bw_zw)+bw_A2_2*MAX(0,SMALL(bw_xall,1)-bw_h0-bw_zw))),NA()),NA())</f>
        <v/>
      </c>
      <c r="AF4">
        <f>L_bw-1000*SMALL(bw_xall,1)</f>
        <v/>
      </c>
      <c r="AK4">
        <f>IF(inputs_ok,(t_bw+0.08*L_bw),NA())</f>
        <v/>
      </c>
      <c r="AL4">
        <f>L_bw</f>
        <v/>
      </c>
      <c r="AN4">
        <f>IF(inputs_ok,IF(TRUE,(t_bw+0.08*L_bw)+(0.28*L_bw/MAX(bw_Mspan,ABS(bw_Mbase),0.001))*(bw_R_1*(0/24*bw_L)-(IF(MIN((0/24*bw_L),bw_b2)&gt;MAX(0,bw_b1),((MIN((0/24*bw_L),bw_b2))-(MAX(0,bw_b1)))/2*(0.5555555555555556*IF(((MAX(0,bw_b1))+(MIN((0/24*bw_L),bw_b2)))/2+((MIN((0/24*bw_L),bw_b2))-(MAX(0,bw_b1)))/2*(-0.7745966692414834)&lt;bw_h0,0,bw_A0_1+bw_A1_1*MIN(((MAX(0,bw_b1))+(MIN((0/24*bw_L),bw_b2)))/2+((MIN((0/24*bw_L),bw_b2))-(MAX(0,bw_b1)))/2*(-0.7745966692414834)-bw_h0,bw_zw)+bw_A2_1*MAX(0,((MAX(0,bw_b1))+(MIN((0/24*bw_L),bw_b2)))/2+((MIN((0/24*bw_L),bw_b2))-(MAX(0,bw_b1)))/2*(-0.7745966692414834)-bw_h0-bw_zw))*(((0/24*bw_L))-(((MAX(0,bw_b1))+(MIN((0/24*bw_L),bw_b2)))/2+((MIN((0/24*bw_L),bw_b2))-(MAX(0,bw_b1)))/2*(-0.7745966692414834)))+0.8888888888888888*IF(((MAX(0,bw_b1))+(MIN((0/24*bw_L),bw_b2)))/2+((MIN((0/24*bw_L),bw_b2))-(MAX(0,bw_b1)))/2*(0.0)&lt;bw_h0,0,bw_A0_1+bw_A1_1*MIN(((MAX(0,bw_b1))+(MIN((0/24*bw_L),bw_b2)))/2+((MIN((0/24*bw_L),bw_b2))-(MAX(0,bw_b1)))/2*(0.0)-bw_h0,bw_zw)+bw_A2_1*MAX(0,((MAX(0,bw_b1))+(MIN((0/24*bw_L),bw_b2)))/2+((MIN((0/24*bw_L),bw_b2))-(MAX(0,bw_b1)))/2*(0.0)-bw_h0-bw_zw))*(((0/24*bw_L))-(((MAX(0,bw_b1))+(MIN((0/24*bw_L),bw_b2)))/2+((MIN((0/24*bw_L),bw_b2))-(MAX(0,bw_b1)))/2*(0.0)))+0.5555555555555556*IF(((MAX(0,bw_b1))+(MIN((0/24*bw_L),bw_b2)))/2+((MIN((0/24*bw_L),bw_b2))-(MAX(0,bw_b1)))/2*(0.7745966692414834)&lt;bw_h0,0,bw_A0_1+bw_A1_1*MIN(((MAX(0,bw_b1))+(MIN((0/24*bw_L),bw_b2)))/2+((MIN((0/24*bw_L),bw_b2))-(MAX(0,bw_b1)))/2*(0.7745966692414834)-bw_h0,bw_zw)+bw_A2_1*MAX(0,((MAX(0,bw_b1))+(MIN((0/24*bw_L),bw_b2)))/2+((MIN((0/24*bw_L),bw_b2))-(MAX(0,bw_b1)))/2*(0.7745966692414834)-bw_h0-bw_zw))*(((0/24*bw_L))-(((MAX(0,bw_b1))+(MIN((0/24*bw_L),bw_b2)))/2+((MIN((0/24*bw_L),bw_b2))-(MAX(0,bw_b1)))/2*(0.7745966692414834)))),0)+IF(MIN((0/24*bw_L),bw_L)&gt;MAX(0,bw_b2),((MIN((0/24*bw_L),bw_L))-(MAX(0,bw_b2)))/2*(0.5555555555555556*IF(((MAX(0,bw_b2))+(MIN((0/24*bw_L),bw_L)))/2+((MIN((0/24*bw_L),bw_L))-(MAX(0,bw_b2)))/2*(-0.7745966692414834)&lt;bw_h0,0,bw_A0_1+bw_A1_1*MIN(((MAX(0,bw_b2))+(MIN((0/24*bw_L),bw_L)))/2+((MIN((0/24*bw_L),bw_L))-(MAX(0,bw_b2)))/2*(-0.7745966692414834)-bw_h0,bw_zw)+bw_A2_1*MAX(0,((MAX(0,bw_b2))+(MIN((0/24*bw_L),bw_L)))/2+((MIN((0/24*bw_L),bw_L))-(MAX(0,bw_b2)))/2*(-0.7745966692414834)-bw_h0-bw_zw))*(((0/24*bw_L))-(((MAX(0,bw_b2))+(MIN((0/24*bw_L),bw_L)))/2+((MIN((0/24*bw_L),bw_L))-(MAX(0,bw_b2)))/2*(-0.7745966692414834)))+0.8888888888888888*IF(((MAX(0,bw_b2))+(MIN((0/24*bw_L),bw_L)))/2+((MIN((0/24*bw_L),bw_L))-(MAX(0,bw_b2)))/2*(0.0)&lt;bw_h0,0,bw_A0_1+bw_A1_1*MIN(((MAX(0,bw_b2))+(MIN((0/24*bw_L),bw_L)))/2+((MIN((0/24*bw_L),bw_L))-(MAX(0,bw_b2)))/2*(0.0)-bw_h0,bw_zw)+bw_A2_1*MAX(0,((MAX(0,bw_b2))+(MIN((0/24*bw_L),bw_L)))/2+((MIN((0/24*bw_L),bw_L))-(MAX(0,bw_b2)))/2*(0.0)-bw_h0-bw_zw))*(((0/24*bw_L))-(((MAX(0,bw_b2))+(MIN((0/24*bw_L),bw_L)))/2+((MIN((0/24*bw_L),bw_L))-(MAX(0,bw_b2)))/2*(0.0)))+0.5555555555555556*IF(((MAX(0,bw_b2))+(MIN((0/24*bw_L),bw_L)))/2+((MIN((0/24*bw_L),bw_L))-(MAX(0,bw_b2)))/2*(0.7745966692414834)&lt;bw_h0,0,bw_A0_1+bw_A1_1*MIN(((MAX(0,bw_b2))+(MIN((0/24*bw_L),bw_L)))/2+((MIN((0/24*bw_L),bw_L))-(MAX(0,bw_b2)))/2*(0.7745966692414834)-bw_h0,bw_zw)+bw_A2_1*MAX(0,((MAX(0,bw_b2))+(MIN((0/24*bw_L),bw_L)))/2+((MIN((0/24*bw_L),bw_L))-(MAX(0,bw_b2)))/2*(0.7745966692414834)-bw_h0-bw_zw))*(((0/24*bw_L))-(((MAX(0,bw_b2))+(MIN((0/24*bw_L),bw_L)))/2+((MIN((0/24*bw_L),bw_L))-(MAX(0,bw_b2)))/2*(0.7745966692414834)))),0))),NA()),NA())</f>
        <v/>
      </c>
      <c r="AO4">
        <f>L_bw-1000*(0/24*bw_L)</f>
        <v/>
      </c>
      <c r="AQ4">
        <f>IF(inputs_ok,IF(bw_on2,(t_bw+0.08*L_bw)+(0.28*L_bw/MAX(bw_Mspan,ABS(bw_Mbase),0.001))*(bw_R_2*(0/24*bw_L)-(IF(MIN((0/24*bw_L),bw_b2)&gt;MAX(0,bw_b1),((MIN((0/24*bw_L),bw_b2))-(MAX(0,bw_b1)))/2*(0.5555555555555556*IF(((MAX(0,bw_b1))+(MIN((0/24*bw_L),bw_b2)))/2+((MIN((0/24*bw_L),bw_b2))-(MAX(0,bw_b1)))/2*(-0.7745966692414834)&lt;bw_h0,0,bw_A0_2+bw_A1_2*MIN(((MAX(0,bw_b1))+(MIN((0/24*bw_L),bw_b2)))/2+((MIN((0/24*bw_L),bw_b2))-(MAX(0,bw_b1)))/2*(-0.7745966692414834)-bw_h0,bw_zw)+bw_A2_2*MAX(0,((MAX(0,bw_b1))+(MIN((0/24*bw_L),bw_b2)))/2+((MIN((0/24*bw_L),bw_b2))-(MAX(0,bw_b1)))/2*(-0.7745966692414834)-bw_h0-bw_zw))*(((0/24*bw_L))-(((MAX(0,bw_b1))+(MIN((0/24*bw_L),bw_b2)))/2+((MIN((0/24*bw_L),bw_b2))-(MAX(0,bw_b1)))/2*(-0.7745966692414834)))+0.8888888888888888*IF(((MAX(0,bw_b1))+(MIN((0/24*bw_L),bw_b2)))/2+((MIN((0/24*bw_L),bw_b2))-(MAX(0,bw_b1)))/2*(0.0)&lt;bw_h0,0,bw_A0_2+bw_A1_2*MIN(((MAX(0,bw_b1))+(MIN((0/24*bw_L),bw_b2)))/2+((MIN((0/24*bw_L),bw_b2))-(MAX(0,bw_b1)))/2*(0.0)-bw_h0,bw_zw)+bw_A2_2*MAX(0,((MAX(0,bw_b1))+(MIN((0/24*bw_L),bw_b2)))/2+((MIN((0/24*bw_L),bw_b2))-(MAX(0,bw_b1)))/2*(0.0)-bw_h0-bw_zw))*(((0/24*bw_L))-(((MAX(0,bw_b1))+(MIN((0/24*bw_L),bw_b2)))/2+((MIN((0/24*bw_L),bw_b2))-(MAX(0,bw_b1)))/2*(0.0)))+0.5555555555555556*IF(((MAX(0,bw_b1))+(MIN((0/24*bw_L),bw_b2)))/2+((MIN((0/24*bw_L),bw_b2))-(MAX(0,bw_b1)))/2*(0.7745966692414834)&lt;bw_h0,0,bw_A0_2+bw_A1_2*MIN(((MAX(0,bw_b1))+(MIN((0/24*bw_L),bw_b2)))/2+((MIN((0/24*bw_L),bw_b2))-(MAX(0,bw_b1)))/2*(0.7745966692414834)-bw_h0,bw_zw)+bw_A2_2*MAX(0,((MAX(0,bw_b1))+(MIN((0/24*bw_L),bw_b2)))/2+((MIN((0/24*bw_L),bw_b2))-(MAX(0,bw_b1)))/2*(0.7745966692414834)-bw_h0-bw_zw))*(((0/24*bw_L))-(((MAX(0,bw_b1))+(MIN((0/24*bw_L),bw_b2)))/2+((MIN((0/24*bw_L),bw_b2))-(MAX(0,bw_b1)))/2*(0.7745966692414834)))),0)+IF(MIN((0/24*bw_L),bw_L)&gt;MAX(0,bw_b2),((MIN((0/24*bw_L),bw_L))-(MAX(0,bw_b2)))/2*(0.5555555555555556*IF(((MAX(0,bw_b2))+(MIN((0/24*bw_L),bw_L)))/2+((MIN((0/24*bw_L),bw_L))-(MAX(0,bw_b2)))/2*(-0.7745966692414834)&lt;bw_h0,0,bw_A0_2+bw_A1_2*MIN(((MAX(0,bw_b2))+(MIN((0/24*bw_L),bw_L)))/2+((MIN((0/24*bw_L),bw_L))-(MAX(0,bw_b2)))/2*(-0.7745966692414834)-bw_h0,bw_zw)+bw_A2_2*MAX(0,((MAX(0,bw_b2))+(MIN((0/24*bw_L),bw_L)))/2+((MIN((0/24*bw_L),bw_L))-(MAX(0,bw_b2)))/2*(-0.7745966692414834)-bw_h0-bw_zw))*(((0/24*bw_L))-(((MAX(0,bw_b2))+(MIN((0/24*bw_L),bw_L)))/2+((MIN((0/24*bw_L),bw_L))-(MAX(0,bw_b2)))/2*(-0.7745966692414834)))+0.8888888888888888*IF(((MAX(0,bw_b2))+(MIN((0/24*bw_L),bw_L)))/2+((MIN((0/24*bw_L),bw_L))-(MAX(0,bw_b2)))/2*(0.0)&lt;bw_h0,0,bw_A0_2+bw_A1_2*MIN(((MAX(0,bw_b2))+(MIN((0/24*bw_L),bw_L)))/2+((MIN((0/24*bw_L),bw_L))-(MAX(0,bw_b2)))/2*(0.0)-bw_h0,bw_zw)+bw_A2_2*MAX(0,((MAX(0,bw_b2))+(MIN((0/24*bw_L),bw_L)))/2+((MIN((0/24*bw_L),bw_L))-(MAX(0,bw_b2)))/2*(0.0)-bw_h0-bw_zw))*(((0/24*bw_L))-(((MAX(0,bw_b2))+(MIN((0/24*bw_L),bw_L)))/2+((MIN((0/24*bw_L),bw_L))-(MAX(0,bw_b2)))/2*(0.0)))+0.5555555555555556*IF(((MAX(0,bw_b2))+(MIN((0/24*bw_L),bw_L)))/2+((MIN((0/24*bw_L),bw_L))-(MAX(0,bw_b2)))/2*(0.7745966692414834)&lt;bw_h0,0,bw_A0_2+bw_A1_2*MIN(((MAX(0,bw_b2))+(MIN((0/24*bw_L),bw_L)))/2+((MIN((0/24*bw_L),bw_L))-(MAX(0,bw_b2)))/2*(0.7745966692414834)-bw_h0,bw_zw)+bw_A2_2*MAX(0,((MAX(0,bw_b2))+(MIN((0/24*bw_L),bw_L)))/2+((MIN((0/24*bw_L),bw_L))-(MAX(0,bw_b2)))/2*(0.7745966692414834)-bw_h0-bw_zw))*(((0/24*bw_L))-(((MAX(0,bw_b2))+(MIN((0/24*bw_L),bw_L)))/2+((MIN((0/24*bw_L),bw_L))-(MAX(0,bw_b2)))/2*(0.7745966692414834)))),0))),NA()),NA())</f>
        <v/>
      </c>
      <c r="AR4">
        <f>L_bw-1000*(0/24*bw_L)</f>
        <v/>
      </c>
      <c r="BC4">
        <f>IF(inputs_ok,IF(TRUE,t_bw+0.45*L_bw,NA()),NA())</f>
        <v/>
      </c>
      <c r="BD4">
        <f>IF(TRUE,L_bw,NA())</f>
        <v/>
      </c>
      <c r="BI4">
        <f>IF(inputs_ok,IF(TRUE,t_bw,NA()),NA())</f>
        <v/>
      </c>
      <c r="BJ4">
        <f>IF(TRUE,L_bw+0.06*L_bw,NA())</f>
        <v/>
      </c>
      <c r="BO4">
        <f>((-0.6*L_bw)+(t_bw+0.6*L_bw))/2+MAX((1.1*L_bw)-(-0.08*L_bw),((t_bw+0.6*L_bw)-(-0.6*L_bw))/1.55)*0.58*1.55</f>
        <v/>
      </c>
      <c r="BP4">
        <f>((-0.08*L_bw)+(1.1*L_bw))/2+MAX((1.1*L_bw)-(-0.08*L_bw),((t_bw+0.6*L_bw)-(-0.6*L_bw))/1.55)*0.58</f>
        <v/>
      </c>
    </row>
    <row r="5">
      <c r="D5">
        <f>IF(inputs_ok,t_bw,NA())</f>
        <v/>
      </c>
      <c r="E5">
        <f>L_bw</f>
        <v/>
      </c>
      <c r="G5">
        <f>IF(inputs_ok,t_bw+0.35*L_bw,NA())</f>
        <v/>
      </c>
      <c r="H5">
        <f>L_bw</f>
        <v/>
      </c>
      <c r="J5">
        <f>IF(inputs_ok,t_bw+0.35*L_bw,NA())</f>
        <v/>
      </c>
      <c r="K5">
        <f>-t_bw</f>
        <v/>
      </c>
      <c r="AB5">
        <f>IF(inputs_ok,IF(TRUE,-(0.3*L_bw/MAX(bw_pmax,0.001))*IF(AND(SMALL(bw_xall,3)=SMALL(bw_xall,2),SMALL(bw_xall,2)=bw_h0),0,IF(SMALL(bw_xall,2)&lt;bw_h0,0,bw_A0_1+bw_A1_1*MIN(SMALL(bw_xall,2)-bw_h0,bw_zw)+bw_A2_1*MAX(0,SMALL(bw_xall,2)-bw_h0-bw_zw))),NA()),NA())</f>
        <v/>
      </c>
      <c r="AC5">
        <f>L_bw-1000*SMALL(bw_xall,2)</f>
        <v/>
      </c>
      <c r="AE5">
        <f>IF(inputs_ok,IF(bw_on2,-(0.3*L_bw/MAX(bw_pmax,0.001))*IF(AND(SMALL(bw_xall,3)=SMALL(bw_xall,2),SMALL(bw_xall,2)=bw_h0),0,IF(SMALL(bw_xall,2)&lt;bw_h0,0,bw_A0_2+bw_A1_2*MIN(SMALL(bw_xall,2)-bw_h0,bw_zw)+bw_A2_2*MAX(0,SMALL(bw_xall,2)-bw_h0-bw_zw))),NA()),NA())</f>
        <v/>
      </c>
      <c r="AF5">
        <f>L_bw-1000*SMALL(bw_xall,2)</f>
        <v/>
      </c>
      <c r="AN5">
        <f>IF(inputs_ok,IF(TRUE,(t_bw+0.08*L_bw)+(0.28*L_bw/MAX(bw_Mspan,ABS(bw_Mbase),0.001))*(bw_R_1*(1/24*bw_L)-(IF(MIN((1/24*bw_L),bw_b2)&gt;MAX(0,bw_b1),((MIN((1/24*bw_L),bw_b2))-(MAX(0,bw_b1)))/2*(0.5555555555555556*IF(((MAX(0,bw_b1))+(MIN((1/24*bw_L),bw_b2)))/2+((MIN((1/24*bw_L),bw_b2))-(MAX(0,bw_b1)))/2*(-0.7745966692414834)&lt;bw_h0,0,bw_A0_1+bw_A1_1*MIN(((MAX(0,bw_b1))+(MIN((1/24*bw_L),bw_b2)))/2+((MIN((1/24*bw_L),bw_b2))-(MAX(0,bw_b1)))/2*(-0.7745966692414834)-bw_h0,bw_zw)+bw_A2_1*MAX(0,((MAX(0,bw_b1))+(MIN((1/24*bw_L),bw_b2)))/2+((MIN((1/24*bw_L),bw_b2))-(MAX(0,bw_b1)))/2*(-0.7745966692414834)-bw_h0-bw_zw))*(((1/24*bw_L))-(((MAX(0,bw_b1))+(MIN((1/24*bw_L),bw_b2)))/2+((MIN((1/24*bw_L),bw_b2))-(MAX(0,bw_b1)))/2*(-0.7745966692414834)))+0.8888888888888888*IF(((MAX(0,bw_b1))+(MIN((1/24*bw_L),bw_b2)))/2+((MIN((1/24*bw_L),bw_b2))-(MAX(0,bw_b1)))/2*(0.0)&lt;bw_h0,0,bw_A0_1+bw_A1_1*MIN(((MAX(0,bw_b1))+(MIN((1/24*bw_L),bw_b2)))/2+((MIN((1/24*bw_L),bw_b2))-(MAX(0,bw_b1)))/2*(0.0)-bw_h0,bw_zw)+bw_A2_1*MAX(0,((MAX(0,bw_b1))+(MIN((1/24*bw_L),bw_b2)))/2+((MIN((1/24*bw_L),bw_b2))-(MAX(0,bw_b1)))/2*(0.0)-bw_h0-bw_zw))*(((1/24*bw_L))-(((MAX(0,bw_b1))+(MIN((1/24*bw_L),bw_b2)))/2+((MIN((1/24*bw_L),bw_b2))-(MAX(0,bw_b1)))/2*(0.0)))+0.5555555555555556*IF(((MAX(0,bw_b1))+(MIN((1/24*bw_L),bw_b2)))/2+((MIN((1/24*bw_L),bw_b2))-(MAX(0,bw_b1)))/2*(0.7745966692414834)&lt;bw_h0,0,bw_A0_1+bw_A1_1*MIN(((MAX(0,bw_b1))+(MIN((1/24*bw_L),bw_b2)))/2+((MIN((1/24*bw_L),bw_b2))-(MAX(0,bw_b1)))/2*(0.7745966692414834)-bw_h0,bw_zw)+bw_A2_1*MAX(0,((MAX(0,bw_b1))+(MIN((1/24*bw_L),bw_b2)))/2+((MIN((1/24*bw_L),bw_b2))-(MAX(0,bw_b1)))/2*(0.7745966692414834)-bw_h0-bw_zw))*(((1/24*bw_L))-(((MAX(0,bw_b1))+(MIN((1/24*bw_L),bw_b2)))/2+((MIN((1/24*bw_L),bw_b2))-(MAX(0,bw_b1)))/2*(0.7745966692414834)))),0)+IF(MIN((1/24*bw_L),bw_L)&gt;MAX(0,bw_b2),((MIN((1/24*bw_L),bw_L))-(MAX(0,bw_b2)))/2*(0.5555555555555556*IF(((MAX(0,bw_b2))+(MIN((1/24*bw_L),bw_L)))/2+((MIN((1/24*bw_L),bw_L))-(MAX(0,bw_b2)))/2*(-0.7745966692414834)&lt;bw_h0,0,bw_A0_1+bw_A1_1*MIN(((MAX(0,bw_b2))+(MIN((1/24*bw_L),bw_L)))/2+((MIN((1/24*bw_L),bw_L))-(MAX(0,bw_b2)))/2*(-0.7745966692414834)-bw_h0,bw_zw)+bw_A2_1*MAX(0,((MAX(0,bw_b2))+(MIN((1/24*bw_L),bw_L)))/2+((MIN((1/24*bw_L),bw_L))-(MAX(0,bw_b2)))/2*(-0.7745966692414834)-bw_h0-bw_zw))*(((1/24*bw_L))-(((MAX(0,bw_b2))+(MIN((1/24*bw_L),bw_L)))/2+((MIN((1/24*bw_L),bw_L))-(MAX(0,bw_b2)))/2*(-0.7745966692414834)))+0.8888888888888888*IF(((MAX(0,bw_b2))+(MIN((1/24*bw_L),bw_L)))/2+((MIN((1/24*bw_L),bw_L))-(MAX(0,bw_b2)))/2*(0.0)&lt;bw_h0,0,bw_A0_1+bw_A1_1*MIN(((MAX(0,bw_b2))+(MIN((1/24*bw_L),bw_L)))/2+((MIN((1/24*bw_L),bw_L))-(MAX(0,bw_b2)))/2*(0.0)-bw_h0,bw_zw)+bw_A2_1*MAX(0,((MAX(0,bw_b2))+(MIN((1/24*bw_L),bw_L)))/2+((MIN((1/24*bw_L),bw_L))-(MAX(0,bw_b2)))/2*(0.0)-bw_h0-bw_zw))*(((1/24*bw_L))-(((MAX(0,bw_b2))+(MIN((1/24*bw_L),bw_L)))/2+((MIN((1/24*bw_L),bw_L))-(MAX(0,bw_b2)))/2*(0.0)))+0.5555555555555556*IF(((MAX(0,bw_b2))+(MIN((1/24*bw_L),bw_L)))/2+((MIN((1/24*bw_L),bw_L))-(MAX(0,bw_b2)))/2*(0.7745966692414834)&lt;bw_h0,0,bw_A0_1+bw_A1_1*MIN(((MAX(0,bw_b2))+(MIN((1/24*bw_L),bw_L)))/2+((MIN((1/24*bw_L),bw_L))-(MAX(0,bw_b2)))/2*(0.7745966692414834)-bw_h0,bw_zw)+bw_A2_1*MAX(0,((MAX(0,bw_b2))+(MIN((1/24*bw_L),bw_L)))/2+((MIN((1/24*bw_L),bw_L))-(MAX(0,bw_b2)))/2*(0.7745966692414834)-bw_h0-bw_zw))*(((1/24*bw_L))-(((MAX(0,bw_b2))+(MIN((1/24*bw_L),bw_L)))/2+((MIN((1/24*bw_L),bw_L))-(MAX(0,bw_b2)))/2*(0.7745966692414834)))),0))),NA()),NA())</f>
        <v/>
      </c>
      <c r="AO5">
        <f>L_bw-1000*(1/24*bw_L)</f>
        <v/>
      </c>
      <c r="AQ5">
        <f>IF(inputs_ok,IF(bw_on2,(t_bw+0.08*L_bw)+(0.28*L_bw/MAX(bw_Mspan,ABS(bw_Mbase),0.001))*(bw_R_2*(1/24*bw_L)-(IF(MIN((1/24*bw_L),bw_b2)&gt;MAX(0,bw_b1),((MIN((1/24*bw_L),bw_b2))-(MAX(0,bw_b1)))/2*(0.5555555555555556*IF(((MAX(0,bw_b1))+(MIN((1/24*bw_L),bw_b2)))/2+((MIN((1/24*bw_L),bw_b2))-(MAX(0,bw_b1)))/2*(-0.7745966692414834)&lt;bw_h0,0,bw_A0_2+bw_A1_2*MIN(((MAX(0,bw_b1))+(MIN((1/24*bw_L),bw_b2)))/2+((MIN((1/24*bw_L),bw_b2))-(MAX(0,bw_b1)))/2*(-0.7745966692414834)-bw_h0,bw_zw)+bw_A2_2*MAX(0,((MAX(0,bw_b1))+(MIN((1/24*bw_L),bw_b2)))/2+((MIN((1/24*bw_L),bw_b2))-(MAX(0,bw_b1)))/2*(-0.7745966692414834)-bw_h0-bw_zw))*(((1/24*bw_L))-(((MAX(0,bw_b1))+(MIN((1/24*bw_L),bw_b2)))/2+((MIN((1/24*bw_L),bw_b2))-(MAX(0,bw_b1)))/2*(-0.7745966692414834)))+0.8888888888888888*IF(((MAX(0,bw_b1))+(MIN((1/24*bw_L),bw_b2)))/2+((MIN((1/24*bw_L),bw_b2))-(MAX(0,bw_b1)))/2*(0.0)&lt;bw_h0,0,bw_A0_2+bw_A1_2*MIN(((MAX(0,bw_b1))+(MIN((1/24*bw_L),bw_b2)))/2+((MIN((1/24*bw_L),bw_b2))-(MAX(0,bw_b1)))/2*(0.0)-bw_h0,bw_zw)+bw_A2_2*MAX(0,((MAX(0,bw_b1))+(MIN((1/24*bw_L),bw_b2)))/2+((MIN((1/24*bw_L),bw_b2))-(MAX(0,bw_b1)))/2*(0.0)-bw_h0-bw_zw))*(((1/24*bw_L))-(((MAX(0,bw_b1))+(MIN((1/24*bw_L),bw_b2)))/2+((MIN((1/24*bw_L),bw_b2))-(MAX(0,bw_b1)))/2*(0.0)))+0.5555555555555556*IF(((MAX(0,bw_b1))+(MIN((1/24*bw_L),bw_b2)))/2+((MIN((1/24*bw_L),bw_b2))-(MAX(0,bw_b1)))/2*(0.7745966692414834)&lt;bw_h0,0,bw_A0_2+bw_A1_2*MIN(((MAX(0,bw_b1))+(MIN((1/24*bw_L),bw_b2)))/2+((MIN((1/24*bw_L),bw_b2))-(MAX(0,bw_b1)))/2*(0.7745966692414834)-bw_h0,bw_zw)+bw_A2_2*MAX(0,((MAX(0,bw_b1))+(MIN((1/24*bw_L),bw_b2)))/2+((MIN((1/24*bw_L),bw_b2))-(MAX(0,bw_b1)))/2*(0.7745966692414834)-bw_h0-bw_zw))*(((1/24*bw_L))-(((MAX(0,bw_b1))+(MIN((1/24*bw_L),bw_b2)))/2+((MIN((1/24*bw_L),bw_b2))-(MAX(0,bw_b1)))/2*(0.7745966692414834)))),0)+IF(MIN((1/24*bw_L),bw_L)&gt;MAX(0,bw_b2),((MIN((1/24*bw_L),bw_L))-(MAX(0,bw_b2)))/2*(0.5555555555555556*IF(((MAX(0,bw_b2))+(MIN((1/24*bw_L),bw_L)))/2+((MIN((1/24*bw_L),bw_L))-(MAX(0,bw_b2)))/2*(-0.7745966692414834)&lt;bw_h0,0,bw_A0_2+bw_A1_2*MIN(((MAX(0,bw_b2))+(MIN((1/24*bw_L),bw_L)))/2+((MIN((1/24*bw_L),bw_L))-(MAX(0,bw_b2)))/2*(-0.7745966692414834)-bw_h0,bw_zw)+bw_A2_2*MAX(0,((MAX(0,bw_b2))+(MIN((1/24*bw_L),bw_L)))/2+((MIN((1/24*bw_L),bw_L))-(MAX(0,bw_b2)))/2*(-0.7745966692414834)-bw_h0-bw_zw))*(((1/24*bw_L))-(((MAX(0,bw_b2))+(MIN((1/24*bw_L),bw_L)))/2+((MIN((1/24*bw_L),bw_L))-(MAX(0,bw_b2)))/2*(-0.7745966692414834)))+0.8888888888888888*IF(((MAX(0,bw_b2))+(MIN((1/24*bw_L),bw_L)))/2+((MIN((1/24*bw_L),bw_L))-(MAX(0,bw_b2)))/2*(0.0)&lt;bw_h0,0,bw_A0_2+bw_A1_2*MIN(((MAX(0,bw_b2))+(MIN((1/24*bw_L),bw_L)))/2+((MIN((1/24*bw_L),bw_L))-(MAX(0,bw_b2)))/2*(0.0)-bw_h0,bw_zw)+bw_A2_2*MAX(0,((MAX(0,bw_b2))+(MIN((1/24*bw_L),bw_L)))/2+((MIN((1/24*bw_L),bw_L))-(MAX(0,bw_b2)))/2*(0.0)-bw_h0-bw_zw))*(((1/24*bw_L))-(((MAX(0,bw_b2))+(MIN((1/24*bw_L),bw_L)))/2+((MIN((1/24*bw_L),bw_L))-(MAX(0,bw_b2)))/2*(0.0)))+0.5555555555555556*IF(((MAX(0,bw_b2))+(MIN((1/24*bw_L),bw_L)))/2+((MIN((1/24*bw_L),bw_L))-(MAX(0,bw_b2)))/2*(0.7745966692414834)&lt;bw_h0,0,bw_A0_2+bw_A1_2*MIN(((MAX(0,bw_b2))+(MIN((1/24*bw_L),bw_L)))/2+((MIN((1/24*bw_L),bw_L))-(MAX(0,bw_b2)))/2*(0.7745966692414834)-bw_h0,bw_zw)+bw_A2_2*MAX(0,((MAX(0,bw_b2))+(MIN((1/24*bw_L),bw_L)))/2+((MIN((1/24*bw_L),bw_L))-(MAX(0,bw_b2)))/2*(0.7745966692414834)-bw_h0-bw_zw))*(((1/24*bw_L))-(((MAX(0,bw_b2))+(MIN((1/24*bw_L),bw_L)))/2+((MIN((1/24*bw_L),bw_L))-(MAX(0,bw_b2)))/2*(0.7745966692414834)))),0))),NA()),NA())</f>
        <v/>
      </c>
      <c r="AR5">
        <f>L_bw-1000*(1/24*bw_L)</f>
        <v/>
      </c>
    </row>
    <row r="6">
      <c r="D6">
        <f>IF(inputs_ok,t_bw,NA())</f>
        <v/>
      </c>
      <c r="E6">
        <f>0</f>
        <v/>
      </c>
      <c r="G6">
        <f>IF(inputs_ok,t_bw,NA())</f>
        <v/>
      </c>
      <c r="H6">
        <f>L_bw</f>
        <v/>
      </c>
      <c r="J6">
        <f>IF(inputs_ok,-0.1*L_bw,NA())</f>
        <v/>
      </c>
      <c r="K6">
        <f>-t_bw</f>
        <v/>
      </c>
      <c r="AB6">
        <f>IF(inputs_ok,IF(TRUE,-(0.3*L_bw/MAX(bw_pmax,0.001))*IF(AND(SMALL(bw_xall,4)=SMALL(bw_xall,3),SMALL(bw_xall,3)=bw_h0),0,IF(SMALL(bw_xall,3)&lt;bw_h0,0,bw_A0_1+bw_A1_1*MIN(SMALL(bw_xall,3)-bw_h0,bw_zw)+bw_A2_1*MAX(0,SMALL(bw_xall,3)-bw_h0-bw_zw))),NA()),NA())</f>
        <v/>
      </c>
      <c r="AC6">
        <f>L_bw-1000*SMALL(bw_xall,3)</f>
        <v/>
      </c>
      <c r="AE6">
        <f>IF(inputs_ok,IF(bw_on2,-(0.3*L_bw/MAX(bw_pmax,0.001))*IF(AND(SMALL(bw_xall,4)=SMALL(bw_xall,3),SMALL(bw_xall,3)=bw_h0),0,IF(SMALL(bw_xall,3)&lt;bw_h0,0,bw_A0_2+bw_A1_2*MIN(SMALL(bw_xall,3)-bw_h0,bw_zw)+bw_A2_2*MAX(0,SMALL(bw_xall,3)-bw_h0-bw_zw))),NA()),NA())</f>
        <v/>
      </c>
      <c r="AF6">
        <f>L_bw-1000*SMALL(bw_xall,3)</f>
        <v/>
      </c>
      <c r="AN6">
        <f>IF(inputs_ok,IF(TRUE,(t_bw+0.08*L_bw)+(0.28*L_bw/MAX(bw_Mspan,ABS(bw_Mbase),0.001))*(bw_R_1*(2/24*bw_L)-(IF(MIN((2/24*bw_L),bw_b2)&gt;MAX(0,bw_b1),((MIN((2/24*bw_L),bw_b2))-(MAX(0,bw_b1)))/2*(0.5555555555555556*IF(((MAX(0,bw_b1))+(MIN((2/24*bw_L),bw_b2)))/2+((MIN((2/24*bw_L),bw_b2))-(MAX(0,bw_b1)))/2*(-0.7745966692414834)&lt;bw_h0,0,bw_A0_1+bw_A1_1*MIN(((MAX(0,bw_b1))+(MIN((2/24*bw_L),bw_b2)))/2+((MIN((2/24*bw_L),bw_b2))-(MAX(0,bw_b1)))/2*(-0.7745966692414834)-bw_h0,bw_zw)+bw_A2_1*MAX(0,((MAX(0,bw_b1))+(MIN((2/24*bw_L),bw_b2)))/2+((MIN((2/24*bw_L),bw_b2))-(MAX(0,bw_b1)))/2*(-0.7745966692414834)-bw_h0-bw_zw))*(((2/24*bw_L))-(((MAX(0,bw_b1))+(MIN((2/24*bw_L),bw_b2)))/2+((MIN((2/24*bw_L),bw_b2))-(MAX(0,bw_b1)))/2*(-0.7745966692414834)))+0.8888888888888888*IF(((MAX(0,bw_b1))+(MIN((2/24*bw_L),bw_b2)))/2+((MIN((2/24*bw_L),bw_b2))-(MAX(0,bw_b1)))/2*(0.0)&lt;bw_h0,0,bw_A0_1+bw_A1_1*MIN(((MAX(0,bw_b1))+(MIN((2/24*bw_L),bw_b2)))/2+((MIN((2/24*bw_L),bw_b2))-(MAX(0,bw_b1)))/2*(0.0)-bw_h0,bw_zw)+bw_A2_1*MAX(0,((MAX(0,bw_b1))+(MIN((2/24*bw_L),bw_b2)))/2+((MIN((2/24*bw_L),bw_b2))-(MAX(0,bw_b1)))/2*(0.0)-bw_h0-bw_zw))*(((2/24*bw_L))-(((MAX(0,bw_b1))+(MIN((2/24*bw_L),bw_b2)))/2+((MIN((2/24*bw_L),bw_b2))-(MAX(0,bw_b1)))/2*(0.0)))+0.5555555555555556*IF(((MAX(0,bw_b1))+(MIN((2/24*bw_L),bw_b2)))/2+((MIN((2/24*bw_L),bw_b2))-(MAX(0,bw_b1)))/2*(0.7745966692414834)&lt;bw_h0,0,bw_A0_1+bw_A1_1*MIN(((MAX(0,bw_b1))+(MIN((2/24*bw_L),bw_b2)))/2+((MIN((2/24*bw_L),bw_b2))-(MAX(0,bw_b1)))/2*(0.7745966692414834)-bw_h0,bw_zw)+bw_A2_1*MAX(0,((MAX(0,bw_b1))+(MIN((2/24*bw_L),bw_b2)))/2+((MIN((2/24*bw_L),bw_b2))-(MAX(0,bw_b1)))/2*(0.7745966692414834)-bw_h0-bw_zw))*(((2/24*bw_L))-(((MAX(0,bw_b1))+(MIN((2/24*bw_L),bw_b2)))/2+((MIN((2/24*bw_L),bw_b2))-(MAX(0,bw_b1)))/2*(0.7745966692414834)))),0)+IF(MIN((2/24*bw_L),bw_L)&gt;MAX(0,bw_b2),((MIN((2/24*bw_L),bw_L))-(MAX(0,bw_b2)))/2*(0.5555555555555556*IF(((MAX(0,bw_b2))+(MIN((2/24*bw_L),bw_L)))/2+((MIN((2/24*bw_L),bw_L))-(MAX(0,bw_b2)))/2*(-0.7745966692414834)&lt;bw_h0,0,bw_A0_1+bw_A1_1*MIN(((MAX(0,bw_b2))+(MIN((2/24*bw_L),bw_L)))/2+((MIN((2/24*bw_L),bw_L))-(MAX(0,bw_b2)))/2*(-0.7745966692414834)-bw_h0,bw_zw)+bw_A2_1*MAX(0,((MAX(0,bw_b2))+(MIN((2/24*bw_L),bw_L)))/2+((MIN((2/24*bw_L),bw_L))-(MAX(0,bw_b2)))/2*(-0.7745966692414834)-bw_h0-bw_zw))*(((2/24*bw_L))-(((MAX(0,bw_b2))+(MIN((2/24*bw_L),bw_L)))/2+((MIN((2/24*bw_L),bw_L))-(MAX(0,bw_b2)))/2*(-0.7745966692414834)))+0.8888888888888888*IF(((MAX(0,bw_b2))+(MIN((2/24*bw_L),bw_L)))/2+((MIN((2/24*bw_L),bw_L))-(MAX(0,bw_b2)))/2*(0.0)&lt;bw_h0,0,bw_A0_1+bw_A1_1*MIN(((MAX(0,bw_b2))+(MIN((2/24*bw_L),bw_L)))/2+((MIN((2/24*bw_L),bw_L))-(MAX(0,bw_b2)))/2*(0.0)-bw_h0,bw_zw)+bw_A2_1*MAX(0,((MAX(0,bw_b2))+(MIN((2/24*bw_L),bw_L)))/2+((MIN((2/24*bw_L),bw_L))-(MAX(0,bw_b2)))/2*(0.0)-bw_h0-bw_zw))*(((2/24*bw_L))-(((MAX(0,bw_b2))+(MIN((2/24*bw_L),bw_L)))/2+((MIN((2/24*bw_L),bw_L))-(MAX(0,bw_b2)))/2*(0.0)))+0.5555555555555556*IF(((MAX(0,bw_b2))+(MIN((2/24*bw_L),bw_L)))/2+((MIN((2/24*bw_L),bw_L))-(MAX(0,bw_b2)))/2*(0.7745966692414834)&lt;bw_h0,0,bw_A0_1+bw_A1_1*MIN(((MAX(0,bw_b2))+(MIN((2/24*bw_L),bw_L)))/2+((MIN((2/24*bw_L),bw_L))-(MAX(0,bw_b2)))/2*(0.7745966692414834)-bw_h0,bw_zw)+bw_A2_1*MAX(0,((MAX(0,bw_b2))+(MIN((2/24*bw_L),bw_L)))/2+((MIN((2/24*bw_L),bw_L))-(MAX(0,bw_b2)))/2*(0.7745966692414834)-bw_h0-bw_zw))*(((2/24*bw_L))-(((MAX(0,bw_b2))+(MIN((2/24*bw_L),bw_L)))/2+((MIN((2/24*bw_L),bw_L))-(MAX(0,bw_b2)))/2*(0.7745966692414834)))),0))),NA()),NA())</f>
        <v/>
      </c>
      <c r="AO6">
        <f>L_bw-1000*(2/24*bw_L)</f>
        <v/>
      </c>
      <c r="AQ6">
        <f>IF(inputs_ok,IF(bw_on2,(t_bw+0.08*L_bw)+(0.28*L_bw/MAX(bw_Mspan,ABS(bw_Mbase),0.001))*(bw_R_2*(2/24*bw_L)-(IF(MIN((2/24*bw_L),bw_b2)&gt;MAX(0,bw_b1),((MIN((2/24*bw_L),bw_b2))-(MAX(0,bw_b1)))/2*(0.5555555555555556*IF(((MAX(0,bw_b1))+(MIN((2/24*bw_L),bw_b2)))/2+((MIN((2/24*bw_L),bw_b2))-(MAX(0,bw_b1)))/2*(-0.7745966692414834)&lt;bw_h0,0,bw_A0_2+bw_A1_2*MIN(((MAX(0,bw_b1))+(MIN((2/24*bw_L),bw_b2)))/2+((MIN((2/24*bw_L),bw_b2))-(MAX(0,bw_b1)))/2*(-0.7745966692414834)-bw_h0,bw_zw)+bw_A2_2*MAX(0,((MAX(0,bw_b1))+(MIN((2/24*bw_L),bw_b2)))/2+((MIN((2/24*bw_L),bw_b2))-(MAX(0,bw_b1)))/2*(-0.7745966692414834)-bw_h0-bw_zw))*(((2/24*bw_L))-(((MAX(0,bw_b1))+(MIN((2/24*bw_L),bw_b2)))/2+((MIN((2/24*bw_L),bw_b2))-(MAX(0,bw_b1)))/2*(-0.7745966692414834)))+0.8888888888888888*IF(((MAX(0,bw_b1))+(MIN((2/24*bw_L),bw_b2)))/2+((MIN((2/24*bw_L),bw_b2))-(MAX(0,bw_b1)))/2*(0.0)&lt;bw_h0,0,bw_A0_2+bw_A1_2*MIN(((MAX(0,bw_b1))+(MIN((2/24*bw_L),bw_b2)))/2+((MIN((2/24*bw_L),bw_b2))-(MAX(0,bw_b1)))/2*(0.0)-bw_h0,bw_zw)+bw_A2_2*MAX(0,((MAX(0,bw_b1))+(MIN((2/24*bw_L),bw_b2)))/2+((MIN((2/24*bw_L),bw_b2))-(MAX(0,bw_b1)))/2*(0.0)-bw_h0-bw_zw))*(((2/24*bw_L))-(((MAX(0,bw_b1))+(MIN((2/24*bw_L),bw_b2)))/2+((MIN((2/24*bw_L),bw_b2))-(MAX(0,bw_b1)))/2*(0.0)))+0.5555555555555556*IF(((MAX(0,bw_b1))+(MIN((2/24*bw_L),bw_b2)))/2+((MIN((2/24*bw_L),bw_b2))-(MAX(0,bw_b1)))/2*(0.7745966692414834)&lt;bw_h0,0,bw_A0_2+bw_A1_2*MIN(((MAX(0,bw_b1))+(MIN((2/24*bw_L),bw_b2)))/2+((MIN((2/24*bw_L),bw_b2))-(MAX(0,bw_b1)))/2*(0.7745966692414834)-bw_h0,bw_zw)+bw_A2_2*MAX(0,((MAX(0,bw_b1))+(MIN((2/24*bw_L),bw_b2)))/2+((MIN((2/24*bw_L),bw_b2))-(MAX(0,bw_b1)))/2*(0.7745966692414834)-bw_h0-bw_zw))*(((2/24*bw_L))-(((MAX(0,bw_b1))+(MIN((2/24*bw_L),bw_b2)))/2+((MIN((2/24*bw_L),bw_b2))-(MAX(0,bw_b1)))/2*(0.7745966692414834)))),0)+IF(MIN((2/24*bw_L),bw_L)&gt;MAX(0,bw_b2),((MIN((2/24*bw_L),bw_L))-(MAX(0,bw_b2)))/2*(0.5555555555555556*IF(((MAX(0,bw_b2))+(MIN((2/24*bw_L),bw_L)))/2+((MIN((2/24*bw_L),bw_L))-(MAX(0,bw_b2)))/2*(-0.7745966692414834)&lt;bw_h0,0,bw_A0_2+bw_A1_2*MIN(((MAX(0,bw_b2))+(MIN((2/24*bw_L),bw_L)))/2+((MIN((2/24*bw_L),bw_L))-(MAX(0,bw_b2)))/2*(-0.7745966692414834)-bw_h0,bw_zw)+bw_A2_2*MAX(0,((MAX(0,bw_b2))+(MIN((2/24*bw_L),bw_L)))/2+((MIN((2/24*bw_L),bw_L))-(MAX(0,bw_b2)))/2*(-0.7745966692414834)-bw_h0-bw_zw))*(((2/24*bw_L))-(((MAX(0,bw_b2))+(MIN((2/24*bw_L),bw_L)))/2+((MIN((2/24*bw_L),bw_L))-(MAX(0,bw_b2)))/2*(-0.7745966692414834)))+0.8888888888888888*IF(((MAX(0,bw_b2))+(MIN((2/24*bw_L),bw_L)))/2+((MIN((2/24*bw_L),bw_L))-(MAX(0,bw_b2)))/2*(0.0)&lt;bw_h0,0,bw_A0_2+bw_A1_2*MIN(((MAX(0,bw_b2))+(MIN((2/24*bw_L),bw_L)))/2+((MIN((2/24*bw_L),bw_L))-(MAX(0,bw_b2)))/2*(0.0)-bw_h0,bw_zw)+bw_A2_2*MAX(0,((MAX(0,bw_b2))+(MIN((2/24*bw_L),bw_L)))/2+((MIN((2/24*bw_L),bw_L))-(MAX(0,bw_b2)))/2*(0.0)-bw_h0-bw_zw))*(((2/24*bw_L))-(((MAX(0,bw_b2))+(MIN((2/24*bw_L),bw_L)))/2+((MIN((2/24*bw_L),bw_L))-(MAX(0,bw_b2)))/2*(0.0)))+0.5555555555555556*IF(((MAX(0,bw_b2))+(MIN((2/24*bw_L),bw_L)))/2+((MIN((2/24*bw_L),bw_L))-(MAX(0,bw_b2)))/2*(0.7745966692414834)&lt;bw_h0,0,bw_A0_2+bw_A1_2*MIN(((MAX(0,bw_b2))+(MIN((2/24*bw_L),bw_L)))/2+((MIN((2/24*bw_L),bw_L))-(MAX(0,bw_b2)))/2*(0.7745966692414834)-bw_h0,bw_zw)+bw_A2_2*MAX(0,((MAX(0,bw_b2))+(MIN((2/24*bw_L),bw_L)))/2+((MIN((2/24*bw_L),bw_L))-(MAX(0,bw_b2)))/2*(0.7745966692414834)-bw_h0-bw_zw))*(((2/24*bw_L))-(((MAX(0,bw_b2))+(MIN((2/24*bw_L),bw_L)))/2+((MIN((2/24*bw_L),bw_L))-(MAX(0,bw_b2)))/2*(0.7745966692414834)))),0))),NA()),NA())</f>
        <v/>
      </c>
      <c r="AR6">
        <f>L_bw-1000*(2/24*bw_L)</f>
        <v/>
      </c>
    </row>
    <row r="7">
      <c r="D7">
        <f>IF(inputs_ok,0,NA())</f>
        <v/>
      </c>
      <c r="E7">
        <f>0</f>
        <v/>
      </c>
      <c r="J7">
        <f>IF(inputs_ok,-0.1*L_bw,NA())</f>
        <v/>
      </c>
      <c r="K7">
        <f>0</f>
        <v/>
      </c>
      <c r="AB7">
        <f>IF(inputs_ok,IF(TRUE,-(0.3*L_bw/MAX(bw_pmax,0.001))*IF(AND(SMALL(bw_xall,5)=SMALL(bw_xall,4),SMALL(bw_xall,4)=bw_h0),0,IF(SMALL(bw_xall,4)&lt;bw_h0,0,bw_A0_1+bw_A1_1*MIN(SMALL(bw_xall,4)-bw_h0,bw_zw)+bw_A2_1*MAX(0,SMALL(bw_xall,4)-bw_h0-bw_zw))),NA()),NA())</f>
        <v/>
      </c>
      <c r="AC7">
        <f>L_bw-1000*SMALL(bw_xall,4)</f>
        <v/>
      </c>
      <c r="AE7">
        <f>IF(inputs_ok,IF(bw_on2,-(0.3*L_bw/MAX(bw_pmax,0.001))*IF(AND(SMALL(bw_xall,5)=SMALL(bw_xall,4),SMALL(bw_xall,4)=bw_h0),0,IF(SMALL(bw_xall,4)&lt;bw_h0,0,bw_A0_2+bw_A1_2*MIN(SMALL(bw_xall,4)-bw_h0,bw_zw)+bw_A2_2*MAX(0,SMALL(bw_xall,4)-bw_h0-bw_zw))),NA()),NA())</f>
        <v/>
      </c>
      <c r="AF7">
        <f>L_bw-1000*SMALL(bw_xall,4)</f>
        <v/>
      </c>
      <c r="AN7">
        <f>IF(inputs_ok,IF(TRUE,(t_bw+0.08*L_bw)+(0.28*L_bw/MAX(bw_Mspan,ABS(bw_Mbase),0.001))*(bw_R_1*(3/24*bw_L)-(IF(MIN((3/24*bw_L),bw_b2)&gt;MAX(0,bw_b1),((MIN((3/24*bw_L),bw_b2))-(MAX(0,bw_b1)))/2*(0.5555555555555556*IF(((MAX(0,bw_b1))+(MIN((3/24*bw_L),bw_b2)))/2+((MIN((3/24*bw_L),bw_b2))-(MAX(0,bw_b1)))/2*(-0.7745966692414834)&lt;bw_h0,0,bw_A0_1+bw_A1_1*MIN(((MAX(0,bw_b1))+(MIN((3/24*bw_L),bw_b2)))/2+((MIN((3/24*bw_L),bw_b2))-(MAX(0,bw_b1)))/2*(-0.7745966692414834)-bw_h0,bw_zw)+bw_A2_1*MAX(0,((MAX(0,bw_b1))+(MIN((3/24*bw_L),bw_b2)))/2+((MIN((3/24*bw_L),bw_b2))-(MAX(0,bw_b1)))/2*(-0.7745966692414834)-bw_h0-bw_zw))*(((3/24*bw_L))-(((MAX(0,bw_b1))+(MIN((3/24*bw_L),bw_b2)))/2+((MIN((3/24*bw_L),bw_b2))-(MAX(0,bw_b1)))/2*(-0.7745966692414834)))+0.8888888888888888*IF(((MAX(0,bw_b1))+(MIN((3/24*bw_L),bw_b2)))/2+((MIN((3/24*bw_L),bw_b2))-(MAX(0,bw_b1)))/2*(0.0)&lt;bw_h0,0,bw_A0_1+bw_A1_1*MIN(((MAX(0,bw_b1))+(MIN((3/24*bw_L),bw_b2)))/2+((MIN((3/24*bw_L),bw_b2))-(MAX(0,bw_b1)))/2*(0.0)-bw_h0,bw_zw)+bw_A2_1*MAX(0,((MAX(0,bw_b1))+(MIN((3/24*bw_L),bw_b2)))/2+((MIN((3/24*bw_L),bw_b2))-(MAX(0,bw_b1)))/2*(0.0)-bw_h0-bw_zw))*(((3/24*bw_L))-(((MAX(0,bw_b1))+(MIN((3/24*bw_L),bw_b2)))/2+((MIN((3/24*bw_L),bw_b2))-(MAX(0,bw_b1)))/2*(0.0)))+0.5555555555555556*IF(((MAX(0,bw_b1))+(MIN((3/24*bw_L),bw_b2)))/2+((MIN((3/24*bw_L),bw_b2))-(MAX(0,bw_b1)))/2*(0.7745966692414834)&lt;bw_h0,0,bw_A0_1+bw_A1_1*MIN(((MAX(0,bw_b1))+(MIN((3/24*bw_L),bw_b2)))/2+((MIN((3/24*bw_L),bw_b2))-(MAX(0,bw_b1)))/2*(0.7745966692414834)-bw_h0,bw_zw)+bw_A2_1*MAX(0,((MAX(0,bw_b1))+(MIN((3/24*bw_L),bw_b2)))/2+((MIN((3/24*bw_L),bw_b2))-(MAX(0,bw_b1)))/2*(0.7745966692414834)-bw_h0-bw_zw))*(((3/24*bw_L))-(((MAX(0,bw_b1))+(MIN((3/24*bw_L),bw_b2)))/2+((MIN((3/24*bw_L),bw_b2))-(MAX(0,bw_b1)))/2*(0.7745966692414834)))),0)+IF(MIN((3/24*bw_L),bw_L)&gt;MAX(0,bw_b2),((MIN((3/24*bw_L),bw_L))-(MAX(0,bw_b2)))/2*(0.5555555555555556*IF(((MAX(0,bw_b2))+(MIN((3/24*bw_L),bw_L)))/2+((MIN((3/24*bw_L),bw_L))-(MAX(0,bw_b2)))/2*(-0.7745966692414834)&lt;bw_h0,0,bw_A0_1+bw_A1_1*MIN(((MAX(0,bw_b2))+(MIN((3/24*bw_L),bw_L)))/2+((MIN((3/24*bw_L),bw_L))-(MAX(0,bw_b2)))/2*(-0.7745966692414834)-bw_h0,bw_zw)+bw_A2_1*MAX(0,((MAX(0,bw_b2))+(MIN((3/24*bw_L),bw_L)))/2+((MIN((3/24*bw_L),bw_L))-(MAX(0,bw_b2)))/2*(-0.7745966692414834)-bw_h0-bw_zw))*(((3/24*bw_L))-(((MAX(0,bw_b2))+(MIN((3/24*bw_L),bw_L)))/2+((MIN((3/24*bw_L),bw_L))-(MAX(0,bw_b2)))/2*(-0.7745966692414834)))+0.8888888888888888*IF(((MAX(0,bw_b2))+(MIN((3/24*bw_L),bw_L)))/2+((MIN((3/24*bw_L),bw_L))-(MAX(0,bw_b2)))/2*(0.0)&lt;bw_h0,0,bw_A0_1+bw_A1_1*MIN(((MAX(0,bw_b2))+(MIN((3/24*bw_L),bw_L)))/2+((MIN((3/24*bw_L),bw_L))-(MAX(0,bw_b2)))/2*(0.0)-bw_h0,bw_zw)+bw_A2_1*MAX(0,((MAX(0,bw_b2))+(MIN((3/24*bw_L),bw_L)))/2+((MIN((3/24*bw_L),bw_L))-(MAX(0,bw_b2)))/2*(0.0)-bw_h0-bw_zw))*(((3/24*bw_L))-(((MAX(0,bw_b2))+(MIN((3/24*bw_L),bw_L)))/2+((MIN((3/24*bw_L),bw_L))-(MAX(0,bw_b2)))/2*(0.0)))+0.5555555555555556*IF(((MAX(0,bw_b2))+(MIN((3/24*bw_L),bw_L)))/2+((MIN((3/24*bw_L),bw_L))-(MAX(0,bw_b2)))/2*(0.7745966692414834)&lt;bw_h0,0,bw_A0_1+bw_A1_1*MIN(((MAX(0,bw_b2))+(MIN((3/24*bw_L),bw_L)))/2+((MIN((3/24*bw_L),bw_L))-(MAX(0,bw_b2)))/2*(0.7745966692414834)-bw_h0,bw_zw)+bw_A2_1*MAX(0,((MAX(0,bw_b2))+(MIN((3/24*bw_L),bw_L)))/2+((MIN((3/24*bw_L),bw_L))-(MAX(0,bw_b2)))/2*(0.7745966692414834)-bw_h0-bw_zw))*(((3/24*bw_L))-(((MAX(0,bw_b2))+(MIN((3/24*bw_L),bw_L)))/2+((MIN((3/24*bw_L),bw_L))-(MAX(0,bw_b2)))/2*(0.7745966692414834)))),0))),NA()),NA())</f>
        <v/>
      </c>
      <c r="AO7">
        <f>L_bw-1000*(3/24*bw_L)</f>
        <v/>
      </c>
      <c r="AQ7">
        <f>IF(inputs_ok,IF(bw_on2,(t_bw+0.08*L_bw)+(0.28*L_bw/MAX(bw_Mspan,ABS(bw_Mbase),0.001))*(bw_R_2*(3/24*bw_L)-(IF(MIN((3/24*bw_L),bw_b2)&gt;MAX(0,bw_b1),((MIN((3/24*bw_L),bw_b2))-(MAX(0,bw_b1)))/2*(0.5555555555555556*IF(((MAX(0,bw_b1))+(MIN((3/24*bw_L),bw_b2)))/2+((MIN((3/24*bw_L),bw_b2))-(MAX(0,bw_b1)))/2*(-0.7745966692414834)&lt;bw_h0,0,bw_A0_2+bw_A1_2*MIN(((MAX(0,bw_b1))+(MIN((3/24*bw_L),bw_b2)))/2+((MIN((3/24*bw_L),bw_b2))-(MAX(0,bw_b1)))/2*(-0.7745966692414834)-bw_h0,bw_zw)+bw_A2_2*MAX(0,((MAX(0,bw_b1))+(MIN((3/24*bw_L),bw_b2)))/2+((MIN((3/24*bw_L),bw_b2))-(MAX(0,bw_b1)))/2*(-0.7745966692414834)-bw_h0-bw_zw))*(((3/24*bw_L))-(((MAX(0,bw_b1))+(MIN((3/24*bw_L),bw_b2)))/2+((MIN((3/24*bw_L),bw_b2))-(MAX(0,bw_b1)))/2*(-0.7745966692414834)))+0.8888888888888888*IF(((MAX(0,bw_b1))+(MIN((3/24*bw_L),bw_b2)))/2+((MIN((3/24*bw_L),bw_b2))-(MAX(0,bw_b1)))/2*(0.0)&lt;bw_h0,0,bw_A0_2+bw_A1_2*MIN(((MAX(0,bw_b1))+(MIN((3/24*bw_L),bw_b2)))/2+((MIN((3/24*bw_L),bw_b2))-(MAX(0,bw_b1)))/2*(0.0)-bw_h0,bw_zw)+bw_A2_2*MAX(0,((MAX(0,bw_b1))+(MIN((3/24*bw_L),bw_b2)))/2+((MIN((3/24*bw_L),bw_b2))-(MAX(0,bw_b1)))/2*(0.0)-bw_h0-bw_zw))*(((3/24*bw_L))-(((MAX(0,bw_b1))+(MIN((3/24*bw_L),bw_b2)))/2+((MIN((3/24*bw_L),bw_b2))-(MAX(0,bw_b1)))/2*(0.0)))+0.5555555555555556*IF(((MAX(0,bw_b1))+(MIN((3/24*bw_L),bw_b2)))/2+((MIN((3/24*bw_L),bw_b2))-(MAX(0,bw_b1)))/2*(0.7745966692414834)&lt;bw_h0,0,bw_A0_2+bw_A1_2*MIN(((MAX(0,bw_b1))+(MIN((3/24*bw_L),bw_b2)))/2+((MIN((3/24*bw_L),bw_b2))-(MAX(0,bw_b1)))/2*(0.7745966692414834)-bw_h0,bw_zw)+bw_A2_2*MAX(0,((MAX(0,bw_b1))+(MIN((3/24*bw_L),bw_b2)))/2+((MIN((3/24*bw_L),bw_b2))-(MAX(0,bw_b1)))/2*(0.7745966692414834)-bw_h0-bw_zw))*(((3/24*bw_L))-(((MAX(0,bw_b1))+(MIN((3/24*bw_L),bw_b2)))/2+((MIN((3/24*bw_L),bw_b2))-(MAX(0,bw_b1)))/2*(0.7745966692414834)))),0)+IF(MIN((3/24*bw_L),bw_L)&gt;MAX(0,bw_b2),((MIN((3/24*bw_L),bw_L))-(MAX(0,bw_b2)))/2*(0.5555555555555556*IF(((MAX(0,bw_b2))+(MIN((3/24*bw_L),bw_L)))/2+((MIN((3/24*bw_L),bw_L))-(MAX(0,bw_b2)))/2*(-0.7745966692414834)&lt;bw_h0,0,bw_A0_2+bw_A1_2*MIN(((MAX(0,bw_b2))+(MIN((3/24*bw_L),bw_L)))/2+((MIN((3/24*bw_L),bw_L))-(MAX(0,bw_b2)))/2*(-0.7745966692414834)-bw_h0,bw_zw)+bw_A2_2*MAX(0,((MAX(0,bw_b2))+(MIN((3/24*bw_L),bw_L)))/2+((MIN((3/24*bw_L),bw_L))-(MAX(0,bw_b2)))/2*(-0.7745966692414834)-bw_h0-bw_zw))*(((3/24*bw_L))-(((MAX(0,bw_b2))+(MIN((3/24*bw_L),bw_L)))/2+((MIN((3/24*bw_L),bw_L))-(MAX(0,bw_b2)))/2*(-0.7745966692414834)))+0.8888888888888888*IF(((MAX(0,bw_b2))+(MIN((3/24*bw_L),bw_L)))/2+((MIN((3/24*bw_L),bw_L))-(MAX(0,bw_b2)))/2*(0.0)&lt;bw_h0,0,bw_A0_2+bw_A1_2*MIN(((MAX(0,bw_b2))+(MIN((3/24*bw_L),bw_L)))/2+((MIN((3/24*bw_L),bw_L))-(MAX(0,bw_b2)))/2*(0.0)-bw_h0,bw_zw)+bw_A2_2*MAX(0,((MAX(0,bw_b2))+(MIN((3/24*bw_L),bw_L)))/2+((MIN((3/24*bw_L),bw_L))-(MAX(0,bw_b2)))/2*(0.0)-bw_h0-bw_zw))*(((3/24*bw_L))-(((MAX(0,bw_b2))+(MIN((3/24*bw_L),bw_L)))/2+((MIN((3/24*bw_L),bw_L))-(MAX(0,bw_b2)))/2*(0.0)))+0.5555555555555556*IF(((MAX(0,bw_b2))+(MIN((3/24*bw_L),bw_L)))/2+((MIN((3/24*bw_L),bw_L))-(MAX(0,bw_b2)))/2*(0.7745966692414834)&lt;bw_h0,0,bw_A0_2+bw_A1_2*MIN(((MAX(0,bw_b2))+(MIN((3/24*bw_L),bw_L)))/2+((MIN((3/24*bw_L),bw_L))-(MAX(0,bw_b2)))/2*(0.7745966692414834)-bw_h0,bw_zw)+bw_A2_2*MAX(0,((MAX(0,bw_b2))+(MIN((3/24*bw_L),bw_L)))/2+((MIN((3/24*bw_L),bw_L))-(MAX(0,bw_b2)))/2*(0.7745966692414834)-bw_h0-bw_zw))*(((3/24*bw_L))-(((MAX(0,bw_b2))+(MIN((3/24*bw_L),bw_L)))/2+((MIN((3/24*bw_L),bw_L))-(MAX(0,bw_b2)))/2*(0.7745966692414834)))),0))),NA()),NA())</f>
        <v/>
      </c>
      <c r="AR7">
        <f>L_bw-1000*(3/24*bw_L)</f>
        <v/>
      </c>
    </row>
    <row r="8">
      <c r="AB8">
        <f>IF(inputs_ok,IF(TRUE,-(0.3*L_bw/MAX(bw_pmax,0.001))*IF(AND(SMALL(bw_xall,6)=SMALL(bw_xall,5),SMALL(bw_xall,5)=bw_h0),0,IF(SMALL(bw_xall,5)&lt;bw_h0,0,bw_A0_1+bw_A1_1*MIN(SMALL(bw_xall,5)-bw_h0,bw_zw)+bw_A2_1*MAX(0,SMALL(bw_xall,5)-bw_h0-bw_zw))),NA()),NA())</f>
        <v/>
      </c>
      <c r="AC8">
        <f>L_bw-1000*SMALL(bw_xall,5)</f>
        <v/>
      </c>
      <c r="AE8">
        <f>IF(inputs_ok,IF(bw_on2,-(0.3*L_bw/MAX(bw_pmax,0.001))*IF(AND(SMALL(bw_xall,6)=SMALL(bw_xall,5),SMALL(bw_xall,5)=bw_h0),0,IF(SMALL(bw_xall,5)&lt;bw_h0,0,bw_A0_2+bw_A1_2*MIN(SMALL(bw_xall,5)-bw_h0,bw_zw)+bw_A2_2*MAX(0,SMALL(bw_xall,5)-bw_h0-bw_zw))),NA()),NA())</f>
        <v/>
      </c>
      <c r="AF8">
        <f>L_bw-1000*SMALL(bw_xall,5)</f>
        <v/>
      </c>
      <c r="AN8">
        <f>IF(inputs_ok,IF(TRUE,(t_bw+0.08*L_bw)+(0.28*L_bw/MAX(bw_Mspan,ABS(bw_Mbase),0.001))*(bw_R_1*(4/24*bw_L)-(IF(MIN((4/24*bw_L),bw_b2)&gt;MAX(0,bw_b1),((MIN((4/24*bw_L),bw_b2))-(MAX(0,bw_b1)))/2*(0.5555555555555556*IF(((MAX(0,bw_b1))+(MIN((4/24*bw_L),bw_b2)))/2+((MIN((4/24*bw_L),bw_b2))-(MAX(0,bw_b1)))/2*(-0.7745966692414834)&lt;bw_h0,0,bw_A0_1+bw_A1_1*MIN(((MAX(0,bw_b1))+(MIN((4/24*bw_L),bw_b2)))/2+((MIN((4/24*bw_L),bw_b2))-(MAX(0,bw_b1)))/2*(-0.7745966692414834)-bw_h0,bw_zw)+bw_A2_1*MAX(0,((MAX(0,bw_b1))+(MIN((4/24*bw_L),bw_b2)))/2+((MIN((4/24*bw_L),bw_b2))-(MAX(0,bw_b1)))/2*(-0.7745966692414834)-bw_h0-bw_zw))*(((4/24*bw_L))-(((MAX(0,bw_b1))+(MIN((4/24*bw_L),bw_b2)))/2+((MIN((4/24*bw_L),bw_b2))-(MAX(0,bw_b1)))/2*(-0.7745966692414834)))+0.8888888888888888*IF(((MAX(0,bw_b1))+(MIN((4/24*bw_L),bw_b2)))/2+((MIN((4/24*bw_L),bw_b2))-(MAX(0,bw_b1)))/2*(0.0)&lt;bw_h0,0,bw_A0_1+bw_A1_1*MIN(((MAX(0,bw_b1))+(MIN((4/24*bw_L),bw_b2)))/2+((MIN((4/24*bw_L),bw_b2))-(MAX(0,bw_b1)))/2*(0.0)-bw_h0,bw_zw)+bw_A2_1*MAX(0,((MAX(0,bw_b1))+(MIN((4/24*bw_L),bw_b2)))/2+((MIN((4/24*bw_L),bw_b2))-(MAX(0,bw_b1)))/2*(0.0)-bw_h0-bw_zw))*(((4/24*bw_L))-(((MAX(0,bw_b1))+(MIN((4/24*bw_L),bw_b2)))/2+((MIN((4/24*bw_L),bw_b2))-(MAX(0,bw_b1)))/2*(0.0)))+0.5555555555555556*IF(((MAX(0,bw_b1))+(MIN((4/24*bw_L),bw_b2)))/2+((MIN((4/24*bw_L),bw_b2))-(MAX(0,bw_b1)))/2*(0.7745966692414834)&lt;bw_h0,0,bw_A0_1+bw_A1_1*MIN(((MAX(0,bw_b1))+(MIN((4/24*bw_L),bw_b2)))/2+((MIN((4/24*bw_L),bw_b2))-(MAX(0,bw_b1)))/2*(0.7745966692414834)-bw_h0,bw_zw)+bw_A2_1*MAX(0,((MAX(0,bw_b1))+(MIN((4/24*bw_L),bw_b2)))/2+((MIN((4/24*bw_L),bw_b2))-(MAX(0,bw_b1)))/2*(0.7745966692414834)-bw_h0-bw_zw))*(((4/24*bw_L))-(((MAX(0,bw_b1))+(MIN((4/24*bw_L),bw_b2)))/2+((MIN((4/24*bw_L),bw_b2))-(MAX(0,bw_b1)))/2*(0.7745966692414834)))),0)+IF(MIN((4/24*bw_L),bw_L)&gt;MAX(0,bw_b2),((MIN((4/24*bw_L),bw_L))-(MAX(0,bw_b2)))/2*(0.5555555555555556*IF(((MAX(0,bw_b2))+(MIN((4/24*bw_L),bw_L)))/2+((MIN((4/24*bw_L),bw_L))-(MAX(0,bw_b2)))/2*(-0.7745966692414834)&lt;bw_h0,0,bw_A0_1+bw_A1_1*MIN(((MAX(0,bw_b2))+(MIN((4/24*bw_L),bw_L)))/2+((MIN((4/24*bw_L),bw_L))-(MAX(0,bw_b2)))/2*(-0.7745966692414834)-bw_h0,bw_zw)+bw_A2_1*MAX(0,((MAX(0,bw_b2))+(MIN((4/24*bw_L),bw_L)))/2+((MIN((4/24*bw_L),bw_L))-(MAX(0,bw_b2)))/2*(-0.7745966692414834)-bw_h0-bw_zw))*(((4/24*bw_L))-(((MAX(0,bw_b2))+(MIN((4/24*bw_L),bw_L)))/2+((MIN((4/24*bw_L),bw_L))-(MAX(0,bw_b2)))/2*(-0.7745966692414834)))+0.8888888888888888*IF(((MAX(0,bw_b2))+(MIN((4/24*bw_L),bw_L)))/2+((MIN((4/24*bw_L),bw_L))-(MAX(0,bw_b2)))/2*(0.0)&lt;bw_h0,0,bw_A0_1+bw_A1_1*MIN(((MAX(0,bw_b2))+(MIN((4/24*bw_L),bw_L)))/2+((MIN((4/24*bw_L),bw_L))-(MAX(0,bw_b2)))/2*(0.0)-bw_h0,bw_zw)+bw_A2_1*MAX(0,((MAX(0,bw_b2))+(MIN((4/24*bw_L),bw_L)))/2+((MIN((4/24*bw_L),bw_L))-(MAX(0,bw_b2)))/2*(0.0)-bw_h0-bw_zw))*(((4/24*bw_L))-(((MAX(0,bw_b2))+(MIN((4/24*bw_L),bw_L)))/2+((MIN((4/24*bw_L),bw_L))-(MAX(0,bw_b2)))/2*(0.0)))+0.5555555555555556*IF(((MAX(0,bw_b2))+(MIN((4/24*bw_L),bw_L)))/2+((MIN((4/24*bw_L),bw_L))-(MAX(0,bw_b2)))/2*(0.7745966692414834)&lt;bw_h0,0,bw_A0_1+bw_A1_1*MIN(((MAX(0,bw_b2))+(MIN((4/24*bw_L),bw_L)))/2+((MIN((4/24*bw_L),bw_L))-(MAX(0,bw_b2)))/2*(0.7745966692414834)-bw_h0,bw_zw)+bw_A2_1*MAX(0,((MAX(0,bw_b2))+(MIN((4/24*bw_L),bw_L)))/2+((MIN((4/24*bw_L),bw_L))-(MAX(0,bw_b2)))/2*(0.7745966692414834)-bw_h0-bw_zw))*(((4/24*bw_L))-(((MAX(0,bw_b2))+(MIN((4/24*bw_L),bw_L)))/2+((MIN((4/24*bw_L),bw_L))-(MAX(0,bw_b2)))/2*(0.7745966692414834)))),0))),NA()),NA())</f>
        <v/>
      </c>
      <c r="AO8">
        <f>L_bw-1000*(4/24*bw_L)</f>
        <v/>
      </c>
      <c r="AQ8">
        <f>IF(inputs_ok,IF(bw_on2,(t_bw+0.08*L_bw)+(0.28*L_bw/MAX(bw_Mspan,ABS(bw_Mbase),0.001))*(bw_R_2*(4/24*bw_L)-(IF(MIN((4/24*bw_L),bw_b2)&gt;MAX(0,bw_b1),((MIN((4/24*bw_L),bw_b2))-(MAX(0,bw_b1)))/2*(0.5555555555555556*IF(((MAX(0,bw_b1))+(MIN((4/24*bw_L),bw_b2)))/2+((MIN((4/24*bw_L),bw_b2))-(MAX(0,bw_b1)))/2*(-0.7745966692414834)&lt;bw_h0,0,bw_A0_2+bw_A1_2*MIN(((MAX(0,bw_b1))+(MIN((4/24*bw_L),bw_b2)))/2+((MIN((4/24*bw_L),bw_b2))-(MAX(0,bw_b1)))/2*(-0.7745966692414834)-bw_h0,bw_zw)+bw_A2_2*MAX(0,((MAX(0,bw_b1))+(MIN((4/24*bw_L),bw_b2)))/2+((MIN((4/24*bw_L),bw_b2))-(MAX(0,bw_b1)))/2*(-0.7745966692414834)-bw_h0-bw_zw))*(((4/24*bw_L))-(((MAX(0,bw_b1))+(MIN((4/24*bw_L),bw_b2)))/2+((MIN((4/24*bw_L),bw_b2))-(MAX(0,bw_b1)))/2*(-0.7745966692414834)))+0.8888888888888888*IF(((MAX(0,bw_b1))+(MIN((4/24*bw_L),bw_b2)))/2+((MIN((4/24*bw_L),bw_b2))-(MAX(0,bw_b1)))/2*(0.0)&lt;bw_h0,0,bw_A0_2+bw_A1_2*MIN(((MAX(0,bw_b1))+(MIN((4/24*bw_L),bw_b2)))/2+((MIN((4/24*bw_L),bw_b2))-(MAX(0,bw_b1)))/2*(0.0)-bw_h0,bw_zw)+bw_A2_2*MAX(0,((MAX(0,bw_b1))+(MIN((4/24*bw_L),bw_b2)))/2+((MIN((4/24*bw_L),bw_b2))-(MAX(0,bw_b1)))/2*(0.0)-bw_h0-bw_zw))*(((4/24*bw_L))-(((MAX(0,bw_b1))+(MIN((4/24*bw_L),bw_b2)))/2+((MIN((4/24*bw_L),bw_b2))-(MAX(0,bw_b1)))/2*(0.0)))+0.5555555555555556*IF(((MAX(0,bw_b1))+(MIN((4/24*bw_L),bw_b2)))/2+((MIN((4/24*bw_L),bw_b2))-(MAX(0,bw_b1)))/2*(0.7745966692414834)&lt;bw_h0,0,bw_A0_2+bw_A1_2*MIN(((MAX(0,bw_b1))+(MIN((4/24*bw_L),bw_b2)))/2+((MIN((4/24*bw_L),bw_b2))-(MAX(0,bw_b1)))/2*(0.7745966692414834)-bw_h0,bw_zw)+bw_A2_2*MAX(0,((MAX(0,bw_b1))+(MIN((4/24*bw_L),bw_b2)))/2+((MIN((4/24*bw_L),bw_b2))-(MAX(0,bw_b1)))/2*(0.7745966692414834)-bw_h0-bw_zw))*(((4/24*bw_L))-(((MAX(0,bw_b1))+(MIN((4/24*bw_L),bw_b2)))/2+((MIN((4/24*bw_L),bw_b2))-(MAX(0,bw_b1)))/2*(0.7745966692414834)))),0)+IF(MIN((4/24*bw_L),bw_L)&gt;MAX(0,bw_b2),((MIN((4/24*bw_L),bw_L))-(MAX(0,bw_b2)))/2*(0.5555555555555556*IF(((MAX(0,bw_b2))+(MIN((4/24*bw_L),bw_L)))/2+((MIN((4/24*bw_L),bw_L))-(MAX(0,bw_b2)))/2*(-0.7745966692414834)&lt;bw_h0,0,bw_A0_2+bw_A1_2*MIN(((MAX(0,bw_b2))+(MIN((4/24*bw_L),bw_L)))/2+((MIN((4/24*bw_L),bw_L))-(MAX(0,bw_b2)))/2*(-0.7745966692414834)-bw_h0,bw_zw)+bw_A2_2*MAX(0,((MAX(0,bw_b2))+(MIN((4/24*bw_L),bw_L)))/2+((MIN((4/24*bw_L),bw_L))-(MAX(0,bw_b2)))/2*(-0.7745966692414834)-bw_h0-bw_zw))*(((4/24*bw_L))-(((MAX(0,bw_b2))+(MIN((4/24*bw_L),bw_L)))/2+((MIN((4/24*bw_L),bw_L))-(MAX(0,bw_b2)))/2*(-0.7745966692414834)))+0.8888888888888888*IF(((MAX(0,bw_b2))+(MIN((4/24*bw_L),bw_L)))/2+((MIN((4/24*bw_L),bw_L))-(MAX(0,bw_b2)))/2*(0.0)&lt;bw_h0,0,bw_A0_2+bw_A1_2*MIN(((MAX(0,bw_b2))+(MIN((4/24*bw_L),bw_L)))/2+((MIN((4/24*bw_L),bw_L))-(MAX(0,bw_b2)))/2*(0.0)-bw_h0,bw_zw)+bw_A2_2*MAX(0,((MAX(0,bw_b2))+(MIN((4/24*bw_L),bw_L)))/2+((MIN((4/24*bw_L),bw_L))-(MAX(0,bw_b2)))/2*(0.0)-bw_h0-bw_zw))*(((4/24*bw_L))-(((MAX(0,bw_b2))+(MIN((4/24*bw_L),bw_L)))/2+((MIN((4/24*bw_L),bw_L))-(MAX(0,bw_b2)))/2*(0.0)))+0.5555555555555556*IF(((MAX(0,bw_b2))+(MIN((4/24*bw_L),bw_L)))/2+((MIN((4/24*bw_L),bw_L))-(MAX(0,bw_b2)))/2*(0.7745966692414834)&lt;bw_h0,0,bw_A0_2+bw_A1_2*MIN(((MAX(0,bw_b2))+(MIN((4/24*bw_L),bw_L)))/2+((MIN((4/24*bw_L),bw_L))-(MAX(0,bw_b2)))/2*(0.7745966692414834)-bw_h0,bw_zw)+bw_A2_2*MAX(0,((MAX(0,bw_b2))+(MIN((4/24*bw_L),bw_L)))/2+((MIN((4/24*bw_L),bw_L))-(MAX(0,bw_b2)))/2*(0.7745966692414834)-bw_h0-bw_zw))*(((4/24*bw_L))-(((MAX(0,bw_b2))+(MIN((4/24*bw_L),bw_L)))/2+((MIN((4/24*bw_L),bw_L))-(MAX(0,bw_b2)))/2*(0.7745966692414834)))),0))),NA()),NA())</f>
        <v/>
      </c>
      <c r="AR8">
        <f>L_bw-1000*(4/24*bw_L)</f>
        <v/>
      </c>
    </row>
    <row r="9">
      <c r="AB9">
        <f>IF(inputs_ok,IF(TRUE,-(0.3*L_bw/MAX(bw_pmax,0.001))*IF(AND(SMALL(bw_xall,7)=SMALL(bw_xall,6),SMALL(bw_xall,6)=bw_h0),0,IF(SMALL(bw_xall,6)&lt;bw_h0,0,bw_A0_1+bw_A1_1*MIN(SMALL(bw_xall,6)-bw_h0,bw_zw)+bw_A2_1*MAX(0,SMALL(bw_xall,6)-bw_h0-bw_zw))),NA()),NA())</f>
        <v/>
      </c>
      <c r="AC9">
        <f>L_bw-1000*SMALL(bw_xall,6)</f>
        <v/>
      </c>
      <c r="AE9">
        <f>IF(inputs_ok,IF(bw_on2,-(0.3*L_bw/MAX(bw_pmax,0.001))*IF(AND(SMALL(bw_xall,7)=SMALL(bw_xall,6),SMALL(bw_xall,6)=bw_h0),0,IF(SMALL(bw_xall,6)&lt;bw_h0,0,bw_A0_2+bw_A1_2*MIN(SMALL(bw_xall,6)-bw_h0,bw_zw)+bw_A2_2*MAX(0,SMALL(bw_xall,6)-bw_h0-bw_zw))),NA()),NA())</f>
        <v/>
      </c>
      <c r="AF9">
        <f>L_bw-1000*SMALL(bw_xall,6)</f>
        <v/>
      </c>
      <c r="AN9">
        <f>IF(inputs_ok,IF(TRUE,(t_bw+0.08*L_bw)+(0.28*L_bw/MAX(bw_Mspan,ABS(bw_Mbase),0.001))*(bw_R_1*(5/24*bw_L)-(IF(MIN((5/24*bw_L),bw_b2)&gt;MAX(0,bw_b1),((MIN((5/24*bw_L),bw_b2))-(MAX(0,bw_b1)))/2*(0.5555555555555556*IF(((MAX(0,bw_b1))+(MIN((5/24*bw_L),bw_b2)))/2+((MIN((5/24*bw_L),bw_b2))-(MAX(0,bw_b1)))/2*(-0.7745966692414834)&lt;bw_h0,0,bw_A0_1+bw_A1_1*MIN(((MAX(0,bw_b1))+(MIN((5/24*bw_L),bw_b2)))/2+((MIN((5/24*bw_L),bw_b2))-(MAX(0,bw_b1)))/2*(-0.7745966692414834)-bw_h0,bw_zw)+bw_A2_1*MAX(0,((MAX(0,bw_b1))+(MIN((5/24*bw_L),bw_b2)))/2+((MIN((5/24*bw_L),bw_b2))-(MAX(0,bw_b1)))/2*(-0.7745966692414834)-bw_h0-bw_zw))*(((5/24*bw_L))-(((MAX(0,bw_b1))+(MIN((5/24*bw_L),bw_b2)))/2+((MIN((5/24*bw_L),bw_b2))-(MAX(0,bw_b1)))/2*(-0.7745966692414834)))+0.8888888888888888*IF(((MAX(0,bw_b1))+(MIN((5/24*bw_L),bw_b2)))/2+((MIN((5/24*bw_L),bw_b2))-(MAX(0,bw_b1)))/2*(0.0)&lt;bw_h0,0,bw_A0_1+bw_A1_1*MIN(((MAX(0,bw_b1))+(MIN((5/24*bw_L),bw_b2)))/2+((MIN((5/24*bw_L),bw_b2))-(MAX(0,bw_b1)))/2*(0.0)-bw_h0,bw_zw)+bw_A2_1*MAX(0,((MAX(0,bw_b1))+(MIN((5/24*bw_L),bw_b2)))/2+((MIN((5/24*bw_L),bw_b2))-(MAX(0,bw_b1)))/2*(0.0)-bw_h0-bw_zw))*(((5/24*bw_L))-(((MAX(0,bw_b1))+(MIN((5/24*bw_L),bw_b2)))/2+((MIN((5/24*bw_L),bw_b2))-(MAX(0,bw_b1)))/2*(0.0)))+0.5555555555555556*IF(((MAX(0,bw_b1))+(MIN((5/24*bw_L),bw_b2)))/2+((MIN((5/24*bw_L),bw_b2))-(MAX(0,bw_b1)))/2*(0.7745966692414834)&lt;bw_h0,0,bw_A0_1+bw_A1_1*MIN(((MAX(0,bw_b1))+(MIN((5/24*bw_L),bw_b2)))/2+((MIN((5/24*bw_L),bw_b2))-(MAX(0,bw_b1)))/2*(0.7745966692414834)-bw_h0,bw_zw)+bw_A2_1*MAX(0,((MAX(0,bw_b1))+(MIN((5/24*bw_L),bw_b2)))/2+((MIN((5/24*bw_L),bw_b2))-(MAX(0,bw_b1)))/2*(0.7745966692414834)-bw_h0-bw_zw))*(((5/24*bw_L))-(((MAX(0,bw_b1))+(MIN((5/24*bw_L),bw_b2)))/2+((MIN((5/24*bw_L),bw_b2))-(MAX(0,bw_b1)))/2*(0.7745966692414834)))),0)+IF(MIN((5/24*bw_L),bw_L)&gt;MAX(0,bw_b2),((MIN((5/24*bw_L),bw_L))-(MAX(0,bw_b2)))/2*(0.5555555555555556*IF(((MAX(0,bw_b2))+(MIN((5/24*bw_L),bw_L)))/2+((MIN((5/24*bw_L),bw_L))-(MAX(0,bw_b2)))/2*(-0.7745966692414834)&lt;bw_h0,0,bw_A0_1+bw_A1_1*MIN(((MAX(0,bw_b2))+(MIN((5/24*bw_L),bw_L)))/2+((MIN((5/24*bw_L),bw_L))-(MAX(0,bw_b2)))/2*(-0.7745966692414834)-bw_h0,bw_zw)+bw_A2_1*MAX(0,((MAX(0,bw_b2))+(MIN((5/24*bw_L),bw_L)))/2+((MIN((5/24*bw_L),bw_L))-(MAX(0,bw_b2)))/2*(-0.7745966692414834)-bw_h0-bw_zw))*(((5/24*bw_L))-(((MAX(0,bw_b2))+(MIN((5/24*bw_L),bw_L)))/2+((MIN((5/24*bw_L),bw_L))-(MAX(0,bw_b2)))/2*(-0.7745966692414834)))+0.8888888888888888*IF(((MAX(0,bw_b2))+(MIN((5/24*bw_L),bw_L)))/2+((MIN((5/24*bw_L),bw_L))-(MAX(0,bw_b2)))/2*(0.0)&lt;bw_h0,0,bw_A0_1+bw_A1_1*MIN(((MAX(0,bw_b2))+(MIN((5/24*bw_L),bw_L)))/2+((MIN((5/24*bw_L),bw_L))-(MAX(0,bw_b2)))/2*(0.0)-bw_h0,bw_zw)+bw_A2_1*MAX(0,((MAX(0,bw_b2))+(MIN((5/24*bw_L),bw_L)))/2+((MIN((5/24*bw_L),bw_L))-(MAX(0,bw_b2)))/2*(0.0)-bw_h0-bw_zw))*(((5/24*bw_L))-(((MAX(0,bw_b2))+(MIN((5/24*bw_L),bw_L)))/2+((MIN((5/24*bw_L),bw_L))-(MAX(0,bw_b2)))/2*(0.0)))+0.5555555555555556*IF(((MAX(0,bw_b2))+(MIN((5/24*bw_L),bw_L)))/2+((MIN((5/24*bw_L),bw_L))-(MAX(0,bw_b2)))/2*(0.7745966692414834)&lt;bw_h0,0,bw_A0_1+bw_A1_1*MIN(((MAX(0,bw_b2))+(MIN((5/24*bw_L),bw_L)))/2+((MIN((5/24*bw_L),bw_L))-(MAX(0,bw_b2)))/2*(0.7745966692414834)-bw_h0,bw_zw)+bw_A2_1*MAX(0,((MAX(0,bw_b2))+(MIN((5/24*bw_L),bw_L)))/2+((MIN((5/24*bw_L),bw_L))-(MAX(0,bw_b2)))/2*(0.7745966692414834)-bw_h0-bw_zw))*(((5/24*bw_L))-(((MAX(0,bw_b2))+(MIN((5/24*bw_L),bw_L)))/2+((MIN((5/24*bw_L),bw_L))-(MAX(0,bw_b2)))/2*(0.7745966692414834)))),0))),NA()),NA())</f>
        <v/>
      </c>
      <c r="AO9">
        <f>L_bw-1000*(5/24*bw_L)</f>
        <v/>
      </c>
      <c r="AQ9">
        <f>IF(inputs_ok,IF(bw_on2,(t_bw+0.08*L_bw)+(0.28*L_bw/MAX(bw_Mspan,ABS(bw_Mbase),0.001))*(bw_R_2*(5/24*bw_L)-(IF(MIN((5/24*bw_L),bw_b2)&gt;MAX(0,bw_b1),((MIN((5/24*bw_L),bw_b2))-(MAX(0,bw_b1)))/2*(0.5555555555555556*IF(((MAX(0,bw_b1))+(MIN((5/24*bw_L),bw_b2)))/2+((MIN((5/24*bw_L),bw_b2))-(MAX(0,bw_b1)))/2*(-0.7745966692414834)&lt;bw_h0,0,bw_A0_2+bw_A1_2*MIN(((MAX(0,bw_b1))+(MIN((5/24*bw_L),bw_b2)))/2+((MIN((5/24*bw_L),bw_b2))-(MAX(0,bw_b1)))/2*(-0.7745966692414834)-bw_h0,bw_zw)+bw_A2_2*MAX(0,((MAX(0,bw_b1))+(MIN((5/24*bw_L),bw_b2)))/2+((MIN((5/24*bw_L),bw_b2))-(MAX(0,bw_b1)))/2*(-0.7745966692414834)-bw_h0-bw_zw))*(((5/24*bw_L))-(((MAX(0,bw_b1))+(MIN((5/24*bw_L),bw_b2)))/2+((MIN((5/24*bw_L),bw_b2))-(MAX(0,bw_b1)))/2*(-0.7745966692414834)))+0.8888888888888888*IF(((MAX(0,bw_b1))+(MIN((5/24*bw_L),bw_b2)))/2+((MIN((5/24*bw_L),bw_b2))-(MAX(0,bw_b1)))/2*(0.0)&lt;bw_h0,0,bw_A0_2+bw_A1_2*MIN(((MAX(0,bw_b1))+(MIN((5/24*bw_L),bw_b2)))/2+((MIN((5/24*bw_L),bw_b2))-(MAX(0,bw_b1)))/2*(0.0)-bw_h0,bw_zw)+bw_A2_2*MAX(0,((MAX(0,bw_b1))+(MIN((5/24*bw_L),bw_b2)))/2+((MIN((5/24*bw_L),bw_b2))-(MAX(0,bw_b1)))/2*(0.0)-bw_h0-bw_zw))*(((5/24*bw_L))-(((MAX(0,bw_b1))+(MIN((5/24*bw_L),bw_b2)))/2+((MIN((5/24*bw_L),bw_b2))-(MAX(0,bw_b1)))/2*(0.0)))+0.5555555555555556*IF(((MAX(0,bw_b1))+(MIN((5/24*bw_L),bw_b2)))/2+((MIN((5/24*bw_L),bw_b2))-(MAX(0,bw_b1)))/2*(0.7745966692414834)&lt;bw_h0,0,bw_A0_2+bw_A1_2*MIN(((MAX(0,bw_b1))+(MIN((5/24*bw_L),bw_b2)))/2+((MIN((5/24*bw_L),bw_b2))-(MAX(0,bw_b1)))/2*(0.7745966692414834)-bw_h0,bw_zw)+bw_A2_2*MAX(0,((MAX(0,bw_b1))+(MIN((5/24*bw_L),bw_b2)))/2+((MIN((5/24*bw_L),bw_b2))-(MAX(0,bw_b1)))/2*(0.7745966692414834)-bw_h0-bw_zw))*(((5/24*bw_L))-(((MAX(0,bw_b1))+(MIN((5/24*bw_L),bw_b2)))/2+((MIN((5/24*bw_L),bw_b2))-(MAX(0,bw_b1)))/2*(0.7745966692414834)))),0)+IF(MIN((5/24*bw_L),bw_L)&gt;MAX(0,bw_b2),((MIN((5/24*bw_L),bw_L))-(MAX(0,bw_b2)))/2*(0.5555555555555556*IF(((MAX(0,bw_b2))+(MIN((5/24*bw_L),bw_L)))/2+((MIN((5/24*bw_L),bw_L))-(MAX(0,bw_b2)))/2*(-0.7745966692414834)&lt;bw_h0,0,bw_A0_2+bw_A1_2*MIN(((MAX(0,bw_b2))+(MIN((5/24*bw_L),bw_L)))/2+((MIN((5/24*bw_L),bw_L))-(MAX(0,bw_b2)))/2*(-0.7745966692414834)-bw_h0,bw_zw)+bw_A2_2*MAX(0,((MAX(0,bw_b2))+(MIN((5/24*bw_L),bw_L)))/2+((MIN((5/24*bw_L),bw_L))-(MAX(0,bw_b2)))/2*(-0.7745966692414834)-bw_h0-bw_zw))*(((5/24*bw_L))-(((MAX(0,bw_b2))+(MIN((5/24*bw_L),bw_L)))/2+((MIN((5/24*bw_L),bw_L))-(MAX(0,bw_b2)))/2*(-0.7745966692414834)))+0.8888888888888888*IF(((MAX(0,bw_b2))+(MIN((5/24*bw_L),bw_L)))/2+((MIN((5/24*bw_L),bw_L))-(MAX(0,bw_b2)))/2*(0.0)&lt;bw_h0,0,bw_A0_2+bw_A1_2*MIN(((MAX(0,bw_b2))+(MIN((5/24*bw_L),bw_L)))/2+((MIN((5/24*bw_L),bw_L))-(MAX(0,bw_b2)))/2*(0.0)-bw_h0,bw_zw)+bw_A2_2*MAX(0,((MAX(0,bw_b2))+(MIN((5/24*bw_L),bw_L)))/2+((MIN((5/24*bw_L),bw_L))-(MAX(0,bw_b2)))/2*(0.0)-bw_h0-bw_zw))*(((5/24*bw_L))-(((MAX(0,bw_b2))+(MIN((5/24*bw_L),bw_L)))/2+((MIN((5/24*bw_L),bw_L))-(MAX(0,bw_b2)))/2*(0.0)))+0.5555555555555556*IF(((MAX(0,bw_b2))+(MIN((5/24*bw_L),bw_L)))/2+((MIN((5/24*bw_L),bw_L))-(MAX(0,bw_b2)))/2*(0.7745966692414834)&lt;bw_h0,0,bw_A0_2+bw_A1_2*MIN(((MAX(0,bw_b2))+(MIN((5/24*bw_L),bw_L)))/2+((MIN((5/24*bw_L),bw_L))-(MAX(0,bw_b2)))/2*(0.7745966692414834)-bw_h0,bw_zw)+bw_A2_2*MAX(0,((MAX(0,bw_b2))+(MIN((5/24*bw_L),bw_L)))/2+((MIN((5/24*bw_L),bw_L))-(MAX(0,bw_b2)))/2*(0.7745966692414834)-bw_h0-bw_zw))*(((5/24*bw_L))-(((MAX(0,bw_b2))+(MIN((5/24*bw_L),bw_L)))/2+((MIN((5/24*bw_L),bw_L))-(MAX(0,bw_b2)))/2*(0.7745966692414834)))),0))),NA()),NA())</f>
        <v/>
      </c>
      <c r="AR9">
        <f>L_bw-1000*(5/24*bw_L)</f>
        <v/>
      </c>
    </row>
    <row r="10">
      <c r="AB10">
        <f>IF(inputs_ok,IF(TRUE,-(0.3*L_bw/MAX(bw_pmax,0.001))*IF(AND(SMALL(bw_xall,8)=SMALL(bw_xall,7),SMALL(bw_xall,7)=bw_h0),0,IF(SMALL(bw_xall,7)&lt;bw_h0,0,bw_A0_1+bw_A1_1*MIN(SMALL(bw_xall,7)-bw_h0,bw_zw)+bw_A2_1*MAX(0,SMALL(bw_xall,7)-bw_h0-bw_zw))),NA()),NA())</f>
        <v/>
      </c>
      <c r="AC10">
        <f>L_bw-1000*SMALL(bw_xall,7)</f>
        <v/>
      </c>
      <c r="AE10">
        <f>IF(inputs_ok,IF(bw_on2,-(0.3*L_bw/MAX(bw_pmax,0.001))*IF(AND(SMALL(bw_xall,8)=SMALL(bw_xall,7),SMALL(bw_xall,7)=bw_h0),0,IF(SMALL(bw_xall,7)&lt;bw_h0,0,bw_A0_2+bw_A1_2*MIN(SMALL(bw_xall,7)-bw_h0,bw_zw)+bw_A2_2*MAX(0,SMALL(bw_xall,7)-bw_h0-bw_zw))),NA()),NA())</f>
        <v/>
      </c>
      <c r="AF10">
        <f>L_bw-1000*SMALL(bw_xall,7)</f>
        <v/>
      </c>
      <c r="AN10">
        <f>IF(inputs_ok,IF(TRUE,(t_bw+0.08*L_bw)+(0.28*L_bw/MAX(bw_Mspan,ABS(bw_Mbase),0.001))*(bw_R_1*(6/24*bw_L)-(IF(MIN((6/24*bw_L),bw_b2)&gt;MAX(0,bw_b1),((MIN((6/24*bw_L),bw_b2))-(MAX(0,bw_b1)))/2*(0.5555555555555556*IF(((MAX(0,bw_b1))+(MIN((6/24*bw_L),bw_b2)))/2+((MIN((6/24*bw_L),bw_b2))-(MAX(0,bw_b1)))/2*(-0.7745966692414834)&lt;bw_h0,0,bw_A0_1+bw_A1_1*MIN(((MAX(0,bw_b1))+(MIN((6/24*bw_L),bw_b2)))/2+((MIN((6/24*bw_L),bw_b2))-(MAX(0,bw_b1)))/2*(-0.7745966692414834)-bw_h0,bw_zw)+bw_A2_1*MAX(0,((MAX(0,bw_b1))+(MIN((6/24*bw_L),bw_b2)))/2+((MIN((6/24*bw_L),bw_b2))-(MAX(0,bw_b1)))/2*(-0.7745966692414834)-bw_h0-bw_zw))*(((6/24*bw_L))-(((MAX(0,bw_b1))+(MIN((6/24*bw_L),bw_b2)))/2+((MIN((6/24*bw_L),bw_b2))-(MAX(0,bw_b1)))/2*(-0.7745966692414834)))+0.8888888888888888*IF(((MAX(0,bw_b1))+(MIN((6/24*bw_L),bw_b2)))/2+((MIN((6/24*bw_L),bw_b2))-(MAX(0,bw_b1)))/2*(0.0)&lt;bw_h0,0,bw_A0_1+bw_A1_1*MIN(((MAX(0,bw_b1))+(MIN((6/24*bw_L),bw_b2)))/2+((MIN((6/24*bw_L),bw_b2))-(MAX(0,bw_b1)))/2*(0.0)-bw_h0,bw_zw)+bw_A2_1*MAX(0,((MAX(0,bw_b1))+(MIN((6/24*bw_L),bw_b2)))/2+((MIN((6/24*bw_L),bw_b2))-(MAX(0,bw_b1)))/2*(0.0)-bw_h0-bw_zw))*(((6/24*bw_L))-(((MAX(0,bw_b1))+(MIN((6/24*bw_L),bw_b2)))/2+((MIN((6/24*bw_L),bw_b2))-(MAX(0,bw_b1)))/2*(0.0)))+0.5555555555555556*IF(((MAX(0,bw_b1))+(MIN((6/24*bw_L),bw_b2)))/2+((MIN((6/24*bw_L),bw_b2))-(MAX(0,bw_b1)))/2*(0.7745966692414834)&lt;bw_h0,0,bw_A0_1+bw_A1_1*MIN(((MAX(0,bw_b1))+(MIN((6/24*bw_L),bw_b2)))/2+((MIN((6/24*bw_L),bw_b2))-(MAX(0,bw_b1)))/2*(0.7745966692414834)-bw_h0,bw_zw)+bw_A2_1*MAX(0,((MAX(0,bw_b1))+(MIN((6/24*bw_L),bw_b2)))/2+((MIN((6/24*bw_L),bw_b2))-(MAX(0,bw_b1)))/2*(0.7745966692414834)-bw_h0-bw_zw))*(((6/24*bw_L))-(((MAX(0,bw_b1))+(MIN((6/24*bw_L),bw_b2)))/2+((MIN((6/24*bw_L),bw_b2))-(MAX(0,bw_b1)))/2*(0.7745966692414834)))),0)+IF(MIN((6/24*bw_L),bw_L)&gt;MAX(0,bw_b2),((MIN((6/24*bw_L),bw_L))-(MAX(0,bw_b2)))/2*(0.5555555555555556*IF(((MAX(0,bw_b2))+(MIN((6/24*bw_L),bw_L)))/2+((MIN((6/24*bw_L),bw_L))-(MAX(0,bw_b2)))/2*(-0.7745966692414834)&lt;bw_h0,0,bw_A0_1+bw_A1_1*MIN(((MAX(0,bw_b2))+(MIN((6/24*bw_L),bw_L)))/2+((MIN((6/24*bw_L),bw_L))-(MAX(0,bw_b2)))/2*(-0.7745966692414834)-bw_h0,bw_zw)+bw_A2_1*MAX(0,((MAX(0,bw_b2))+(MIN((6/24*bw_L),bw_L)))/2+((MIN((6/24*bw_L),bw_L))-(MAX(0,bw_b2)))/2*(-0.7745966692414834)-bw_h0-bw_zw))*(((6/24*bw_L))-(((MAX(0,bw_b2))+(MIN((6/24*bw_L),bw_L)))/2+((MIN((6/24*bw_L),bw_L))-(MAX(0,bw_b2)))/2*(-0.7745966692414834)))+0.8888888888888888*IF(((MAX(0,bw_b2))+(MIN((6/24*bw_L),bw_L)))/2+((MIN((6/24*bw_L),bw_L))-(MAX(0,bw_b2)))/2*(0.0)&lt;bw_h0,0,bw_A0_1+bw_A1_1*MIN(((MAX(0,bw_b2))+(MIN((6/24*bw_L),bw_L)))/2+((MIN((6/24*bw_L),bw_L))-(MAX(0,bw_b2)))/2*(0.0)-bw_h0,bw_zw)+bw_A2_1*MAX(0,((MAX(0,bw_b2))+(MIN((6/24*bw_L),bw_L)))/2+((MIN((6/24*bw_L),bw_L))-(MAX(0,bw_b2)))/2*(0.0)-bw_h0-bw_zw))*(((6/24*bw_L))-(((MAX(0,bw_b2))+(MIN((6/24*bw_L),bw_L)))/2+((MIN((6/24*bw_L),bw_L))-(MAX(0,bw_b2)))/2*(0.0)))+0.5555555555555556*IF(((MAX(0,bw_b2))+(MIN((6/24*bw_L),bw_L)))/2+((MIN((6/24*bw_L),bw_L))-(MAX(0,bw_b2)))/2*(0.7745966692414834)&lt;bw_h0,0,bw_A0_1+bw_A1_1*MIN(((MAX(0,bw_b2))+(MIN((6/24*bw_L),bw_L)))/2+((MIN((6/24*bw_L),bw_L))-(MAX(0,bw_b2)))/2*(0.7745966692414834)-bw_h0,bw_zw)+bw_A2_1*MAX(0,((MAX(0,bw_b2))+(MIN((6/24*bw_L),bw_L)))/2+((MIN((6/24*bw_L),bw_L))-(MAX(0,bw_b2)))/2*(0.7745966692414834)-bw_h0-bw_zw))*(((6/24*bw_L))-(((MAX(0,bw_b2))+(MIN((6/24*bw_L),bw_L)))/2+((MIN((6/24*bw_L),bw_L))-(MAX(0,bw_b2)))/2*(0.7745966692414834)))),0))),NA()),NA())</f>
        <v/>
      </c>
      <c r="AO10">
        <f>L_bw-1000*(6/24*bw_L)</f>
        <v/>
      </c>
      <c r="AQ10">
        <f>IF(inputs_ok,IF(bw_on2,(t_bw+0.08*L_bw)+(0.28*L_bw/MAX(bw_Mspan,ABS(bw_Mbase),0.001))*(bw_R_2*(6/24*bw_L)-(IF(MIN((6/24*bw_L),bw_b2)&gt;MAX(0,bw_b1),((MIN((6/24*bw_L),bw_b2))-(MAX(0,bw_b1)))/2*(0.5555555555555556*IF(((MAX(0,bw_b1))+(MIN((6/24*bw_L),bw_b2)))/2+((MIN((6/24*bw_L),bw_b2))-(MAX(0,bw_b1)))/2*(-0.7745966692414834)&lt;bw_h0,0,bw_A0_2+bw_A1_2*MIN(((MAX(0,bw_b1))+(MIN((6/24*bw_L),bw_b2)))/2+((MIN((6/24*bw_L),bw_b2))-(MAX(0,bw_b1)))/2*(-0.7745966692414834)-bw_h0,bw_zw)+bw_A2_2*MAX(0,((MAX(0,bw_b1))+(MIN((6/24*bw_L),bw_b2)))/2+((MIN((6/24*bw_L),bw_b2))-(MAX(0,bw_b1)))/2*(-0.7745966692414834)-bw_h0-bw_zw))*(((6/24*bw_L))-(((MAX(0,bw_b1))+(MIN((6/24*bw_L),bw_b2)))/2+((MIN((6/24*bw_L),bw_b2))-(MAX(0,bw_b1)))/2*(-0.7745966692414834)))+0.8888888888888888*IF(((MAX(0,bw_b1))+(MIN((6/24*bw_L),bw_b2)))/2+((MIN((6/24*bw_L),bw_b2))-(MAX(0,bw_b1)))/2*(0.0)&lt;bw_h0,0,bw_A0_2+bw_A1_2*MIN(((MAX(0,bw_b1))+(MIN((6/24*bw_L),bw_b2)))/2+((MIN((6/24*bw_L),bw_b2))-(MAX(0,bw_b1)))/2*(0.0)-bw_h0,bw_zw)+bw_A2_2*MAX(0,((MAX(0,bw_b1))+(MIN((6/24*bw_L),bw_b2)))/2+((MIN((6/24*bw_L),bw_b2))-(MAX(0,bw_b1)))/2*(0.0)-bw_h0-bw_zw))*(((6/24*bw_L))-(((MAX(0,bw_b1))+(MIN((6/24*bw_L),bw_b2)))/2+((MIN((6/24*bw_L),bw_b2))-(MAX(0,bw_b1)))/2*(0.0)))+0.5555555555555556*IF(((MAX(0,bw_b1))+(MIN((6/24*bw_L),bw_b2)))/2+((MIN((6/24*bw_L),bw_b2))-(MAX(0,bw_b1)))/2*(0.7745966692414834)&lt;bw_h0,0,bw_A0_2+bw_A1_2*MIN(((MAX(0,bw_b1))+(MIN((6/24*bw_L),bw_b2)))/2+((MIN((6/24*bw_L),bw_b2))-(MAX(0,bw_b1)))/2*(0.7745966692414834)-bw_h0,bw_zw)+bw_A2_2*MAX(0,((MAX(0,bw_b1))+(MIN((6/24*bw_L),bw_b2)))/2+((MIN((6/24*bw_L),bw_b2))-(MAX(0,bw_b1)))/2*(0.7745966692414834)-bw_h0-bw_zw))*(((6/24*bw_L))-(((MAX(0,bw_b1))+(MIN((6/24*bw_L),bw_b2)))/2+((MIN((6/24*bw_L),bw_b2))-(MAX(0,bw_b1)))/2*(0.7745966692414834)))),0)+IF(MIN((6/24*bw_L),bw_L)&gt;MAX(0,bw_b2),((MIN((6/24*bw_L),bw_L))-(MAX(0,bw_b2)))/2*(0.5555555555555556*IF(((MAX(0,bw_b2))+(MIN((6/24*bw_L),bw_L)))/2+((MIN((6/24*bw_L),bw_L))-(MAX(0,bw_b2)))/2*(-0.7745966692414834)&lt;bw_h0,0,bw_A0_2+bw_A1_2*MIN(((MAX(0,bw_b2))+(MIN((6/24*bw_L),bw_L)))/2+((MIN((6/24*bw_L),bw_L))-(MAX(0,bw_b2)))/2*(-0.7745966692414834)-bw_h0,bw_zw)+bw_A2_2*MAX(0,((MAX(0,bw_b2))+(MIN((6/24*bw_L),bw_L)))/2+((MIN((6/24*bw_L),bw_L))-(MAX(0,bw_b2)))/2*(-0.7745966692414834)-bw_h0-bw_zw))*(((6/24*bw_L))-(((MAX(0,bw_b2))+(MIN((6/24*bw_L),bw_L)))/2+((MIN((6/24*bw_L),bw_L))-(MAX(0,bw_b2)))/2*(-0.7745966692414834)))+0.8888888888888888*IF(((MAX(0,bw_b2))+(MIN((6/24*bw_L),bw_L)))/2+((MIN((6/24*bw_L),bw_L))-(MAX(0,bw_b2)))/2*(0.0)&lt;bw_h0,0,bw_A0_2+bw_A1_2*MIN(((MAX(0,bw_b2))+(MIN((6/24*bw_L),bw_L)))/2+((MIN((6/24*bw_L),bw_L))-(MAX(0,bw_b2)))/2*(0.0)-bw_h0,bw_zw)+bw_A2_2*MAX(0,((MAX(0,bw_b2))+(MIN((6/24*bw_L),bw_L)))/2+((MIN((6/24*bw_L),bw_L))-(MAX(0,bw_b2)))/2*(0.0)-bw_h0-bw_zw))*(((6/24*bw_L))-(((MAX(0,bw_b2))+(MIN((6/24*bw_L),bw_L)))/2+((MIN((6/24*bw_L),bw_L))-(MAX(0,bw_b2)))/2*(0.0)))+0.5555555555555556*IF(((MAX(0,bw_b2))+(MIN((6/24*bw_L),bw_L)))/2+((MIN((6/24*bw_L),bw_L))-(MAX(0,bw_b2)))/2*(0.7745966692414834)&lt;bw_h0,0,bw_A0_2+bw_A1_2*MIN(((MAX(0,bw_b2))+(MIN((6/24*bw_L),bw_L)))/2+((MIN((6/24*bw_L),bw_L))-(MAX(0,bw_b2)))/2*(0.7745966692414834)-bw_h0,bw_zw)+bw_A2_2*MAX(0,((MAX(0,bw_b2))+(MIN((6/24*bw_L),bw_L)))/2+((MIN((6/24*bw_L),bw_L))-(MAX(0,bw_b2)))/2*(0.7745966692414834)-bw_h0-bw_zw))*(((6/24*bw_L))-(((MAX(0,bw_b2))+(MIN((6/24*bw_L),bw_L)))/2+((MIN((6/24*bw_L),bw_L))-(MAX(0,bw_b2)))/2*(0.7745966692414834)))),0))),NA()),NA())</f>
        <v/>
      </c>
      <c r="AR10">
        <f>L_bw-1000*(6/24*bw_L)</f>
        <v/>
      </c>
    </row>
    <row r="11">
      <c r="AB11">
        <f>IF(inputs_ok,IF(TRUE,-(0.3*L_bw/MAX(bw_pmax,0.001))*IF(AND(SMALL(bw_xall,9)=SMALL(bw_xall,8),SMALL(bw_xall,8)=bw_h0),0,IF(SMALL(bw_xall,8)&lt;bw_h0,0,bw_A0_1+bw_A1_1*MIN(SMALL(bw_xall,8)-bw_h0,bw_zw)+bw_A2_1*MAX(0,SMALL(bw_xall,8)-bw_h0-bw_zw))),NA()),NA())</f>
        <v/>
      </c>
      <c r="AC11">
        <f>L_bw-1000*SMALL(bw_xall,8)</f>
        <v/>
      </c>
      <c r="AE11">
        <f>IF(inputs_ok,IF(bw_on2,-(0.3*L_bw/MAX(bw_pmax,0.001))*IF(AND(SMALL(bw_xall,9)=SMALL(bw_xall,8),SMALL(bw_xall,8)=bw_h0),0,IF(SMALL(bw_xall,8)&lt;bw_h0,0,bw_A0_2+bw_A1_2*MIN(SMALL(bw_xall,8)-bw_h0,bw_zw)+bw_A2_2*MAX(0,SMALL(bw_xall,8)-bw_h0-bw_zw))),NA()),NA())</f>
        <v/>
      </c>
      <c r="AF11">
        <f>L_bw-1000*SMALL(bw_xall,8)</f>
        <v/>
      </c>
      <c r="AN11">
        <f>IF(inputs_ok,IF(TRUE,(t_bw+0.08*L_bw)+(0.28*L_bw/MAX(bw_Mspan,ABS(bw_Mbase),0.001))*(bw_R_1*(7/24*bw_L)-(IF(MIN((7/24*bw_L),bw_b2)&gt;MAX(0,bw_b1),((MIN((7/24*bw_L),bw_b2))-(MAX(0,bw_b1)))/2*(0.5555555555555556*IF(((MAX(0,bw_b1))+(MIN((7/24*bw_L),bw_b2)))/2+((MIN((7/24*bw_L),bw_b2))-(MAX(0,bw_b1)))/2*(-0.7745966692414834)&lt;bw_h0,0,bw_A0_1+bw_A1_1*MIN(((MAX(0,bw_b1))+(MIN((7/24*bw_L),bw_b2)))/2+((MIN((7/24*bw_L),bw_b2))-(MAX(0,bw_b1)))/2*(-0.7745966692414834)-bw_h0,bw_zw)+bw_A2_1*MAX(0,((MAX(0,bw_b1))+(MIN((7/24*bw_L),bw_b2)))/2+((MIN((7/24*bw_L),bw_b2))-(MAX(0,bw_b1)))/2*(-0.7745966692414834)-bw_h0-bw_zw))*(((7/24*bw_L))-(((MAX(0,bw_b1))+(MIN((7/24*bw_L),bw_b2)))/2+((MIN((7/24*bw_L),bw_b2))-(MAX(0,bw_b1)))/2*(-0.7745966692414834)))+0.8888888888888888*IF(((MAX(0,bw_b1))+(MIN((7/24*bw_L),bw_b2)))/2+((MIN((7/24*bw_L),bw_b2))-(MAX(0,bw_b1)))/2*(0.0)&lt;bw_h0,0,bw_A0_1+bw_A1_1*MIN(((MAX(0,bw_b1))+(MIN((7/24*bw_L),bw_b2)))/2+((MIN((7/24*bw_L),bw_b2))-(MAX(0,bw_b1)))/2*(0.0)-bw_h0,bw_zw)+bw_A2_1*MAX(0,((MAX(0,bw_b1))+(MIN((7/24*bw_L),bw_b2)))/2+((MIN((7/24*bw_L),bw_b2))-(MAX(0,bw_b1)))/2*(0.0)-bw_h0-bw_zw))*(((7/24*bw_L))-(((MAX(0,bw_b1))+(MIN((7/24*bw_L),bw_b2)))/2+((MIN((7/24*bw_L),bw_b2))-(MAX(0,bw_b1)))/2*(0.0)))+0.5555555555555556*IF(((MAX(0,bw_b1))+(MIN((7/24*bw_L),bw_b2)))/2+((MIN((7/24*bw_L),bw_b2))-(MAX(0,bw_b1)))/2*(0.7745966692414834)&lt;bw_h0,0,bw_A0_1+bw_A1_1*MIN(((MAX(0,bw_b1))+(MIN((7/24*bw_L),bw_b2)))/2+((MIN((7/24*bw_L),bw_b2))-(MAX(0,bw_b1)))/2*(0.7745966692414834)-bw_h0,bw_zw)+bw_A2_1*MAX(0,((MAX(0,bw_b1))+(MIN((7/24*bw_L),bw_b2)))/2+((MIN((7/24*bw_L),bw_b2))-(MAX(0,bw_b1)))/2*(0.7745966692414834)-bw_h0-bw_zw))*(((7/24*bw_L))-(((MAX(0,bw_b1))+(MIN((7/24*bw_L),bw_b2)))/2+((MIN((7/24*bw_L),bw_b2))-(MAX(0,bw_b1)))/2*(0.7745966692414834)))),0)+IF(MIN((7/24*bw_L),bw_L)&gt;MAX(0,bw_b2),((MIN((7/24*bw_L),bw_L))-(MAX(0,bw_b2)))/2*(0.5555555555555556*IF(((MAX(0,bw_b2))+(MIN((7/24*bw_L),bw_L)))/2+((MIN((7/24*bw_L),bw_L))-(MAX(0,bw_b2)))/2*(-0.7745966692414834)&lt;bw_h0,0,bw_A0_1+bw_A1_1*MIN(((MAX(0,bw_b2))+(MIN((7/24*bw_L),bw_L)))/2+((MIN((7/24*bw_L),bw_L))-(MAX(0,bw_b2)))/2*(-0.7745966692414834)-bw_h0,bw_zw)+bw_A2_1*MAX(0,((MAX(0,bw_b2))+(MIN((7/24*bw_L),bw_L)))/2+((MIN((7/24*bw_L),bw_L))-(MAX(0,bw_b2)))/2*(-0.7745966692414834)-bw_h0-bw_zw))*(((7/24*bw_L))-(((MAX(0,bw_b2))+(MIN((7/24*bw_L),bw_L)))/2+((MIN((7/24*bw_L),bw_L))-(MAX(0,bw_b2)))/2*(-0.7745966692414834)))+0.8888888888888888*IF(((MAX(0,bw_b2))+(MIN((7/24*bw_L),bw_L)))/2+((MIN((7/24*bw_L),bw_L))-(MAX(0,bw_b2)))/2*(0.0)&lt;bw_h0,0,bw_A0_1+bw_A1_1*MIN(((MAX(0,bw_b2))+(MIN((7/24*bw_L),bw_L)))/2+((MIN((7/24*bw_L),bw_L))-(MAX(0,bw_b2)))/2*(0.0)-bw_h0,bw_zw)+bw_A2_1*MAX(0,((MAX(0,bw_b2))+(MIN((7/24*bw_L),bw_L)))/2+((MIN((7/24*bw_L),bw_L))-(MAX(0,bw_b2)))/2*(0.0)-bw_h0-bw_zw))*(((7/24*bw_L))-(((MAX(0,bw_b2))+(MIN((7/24*bw_L),bw_L)))/2+((MIN((7/24*bw_L),bw_L))-(MAX(0,bw_b2)))/2*(0.0)))+0.5555555555555556*IF(((MAX(0,bw_b2))+(MIN((7/24*bw_L),bw_L)))/2+((MIN((7/24*bw_L),bw_L))-(MAX(0,bw_b2)))/2*(0.7745966692414834)&lt;bw_h0,0,bw_A0_1+bw_A1_1*MIN(((MAX(0,bw_b2))+(MIN((7/24*bw_L),bw_L)))/2+((MIN((7/24*bw_L),bw_L))-(MAX(0,bw_b2)))/2*(0.7745966692414834)-bw_h0,bw_zw)+bw_A2_1*MAX(0,((MAX(0,bw_b2))+(MIN((7/24*bw_L),bw_L)))/2+((MIN((7/24*bw_L),bw_L))-(MAX(0,bw_b2)))/2*(0.7745966692414834)-bw_h0-bw_zw))*(((7/24*bw_L))-(((MAX(0,bw_b2))+(MIN((7/24*bw_L),bw_L)))/2+((MIN((7/24*bw_L),bw_L))-(MAX(0,bw_b2)))/2*(0.7745966692414834)))),0))),NA()),NA())</f>
        <v/>
      </c>
      <c r="AO11">
        <f>L_bw-1000*(7/24*bw_L)</f>
        <v/>
      </c>
      <c r="AQ11">
        <f>IF(inputs_ok,IF(bw_on2,(t_bw+0.08*L_bw)+(0.28*L_bw/MAX(bw_Mspan,ABS(bw_Mbase),0.001))*(bw_R_2*(7/24*bw_L)-(IF(MIN((7/24*bw_L),bw_b2)&gt;MAX(0,bw_b1),((MIN((7/24*bw_L),bw_b2))-(MAX(0,bw_b1)))/2*(0.5555555555555556*IF(((MAX(0,bw_b1))+(MIN((7/24*bw_L),bw_b2)))/2+((MIN((7/24*bw_L),bw_b2))-(MAX(0,bw_b1)))/2*(-0.7745966692414834)&lt;bw_h0,0,bw_A0_2+bw_A1_2*MIN(((MAX(0,bw_b1))+(MIN((7/24*bw_L),bw_b2)))/2+((MIN((7/24*bw_L),bw_b2))-(MAX(0,bw_b1)))/2*(-0.7745966692414834)-bw_h0,bw_zw)+bw_A2_2*MAX(0,((MAX(0,bw_b1))+(MIN((7/24*bw_L),bw_b2)))/2+((MIN((7/24*bw_L),bw_b2))-(MAX(0,bw_b1)))/2*(-0.7745966692414834)-bw_h0-bw_zw))*(((7/24*bw_L))-(((MAX(0,bw_b1))+(MIN((7/24*bw_L),bw_b2)))/2+((MIN((7/24*bw_L),bw_b2))-(MAX(0,bw_b1)))/2*(-0.7745966692414834)))+0.8888888888888888*IF(((MAX(0,bw_b1))+(MIN((7/24*bw_L),bw_b2)))/2+((MIN((7/24*bw_L),bw_b2))-(MAX(0,bw_b1)))/2*(0.0)&lt;bw_h0,0,bw_A0_2+bw_A1_2*MIN(((MAX(0,bw_b1))+(MIN((7/24*bw_L),bw_b2)))/2+((MIN((7/24*bw_L),bw_b2))-(MAX(0,bw_b1)))/2*(0.0)-bw_h0,bw_zw)+bw_A2_2*MAX(0,((MAX(0,bw_b1))+(MIN((7/24*bw_L),bw_b2)))/2+((MIN((7/24*bw_L),bw_b2))-(MAX(0,bw_b1)))/2*(0.0)-bw_h0-bw_zw))*(((7/24*bw_L))-(((MAX(0,bw_b1))+(MIN((7/24*bw_L),bw_b2)))/2+((MIN((7/24*bw_L),bw_b2))-(MAX(0,bw_b1)))/2*(0.0)))+0.5555555555555556*IF(((MAX(0,bw_b1))+(MIN((7/24*bw_L),bw_b2)))/2+((MIN((7/24*bw_L),bw_b2))-(MAX(0,bw_b1)))/2*(0.7745966692414834)&lt;bw_h0,0,bw_A0_2+bw_A1_2*MIN(((MAX(0,bw_b1))+(MIN((7/24*bw_L),bw_b2)))/2+((MIN((7/24*bw_L),bw_b2))-(MAX(0,bw_b1)))/2*(0.7745966692414834)-bw_h0,bw_zw)+bw_A2_2*MAX(0,((MAX(0,bw_b1))+(MIN((7/24*bw_L),bw_b2)))/2+((MIN((7/24*bw_L),bw_b2))-(MAX(0,bw_b1)))/2*(0.7745966692414834)-bw_h0-bw_zw))*(((7/24*bw_L))-(((MAX(0,bw_b1))+(MIN((7/24*bw_L),bw_b2)))/2+((MIN((7/24*bw_L),bw_b2))-(MAX(0,bw_b1)))/2*(0.7745966692414834)))),0)+IF(MIN((7/24*bw_L),bw_L)&gt;MAX(0,bw_b2),((MIN((7/24*bw_L),bw_L))-(MAX(0,bw_b2)))/2*(0.5555555555555556*IF(((MAX(0,bw_b2))+(MIN((7/24*bw_L),bw_L)))/2+((MIN((7/24*bw_L),bw_L))-(MAX(0,bw_b2)))/2*(-0.7745966692414834)&lt;bw_h0,0,bw_A0_2+bw_A1_2*MIN(((MAX(0,bw_b2))+(MIN((7/24*bw_L),bw_L)))/2+((MIN((7/24*bw_L),bw_L))-(MAX(0,bw_b2)))/2*(-0.7745966692414834)-bw_h0,bw_zw)+bw_A2_2*MAX(0,((MAX(0,bw_b2))+(MIN((7/24*bw_L),bw_L)))/2+((MIN((7/24*bw_L),bw_L))-(MAX(0,bw_b2)))/2*(-0.7745966692414834)-bw_h0-bw_zw))*(((7/24*bw_L))-(((MAX(0,bw_b2))+(MIN((7/24*bw_L),bw_L)))/2+((MIN((7/24*bw_L),bw_L))-(MAX(0,bw_b2)))/2*(-0.7745966692414834)))+0.8888888888888888*IF(((MAX(0,bw_b2))+(MIN((7/24*bw_L),bw_L)))/2+((MIN((7/24*bw_L),bw_L))-(MAX(0,bw_b2)))/2*(0.0)&lt;bw_h0,0,bw_A0_2+bw_A1_2*MIN(((MAX(0,bw_b2))+(MIN((7/24*bw_L),bw_L)))/2+((MIN((7/24*bw_L),bw_L))-(MAX(0,bw_b2)))/2*(0.0)-bw_h0,bw_zw)+bw_A2_2*MAX(0,((MAX(0,bw_b2))+(MIN((7/24*bw_L),bw_L)))/2+((MIN((7/24*bw_L),bw_L))-(MAX(0,bw_b2)))/2*(0.0)-bw_h0-bw_zw))*(((7/24*bw_L))-(((MAX(0,bw_b2))+(MIN((7/24*bw_L),bw_L)))/2+((MIN((7/24*bw_L),bw_L))-(MAX(0,bw_b2)))/2*(0.0)))+0.5555555555555556*IF(((MAX(0,bw_b2))+(MIN((7/24*bw_L),bw_L)))/2+((MIN((7/24*bw_L),bw_L))-(MAX(0,bw_b2)))/2*(0.7745966692414834)&lt;bw_h0,0,bw_A0_2+bw_A1_2*MIN(((MAX(0,bw_b2))+(MIN((7/24*bw_L),bw_L)))/2+((MIN((7/24*bw_L),bw_L))-(MAX(0,bw_b2)))/2*(0.7745966692414834)-bw_h0,bw_zw)+bw_A2_2*MAX(0,((MAX(0,bw_b2))+(MIN((7/24*bw_L),bw_L)))/2+((MIN((7/24*bw_L),bw_L))-(MAX(0,bw_b2)))/2*(0.7745966692414834)-bw_h0-bw_zw))*(((7/24*bw_L))-(((MAX(0,bw_b2))+(MIN((7/24*bw_L),bw_L)))/2+((MIN((7/24*bw_L),bw_L))-(MAX(0,bw_b2)))/2*(0.7745966692414834)))),0))),NA()),NA())</f>
        <v/>
      </c>
      <c r="AR11">
        <f>L_bw-1000*(7/24*bw_L)</f>
        <v/>
      </c>
    </row>
    <row r="12">
      <c r="AB12">
        <f>IF(inputs_ok,IF(TRUE,-(0.3*L_bw/MAX(bw_pmax,0.001))*IF(AND(SMALL(bw_xall,10)=SMALL(bw_xall,9),SMALL(bw_xall,9)=bw_h0),0,IF(SMALL(bw_xall,9)&lt;bw_h0,0,bw_A0_1+bw_A1_1*MIN(SMALL(bw_xall,9)-bw_h0,bw_zw)+bw_A2_1*MAX(0,SMALL(bw_xall,9)-bw_h0-bw_zw))),NA()),NA())</f>
        <v/>
      </c>
      <c r="AC12">
        <f>L_bw-1000*SMALL(bw_xall,9)</f>
        <v/>
      </c>
      <c r="AE12">
        <f>IF(inputs_ok,IF(bw_on2,-(0.3*L_bw/MAX(bw_pmax,0.001))*IF(AND(SMALL(bw_xall,10)=SMALL(bw_xall,9),SMALL(bw_xall,9)=bw_h0),0,IF(SMALL(bw_xall,9)&lt;bw_h0,0,bw_A0_2+bw_A1_2*MIN(SMALL(bw_xall,9)-bw_h0,bw_zw)+bw_A2_2*MAX(0,SMALL(bw_xall,9)-bw_h0-bw_zw))),NA()),NA())</f>
        <v/>
      </c>
      <c r="AF12">
        <f>L_bw-1000*SMALL(bw_xall,9)</f>
        <v/>
      </c>
      <c r="AN12">
        <f>IF(inputs_ok,IF(TRUE,(t_bw+0.08*L_bw)+(0.28*L_bw/MAX(bw_Mspan,ABS(bw_Mbase),0.001))*(bw_R_1*(8/24*bw_L)-(IF(MIN((8/24*bw_L),bw_b2)&gt;MAX(0,bw_b1),((MIN((8/24*bw_L),bw_b2))-(MAX(0,bw_b1)))/2*(0.5555555555555556*IF(((MAX(0,bw_b1))+(MIN((8/24*bw_L),bw_b2)))/2+((MIN((8/24*bw_L),bw_b2))-(MAX(0,bw_b1)))/2*(-0.7745966692414834)&lt;bw_h0,0,bw_A0_1+bw_A1_1*MIN(((MAX(0,bw_b1))+(MIN((8/24*bw_L),bw_b2)))/2+((MIN((8/24*bw_L),bw_b2))-(MAX(0,bw_b1)))/2*(-0.7745966692414834)-bw_h0,bw_zw)+bw_A2_1*MAX(0,((MAX(0,bw_b1))+(MIN((8/24*bw_L),bw_b2)))/2+((MIN((8/24*bw_L),bw_b2))-(MAX(0,bw_b1)))/2*(-0.7745966692414834)-bw_h0-bw_zw))*(((8/24*bw_L))-(((MAX(0,bw_b1))+(MIN((8/24*bw_L),bw_b2)))/2+((MIN((8/24*bw_L),bw_b2))-(MAX(0,bw_b1)))/2*(-0.7745966692414834)))+0.8888888888888888*IF(((MAX(0,bw_b1))+(MIN((8/24*bw_L),bw_b2)))/2+((MIN((8/24*bw_L),bw_b2))-(MAX(0,bw_b1)))/2*(0.0)&lt;bw_h0,0,bw_A0_1+bw_A1_1*MIN(((MAX(0,bw_b1))+(MIN((8/24*bw_L),bw_b2)))/2+((MIN((8/24*bw_L),bw_b2))-(MAX(0,bw_b1)))/2*(0.0)-bw_h0,bw_zw)+bw_A2_1*MAX(0,((MAX(0,bw_b1))+(MIN((8/24*bw_L),bw_b2)))/2+((MIN((8/24*bw_L),bw_b2))-(MAX(0,bw_b1)))/2*(0.0)-bw_h0-bw_zw))*(((8/24*bw_L))-(((MAX(0,bw_b1))+(MIN((8/24*bw_L),bw_b2)))/2+((MIN((8/24*bw_L),bw_b2))-(MAX(0,bw_b1)))/2*(0.0)))+0.5555555555555556*IF(((MAX(0,bw_b1))+(MIN((8/24*bw_L),bw_b2)))/2+((MIN((8/24*bw_L),bw_b2))-(MAX(0,bw_b1)))/2*(0.7745966692414834)&lt;bw_h0,0,bw_A0_1+bw_A1_1*MIN(((MAX(0,bw_b1))+(MIN((8/24*bw_L),bw_b2)))/2+((MIN((8/24*bw_L),bw_b2))-(MAX(0,bw_b1)))/2*(0.7745966692414834)-bw_h0,bw_zw)+bw_A2_1*MAX(0,((MAX(0,bw_b1))+(MIN((8/24*bw_L),bw_b2)))/2+((MIN((8/24*bw_L),bw_b2))-(MAX(0,bw_b1)))/2*(0.7745966692414834)-bw_h0-bw_zw))*(((8/24*bw_L))-(((MAX(0,bw_b1))+(MIN((8/24*bw_L),bw_b2)))/2+((MIN((8/24*bw_L),bw_b2))-(MAX(0,bw_b1)))/2*(0.7745966692414834)))),0)+IF(MIN((8/24*bw_L),bw_L)&gt;MAX(0,bw_b2),((MIN((8/24*bw_L),bw_L))-(MAX(0,bw_b2)))/2*(0.5555555555555556*IF(((MAX(0,bw_b2))+(MIN((8/24*bw_L),bw_L)))/2+((MIN((8/24*bw_L),bw_L))-(MAX(0,bw_b2)))/2*(-0.7745966692414834)&lt;bw_h0,0,bw_A0_1+bw_A1_1*MIN(((MAX(0,bw_b2))+(MIN((8/24*bw_L),bw_L)))/2+((MIN((8/24*bw_L),bw_L))-(MAX(0,bw_b2)))/2*(-0.7745966692414834)-bw_h0,bw_zw)+bw_A2_1*MAX(0,((MAX(0,bw_b2))+(MIN((8/24*bw_L),bw_L)))/2+((MIN((8/24*bw_L),bw_L))-(MAX(0,bw_b2)))/2*(-0.7745966692414834)-bw_h0-bw_zw))*(((8/24*bw_L))-(((MAX(0,bw_b2))+(MIN((8/24*bw_L),bw_L)))/2+((MIN((8/24*bw_L),bw_L))-(MAX(0,bw_b2)))/2*(-0.7745966692414834)))+0.8888888888888888*IF(((MAX(0,bw_b2))+(MIN((8/24*bw_L),bw_L)))/2+((MIN((8/24*bw_L),bw_L))-(MAX(0,bw_b2)))/2*(0.0)&lt;bw_h0,0,bw_A0_1+bw_A1_1*MIN(((MAX(0,bw_b2))+(MIN((8/24*bw_L),bw_L)))/2+((MIN((8/24*bw_L),bw_L))-(MAX(0,bw_b2)))/2*(0.0)-bw_h0,bw_zw)+bw_A2_1*MAX(0,((MAX(0,bw_b2))+(MIN((8/24*bw_L),bw_L)))/2+((MIN((8/24*bw_L),bw_L))-(MAX(0,bw_b2)))/2*(0.0)-bw_h0-bw_zw))*(((8/24*bw_L))-(((MAX(0,bw_b2))+(MIN((8/24*bw_L),bw_L)))/2+((MIN((8/24*bw_L),bw_L))-(MAX(0,bw_b2)))/2*(0.0)))+0.5555555555555556*IF(((MAX(0,bw_b2))+(MIN((8/24*bw_L),bw_L)))/2+((MIN((8/24*bw_L),bw_L))-(MAX(0,bw_b2)))/2*(0.7745966692414834)&lt;bw_h0,0,bw_A0_1+bw_A1_1*MIN(((MAX(0,bw_b2))+(MIN((8/24*bw_L),bw_L)))/2+((MIN((8/24*bw_L),bw_L))-(MAX(0,bw_b2)))/2*(0.7745966692414834)-bw_h0,bw_zw)+bw_A2_1*MAX(0,((MAX(0,bw_b2))+(MIN((8/24*bw_L),bw_L)))/2+((MIN((8/24*bw_L),bw_L))-(MAX(0,bw_b2)))/2*(0.7745966692414834)-bw_h0-bw_zw))*(((8/24*bw_L))-(((MAX(0,bw_b2))+(MIN((8/24*bw_L),bw_L)))/2+((MIN((8/24*bw_L),bw_L))-(MAX(0,bw_b2)))/2*(0.7745966692414834)))),0))),NA()),NA())</f>
        <v/>
      </c>
      <c r="AO12">
        <f>L_bw-1000*(8/24*bw_L)</f>
        <v/>
      </c>
      <c r="AQ12">
        <f>IF(inputs_ok,IF(bw_on2,(t_bw+0.08*L_bw)+(0.28*L_bw/MAX(bw_Mspan,ABS(bw_Mbase),0.001))*(bw_R_2*(8/24*bw_L)-(IF(MIN((8/24*bw_L),bw_b2)&gt;MAX(0,bw_b1),((MIN((8/24*bw_L),bw_b2))-(MAX(0,bw_b1)))/2*(0.5555555555555556*IF(((MAX(0,bw_b1))+(MIN((8/24*bw_L),bw_b2)))/2+((MIN((8/24*bw_L),bw_b2))-(MAX(0,bw_b1)))/2*(-0.7745966692414834)&lt;bw_h0,0,bw_A0_2+bw_A1_2*MIN(((MAX(0,bw_b1))+(MIN((8/24*bw_L),bw_b2)))/2+((MIN((8/24*bw_L),bw_b2))-(MAX(0,bw_b1)))/2*(-0.7745966692414834)-bw_h0,bw_zw)+bw_A2_2*MAX(0,((MAX(0,bw_b1))+(MIN((8/24*bw_L),bw_b2)))/2+((MIN((8/24*bw_L),bw_b2))-(MAX(0,bw_b1)))/2*(-0.7745966692414834)-bw_h0-bw_zw))*(((8/24*bw_L))-(((MAX(0,bw_b1))+(MIN((8/24*bw_L),bw_b2)))/2+((MIN((8/24*bw_L),bw_b2))-(MAX(0,bw_b1)))/2*(-0.7745966692414834)))+0.8888888888888888*IF(((MAX(0,bw_b1))+(MIN((8/24*bw_L),bw_b2)))/2+((MIN((8/24*bw_L),bw_b2))-(MAX(0,bw_b1)))/2*(0.0)&lt;bw_h0,0,bw_A0_2+bw_A1_2*MIN(((MAX(0,bw_b1))+(MIN((8/24*bw_L),bw_b2)))/2+((MIN((8/24*bw_L),bw_b2))-(MAX(0,bw_b1)))/2*(0.0)-bw_h0,bw_zw)+bw_A2_2*MAX(0,((MAX(0,bw_b1))+(MIN((8/24*bw_L),bw_b2)))/2+((MIN((8/24*bw_L),bw_b2))-(MAX(0,bw_b1)))/2*(0.0)-bw_h0-bw_zw))*(((8/24*bw_L))-(((MAX(0,bw_b1))+(MIN((8/24*bw_L),bw_b2)))/2+((MIN((8/24*bw_L),bw_b2))-(MAX(0,bw_b1)))/2*(0.0)))+0.5555555555555556*IF(((MAX(0,bw_b1))+(MIN((8/24*bw_L),bw_b2)))/2+((MIN((8/24*bw_L),bw_b2))-(MAX(0,bw_b1)))/2*(0.7745966692414834)&lt;bw_h0,0,bw_A0_2+bw_A1_2*MIN(((MAX(0,bw_b1))+(MIN((8/24*bw_L),bw_b2)))/2+((MIN((8/24*bw_L),bw_b2))-(MAX(0,bw_b1)))/2*(0.7745966692414834)-bw_h0,bw_zw)+bw_A2_2*MAX(0,((MAX(0,bw_b1))+(MIN((8/24*bw_L),bw_b2)))/2+((MIN((8/24*bw_L),bw_b2))-(MAX(0,bw_b1)))/2*(0.7745966692414834)-bw_h0-bw_zw))*(((8/24*bw_L))-(((MAX(0,bw_b1))+(MIN((8/24*bw_L),bw_b2)))/2+((MIN((8/24*bw_L),bw_b2))-(MAX(0,bw_b1)))/2*(0.7745966692414834)))),0)+IF(MIN((8/24*bw_L),bw_L)&gt;MAX(0,bw_b2),((MIN((8/24*bw_L),bw_L))-(MAX(0,bw_b2)))/2*(0.5555555555555556*IF(((MAX(0,bw_b2))+(MIN((8/24*bw_L),bw_L)))/2+((MIN((8/24*bw_L),bw_L))-(MAX(0,bw_b2)))/2*(-0.7745966692414834)&lt;bw_h0,0,bw_A0_2+bw_A1_2*MIN(((MAX(0,bw_b2))+(MIN((8/24*bw_L),bw_L)))/2+((MIN((8/24*bw_L),bw_L))-(MAX(0,bw_b2)))/2*(-0.7745966692414834)-bw_h0,bw_zw)+bw_A2_2*MAX(0,((MAX(0,bw_b2))+(MIN((8/24*bw_L),bw_L)))/2+((MIN((8/24*bw_L),bw_L))-(MAX(0,bw_b2)))/2*(-0.7745966692414834)-bw_h0-bw_zw))*(((8/24*bw_L))-(((MAX(0,bw_b2))+(MIN((8/24*bw_L),bw_L)))/2+((MIN((8/24*bw_L),bw_L))-(MAX(0,bw_b2)))/2*(-0.7745966692414834)))+0.8888888888888888*IF(((MAX(0,bw_b2))+(MIN((8/24*bw_L),bw_L)))/2+((MIN((8/24*bw_L),bw_L))-(MAX(0,bw_b2)))/2*(0.0)&lt;bw_h0,0,bw_A0_2+bw_A1_2*MIN(((MAX(0,bw_b2))+(MIN((8/24*bw_L),bw_L)))/2+((MIN((8/24*bw_L),bw_L))-(MAX(0,bw_b2)))/2*(0.0)-bw_h0,bw_zw)+bw_A2_2*MAX(0,((MAX(0,bw_b2))+(MIN((8/24*bw_L),bw_L)))/2+((MIN((8/24*bw_L),bw_L))-(MAX(0,bw_b2)))/2*(0.0)-bw_h0-bw_zw))*(((8/24*bw_L))-(((MAX(0,bw_b2))+(MIN((8/24*bw_L),bw_L)))/2+((MIN((8/24*bw_L),bw_L))-(MAX(0,bw_b2)))/2*(0.0)))+0.5555555555555556*IF(((MAX(0,bw_b2))+(MIN((8/24*bw_L),bw_L)))/2+((MIN((8/24*bw_L),bw_L))-(MAX(0,bw_b2)))/2*(0.7745966692414834)&lt;bw_h0,0,bw_A0_2+bw_A1_2*MIN(((MAX(0,bw_b2))+(MIN((8/24*bw_L),bw_L)))/2+((MIN((8/24*bw_L),bw_L))-(MAX(0,bw_b2)))/2*(0.7745966692414834)-bw_h0,bw_zw)+bw_A2_2*MAX(0,((MAX(0,bw_b2))+(MIN((8/24*bw_L),bw_L)))/2+((MIN((8/24*bw_L),bw_L))-(MAX(0,bw_b2)))/2*(0.7745966692414834)-bw_h0-bw_zw))*(((8/24*bw_L))-(((MAX(0,bw_b2))+(MIN((8/24*bw_L),bw_L)))/2+((MIN((8/24*bw_L),bw_L))-(MAX(0,bw_b2)))/2*(0.7745966692414834)))),0))),NA()),NA())</f>
        <v/>
      </c>
      <c r="AR12">
        <f>L_bw-1000*(8/24*bw_L)</f>
        <v/>
      </c>
    </row>
    <row r="13">
      <c r="AB13">
        <f>IF(inputs_ok,IF(TRUE,-(0.3*L_bw/MAX(bw_pmax,0.001))*IF(AND(SMALL(bw_xall,11)=SMALL(bw_xall,10),SMALL(bw_xall,10)=bw_h0),0,IF(SMALL(bw_xall,10)&lt;bw_h0,0,bw_A0_1+bw_A1_1*MIN(SMALL(bw_xall,10)-bw_h0,bw_zw)+bw_A2_1*MAX(0,SMALL(bw_xall,10)-bw_h0-bw_zw))),NA()),NA())</f>
        <v/>
      </c>
      <c r="AC13">
        <f>L_bw-1000*SMALL(bw_xall,10)</f>
        <v/>
      </c>
      <c r="AE13">
        <f>IF(inputs_ok,IF(bw_on2,-(0.3*L_bw/MAX(bw_pmax,0.001))*IF(AND(SMALL(bw_xall,11)=SMALL(bw_xall,10),SMALL(bw_xall,10)=bw_h0),0,IF(SMALL(bw_xall,10)&lt;bw_h0,0,bw_A0_2+bw_A1_2*MIN(SMALL(bw_xall,10)-bw_h0,bw_zw)+bw_A2_2*MAX(0,SMALL(bw_xall,10)-bw_h0-bw_zw))),NA()),NA())</f>
        <v/>
      </c>
      <c r="AF13">
        <f>L_bw-1000*SMALL(bw_xall,10)</f>
        <v/>
      </c>
      <c r="AN13">
        <f>IF(inputs_ok,IF(TRUE,(t_bw+0.08*L_bw)+(0.28*L_bw/MAX(bw_Mspan,ABS(bw_Mbase),0.001))*(bw_R_1*(9/24*bw_L)-(IF(MIN((9/24*bw_L),bw_b2)&gt;MAX(0,bw_b1),((MIN((9/24*bw_L),bw_b2))-(MAX(0,bw_b1)))/2*(0.5555555555555556*IF(((MAX(0,bw_b1))+(MIN((9/24*bw_L),bw_b2)))/2+((MIN((9/24*bw_L),bw_b2))-(MAX(0,bw_b1)))/2*(-0.7745966692414834)&lt;bw_h0,0,bw_A0_1+bw_A1_1*MIN(((MAX(0,bw_b1))+(MIN((9/24*bw_L),bw_b2)))/2+((MIN((9/24*bw_L),bw_b2))-(MAX(0,bw_b1)))/2*(-0.7745966692414834)-bw_h0,bw_zw)+bw_A2_1*MAX(0,((MAX(0,bw_b1))+(MIN((9/24*bw_L),bw_b2)))/2+((MIN((9/24*bw_L),bw_b2))-(MAX(0,bw_b1)))/2*(-0.7745966692414834)-bw_h0-bw_zw))*(((9/24*bw_L))-(((MAX(0,bw_b1))+(MIN((9/24*bw_L),bw_b2)))/2+((MIN((9/24*bw_L),bw_b2))-(MAX(0,bw_b1)))/2*(-0.7745966692414834)))+0.8888888888888888*IF(((MAX(0,bw_b1))+(MIN((9/24*bw_L),bw_b2)))/2+((MIN((9/24*bw_L),bw_b2))-(MAX(0,bw_b1)))/2*(0.0)&lt;bw_h0,0,bw_A0_1+bw_A1_1*MIN(((MAX(0,bw_b1))+(MIN((9/24*bw_L),bw_b2)))/2+((MIN((9/24*bw_L),bw_b2))-(MAX(0,bw_b1)))/2*(0.0)-bw_h0,bw_zw)+bw_A2_1*MAX(0,((MAX(0,bw_b1))+(MIN((9/24*bw_L),bw_b2)))/2+((MIN((9/24*bw_L),bw_b2))-(MAX(0,bw_b1)))/2*(0.0)-bw_h0-bw_zw))*(((9/24*bw_L))-(((MAX(0,bw_b1))+(MIN((9/24*bw_L),bw_b2)))/2+((MIN((9/24*bw_L),bw_b2))-(MAX(0,bw_b1)))/2*(0.0)))+0.5555555555555556*IF(((MAX(0,bw_b1))+(MIN((9/24*bw_L),bw_b2)))/2+((MIN((9/24*bw_L),bw_b2))-(MAX(0,bw_b1)))/2*(0.7745966692414834)&lt;bw_h0,0,bw_A0_1+bw_A1_1*MIN(((MAX(0,bw_b1))+(MIN((9/24*bw_L),bw_b2)))/2+((MIN((9/24*bw_L),bw_b2))-(MAX(0,bw_b1)))/2*(0.7745966692414834)-bw_h0,bw_zw)+bw_A2_1*MAX(0,((MAX(0,bw_b1))+(MIN((9/24*bw_L),bw_b2)))/2+((MIN((9/24*bw_L),bw_b2))-(MAX(0,bw_b1)))/2*(0.7745966692414834)-bw_h0-bw_zw))*(((9/24*bw_L))-(((MAX(0,bw_b1))+(MIN((9/24*bw_L),bw_b2)))/2+((MIN((9/24*bw_L),bw_b2))-(MAX(0,bw_b1)))/2*(0.7745966692414834)))),0)+IF(MIN((9/24*bw_L),bw_L)&gt;MAX(0,bw_b2),((MIN((9/24*bw_L),bw_L))-(MAX(0,bw_b2)))/2*(0.5555555555555556*IF(((MAX(0,bw_b2))+(MIN((9/24*bw_L),bw_L)))/2+((MIN((9/24*bw_L),bw_L))-(MAX(0,bw_b2)))/2*(-0.7745966692414834)&lt;bw_h0,0,bw_A0_1+bw_A1_1*MIN(((MAX(0,bw_b2))+(MIN((9/24*bw_L),bw_L)))/2+((MIN((9/24*bw_L),bw_L))-(MAX(0,bw_b2)))/2*(-0.7745966692414834)-bw_h0,bw_zw)+bw_A2_1*MAX(0,((MAX(0,bw_b2))+(MIN((9/24*bw_L),bw_L)))/2+((MIN((9/24*bw_L),bw_L))-(MAX(0,bw_b2)))/2*(-0.7745966692414834)-bw_h0-bw_zw))*(((9/24*bw_L))-(((MAX(0,bw_b2))+(MIN((9/24*bw_L),bw_L)))/2+((MIN((9/24*bw_L),bw_L))-(MAX(0,bw_b2)))/2*(-0.7745966692414834)))+0.8888888888888888*IF(((MAX(0,bw_b2))+(MIN((9/24*bw_L),bw_L)))/2+((MIN((9/24*bw_L),bw_L))-(MAX(0,bw_b2)))/2*(0.0)&lt;bw_h0,0,bw_A0_1+bw_A1_1*MIN(((MAX(0,bw_b2))+(MIN((9/24*bw_L),bw_L)))/2+((MIN((9/24*bw_L),bw_L))-(MAX(0,bw_b2)))/2*(0.0)-bw_h0,bw_zw)+bw_A2_1*MAX(0,((MAX(0,bw_b2))+(MIN((9/24*bw_L),bw_L)))/2+((MIN((9/24*bw_L),bw_L))-(MAX(0,bw_b2)))/2*(0.0)-bw_h0-bw_zw))*(((9/24*bw_L))-(((MAX(0,bw_b2))+(MIN((9/24*bw_L),bw_L)))/2+((MIN((9/24*bw_L),bw_L))-(MAX(0,bw_b2)))/2*(0.0)))+0.5555555555555556*IF(((MAX(0,bw_b2))+(MIN((9/24*bw_L),bw_L)))/2+((MIN((9/24*bw_L),bw_L))-(MAX(0,bw_b2)))/2*(0.7745966692414834)&lt;bw_h0,0,bw_A0_1+bw_A1_1*MIN(((MAX(0,bw_b2))+(MIN((9/24*bw_L),bw_L)))/2+((MIN((9/24*bw_L),bw_L))-(MAX(0,bw_b2)))/2*(0.7745966692414834)-bw_h0,bw_zw)+bw_A2_1*MAX(0,((MAX(0,bw_b2))+(MIN((9/24*bw_L),bw_L)))/2+((MIN((9/24*bw_L),bw_L))-(MAX(0,bw_b2)))/2*(0.7745966692414834)-bw_h0-bw_zw))*(((9/24*bw_L))-(((MAX(0,bw_b2))+(MIN((9/24*bw_L),bw_L)))/2+((MIN((9/24*bw_L),bw_L))-(MAX(0,bw_b2)))/2*(0.7745966692414834)))),0))),NA()),NA())</f>
        <v/>
      </c>
      <c r="AO13">
        <f>L_bw-1000*(9/24*bw_L)</f>
        <v/>
      </c>
      <c r="AQ13">
        <f>IF(inputs_ok,IF(bw_on2,(t_bw+0.08*L_bw)+(0.28*L_bw/MAX(bw_Mspan,ABS(bw_Mbase),0.001))*(bw_R_2*(9/24*bw_L)-(IF(MIN((9/24*bw_L),bw_b2)&gt;MAX(0,bw_b1),((MIN((9/24*bw_L),bw_b2))-(MAX(0,bw_b1)))/2*(0.5555555555555556*IF(((MAX(0,bw_b1))+(MIN((9/24*bw_L),bw_b2)))/2+((MIN((9/24*bw_L),bw_b2))-(MAX(0,bw_b1)))/2*(-0.7745966692414834)&lt;bw_h0,0,bw_A0_2+bw_A1_2*MIN(((MAX(0,bw_b1))+(MIN((9/24*bw_L),bw_b2)))/2+((MIN((9/24*bw_L),bw_b2))-(MAX(0,bw_b1)))/2*(-0.7745966692414834)-bw_h0,bw_zw)+bw_A2_2*MAX(0,((MAX(0,bw_b1))+(MIN((9/24*bw_L),bw_b2)))/2+((MIN((9/24*bw_L),bw_b2))-(MAX(0,bw_b1)))/2*(-0.7745966692414834)-bw_h0-bw_zw))*(((9/24*bw_L))-(((MAX(0,bw_b1))+(MIN((9/24*bw_L),bw_b2)))/2+((MIN((9/24*bw_L),bw_b2))-(MAX(0,bw_b1)))/2*(-0.7745966692414834)))+0.8888888888888888*IF(((MAX(0,bw_b1))+(MIN((9/24*bw_L),bw_b2)))/2+((MIN((9/24*bw_L),bw_b2))-(MAX(0,bw_b1)))/2*(0.0)&lt;bw_h0,0,bw_A0_2+bw_A1_2*MIN(((MAX(0,bw_b1))+(MIN((9/24*bw_L),bw_b2)))/2+((MIN((9/24*bw_L),bw_b2))-(MAX(0,bw_b1)))/2*(0.0)-bw_h0,bw_zw)+bw_A2_2*MAX(0,((MAX(0,bw_b1))+(MIN((9/24*bw_L),bw_b2)))/2+((MIN((9/24*bw_L),bw_b2))-(MAX(0,bw_b1)))/2*(0.0)-bw_h0-bw_zw))*(((9/24*bw_L))-(((MAX(0,bw_b1))+(MIN((9/24*bw_L),bw_b2)))/2+((MIN((9/24*bw_L),bw_b2))-(MAX(0,bw_b1)))/2*(0.0)))+0.5555555555555556*IF(((MAX(0,bw_b1))+(MIN((9/24*bw_L),bw_b2)))/2+((MIN((9/24*bw_L),bw_b2))-(MAX(0,bw_b1)))/2*(0.7745966692414834)&lt;bw_h0,0,bw_A0_2+bw_A1_2*MIN(((MAX(0,bw_b1))+(MIN((9/24*bw_L),bw_b2)))/2+((MIN((9/24*bw_L),bw_b2))-(MAX(0,bw_b1)))/2*(0.7745966692414834)-bw_h0,bw_zw)+bw_A2_2*MAX(0,((MAX(0,bw_b1))+(MIN((9/24*bw_L),bw_b2)))/2+((MIN((9/24*bw_L),bw_b2))-(MAX(0,bw_b1)))/2*(0.7745966692414834)-bw_h0-bw_zw))*(((9/24*bw_L))-(((MAX(0,bw_b1))+(MIN((9/24*bw_L),bw_b2)))/2+((MIN((9/24*bw_L),bw_b2))-(MAX(0,bw_b1)))/2*(0.7745966692414834)))),0)+IF(MIN((9/24*bw_L),bw_L)&gt;MAX(0,bw_b2),((MIN((9/24*bw_L),bw_L))-(MAX(0,bw_b2)))/2*(0.5555555555555556*IF(((MAX(0,bw_b2))+(MIN((9/24*bw_L),bw_L)))/2+((MIN((9/24*bw_L),bw_L))-(MAX(0,bw_b2)))/2*(-0.7745966692414834)&lt;bw_h0,0,bw_A0_2+bw_A1_2*MIN(((MAX(0,bw_b2))+(MIN((9/24*bw_L),bw_L)))/2+((MIN((9/24*bw_L),bw_L))-(MAX(0,bw_b2)))/2*(-0.7745966692414834)-bw_h0,bw_zw)+bw_A2_2*MAX(0,((MAX(0,bw_b2))+(MIN((9/24*bw_L),bw_L)))/2+((MIN((9/24*bw_L),bw_L))-(MAX(0,bw_b2)))/2*(-0.7745966692414834)-bw_h0-bw_zw))*(((9/24*bw_L))-(((MAX(0,bw_b2))+(MIN((9/24*bw_L),bw_L)))/2+((MIN((9/24*bw_L),bw_L))-(MAX(0,bw_b2)))/2*(-0.7745966692414834)))+0.8888888888888888*IF(((MAX(0,bw_b2))+(MIN((9/24*bw_L),bw_L)))/2+((MIN((9/24*bw_L),bw_L))-(MAX(0,bw_b2)))/2*(0.0)&lt;bw_h0,0,bw_A0_2+bw_A1_2*MIN(((MAX(0,bw_b2))+(MIN((9/24*bw_L),bw_L)))/2+((MIN((9/24*bw_L),bw_L))-(MAX(0,bw_b2)))/2*(0.0)-bw_h0,bw_zw)+bw_A2_2*MAX(0,((MAX(0,bw_b2))+(MIN((9/24*bw_L),bw_L)))/2+((MIN((9/24*bw_L),bw_L))-(MAX(0,bw_b2)))/2*(0.0)-bw_h0-bw_zw))*(((9/24*bw_L))-(((MAX(0,bw_b2))+(MIN((9/24*bw_L),bw_L)))/2+((MIN((9/24*bw_L),bw_L))-(MAX(0,bw_b2)))/2*(0.0)))+0.5555555555555556*IF(((MAX(0,bw_b2))+(MIN((9/24*bw_L),bw_L)))/2+((MIN((9/24*bw_L),bw_L))-(MAX(0,bw_b2)))/2*(0.7745966692414834)&lt;bw_h0,0,bw_A0_2+bw_A1_2*MIN(((MAX(0,bw_b2))+(MIN((9/24*bw_L),bw_L)))/2+((MIN((9/24*bw_L),bw_L))-(MAX(0,bw_b2)))/2*(0.7745966692414834)-bw_h0,bw_zw)+bw_A2_2*MAX(0,((MAX(0,bw_b2))+(MIN((9/24*bw_L),bw_L)))/2+((MIN((9/24*bw_L),bw_L))-(MAX(0,bw_b2)))/2*(0.7745966692414834)-bw_h0-bw_zw))*(((9/24*bw_L))-(((MAX(0,bw_b2))+(MIN((9/24*bw_L),bw_L)))/2+((MIN((9/24*bw_L),bw_L))-(MAX(0,bw_b2)))/2*(0.7745966692414834)))),0))),NA()),NA())</f>
        <v/>
      </c>
      <c r="AR13">
        <f>L_bw-1000*(9/24*bw_L)</f>
        <v/>
      </c>
    </row>
    <row r="14">
      <c r="AB14">
        <f>IF(inputs_ok,IF(TRUE,-(0.3*L_bw/MAX(bw_pmax,0.001))*IF(AND(SMALL(bw_xall,12)=SMALL(bw_xall,11),SMALL(bw_xall,11)=bw_h0),0,IF(SMALL(bw_xall,11)&lt;bw_h0,0,bw_A0_1+bw_A1_1*MIN(SMALL(bw_xall,11)-bw_h0,bw_zw)+bw_A2_1*MAX(0,SMALL(bw_xall,11)-bw_h0-bw_zw))),NA()),NA())</f>
        <v/>
      </c>
      <c r="AC14">
        <f>L_bw-1000*SMALL(bw_xall,11)</f>
        <v/>
      </c>
      <c r="AE14">
        <f>IF(inputs_ok,IF(bw_on2,-(0.3*L_bw/MAX(bw_pmax,0.001))*IF(AND(SMALL(bw_xall,12)=SMALL(bw_xall,11),SMALL(bw_xall,11)=bw_h0),0,IF(SMALL(bw_xall,11)&lt;bw_h0,0,bw_A0_2+bw_A1_2*MIN(SMALL(bw_xall,11)-bw_h0,bw_zw)+bw_A2_2*MAX(0,SMALL(bw_xall,11)-bw_h0-bw_zw))),NA()),NA())</f>
        <v/>
      </c>
      <c r="AF14">
        <f>L_bw-1000*SMALL(bw_xall,11)</f>
        <v/>
      </c>
      <c r="AN14">
        <f>IF(inputs_ok,IF(TRUE,(t_bw+0.08*L_bw)+(0.28*L_bw/MAX(bw_Mspan,ABS(bw_Mbase),0.001))*(bw_R_1*(10/24*bw_L)-(IF(MIN((10/24*bw_L),bw_b2)&gt;MAX(0,bw_b1),((MIN((10/24*bw_L),bw_b2))-(MAX(0,bw_b1)))/2*(0.5555555555555556*IF(((MAX(0,bw_b1))+(MIN((10/24*bw_L),bw_b2)))/2+((MIN((10/24*bw_L),bw_b2))-(MAX(0,bw_b1)))/2*(-0.7745966692414834)&lt;bw_h0,0,bw_A0_1+bw_A1_1*MIN(((MAX(0,bw_b1))+(MIN((10/24*bw_L),bw_b2)))/2+((MIN((10/24*bw_L),bw_b2))-(MAX(0,bw_b1)))/2*(-0.7745966692414834)-bw_h0,bw_zw)+bw_A2_1*MAX(0,((MAX(0,bw_b1))+(MIN((10/24*bw_L),bw_b2)))/2+((MIN((10/24*bw_L),bw_b2))-(MAX(0,bw_b1)))/2*(-0.7745966692414834)-bw_h0-bw_zw))*(((10/24*bw_L))-(((MAX(0,bw_b1))+(MIN((10/24*bw_L),bw_b2)))/2+((MIN((10/24*bw_L),bw_b2))-(MAX(0,bw_b1)))/2*(-0.7745966692414834)))+0.8888888888888888*IF(((MAX(0,bw_b1))+(MIN((10/24*bw_L),bw_b2)))/2+((MIN((10/24*bw_L),bw_b2))-(MAX(0,bw_b1)))/2*(0.0)&lt;bw_h0,0,bw_A0_1+bw_A1_1*MIN(((MAX(0,bw_b1))+(MIN((10/24*bw_L),bw_b2)))/2+((MIN((10/24*bw_L),bw_b2))-(MAX(0,bw_b1)))/2*(0.0)-bw_h0,bw_zw)+bw_A2_1*MAX(0,((MAX(0,bw_b1))+(MIN((10/24*bw_L),bw_b2)))/2+((MIN((10/24*bw_L),bw_b2))-(MAX(0,bw_b1)))/2*(0.0)-bw_h0-bw_zw))*(((10/24*bw_L))-(((MAX(0,bw_b1))+(MIN((10/24*bw_L),bw_b2)))/2+((MIN((10/24*bw_L),bw_b2))-(MAX(0,bw_b1)))/2*(0.0)))+0.5555555555555556*IF(((MAX(0,bw_b1))+(MIN((10/24*bw_L),bw_b2)))/2+((MIN((10/24*bw_L),bw_b2))-(MAX(0,bw_b1)))/2*(0.7745966692414834)&lt;bw_h0,0,bw_A0_1+bw_A1_1*MIN(((MAX(0,bw_b1))+(MIN((10/24*bw_L),bw_b2)))/2+((MIN((10/24*bw_L),bw_b2))-(MAX(0,bw_b1)))/2*(0.7745966692414834)-bw_h0,bw_zw)+bw_A2_1*MAX(0,((MAX(0,bw_b1))+(MIN((10/24*bw_L),bw_b2)))/2+((MIN((10/24*bw_L),bw_b2))-(MAX(0,bw_b1)))/2*(0.7745966692414834)-bw_h0-bw_zw))*(((10/24*bw_L))-(((MAX(0,bw_b1))+(MIN((10/24*bw_L),bw_b2)))/2+((MIN((10/24*bw_L),bw_b2))-(MAX(0,bw_b1)))/2*(0.7745966692414834)))),0)+IF(MIN((10/24*bw_L),bw_L)&gt;MAX(0,bw_b2),((MIN((10/24*bw_L),bw_L))-(MAX(0,bw_b2)))/2*(0.5555555555555556*IF(((MAX(0,bw_b2))+(MIN((10/24*bw_L),bw_L)))/2+((MIN((10/24*bw_L),bw_L))-(MAX(0,bw_b2)))/2*(-0.7745966692414834)&lt;bw_h0,0,bw_A0_1+bw_A1_1*MIN(((MAX(0,bw_b2))+(MIN((10/24*bw_L),bw_L)))/2+((MIN((10/24*bw_L),bw_L))-(MAX(0,bw_b2)))/2*(-0.7745966692414834)-bw_h0,bw_zw)+bw_A2_1*MAX(0,((MAX(0,bw_b2))+(MIN((10/24*bw_L),bw_L)))/2+((MIN((10/24*bw_L),bw_L))-(MAX(0,bw_b2)))/2*(-0.7745966692414834)-bw_h0-bw_zw))*(((10/24*bw_L))-(((MAX(0,bw_b2))+(MIN((10/24*bw_L),bw_L)))/2+((MIN((10/24*bw_L),bw_L))-(MAX(0,bw_b2)))/2*(-0.7745966692414834)))+0.8888888888888888*IF(((MAX(0,bw_b2))+(MIN((10/24*bw_L),bw_L)))/2+((MIN((10/24*bw_L),bw_L))-(MAX(0,bw_b2)))/2*(0.0)&lt;bw_h0,0,bw_A0_1+bw_A1_1*MIN(((MAX(0,bw_b2))+(MIN((10/24*bw_L),bw_L)))/2+((MIN((10/24*bw_L),bw_L))-(MAX(0,bw_b2)))/2*(0.0)-bw_h0,bw_zw)+bw_A2_1*MAX(0,((MAX(0,bw_b2))+(MIN((10/24*bw_L),bw_L)))/2+((MIN((10/24*bw_L),bw_L))-(MAX(0,bw_b2)))/2*(0.0)-bw_h0-bw_zw))*(((10/24*bw_L))-(((MAX(0,bw_b2))+(MIN((10/24*bw_L),bw_L)))/2+((MIN((10/24*bw_L),bw_L))-(MAX(0,bw_b2)))/2*(0.0)))+0.5555555555555556*IF(((MAX(0,bw_b2))+(MIN((10/24*bw_L),bw_L)))/2+((MIN((10/24*bw_L),bw_L))-(MAX(0,bw_b2)))/2*(0.7745966692414834)&lt;bw_h0,0,bw_A0_1+bw_A1_1*MIN(((MAX(0,bw_b2))+(MIN((10/24*bw_L),bw_L)))/2+((MIN((10/24*bw_L),bw_L))-(MAX(0,bw_b2)))/2*(0.7745966692414834)-bw_h0,bw_zw)+bw_A2_1*MAX(0,((MAX(0,bw_b2))+(MIN((10/24*bw_L),bw_L)))/2+((MIN((10/24*bw_L),bw_L))-(MAX(0,bw_b2)))/2*(0.7745966692414834)-bw_h0-bw_zw))*(((10/24*bw_L))-(((MAX(0,bw_b2))+(MIN((10/24*bw_L),bw_L)))/2+((MIN((10/24*bw_L),bw_L))-(MAX(0,bw_b2)))/2*(0.7745966692414834)))),0))),NA()),NA())</f>
        <v/>
      </c>
      <c r="AO14">
        <f>L_bw-1000*(10/24*bw_L)</f>
        <v/>
      </c>
      <c r="AQ14">
        <f>IF(inputs_ok,IF(bw_on2,(t_bw+0.08*L_bw)+(0.28*L_bw/MAX(bw_Mspan,ABS(bw_Mbase),0.001))*(bw_R_2*(10/24*bw_L)-(IF(MIN((10/24*bw_L),bw_b2)&gt;MAX(0,bw_b1),((MIN((10/24*bw_L),bw_b2))-(MAX(0,bw_b1)))/2*(0.5555555555555556*IF(((MAX(0,bw_b1))+(MIN((10/24*bw_L),bw_b2)))/2+((MIN((10/24*bw_L),bw_b2))-(MAX(0,bw_b1)))/2*(-0.7745966692414834)&lt;bw_h0,0,bw_A0_2+bw_A1_2*MIN(((MAX(0,bw_b1))+(MIN((10/24*bw_L),bw_b2)))/2+((MIN((10/24*bw_L),bw_b2))-(MAX(0,bw_b1)))/2*(-0.7745966692414834)-bw_h0,bw_zw)+bw_A2_2*MAX(0,((MAX(0,bw_b1))+(MIN((10/24*bw_L),bw_b2)))/2+((MIN((10/24*bw_L),bw_b2))-(MAX(0,bw_b1)))/2*(-0.7745966692414834)-bw_h0-bw_zw))*(((10/24*bw_L))-(((MAX(0,bw_b1))+(MIN((10/24*bw_L),bw_b2)))/2+((MIN((10/24*bw_L),bw_b2))-(MAX(0,bw_b1)))/2*(-0.7745966692414834)))+0.8888888888888888*IF(((MAX(0,bw_b1))+(MIN((10/24*bw_L),bw_b2)))/2+((MIN((10/24*bw_L),bw_b2))-(MAX(0,bw_b1)))/2*(0.0)&lt;bw_h0,0,bw_A0_2+bw_A1_2*MIN(((MAX(0,bw_b1))+(MIN((10/24*bw_L),bw_b2)))/2+((MIN((10/24*bw_L),bw_b2))-(MAX(0,bw_b1)))/2*(0.0)-bw_h0,bw_zw)+bw_A2_2*MAX(0,((MAX(0,bw_b1))+(MIN((10/24*bw_L),bw_b2)))/2+((MIN((10/24*bw_L),bw_b2))-(MAX(0,bw_b1)))/2*(0.0)-bw_h0-bw_zw))*(((10/24*bw_L))-(((MAX(0,bw_b1))+(MIN((10/24*bw_L),bw_b2)))/2+((MIN((10/24*bw_L),bw_b2))-(MAX(0,bw_b1)))/2*(0.0)))+0.5555555555555556*IF(((MAX(0,bw_b1))+(MIN((10/24*bw_L),bw_b2)))/2+((MIN((10/24*bw_L),bw_b2))-(MAX(0,bw_b1)))/2*(0.7745966692414834)&lt;bw_h0,0,bw_A0_2+bw_A1_2*MIN(((MAX(0,bw_b1))+(MIN((10/24*bw_L),bw_b2)))/2+((MIN((10/24*bw_L),bw_b2))-(MAX(0,bw_b1)))/2*(0.7745966692414834)-bw_h0,bw_zw)+bw_A2_2*MAX(0,((MAX(0,bw_b1))+(MIN((10/24*bw_L),bw_b2)))/2+((MIN((10/24*bw_L),bw_b2))-(MAX(0,bw_b1)))/2*(0.7745966692414834)-bw_h0-bw_zw))*(((10/24*bw_L))-(((MAX(0,bw_b1))+(MIN((10/24*bw_L),bw_b2)))/2+((MIN((10/24*bw_L),bw_b2))-(MAX(0,bw_b1)))/2*(0.7745966692414834)))),0)+IF(MIN((10/24*bw_L),bw_L)&gt;MAX(0,bw_b2),((MIN((10/24*bw_L),bw_L))-(MAX(0,bw_b2)))/2*(0.5555555555555556*IF(((MAX(0,bw_b2))+(MIN((10/24*bw_L),bw_L)))/2+((MIN((10/24*bw_L),bw_L))-(MAX(0,bw_b2)))/2*(-0.7745966692414834)&lt;bw_h0,0,bw_A0_2+bw_A1_2*MIN(((MAX(0,bw_b2))+(MIN((10/24*bw_L),bw_L)))/2+((MIN((10/24*bw_L),bw_L))-(MAX(0,bw_b2)))/2*(-0.7745966692414834)-bw_h0,bw_zw)+bw_A2_2*MAX(0,((MAX(0,bw_b2))+(MIN((10/24*bw_L),bw_L)))/2+((MIN((10/24*bw_L),bw_L))-(MAX(0,bw_b2)))/2*(-0.7745966692414834)-bw_h0-bw_zw))*(((10/24*bw_L))-(((MAX(0,bw_b2))+(MIN((10/24*bw_L),bw_L)))/2+((MIN((10/24*bw_L),bw_L))-(MAX(0,bw_b2)))/2*(-0.7745966692414834)))+0.8888888888888888*IF(((MAX(0,bw_b2))+(MIN((10/24*bw_L),bw_L)))/2+((MIN((10/24*bw_L),bw_L))-(MAX(0,bw_b2)))/2*(0.0)&lt;bw_h0,0,bw_A0_2+bw_A1_2*MIN(((MAX(0,bw_b2))+(MIN((10/24*bw_L),bw_L)))/2+((MIN((10/24*bw_L),bw_L))-(MAX(0,bw_b2)))/2*(0.0)-bw_h0,bw_zw)+bw_A2_2*MAX(0,((MAX(0,bw_b2))+(MIN((10/24*bw_L),bw_L)))/2+((MIN((10/24*bw_L),bw_L))-(MAX(0,bw_b2)))/2*(0.0)-bw_h0-bw_zw))*(((10/24*bw_L))-(((MAX(0,bw_b2))+(MIN((10/24*bw_L),bw_L)))/2+((MIN((10/24*bw_L),bw_L))-(MAX(0,bw_b2)))/2*(0.0)))+0.5555555555555556*IF(((MAX(0,bw_b2))+(MIN((10/24*bw_L),bw_L)))/2+((MIN((10/24*bw_L),bw_L))-(MAX(0,bw_b2)))/2*(0.7745966692414834)&lt;bw_h0,0,bw_A0_2+bw_A1_2*MIN(((MAX(0,bw_b2))+(MIN((10/24*bw_L),bw_L)))/2+((MIN((10/24*bw_L),bw_L))-(MAX(0,bw_b2)))/2*(0.7745966692414834)-bw_h0,bw_zw)+bw_A2_2*MAX(0,((MAX(0,bw_b2))+(MIN((10/24*bw_L),bw_L)))/2+((MIN((10/24*bw_L),bw_L))-(MAX(0,bw_b2)))/2*(0.7745966692414834)-bw_h0-bw_zw))*(((10/24*bw_L))-(((MAX(0,bw_b2))+(MIN((10/24*bw_L),bw_L)))/2+((MIN((10/24*bw_L),bw_L))-(MAX(0,bw_b2)))/2*(0.7745966692414834)))),0))),NA()),NA())</f>
        <v/>
      </c>
      <c r="AR14">
        <f>L_bw-1000*(10/24*bw_L)</f>
        <v/>
      </c>
    </row>
    <row r="15">
      <c r="AB15">
        <f>IF(inputs_ok,IF(TRUE,-(0.3*L_bw/MAX(bw_pmax,0.001))*IF(AND(SMALL(bw_xall,13)=SMALL(bw_xall,12),SMALL(bw_xall,12)=bw_h0),0,IF(SMALL(bw_xall,12)&lt;bw_h0,0,bw_A0_1+bw_A1_1*MIN(SMALL(bw_xall,12)-bw_h0,bw_zw)+bw_A2_1*MAX(0,SMALL(bw_xall,12)-bw_h0-bw_zw))),NA()),NA())</f>
        <v/>
      </c>
      <c r="AC15">
        <f>L_bw-1000*SMALL(bw_xall,12)</f>
        <v/>
      </c>
      <c r="AE15">
        <f>IF(inputs_ok,IF(bw_on2,-(0.3*L_bw/MAX(bw_pmax,0.001))*IF(AND(SMALL(bw_xall,13)=SMALL(bw_xall,12),SMALL(bw_xall,12)=bw_h0),0,IF(SMALL(bw_xall,12)&lt;bw_h0,0,bw_A0_2+bw_A1_2*MIN(SMALL(bw_xall,12)-bw_h0,bw_zw)+bw_A2_2*MAX(0,SMALL(bw_xall,12)-bw_h0-bw_zw))),NA()),NA())</f>
        <v/>
      </c>
      <c r="AF15">
        <f>L_bw-1000*SMALL(bw_xall,12)</f>
        <v/>
      </c>
      <c r="AN15">
        <f>IF(inputs_ok,IF(TRUE,(t_bw+0.08*L_bw)+(0.28*L_bw/MAX(bw_Mspan,ABS(bw_Mbase),0.001))*(bw_R_1*(11/24*bw_L)-(IF(MIN((11/24*bw_L),bw_b2)&gt;MAX(0,bw_b1),((MIN((11/24*bw_L),bw_b2))-(MAX(0,bw_b1)))/2*(0.5555555555555556*IF(((MAX(0,bw_b1))+(MIN((11/24*bw_L),bw_b2)))/2+((MIN((11/24*bw_L),bw_b2))-(MAX(0,bw_b1)))/2*(-0.7745966692414834)&lt;bw_h0,0,bw_A0_1+bw_A1_1*MIN(((MAX(0,bw_b1))+(MIN((11/24*bw_L),bw_b2)))/2+((MIN((11/24*bw_L),bw_b2))-(MAX(0,bw_b1)))/2*(-0.7745966692414834)-bw_h0,bw_zw)+bw_A2_1*MAX(0,((MAX(0,bw_b1))+(MIN((11/24*bw_L),bw_b2)))/2+((MIN((11/24*bw_L),bw_b2))-(MAX(0,bw_b1)))/2*(-0.7745966692414834)-bw_h0-bw_zw))*(((11/24*bw_L))-(((MAX(0,bw_b1))+(MIN((11/24*bw_L),bw_b2)))/2+((MIN((11/24*bw_L),bw_b2))-(MAX(0,bw_b1)))/2*(-0.7745966692414834)))+0.8888888888888888*IF(((MAX(0,bw_b1))+(MIN((11/24*bw_L),bw_b2)))/2+((MIN((11/24*bw_L),bw_b2))-(MAX(0,bw_b1)))/2*(0.0)&lt;bw_h0,0,bw_A0_1+bw_A1_1*MIN(((MAX(0,bw_b1))+(MIN((11/24*bw_L),bw_b2)))/2+((MIN((11/24*bw_L),bw_b2))-(MAX(0,bw_b1)))/2*(0.0)-bw_h0,bw_zw)+bw_A2_1*MAX(0,((MAX(0,bw_b1))+(MIN((11/24*bw_L),bw_b2)))/2+((MIN((11/24*bw_L),bw_b2))-(MAX(0,bw_b1)))/2*(0.0)-bw_h0-bw_zw))*(((11/24*bw_L))-(((MAX(0,bw_b1))+(MIN((11/24*bw_L),bw_b2)))/2+((MIN((11/24*bw_L),bw_b2))-(MAX(0,bw_b1)))/2*(0.0)))+0.5555555555555556*IF(((MAX(0,bw_b1))+(MIN((11/24*bw_L),bw_b2)))/2+((MIN((11/24*bw_L),bw_b2))-(MAX(0,bw_b1)))/2*(0.7745966692414834)&lt;bw_h0,0,bw_A0_1+bw_A1_1*MIN(((MAX(0,bw_b1))+(MIN((11/24*bw_L),bw_b2)))/2+((MIN((11/24*bw_L),bw_b2))-(MAX(0,bw_b1)))/2*(0.7745966692414834)-bw_h0,bw_zw)+bw_A2_1*MAX(0,((MAX(0,bw_b1))+(MIN((11/24*bw_L),bw_b2)))/2+((MIN((11/24*bw_L),bw_b2))-(MAX(0,bw_b1)))/2*(0.7745966692414834)-bw_h0-bw_zw))*(((11/24*bw_L))-(((MAX(0,bw_b1))+(MIN((11/24*bw_L),bw_b2)))/2+((MIN((11/24*bw_L),bw_b2))-(MAX(0,bw_b1)))/2*(0.7745966692414834)))),0)+IF(MIN((11/24*bw_L),bw_L)&gt;MAX(0,bw_b2),((MIN((11/24*bw_L),bw_L))-(MAX(0,bw_b2)))/2*(0.5555555555555556*IF(((MAX(0,bw_b2))+(MIN((11/24*bw_L),bw_L)))/2+((MIN((11/24*bw_L),bw_L))-(MAX(0,bw_b2)))/2*(-0.7745966692414834)&lt;bw_h0,0,bw_A0_1+bw_A1_1*MIN(((MAX(0,bw_b2))+(MIN((11/24*bw_L),bw_L)))/2+((MIN((11/24*bw_L),bw_L))-(MAX(0,bw_b2)))/2*(-0.7745966692414834)-bw_h0,bw_zw)+bw_A2_1*MAX(0,((MAX(0,bw_b2))+(MIN((11/24*bw_L),bw_L)))/2+((MIN((11/24*bw_L),bw_L))-(MAX(0,bw_b2)))/2*(-0.7745966692414834)-bw_h0-bw_zw))*(((11/24*bw_L))-(((MAX(0,bw_b2))+(MIN((11/24*bw_L),bw_L)))/2+((MIN((11/24*bw_L),bw_L))-(MAX(0,bw_b2)))/2*(-0.7745966692414834)))+0.8888888888888888*IF(((MAX(0,bw_b2))+(MIN((11/24*bw_L),bw_L)))/2+((MIN((11/24*bw_L),bw_L))-(MAX(0,bw_b2)))/2*(0.0)&lt;bw_h0,0,bw_A0_1+bw_A1_1*MIN(((MAX(0,bw_b2))+(MIN((11/24*bw_L),bw_L)))/2+((MIN((11/24*bw_L),bw_L))-(MAX(0,bw_b2)))/2*(0.0)-bw_h0,bw_zw)+bw_A2_1*MAX(0,((MAX(0,bw_b2))+(MIN((11/24*bw_L),bw_L)))/2+((MIN((11/24*bw_L),bw_L))-(MAX(0,bw_b2)))/2*(0.0)-bw_h0-bw_zw))*(((11/24*bw_L))-(((MAX(0,bw_b2))+(MIN((11/24*bw_L),bw_L)))/2+((MIN((11/24*bw_L),bw_L))-(MAX(0,bw_b2)))/2*(0.0)))+0.5555555555555556*IF(((MAX(0,bw_b2))+(MIN((11/24*bw_L),bw_L)))/2+((MIN((11/24*bw_L),bw_L))-(MAX(0,bw_b2)))/2*(0.7745966692414834)&lt;bw_h0,0,bw_A0_1+bw_A1_1*MIN(((MAX(0,bw_b2))+(MIN((11/24*bw_L),bw_L)))/2+((MIN((11/24*bw_L),bw_L))-(MAX(0,bw_b2)))/2*(0.7745966692414834)-bw_h0,bw_zw)+bw_A2_1*MAX(0,((MAX(0,bw_b2))+(MIN((11/24*bw_L),bw_L)))/2+((MIN((11/24*bw_L),bw_L))-(MAX(0,bw_b2)))/2*(0.7745966692414834)-bw_h0-bw_zw))*(((11/24*bw_L))-(((MAX(0,bw_b2))+(MIN((11/24*bw_L),bw_L)))/2+((MIN((11/24*bw_L),bw_L))-(MAX(0,bw_b2)))/2*(0.7745966692414834)))),0))),NA()),NA())</f>
        <v/>
      </c>
      <c r="AO15">
        <f>L_bw-1000*(11/24*bw_L)</f>
        <v/>
      </c>
      <c r="AQ15">
        <f>IF(inputs_ok,IF(bw_on2,(t_bw+0.08*L_bw)+(0.28*L_bw/MAX(bw_Mspan,ABS(bw_Mbase),0.001))*(bw_R_2*(11/24*bw_L)-(IF(MIN((11/24*bw_L),bw_b2)&gt;MAX(0,bw_b1),((MIN((11/24*bw_L),bw_b2))-(MAX(0,bw_b1)))/2*(0.5555555555555556*IF(((MAX(0,bw_b1))+(MIN((11/24*bw_L),bw_b2)))/2+((MIN((11/24*bw_L),bw_b2))-(MAX(0,bw_b1)))/2*(-0.7745966692414834)&lt;bw_h0,0,bw_A0_2+bw_A1_2*MIN(((MAX(0,bw_b1))+(MIN((11/24*bw_L),bw_b2)))/2+((MIN((11/24*bw_L),bw_b2))-(MAX(0,bw_b1)))/2*(-0.7745966692414834)-bw_h0,bw_zw)+bw_A2_2*MAX(0,((MAX(0,bw_b1))+(MIN((11/24*bw_L),bw_b2)))/2+((MIN((11/24*bw_L),bw_b2))-(MAX(0,bw_b1)))/2*(-0.7745966692414834)-bw_h0-bw_zw))*(((11/24*bw_L))-(((MAX(0,bw_b1))+(MIN((11/24*bw_L),bw_b2)))/2+((MIN((11/24*bw_L),bw_b2))-(MAX(0,bw_b1)))/2*(-0.7745966692414834)))+0.8888888888888888*IF(((MAX(0,bw_b1))+(MIN((11/24*bw_L),bw_b2)))/2+((MIN((11/24*bw_L),bw_b2))-(MAX(0,bw_b1)))/2*(0.0)&lt;bw_h0,0,bw_A0_2+bw_A1_2*MIN(((MAX(0,bw_b1))+(MIN((11/24*bw_L),bw_b2)))/2+((MIN((11/24*bw_L),bw_b2))-(MAX(0,bw_b1)))/2*(0.0)-bw_h0,bw_zw)+bw_A2_2*MAX(0,((MAX(0,bw_b1))+(MIN((11/24*bw_L),bw_b2)))/2+((MIN((11/24*bw_L),bw_b2))-(MAX(0,bw_b1)))/2*(0.0)-bw_h0-bw_zw))*(((11/24*bw_L))-(((MAX(0,bw_b1))+(MIN((11/24*bw_L),bw_b2)))/2+((MIN((11/24*bw_L),bw_b2))-(MAX(0,bw_b1)))/2*(0.0)))+0.5555555555555556*IF(((MAX(0,bw_b1))+(MIN((11/24*bw_L),bw_b2)))/2+((MIN((11/24*bw_L),bw_b2))-(MAX(0,bw_b1)))/2*(0.7745966692414834)&lt;bw_h0,0,bw_A0_2+bw_A1_2*MIN(((MAX(0,bw_b1))+(MIN((11/24*bw_L),bw_b2)))/2+((MIN((11/24*bw_L),bw_b2))-(MAX(0,bw_b1)))/2*(0.7745966692414834)-bw_h0,bw_zw)+bw_A2_2*MAX(0,((MAX(0,bw_b1))+(MIN((11/24*bw_L),bw_b2)))/2+((MIN((11/24*bw_L),bw_b2))-(MAX(0,bw_b1)))/2*(0.7745966692414834)-bw_h0-bw_zw))*(((11/24*bw_L))-(((MAX(0,bw_b1))+(MIN((11/24*bw_L),bw_b2)))/2+((MIN((11/24*bw_L),bw_b2))-(MAX(0,bw_b1)))/2*(0.7745966692414834)))),0)+IF(MIN((11/24*bw_L),bw_L)&gt;MAX(0,bw_b2),((MIN((11/24*bw_L),bw_L))-(MAX(0,bw_b2)))/2*(0.5555555555555556*IF(((MAX(0,bw_b2))+(MIN((11/24*bw_L),bw_L)))/2+((MIN((11/24*bw_L),bw_L))-(MAX(0,bw_b2)))/2*(-0.7745966692414834)&lt;bw_h0,0,bw_A0_2+bw_A1_2*MIN(((MAX(0,bw_b2))+(MIN((11/24*bw_L),bw_L)))/2+((MIN((11/24*bw_L),bw_L))-(MAX(0,bw_b2)))/2*(-0.7745966692414834)-bw_h0,bw_zw)+bw_A2_2*MAX(0,((MAX(0,bw_b2))+(MIN((11/24*bw_L),bw_L)))/2+((MIN((11/24*bw_L),bw_L))-(MAX(0,bw_b2)))/2*(-0.7745966692414834)-bw_h0-bw_zw))*(((11/24*bw_L))-(((MAX(0,bw_b2))+(MIN((11/24*bw_L),bw_L)))/2+((MIN((11/24*bw_L),bw_L))-(MAX(0,bw_b2)))/2*(-0.7745966692414834)))+0.8888888888888888*IF(((MAX(0,bw_b2))+(MIN((11/24*bw_L),bw_L)))/2+((MIN((11/24*bw_L),bw_L))-(MAX(0,bw_b2)))/2*(0.0)&lt;bw_h0,0,bw_A0_2+bw_A1_2*MIN(((MAX(0,bw_b2))+(MIN((11/24*bw_L),bw_L)))/2+((MIN((11/24*bw_L),bw_L))-(MAX(0,bw_b2)))/2*(0.0)-bw_h0,bw_zw)+bw_A2_2*MAX(0,((MAX(0,bw_b2))+(MIN((11/24*bw_L),bw_L)))/2+((MIN((11/24*bw_L),bw_L))-(MAX(0,bw_b2)))/2*(0.0)-bw_h0-bw_zw))*(((11/24*bw_L))-(((MAX(0,bw_b2))+(MIN((11/24*bw_L),bw_L)))/2+((MIN((11/24*bw_L),bw_L))-(MAX(0,bw_b2)))/2*(0.0)))+0.5555555555555556*IF(((MAX(0,bw_b2))+(MIN((11/24*bw_L),bw_L)))/2+((MIN((11/24*bw_L),bw_L))-(MAX(0,bw_b2)))/2*(0.7745966692414834)&lt;bw_h0,0,bw_A0_2+bw_A1_2*MIN(((MAX(0,bw_b2))+(MIN((11/24*bw_L),bw_L)))/2+((MIN((11/24*bw_L),bw_L))-(MAX(0,bw_b2)))/2*(0.7745966692414834)-bw_h0,bw_zw)+bw_A2_2*MAX(0,((MAX(0,bw_b2))+(MIN((11/24*bw_L),bw_L)))/2+((MIN((11/24*bw_L),bw_L))-(MAX(0,bw_b2)))/2*(0.7745966692414834)-bw_h0-bw_zw))*(((11/24*bw_L))-(((MAX(0,bw_b2))+(MIN((11/24*bw_L),bw_L)))/2+((MIN((11/24*bw_L),bw_L))-(MAX(0,bw_b2)))/2*(0.7745966692414834)))),0))),NA()),NA())</f>
        <v/>
      </c>
      <c r="AR15">
        <f>L_bw-1000*(11/24*bw_L)</f>
        <v/>
      </c>
    </row>
    <row r="16">
      <c r="AB16">
        <f>IF(inputs_ok,IF(TRUE,-(0.3*L_bw/MAX(bw_pmax,0.001))*IF(AND(SMALL(bw_xall,14)=SMALL(bw_xall,13),SMALL(bw_xall,13)=bw_h0),0,IF(SMALL(bw_xall,13)&lt;bw_h0,0,bw_A0_1+bw_A1_1*MIN(SMALL(bw_xall,13)-bw_h0,bw_zw)+bw_A2_1*MAX(0,SMALL(bw_xall,13)-bw_h0-bw_zw))),NA()),NA())</f>
        <v/>
      </c>
      <c r="AC16">
        <f>L_bw-1000*SMALL(bw_xall,13)</f>
        <v/>
      </c>
      <c r="AE16">
        <f>IF(inputs_ok,IF(bw_on2,-(0.3*L_bw/MAX(bw_pmax,0.001))*IF(AND(SMALL(bw_xall,14)=SMALL(bw_xall,13),SMALL(bw_xall,13)=bw_h0),0,IF(SMALL(bw_xall,13)&lt;bw_h0,0,bw_A0_2+bw_A1_2*MIN(SMALL(bw_xall,13)-bw_h0,bw_zw)+bw_A2_2*MAX(0,SMALL(bw_xall,13)-bw_h0-bw_zw))),NA()),NA())</f>
        <v/>
      </c>
      <c r="AF16">
        <f>L_bw-1000*SMALL(bw_xall,13)</f>
        <v/>
      </c>
      <c r="AN16">
        <f>IF(inputs_ok,IF(TRUE,(t_bw+0.08*L_bw)+(0.28*L_bw/MAX(bw_Mspan,ABS(bw_Mbase),0.001))*(bw_R_1*(12/24*bw_L)-(IF(MIN((12/24*bw_L),bw_b2)&gt;MAX(0,bw_b1),((MIN((12/24*bw_L),bw_b2))-(MAX(0,bw_b1)))/2*(0.5555555555555556*IF(((MAX(0,bw_b1))+(MIN((12/24*bw_L),bw_b2)))/2+((MIN((12/24*bw_L),bw_b2))-(MAX(0,bw_b1)))/2*(-0.7745966692414834)&lt;bw_h0,0,bw_A0_1+bw_A1_1*MIN(((MAX(0,bw_b1))+(MIN((12/24*bw_L),bw_b2)))/2+((MIN((12/24*bw_L),bw_b2))-(MAX(0,bw_b1)))/2*(-0.7745966692414834)-bw_h0,bw_zw)+bw_A2_1*MAX(0,((MAX(0,bw_b1))+(MIN((12/24*bw_L),bw_b2)))/2+((MIN((12/24*bw_L),bw_b2))-(MAX(0,bw_b1)))/2*(-0.7745966692414834)-bw_h0-bw_zw))*(((12/24*bw_L))-(((MAX(0,bw_b1))+(MIN((12/24*bw_L),bw_b2)))/2+((MIN((12/24*bw_L),bw_b2))-(MAX(0,bw_b1)))/2*(-0.7745966692414834)))+0.8888888888888888*IF(((MAX(0,bw_b1))+(MIN((12/24*bw_L),bw_b2)))/2+((MIN((12/24*bw_L),bw_b2))-(MAX(0,bw_b1)))/2*(0.0)&lt;bw_h0,0,bw_A0_1+bw_A1_1*MIN(((MAX(0,bw_b1))+(MIN((12/24*bw_L),bw_b2)))/2+((MIN((12/24*bw_L),bw_b2))-(MAX(0,bw_b1)))/2*(0.0)-bw_h0,bw_zw)+bw_A2_1*MAX(0,((MAX(0,bw_b1))+(MIN((12/24*bw_L),bw_b2)))/2+((MIN((12/24*bw_L),bw_b2))-(MAX(0,bw_b1)))/2*(0.0)-bw_h0-bw_zw))*(((12/24*bw_L))-(((MAX(0,bw_b1))+(MIN((12/24*bw_L),bw_b2)))/2+((MIN((12/24*bw_L),bw_b2))-(MAX(0,bw_b1)))/2*(0.0)))+0.5555555555555556*IF(((MAX(0,bw_b1))+(MIN((12/24*bw_L),bw_b2)))/2+((MIN((12/24*bw_L),bw_b2))-(MAX(0,bw_b1)))/2*(0.7745966692414834)&lt;bw_h0,0,bw_A0_1+bw_A1_1*MIN(((MAX(0,bw_b1))+(MIN((12/24*bw_L),bw_b2)))/2+((MIN((12/24*bw_L),bw_b2))-(MAX(0,bw_b1)))/2*(0.7745966692414834)-bw_h0,bw_zw)+bw_A2_1*MAX(0,((MAX(0,bw_b1))+(MIN((12/24*bw_L),bw_b2)))/2+((MIN((12/24*bw_L),bw_b2))-(MAX(0,bw_b1)))/2*(0.7745966692414834)-bw_h0-bw_zw))*(((12/24*bw_L))-(((MAX(0,bw_b1))+(MIN((12/24*bw_L),bw_b2)))/2+((MIN((12/24*bw_L),bw_b2))-(MAX(0,bw_b1)))/2*(0.7745966692414834)))),0)+IF(MIN((12/24*bw_L),bw_L)&gt;MAX(0,bw_b2),((MIN((12/24*bw_L),bw_L))-(MAX(0,bw_b2)))/2*(0.5555555555555556*IF(((MAX(0,bw_b2))+(MIN((12/24*bw_L),bw_L)))/2+((MIN((12/24*bw_L),bw_L))-(MAX(0,bw_b2)))/2*(-0.7745966692414834)&lt;bw_h0,0,bw_A0_1+bw_A1_1*MIN(((MAX(0,bw_b2))+(MIN((12/24*bw_L),bw_L)))/2+((MIN((12/24*bw_L),bw_L))-(MAX(0,bw_b2)))/2*(-0.7745966692414834)-bw_h0,bw_zw)+bw_A2_1*MAX(0,((MAX(0,bw_b2))+(MIN((12/24*bw_L),bw_L)))/2+((MIN((12/24*bw_L),bw_L))-(MAX(0,bw_b2)))/2*(-0.7745966692414834)-bw_h0-bw_zw))*(((12/24*bw_L))-(((MAX(0,bw_b2))+(MIN((12/24*bw_L),bw_L)))/2+((MIN((12/24*bw_L),bw_L))-(MAX(0,bw_b2)))/2*(-0.7745966692414834)))+0.8888888888888888*IF(((MAX(0,bw_b2))+(MIN((12/24*bw_L),bw_L)))/2+((MIN((12/24*bw_L),bw_L))-(MAX(0,bw_b2)))/2*(0.0)&lt;bw_h0,0,bw_A0_1+bw_A1_1*MIN(((MAX(0,bw_b2))+(MIN((12/24*bw_L),bw_L)))/2+((MIN((12/24*bw_L),bw_L))-(MAX(0,bw_b2)))/2*(0.0)-bw_h0,bw_zw)+bw_A2_1*MAX(0,((MAX(0,bw_b2))+(MIN((12/24*bw_L),bw_L)))/2+((MIN((12/24*bw_L),bw_L))-(MAX(0,bw_b2)))/2*(0.0)-bw_h0-bw_zw))*(((12/24*bw_L))-(((MAX(0,bw_b2))+(MIN((12/24*bw_L),bw_L)))/2+((MIN((12/24*bw_L),bw_L))-(MAX(0,bw_b2)))/2*(0.0)))+0.5555555555555556*IF(((MAX(0,bw_b2))+(MIN((12/24*bw_L),bw_L)))/2+((MIN((12/24*bw_L),bw_L))-(MAX(0,bw_b2)))/2*(0.7745966692414834)&lt;bw_h0,0,bw_A0_1+bw_A1_1*MIN(((MAX(0,bw_b2))+(MIN((12/24*bw_L),bw_L)))/2+((MIN((12/24*bw_L),bw_L))-(MAX(0,bw_b2)))/2*(0.7745966692414834)-bw_h0,bw_zw)+bw_A2_1*MAX(0,((MAX(0,bw_b2))+(MIN((12/24*bw_L),bw_L)))/2+((MIN((12/24*bw_L),bw_L))-(MAX(0,bw_b2)))/2*(0.7745966692414834)-bw_h0-bw_zw))*(((12/24*bw_L))-(((MAX(0,bw_b2))+(MIN((12/24*bw_L),bw_L)))/2+((MIN((12/24*bw_L),bw_L))-(MAX(0,bw_b2)))/2*(0.7745966692414834)))),0))),NA()),NA())</f>
        <v/>
      </c>
      <c r="AO16">
        <f>L_bw-1000*(12/24*bw_L)</f>
        <v/>
      </c>
      <c r="AQ16">
        <f>IF(inputs_ok,IF(bw_on2,(t_bw+0.08*L_bw)+(0.28*L_bw/MAX(bw_Mspan,ABS(bw_Mbase),0.001))*(bw_R_2*(12/24*bw_L)-(IF(MIN((12/24*bw_L),bw_b2)&gt;MAX(0,bw_b1),((MIN((12/24*bw_L),bw_b2))-(MAX(0,bw_b1)))/2*(0.5555555555555556*IF(((MAX(0,bw_b1))+(MIN((12/24*bw_L),bw_b2)))/2+((MIN((12/24*bw_L),bw_b2))-(MAX(0,bw_b1)))/2*(-0.7745966692414834)&lt;bw_h0,0,bw_A0_2+bw_A1_2*MIN(((MAX(0,bw_b1))+(MIN((12/24*bw_L),bw_b2)))/2+((MIN((12/24*bw_L),bw_b2))-(MAX(0,bw_b1)))/2*(-0.7745966692414834)-bw_h0,bw_zw)+bw_A2_2*MAX(0,((MAX(0,bw_b1))+(MIN((12/24*bw_L),bw_b2)))/2+((MIN((12/24*bw_L),bw_b2))-(MAX(0,bw_b1)))/2*(-0.7745966692414834)-bw_h0-bw_zw))*(((12/24*bw_L))-(((MAX(0,bw_b1))+(MIN((12/24*bw_L),bw_b2)))/2+((MIN((12/24*bw_L),bw_b2))-(MAX(0,bw_b1)))/2*(-0.7745966692414834)))+0.8888888888888888*IF(((MAX(0,bw_b1))+(MIN((12/24*bw_L),bw_b2)))/2+((MIN((12/24*bw_L),bw_b2))-(MAX(0,bw_b1)))/2*(0.0)&lt;bw_h0,0,bw_A0_2+bw_A1_2*MIN(((MAX(0,bw_b1))+(MIN((12/24*bw_L),bw_b2)))/2+((MIN((12/24*bw_L),bw_b2))-(MAX(0,bw_b1)))/2*(0.0)-bw_h0,bw_zw)+bw_A2_2*MAX(0,((MAX(0,bw_b1))+(MIN((12/24*bw_L),bw_b2)))/2+((MIN((12/24*bw_L),bw_b2))-(MAX(0,bw_b1)))/2*(0.0)-bw_h0-bw_zw))*(((12/24*bw_L))-(((MAX(0,bw_b1))+(MIN((12/24*bw_L),bw_b2)))/2+((MIN((12/24*bw_L),bw_b2))-(MAX(0,bw_b1)))/2*(0.0)))+0.5555555555555556*IF(((MAX(0,bw_b1))+(MIN((12/24*bw_L),bw_b2)))/2+((MIN((12/24*bw_L),bw_b2))-(MAX(0,bw_b1)))/2*(0.7745966692414834)&lt;bw_h0,0,bw_A0_2+bw_A1_2*MIN(((MAX(0,bw_b1))+(MIN((12/24*bw_L),bw_b2)))/2+((MIN((12/24*bw_L),bw_b2))-(MAX(0,bw_b1)))/2*(0.7745966692414834)-bw_h0,bw_zw)+bw_A2_2*MAX(0,((MAX(0,bw_b1))+(MIN((12/24*bw_L),bw_b2)))/2+((MIN((12/24*bw_L),bw_b2))-(MAX(0,bw_b1)))/2*(0.7745966692414834)-bw_h0-bw_zw))*(((12/24*bw_L))-(((MAX(0,bw_b1))+(MIN((12/24*bw_L),bw_b2)))/2+((MIN((12/24*bw_L),bw_b2))-(MAX(0,bw_b1)))/2*(0.7745966692414834)))),0)+IF(MIN((12/24*bw_L),bw_L)&gt;MAX(0,bw_b2),((MIN((12/24*bw_L),bw_L))-(MAX(0,bw_b2)))/2*(0.5555555555555556*IF(((MAX(0,bw_b2))+(MIN((12/24*bw_L),bw_L)))/2+((MIN((12/24*bw_L),bw_L))-(MAX(0,bw_b2)))/2*(-0.7745966692414834)&lt;bw_h0,0,bw_A0_2+bw_A1_2*MIN(((MAX(0,bw_b2))+(MIN((12/24*bw_L),bw_L)))/2+((MIN((12/24*bw_L),bw_L))-(MAX(0,bw_b2)))/2*(-0.7745966692414834)-bw_h0,bw_zw)+bw_A2_2*MAX(0,((MAX(0,bw_b2))+(MIN((12/24*bw_L),bw_L)))/2+((MIN((12/24*bw_L),bw_L))-(MAX(0,bw_b2)))/2*(-0.7745966692414834)-bw_h0-bw_zw))*(((12/24*bw_L))-(((MAX(0,bw_b2))+(MIN((12/24*bw_L),bw_L)))/2+((MIN((12/24*bw_L),bw_L))-(MAX(0,bw_b2)))/2*(-0.7745966692414834)))+0.8888888888888888*IF(((MAX(0,bw_b2))+(MIN((12/24*bw_L),bw_L)))/2+((MIN((12/24*bw_L),bw_L))-(MAX(0,bw_b2)))/2*(0.0)&lt;bw_h0,0,bw_A0_2+bw_A1_2*MIN(((MAX(0,bw_b2))+(MIN((12/24*bw_L),bw_L)))/2+((MIN((12/24*bw_L),bw_L))-(MAX(0,bw_b2)))/2*(0.0)-bw_h0,bw_zw)+bw_A2_2*MAX(0,((MAX(0,bw_b2))+(MIN((12/24*bw_L),bw_L)))/2+((MIN((12/24*bw_L),bw_L))-(MAX(0,bw_b2)))/2*(0.0)-bw_h0-bw_zw))*(((12/24*bw_L))-(((MAX(0,bw_b2))+(MIN((12/24*bw_L),bw_L)))/2+((MIN((12/24*bw_L),bw_L))-(MAX(0,bw_b2)))/2*(0.0)))+0.5555555555555556*IF(((MAX(0,bw_b2))+(MIN((12/24*bw_L),bw_L)))/2+((MIN((12/24*bw_L),bw_L))-(MAX(0,bw_b2)))/2*(0.7745966692414834)&lt;bw_h0,0,bw_A0_2+bw_A1_2*MIN(((MAX(0,bw_b2))+(MIN((12/24*bw_L),bw_L)))/2+((MIN((12/24*bw_L),bw_L))-(MAX(0,bw_b2)))/2*(0.7745966692414834)-bw_h0,bw_zw)+bw_A2_2*MAX(0,((MAX(0,bw_b2))+(MIN((12/24*bw_L),bw_L)))/2+((MIN((12/24*bw_L),bw_L))-(MAX(0,bw_b2)))/2*(0.7745966692414834)-bw_h0-bw_zw))*(((12/24*bw_L))-(((MAX(0,bw_b2))+(MIN((12/24*bw_L),bw_L)))/2+((MIN((12/24*bw_L),bw_L))-(MAX(0,bw_b2)))/2*(0.7745966692414834)))),0))),NA()),NA())</f>
        <v/>
      </c>
      <c r="AR16">
        <f>L_bw-1000*(12/24*bw_L)</f>
        <v/>
      </c>
    </row>
    <row r="17">
      <c r="AB17">
        <f>IF(inputs_ok,IF(TRUE,-(0.3*L_bw/MAX(bw_pmax,0.001))*IF(AND(SMALL(bw_xall,15)=SMALL(bw_xall,14),SMALL(bw_xall,14)=bw_h0),0,IF(SMALL(bw_xall,14)&lt;bw_h0,0,bw_A0_1+bw_A1_1*MIN(SMALL(bw_xall,14)-bw_h0,bw_zw)+bw_A2_1*MAX(0,SMALL(bw_xall,14)-bw_h0-bw_zw))),NA()),NA())</f>
        <v/>
      </c>
      <c r="AC17">
        <f>L_bw-1000*SMALL(bw_xall,14)</f>
        <v/>
      </c>
      <c r="AE17">
        <f>IF(inputs_ok,IF(bw_on2,-(0.3*L_bw/MAX(bw_pmax,0.001))*IF(AND(SMALL(bw_xall,15)=SMALL(bw_xall,14),SMALL(bw_xall,14)=bw_h0),0,IF(SMALL(bw_xall,14)&lt;bw_h0,0,bw_A0_2+bw_A1_2*MIN(SMALL(bw_xall,14)-bw_h0,bw_zw)+bw_A2_2*MAX(0,SMALL(bw_xall,14)-bw_h0-bw_zw))),NA()),NA())</f>
        <v/>
      </c>
      <c r="AF17">
        <f>L_bw-1000*SMALL(bw_xall,14)</f>
        <v/>
      </c>
      <c r="AN17">
        <f>IF(inputs_ok,IF(TRUE,(t_bw+0.08*L_bw)+(0.28*L_bw/MAX(bw_Mspan,ABS(bw_Mbase),0.001))*(bw_R_1*(13/24*bw_L)-(IF(MIN((13/24*bw_L),bw_b2)&gt;MAX(0,bw_b1),((MIN((13/24*bw_L),bw_b2))-(MAX(0,bw_b1)))/2*(0.5555555555555556*IF(((MAX(0,bw_b1))+(MIN((13/24*bw_L),bw_b2)))/2+((MIN((13/24*bw_L),bw_b2))-(MAX(0,bw_b1)))/2*(-0.7745966692414834)&lt;bw_h0,0,bw_A0_1+bw_A1_1*MIN(((MAX(0,bw_b1))+(MIN((13/24*bw_L),bw_b2)))/2+((MIN((13/24*bw_L),bw_b2))-(MAX(0,bw_b1)))/2*(-0.7745966692414834)-bw_h0,bw_zw)+bw_A2_1*MAX(0,((MAX(0,bw_b1))+(MIN((13/24*bw_L),bw_b2)))/2+((MIN((13/24*bw_L),bw_b2))-(MAX(0,bw_b1)))/2*(-0.7745966692414834)-bw_h0-bw_zw))*(((13/24*bw_L))-(((MAX(0,bw_b1))+(MIN((13/24*bw_L),bw_b2)))/2+((MIN((13/24*bw_L),bw_b2))-(MAX(0,bw_b1)))/2*(-0.7745966692414834)))+0.8888888888888888*IF(((MAX(0,bw_b1))+(MIN((13/24*bw_L),bw_b2)))/2+((MIN((13/24*bw_L),bw_b2))-(MAX(0,bw_b1)))/2*(0.0)&lt;bw_h0,0,bw_A0_1+bw_A1_1*MIN(((MAX(0,bw_b1))+(MIN((13/24*bw_L),bw_b2)))/2+((MIN((13/24*bw_L),bw_b2))-(MAX(0,bw_b1)))/2*(0.0)-bw_h0,bw_zw)+bw_A2_1*MAX(0,((MAX(0,bw_b1))+(MIN((13/24*bw_L),bw_b2)))/2+((MIN((13/24*bw_L),bw_b2))-(MAX(0,bw_b1)))/2*(0.0)-bw_h0-bw_zw))*(((13/24*bw_L))-(((MAX(0,bw_b1))+(MIN((13/24*bw_L),bw_b2)))/2+((MIN((13/24*bw_L),bw_b2))-(MAX(0,bw_b1)))/2*(0.0)))+0.5555555555555556*IF(((MAX(0,bw_b1))+(MIN((13/24*bw_L),bw_b2)))/2+((MIN((13/24*bw_L),bw_b2))-(MAX(0,bw_b1)))/2*(0.7745966692414834)&lt;bw_h0,0,bw_A0_1+bw_A1_1*MIN(((MAX(0,bw_b1))+(MIN((13/24*bw_L),bw_b2)))/2+((MIN((13/24*bw_L),bw_b2))-(MAX(0,bw_b1)))/2*(0.7745966692414834)-bw_h0,bw_zw)+bw_A2_1*MAX(0,((MAX(0,bw_b1))+(MIN((13/24*bw_L),bw_b2)))/2+((MIN((13/24*bw_L),bw_b2))-(MAX(0,bw_b1)))/2*(0.7745966692414834)-bw_h0-bw_zw))*(((13/24*bw_L))-(((MAX(0,bw_b1))+(MIN((13/24*bw_L),bw_b2)))/2+((MIN((13/24*bw_L),bw_b2))-(MAX(0,bw_b1)))/2*(0.7745966692414834)))),0)+IF(MIN((13/24*bw_L),bw_L)&gt;MAX(0,bw_b2),((MIN((13/24*bw_L),bw_L))-(MAX(0,bw_b2)))/2*(0.5555555555555556*IF(((MAX(0,bw_b2))+(MIN((13/24*bw_L),bw_L)))/2+((MIN((13/24*bw_L),bw_L))-(MAX(0,bw_b2)))/2*(-0.7745966692414834)&lt;bw_h0,0,bw_A0_1+bw_A1_1*MIN(((MAX(0,bw_b2))+(MIN((13/24*bw_L),bw_L)))/2+((MIN((13/24*bw_L),bw_L))-(MAX(0,bw_b2)))/2*(-0.7745966692414834)-bw_h0,bw_zw)+bw_A2_1*MAX(0,((MAX(0,bw_b2))+(MIN((13/24*bw_L),bw_L)))/2+((MIN((13/24*bw_L),bw_L))-(MAX(0,bw_b2)))/2*(-0.7745966692414834)-bw_h0-bw_zw))*(((13/24*bw_L))-(((MAX(0,bw_b2))+(MIN((13/24*bw_L),bw_L)))/2+((MIN((13/24*bw_L),bw_L))-(MAX(0,bw_b2)))/2*(-0.7745966692414834)))+0.8888888888888888*IF(((MAX(0,bw_b2))+(MIN((13/24*bw_L),bw_L)))/2+((MIN((13/24*bw_L),bw_L))-(MAX(0,bw_b2)))/2*(0.0)&lt;bw_h0,0,bw_A0_1+bw_A1_1*MIN(((MAX(0,bw_b2))+(MIN((13/24*bw_L),bw_L)))/2+((MIN((13/24*bw_L),bw_L))-(MAX(0,bw_b2)))/2*(0.0)-bw_h0,bw_zw)+bw_A2_1*MAX(0,((MAX(0,bw_b2))+(MIN((13/24*bw_L),bw_L)))/2+((MIN((13/24*bw_L),bw_L))-(MAX(0,bw_b2)))/2*(0.0)-bw_h0-bw_zw))*(((13/24*bw_L))-(((MAX(0,bw_b2))+(MIN((13/24*bw_L),bw_L)))/2+((MIN((13/24*bw_L),bw_L))-(MAX(0,bw_b2)))/2*(0.0)))+0.5555555555555556*IF(((MAX(0,bw_b2))+(MIN((13/24*bw_L),bw_L)))/2+((MIN((13/24*bw_L),bw_L))-(MAX(0,bw_b2)))/2*(0.7745966692414834)&lt;bw_h0,0,bw_A0_1+bw_A1_1*MIN(((MAX(0,bw_b2))+(MIN((13/24*bw_L),bw_L)))/2+((MIN((13/24*bw_L),bw_L))-(MAX(0,bw_b2)))/2*(0.7745966692414834)-bw_h0,bw_zw)+bw_A2_1*MAX(0,((MAX(0,bw_b2))+(MIN((13/24*bw_L),bw_L)))/2+((MIN((13/24*bw_L),bw_L))-(MAX(0,bw_b2)))/2*(0.7745966692414834)-bw_h0-bw_zw))*(((13/24*bw_L))-(((MAX(0,bw_b2))+(MIN((13/24*bw_L),bw_L)))/2+((MIN((13/24*bw_L),bw_L))-(MAX(0,bw_b2)))/2*(0.7745966692414834)))),0))),NA()),NA())</f>
        <v/>
      </c>
      <c r="AO17">
        <f>L_bw-1000*(13/24*bw_L)</f>
        <v/>
      </c>
      <c r="AQ17">
        <f>IF(inputs_ok,IF(bw_on2,(t_bw+0.08*L_bw)+(0.28*L_bw/MAX(bw_Mspan,ABS(bw_Mbase),0.001))*(bw_R_2*(13/24*bw_L)-(IF(MIN((13/24*bw_L),bw_b2)&gt;MAX(0,bw_b1),((MIN((13/24*bw_L),bw_b2))-(MAX(0,bw_b1)))/2*(0.5555555555555556*IF(((MAX(0,bw_b1))+(MIN((13/24*bw_L),bw_b2)))/2+((MIN((13/24*bw_L),bw_b2))-(MAX(0,bw_b1)))/2*(-0.7745966692414834)&lt;bw_h0,0,bw_A0_2+bw_A1_2*MIN(((MAX(0,bw_b1))+(MIN((13/24*bw_L),bw_b2)))/2+((MIN((13/24*bw_L),bw_b2))-(MAX(0,bw_b1)))/2*(-0.7745966692414834)-bw_h0,bw_zw)+bw_A2_2*MAX(0,((MAX(0,bw_b1))+(MIN((13/24*bw_L),bw_b2)))/2+((MIN((13/24*bw_L),bw_b2))-(MAX(0,bw_b1)))/2*(-0.7745966692414834)-bw_h0-bw_zw))*(((13/24*bw_L))-(((MAX(0,bw_b1))+(MIN((13/24*bw_L),bw_b2)))/2+((MIN((13/24*bw_L),bw_b2))-(MAX(0,bw_b1)))/2*(-0.7745966692414834)))+0.8888888888888888*IF(((MAX(0,bw_b1))+(MIN((13/24*bw_L),bw_b2)))/2+((MIN((13/24*bw_L),bw_b2))-(MAX(0,bw_b1)))/2*(0.0)&lt;bw_h0,0,bw_A0_2+bw_A1_2*MIN(((MAX(0,bw_b1))+(MIN((13/24*bw_L),bw_b2)))/2+((MIN((13/24*bw_L),bw_b2))-(MAX(0,bw_b1)))/2*(0.0)-bw_h0,bw_zw)+bw_A2_2*MAX(0,((MAX(0,bw_b1))+(MIN((13/24*bw_L),bw_b2)))/2+((MIN((13/24*bw_L),bw_b2))-(MAX(0,bw_b1)))/2*(0.0)-bw_h0-bw_zw))*(((13/24*bw_L))-(((MAX(0,bw_b1))+(MIN((13/24*bw_L),bw_b2)))/2+((MIN((13/24*bw_L),bw_b2))-(MAX(0,bw_b1)))/2*(0.0)))+0.5555555555555556*IF(((MAX(0,bw_b1))+(MIN((13/24*bw_L),bw_b2)))/2+((MIN((13/24*bw_L),bw_b2))-(MAX(0,bw_b1)))/2*(0.7745966692414834)&lt;bw_h0,0,bw_A0_2+bw_A1_2*MIN(((MAX(0,bw_b1))+(MIN((13/24*bw_L),bw_b2)))/2+((MIN((13/24*bw_L),bw_b2))-(MAX(0,bw_b1)))/2*(0.7745966692414834)-bw_h0,bw_zw)+bw_A2_2*MAX(0,((MAX(0,bw_b1))+(MIN((13/24*bw_L),bw_b2)))/2+((MIN((13/24*bw_L),bw_b2))-(MAX(0,bw_b1)))/2*(0.7745966692414834)-bw_h0-bw_zw))*(((13/24*bw_L))-(((MAX(0,bw_b1))+(MIN((13/24*bw_L),bw_b2)))/2+((MIN((13/24*bw_L),bw_b2))-(MAX(0,bw_b1)))/2*(0.7745966692414834)))),0)+IF(MIN((13/24*bw_L),bw_L)&gt;MAX(0,bw_b2),((MIN((13/24*bw_L),bw_L))-(MAX(0,bw_b2)))/2*(0.5555555555555556*IF(((MAX(0,bw_b2))+(MIN((13/24*bw_L),bw_L)))/2+((MIN((13/24*bw_L),bw_L))-(MAX(0,bw_b2)))/2*(-0.7745966692414834)&lt;bw_h0,0,bw_A0_2+bw_A1_2*MIN(((MAX(0,bw_b2))+(MIN((13/24*bw_L),bw_L)))/2+((MIN((13/24*bw_L),bw_L))-(MAX(0,bw_b2)))/2*(-0.7745966692414834)-bw_h0,bw_zw)+bw_A2_2*MAX(0,((MAX(0,bw_b2))+(MIN((13/24*bw_L),bw_L)))/2+((MIN((13/24*bw_L),bw_L))-(MAX(0,bw_b2)))/2*(-0.7745966692414834)-bw_h0-bw_zw))*(((13/24*bw_L))-(((MAX(0,bw_b2))+(MIN((13/24*bw_L),bw_L)))/2+((MIN((13/24*bw_L),bw_L))-(MAX(0,bw_b2)))/2*(-0.7745966692414834)))+0.8888888888888888*IF(((MAX(0,bw_b2))+(MIN((13/24*bw_L),bw_L)))/2+((MIN((13/24*bw_L),bw_L))-(MAX(0,bw_b2)))/2*(0.0)&lt;bw_h0,0,bw_A0_2+bw_A1_2*MIN(((MAX(0,bw_b2))+(MIN((13/24*bw_L),bw_L)))/2+((MIN((13/24*bw_L),bw_L))-(MAX(0,bw_b2)))/2*(0.0)-bw_h0,bw_zw)+bw_A2_2*MAX(0,((MAX(0,bw_b2))+(MIN((13/24*bw_L),bw_L)))/2+((MIN((13/24*bw_L),bw_L))-(MAX(0,bw_b2)))/2*(0.0)-bw_h0-bw_zw))*(((13/24*bw_L))-(((MAX(0,bw_b2))+(MIN((13/24*bw_L),bw_L)))/2+((MIN((13/24*bw_L),bw_L))-(MAX(0,bw_b2)))/2*(0.0)))+0.5555555555555556*IF(((MAX(0,bw_b2))+(MIN((13/24*bw_L),bw_L)))/2+((MIN((13/24*bw_L),bw_L))-(MAX(0,bw_b2)))/2*(0.7745966692414834)&lt;bw_h0,0,bw_A0_2+bw_A1_2*MIN(((MAX(0,bw_b2))+(MIN((13/24*bw_L),bw_L)))/2+((MIN((13/24*bw_L),bw_L))-(MAX(0,bw_b2)))/2*(0.7745966692414834)-bw_h0,bw_zw)+bw_A2_2*MAX(0,((MAX(0,bw_b2))+(MIN((13/24*bw_L),bw_L)))/2+((MIN((13/24*bw_L),bw_L))-(MAX(0,bw_b2)))/2*(0.7745966692414834)-bw_h0-bw_zw))*(((13/24*bw_L))-(((MAX(0,bw_b2))+(MIN((13/24*bw_L),bw_L)))/2+((MIN((13/24*bw_L),bw_L))-(MAX(0,bw_b2)))/2*(0.7745966692414834)))),0))),NA()),NA())</f>
        <v/>
      </c>
      <c r="AR17">
        <f>L_bw-1000*(13/24*bw_L)</f>
        <v/>
      </c>
    </row>
    <row r="18">
      <c r="AB18">
        <f>IF(inputs_ok,IF(TRUE,-(0.3*L_bw/MAX(bw_pmax,0.001))*IF(AND(SMALL(bw_xall,16)=SMALL(bw_xall,15),SMALL(bw_xall,15)=bw_h0),0,IF(SMALL(bw_xall,15)&lt;bw_h0,0,bw_A0_1+bw_A1_1*MIN(SMALL(bw_xall,15)-bw_h0,bw_zw)+bw_A2_1*MAX(0,SMALL(bw_xall,15)-bw_h0-bw_zw))),NA()),NA())</f>
        <v/>
      </c>
      <c r="AC18">
        <f>L_bw-1000*SMALL(bw_xall,15)</f>
        <v/>
      </c>
      <c r="AE18">
        <f>IF(inputs_ok,IF(bw_on2,-(0.3*L_bw/MAX(bw_pmax,0.001))*IF(AND(SMALL(bw_xall,16)=SMALL(bw_xall,15),SMALL(bw_xall,15)=bw_h0),0,IF(SMALL(bw_xall,15)&lt;bw_h0,0,bw_A0_2+bw_A1_2*MIN(SMALL(bw_xall,15)-bw_h0,bw_zw)+bw_A2_2*MAX(0,SMALL(bw_xall,15)-bw_h0-bw_zw))),NA()),NA())</f>
        <v/>
      </c>
      <c r="AF18">
        <f>L_bw-1000*SMALL(bw_xall,15)</f>
        <v/>
      </c>
      <c r="AN18">
        <f>IF(inputs_ok,IF(TRUE,(t_bw+0.08*L_bw)+(0.28*L_bw/MAX(bw_Mspan,ABS(bw_Mbase),0.001))*(bw_R_1*(14/24*bw_L)-(IF(MIN((14/24*bw_L),bw_b2)&gt;MAX(0,bw_b1),((MIN((14/24*bw_L),bw_b2))-(MAX(0,bw_b1)))/2*(0.5555555555555556*IF(((MAX(0,bw_b1))+(MIN((14/24*bw_L),bw_b2)))/2+((MIN((14/24*bw_L),bw_b2))-(MAX(0,bw_b1)))/2*(-0.7745966692414834)&lt;bw_h0,0,bw_A0_1+bw_A1_1*MIN(((MAX(0,bw_b1))+(MIN((14/24*bw_L),bw_b2)))/2+((MIN((14/24*bw_L),bw_b2))-(MAX(0,bw_b1)))/2*(-0.7745966692414834)-bw_h0,bw_zw)+bw_A2_1*MAX(0,((MAX(0,bw_b1))+(MIN((14/24*bw_L),bw_b2)))/2+((MIN((14/24*bw_L),bw_b2))-(MAX(0,bw_b1)))/2*(-0.7745966692414834)-bw_h0-bw_zw))*(((14/24*bw_L))-(((MAX(0,bw_b1))+(MIN((14/24*bw_L),bw_b2)))/2+((MIN((14/24*bw_L),bw_b2))-(MAX(0,bw_b1)))/2*(-0.7745966692414834)))+0.8888888888888888*IF(((MAX(0,bw_b1))+(MIN((14/24*bw_L),bw_b2)))/2+((MIN((14/24*bw_L),bw_b2))-(MAX(0,bw_b1)))/2*(0.0)&lt;bw_h0,0,bw_A0_1+bw_A1_1*MIN(((MAX(0,bw_b1))+(MIN((14/24*bw_L),bw_b2)))/2+((MIN((14/24*bw_L),bw_b2))-(MAX(0,bw_b1)))/2*(0.0)-bw_h0,bw_zw)+bw_A2_1*MAX(0,((MAX(0,bw_b1))+(MIN((14/24*bw_L),bw_b2)))/2+((MIN((14/24*bw_L),bw_b2))-(MAX(0,bw_b1)))/2*(0.0)-bw_h0-bw_zw))*(((14/24*bw_L))-(((MAX(0,bw_b1))+(MIN((14/24*bw_L),bw_b2)))/2+((MIN((14/24*bw_L),bw_b2))-(MAX(0,bw_b1)))/2*(0.0)))+0.5555555555555556*IF(((MAX(0,bw_b1))+(MIN((14/24*bw_L),bw_b2)))/2+((MIN((14/24*bw_L),bw_b2))-(MAX(0,bw_b1)))/2*(0.7745966692414834)&lt;bw_h0,0,bw_A0_1+bw_A1_1*MIN(((MAX(0,bw_b1))+(MIN((14/24*bw_L),bw_b2)))/2+((MIN((14/24*bw_L),bw_b2))-(MAX(0,bw_b1)))/2*(0.7745966692414834)-bw_h0,bw_zw)+bw_A2_1*MAX(0,((MAX(0,bw_b1))+(MIN((14/24*bw_L),bw_b2)))/2+((MIN((14/24*bw_L),bw_b2))-(MAX(0,bw_b1)))/2*(0.7745966692414834)-bw_h0-bw_zw))*(((14/24*bw_L))-(((MAX(0,bw_b1))+(MIN((14/24*bw_L),bw_b2)))/2+((MIN((14/24*bw_L),bw_b2))-(MAX(0,bw_b1)))/2*(0.7745966692414834)))),0)+IF(MIN((14/24*bw_L),bw_L)&gt;MAX(0,bw_b2),((MIN((14/24*bw_L),bw_L))-(MAX(0,bw_b2)))/2*(0.5555555555555556*IF(((MAX(0,bw_b2))+(MIN((14/24*bw_L),bw_L)))/2+((MIN((14/24*bw_L),bw_L))-(MAX(0,bw_b2)))/2*(-0.7745966692414834)&lt;bw_h0,0,bw_A0_1+bw_A1_1*MIN(((MAX(0,bw_b2))+(MIN((14/24*bw_L),bw_L)))/2+((MIN((14/24*bw_L),bw_L))-(MAX(0,bw_b2)))/2*(-0.7745966692414834)-bw_h0,bw_zw)+bw_A2_1*MAX(0,((MAX(0,bw_b2))+(MIN((14/24*bw_L),bw_L)))/2+((MIN((14/24*bw_L),bw_L))-(MAX(0,bw_b2)))/2*(-0.7745966692414834)-bw_h0-bw_zw))*(((14/24*bw_L))-(((MAX(0,bw_b2))+(MIN((14/24*bw_L),bw_L)))/2+((MIN((14/24*bw_L),bw_L))-(MAX(0,bw_b2)))/2*(-0.7745966692414834)))+0.8888888888888888*IF(((MAX(0,bw_b2))+(MIN((14/24*bw_L),bw_L)))/2+((MIN((14/24*bw_L),bw_L))-(MAX(0,bw_b2)))/2*(0.0)&lt;bw_h0,0,bw_A0_1+bw_A1_1*MIN(((MAX(0,bw_b2))+(MIN((14/24*bw_L),bw_L)))/2+((MIN((14/24*bw_L),bw_L))-(MAX(0,bw_b2)))/2*(0.0)-bw_h0,bw_zw)+bw_A2_1*MAX(0,((MAX(0,bw_b2))+(MIN((14/24*bw_L),bw_L)))/2+((MIN((14/24*bw_L),bw_L))-(MAX(0,bw_b2)))/2*(0.0)-bw_h0-bw_zw))*(((14/24*bw_L))-(((MAX(0,bw_b2))+(MIN((14/24*bw_L),bw_L)))/2+((MIN((14/24*bw_L),bw_L))-(MAX(0,bw_b2)))/2*(0.0)))+0.5555555555555556*IF(((MAX(0,bw_b2))+(MIN((14/24*bw_L),bw_L)))/2+((MIN((14/24*bw_L),bw_L))-(MAX(0,bw_b2)))/2*(0.7745966692414834)&lt;bw_h0,0,bw_A0_1+bw_A1_1*MIN(((MAX(0,bw_b2))+(MIN((14/24*bw_L),bw_L)))/2+((MIN((14/24*bw_L),bw_L))-(MAX(0,bw_b2)))/2*(0.7745966692414834)-bw_h0,bw_zw)+bw_A2_1*MAX(0,((MAX(0,bw_b2))+(MIN((14/24*bw_L),bw_L)))/2+((MIN((14/24*bw_L),bw_L))-(MAX(0,bw_b2)))/2*(0.7745966692414834)-bw_h0-bw_zw))*(((14/24*bw_L))-(((MAX(0,bw_b2))+(MIN((14/24*bw_L),bw_L)))/2+((MIN((14/24*bw_L),bw_L))-(MAX(0,bw_b2)))/2*(0.7745966692414834)))),0))),NA()),NA())</f>
        <v/>
      </c>
      <c r="AO18">
        <f>L_bw-1000*(14/24*bw_L)</f>
        <v/>
      </c>
      <c r="AQ18">
        <f>IF(inputs_ok,IF(bw_on2,(t_bw+0.08*L_bw)+(0.28*L_bw/MAX(bw_Mspan,ABS(bw_Mbase),0.001))*(bw_R_2*(14/24*bw_L)-(IF(MIN((14/24*bw_L),bw_b2)&gt;MAX(0,bw_b1),((MIN((14/24*bw_L),bw_b2))-(MAX(0,bw_b1)))/2*(0.5555555555555556*IF(((MAX(0,bw_b1))+(MIN((14/24*bw_L),bw_b2)))/2+((MIN((14/24*bw_L),bw_b2))-(MAX(0,bw_b1)))/2*(-0.7745966692414834)&lt;bw_h0,0,bw_A0_2+bw_A1_2*MIN(((MAX(0,bw_b1))+(MIN((14/24*bw_L),bw_b2)))/2+((MIN((14/24*bw_L),bw_b2))-(MAX(0,bw_b1)))/2*(-0.7745966692414834)-bw_h0,bw_zw)+bw_A2_2*MAX(0,((MAX(0,bw_b1))+(MIN((14/24*bw_L),bw_b2)))/2+((MIN((14/24*bw_L),bw_b2))-(MAX(0,bw_b1)))/2*(-0.7745966692414834)-bw_h0-bw_zw))*(((14/24*bw_L))-(((MAX(0,bw_b1))+(MIN((14/24*bw_L),bw_b2)))/2+((MIN((14/24*bw_L),bw_b2))-(MAX(0,bw_b1)))/2*(-0.7745966692414834)))+0.8888888888888888*IF(((MAX(0,bw_b1))+(MIN((14/24*bw_L),bw_b2)))/2+((MIN((14/24*bw_L),bw_b2))-(MAX(0,bw_b1)))/2*(0.0)&lt;bw_h0,0,bw_A0_2+bw_A1_2*MIN(((MAX(0,bw_b1))+(MIN((14/24*bw_L),bw_b2)))/2+((MIN((14/24*bw_L),bw_b2))-(MAX(0,bw_b1)))/2*(0.0)-bw_h0,bw_zw)+bw_A2_2*MAX(0,((MAX(0,bw_b1))+(MIN((14/24*bw_L),bw_b2)))/2+((MIN((14/24*bw_L),bw_b2))-(MAX(0,bw_b1)))/2*(0.0)-bw_h0-bw_zw))*(((14/24*bw_L))-(((MAX(0,bw_b1))+(MIN((14/24*bw_L),bw_b2)))/2+((MIN((14/24*bw_L),bw_b2))-(MAX(0,bw_b1)))/2*(0.0)))+0.5555555555555556*IF(((MAX(0,bw_b1))+(MIN((14/24*bw_L),bw_b2)))/2+((MIN((14/24*bw_L),bw_b2))-(MAX(0,bw_b1)))/2*(0.7745966692414834)&lt;bw_h0,0,bw_A0_2+bw_A1_2*MIN(((MAX(0,bw_b1))+(MIN((14/24*bw_L),bw_b2)))/2+((MIN((14/24*bw_L),bw_b2))-(MAX(0,bw_b1)))/2*(0.7745966692414834)-bw_h0,bw_zw)+bw_A2_2*MAX(0,((MAX(0,bw_b1))+(MIN((14/24*bw_L),bw_b2)))/2+((MIN((14/24*bw_L),bw_b2))-(MAX(0,bw_b1)))/2*(0.7745966692414834)-bw_h0-bw_zw))*(((14/24*bw_L))-(((MAX(0,bw_b1))+(MIN((14/24*bw_L),bw_b2)))/2+((MIN((14/24*bw_L),bw_b2))-(MAX(0,bw_b1)))/2*(0.7745966692414834)))),0)+IF(MIN((14/24*bw_L),bw_L)&gt;MAX(0,bw_b2),((MIN((14/24*bw_L),bw_L))-(MAX(0,bw_b2)))/2*(0.5555555555555556*IF(((MAX(0,bw_b2))+(MIN((14/24*bw_L),bw_L)))/2+((MIN((14/24*bw_L),bw_L))-(MAX(0,bw_b2)))/2*(-0.7745966692414834)&lt;bw_h0,0,bw_A0_2+bw_A1_2*MIN(((MAX(0,bw_b2))+(MIN((14/24*bw_L),bw_L)))/2+((MIN((14/24*bw_L),bw_L))-(MAX(0,bw_b2)))/2*(-0.7745966692414834)-bw_h0,bw_zw)+bw_A2_2*MAX(0,((MAX(0,bw_b2))+(MIN((14/24*bw_L),bw_L)))/2+((MIN((14/24*bw_L),bw_L))-(MAX(0,bw_b2)))/2*(-0.7745966692414834)-bw_h0-bw_zw))*(((14/24*bw_L))-(((MAX(0,bw_b2))+(MIN((14/24*bw_L),bw_L)))/2+((MIN((14/24*bw_L),bw_L))-(MAX(0,bw_b2)))/2*(-0.7745966692414834)))+0.8888888888888888*IF(((MAX(0,bw_b2))+(MIN((14/24*bw_L),bw_L)))/2+((MIN((14/24*bw_L),bw_L))-(MAX(0,bw_b2)))/2*(0.0)&lt;bw_h0,0,bw_A0_2+bw_A1_2*MIN(((MAX(0,bw_b2))+(MIN((14/24*bw_L),bw_L)))/2+((MIN((14/24*bw_L),bw_L))-(MAX(0,bw_b2)))/2*(0.0)-bw_h0,bw_zw)+bw_A2_2*MAX(0,((MAX(0,bw_b2))+(MIN((14/24*bw_L),bw_L)))/2+((MIN((14/24*bw_L),bw_L))-(MAX(0,bw_b2)))/2*(0.0)-bw_h0-bw_zw))*(((14/24*bw_L))-(((MAX(0,bw_b2))+(MIN((14/24*bw_L),bw_L)))/2+((MIN((14/24*bw_L),bw_L))-(MAX(0,bw_b2)))/2*(0.0)))+0.5555555555555556*IF(((MAX(0,bw_b2))+(MIN((14/24*bw_L),bw_L)))/2+((MIN((14/24*bw_L),bw_L))-(MAX(0,bw_b2)))/2*(0.7745966692414834)&lt;bw_h0,0,bw_A0_2+bw_A1_2*MIN(((MAX(0,bw_b2))+(MIN((14/24*bw_L),bw_L)))/2+((MIN((14/24*bw_L),bw_L))-(MAX(0,bw_b2)))/2*(0.7745966692414834)-bw_h0,bw_zw)+bw_A2_2*MAX(0,((MAX(0,bw_b2))+(MIN((14/24*bw_L),bw_L)))/2+((MIN((14/24*bw_L),bw_L))-(MAX(0,bw_b2)))/2*(0.7745966692414834)-bw_h0-bw_zw))*(((14/24*bw_L))-(((MAX(0,bw_b2))+(MIN((14/24*bw_L),bw_L)))/2+((MIN((14/24*bw_L),bw_L))-(MAX(0,bw_b2)))/2*(0.7745966692414834)))),0))),NA()),NA())</f>
        <v/>
      </c>
      <c r="AR18">
        <f>L_bw-1000*(14/24*bw_L)</f>
        <v/>
      </c>
    </row>
    <row r="19">
      <c r="AB19">
        <f>IF(inputs_ok,IF(TRUE,-(0.3*L_bw/MAX(bw_pmax,0.001))*IF(AND(SMALL(bw_xall,17)=SMALL(bw_xall,16),SMALL(bw_xall,16)=bw_h0),0,IF(SMALL(bw_xall,16)&lt;bw_h0,0,bw_A0_1+bw_A1_1*MIN(SMALL(bw_xall,16)-bw_h0,bw_zw)+bw_A2_1*MAX(0,SMALL(bw_xall,16)-bw_h0-bw_zw))),NA()),NA())</f>
        <v/>
      </c>
      <c r="AC19">
        <f>L_bw-1000*SMALL(bw_xall,16)</f>
        <v/>
      </c>
      <c r="AE19">
        <f>IF(inputs_ok,IF(bw_on2,-(0.3*L_bw/MAX(bw_pmax,0.001))*IF(AND(SMALL(bw_xall,17)=SMALL(bw_xall,16),SMALL(bw_xall,16)=bw_h0),0,IF(SMALL(bw_xall,16)&lt;bw_h0,0,bw_A0_2+bw_A1_2*MIN(SMALL(bw_xall,16)-bw_h0,bw_zw)+bw_A2_2*MAX(0,SMALL(bw_xall,16)-bw_h0-bw_zw))),NA()),NA())</f>
        <v/>
      </c>
      <c r="AF19">
        <f>L_bw-1000*SMALL(bw_xall,16)</f>
        <v/>
      </c>
      <c r="AN19">
        <f>IF(inputs_ok,IF(TRUE,(t_bw+0.08*L_bw)+(0.28*L_bw/MAX(bw_Mspan,ABS(bw_Mbase),0.001))*(bw_R_1*(15/24*bw_L)-(IF(MIN((15/24*bw_L),bw_b2)&gt;MAX(0,bw_b1),((MIN((15/24*bw_L),bw_b2))-(MAX(0,bw_b1)))/2*(0.5555555555555556*IF(((MAX(0,bw_b1))+(MIN((15/24*bw_L),bw_b2)))/2+((MIN((15/24*bw_L),bw_b2))-(MAX(0,bw_b1)))/2*(-0.7745966692414834)&lt;bw_h0,0,bw_A0_1+bw_A1_1*MIN(((MAX(0,bw_b1))+(MIN((15/24*bw_L),bw_b2)))/2+((MIN((15/24*bw_L),bw_b2))-(MAX(0,bw_b1)))/2*(-0.7745966692414834)-bw_h0,bw_zw)+bw_A2_1*MAX(0,((MAX(0,bw_b1))+(MIN((15/24*bw_L),bw_b2)))/2+((MIN((15/24*bw_L),bw_b2))-(MAX(0,bw_b1)))/2*(-0.7745966692414834)-bw_h0-bw_zw))*(((15/24*bw_L))-(((MAX(0,bw_b1))+(MIN((15/24*bw_L),bw_b2)))/2+((MIN((15/24*bw_L),bw_b2))-(MAX(0,bw_b1)))/2*(-0.7745966692414834)))+0.8888888888888888*IF(((MAX(0,bw_b1))+(MIN((15/24*bw_L),bw_b2)))/2+((MIN((15/24*bw_L),bw_b2))-(MAX(0,bw_b1)))/2*(0.0)&lt;bw_h0,0,bw_A0_1+bw_A1_1*MIN(((MAX(0,bw_b1))+(MIN((15/24*bw_L),bw_b2)))/2+((MIN((15/24*bw_L),bw_b2))-(MAX(0,bw_b1)))/2*(0.0)-bw_h0,bw_zw)+bw_A2_1*MAX(0,((MAX(0,bw_b1))+(MIN((15/24*bw_L),bw_b2)))/2+((MIN((15/24*bw_L),bw_b2))-(MAX(0,bw_b1)))/2*(0.0)-bw_h0-bw_zw))*(((15/24*bw_L))-(((MAX(0,bw_b1))+(MIN((15/24*bw_L),bw_b2)))/2+((MIN((15/24*bw_L),bw_b2))-(MAX(0,bw_b1)))/2*(0.0)))+0.5555555555555556*IF(((MAX(0,bw_b1))+(MIN((15/24*bw_L),bw_b2)))/2+((MIN((15/24*bw_L),bw_b2))-(MAX(0,bw_b1)))/2*(0.7745966692414834)&lt;bw_h0,0,bw_A0_1+bw_A1_1*MIN(((MAX(0,bw_b1))+(MIN((15/24*bw_L),bw_b2)))/2+((MIN((15/24*bw_L),bw_b2))-(MAX(0,bw_b1)))/2*(0.7745966692414834)-bw_h0,bw_zw)+bw_A2_1*MAX(0,((MAX(0,bw_b1))+(MIN((15/24*bw_L),bw_b2)))/2+((MIN((15/24*bw_L),bw_b2))-(MAX(0,bw_b1)))/2*(0.7745966692414834)-bw_h0-bw_zw))*(((15/24*bw_L))-(((MAX(0,bw_b1))+(MIN((15/24*bw_L),bw_b2)))/2+((MIN((15/24*bw_L),bw_b2))-(MAX(0,bw_b1)))/2*(0.7745966692414834)))),0)+IF(MIN((15/24*bw_L),bw_L)&gt;MAX(0,bw_b2),((MIN((15/24*bw_L),bw_L))-(MAX(0,bw_b2)))/2*(0.5555555555555556*IF(((MAX(0,bw_b2))+(MIN((15/24*bw_L),bw_L)))/2+((MIN((15/24*bw_L),bw_L))-(MAX(0,bw_b2)))/2*(-0.7745966692414834)&lt;bw_h0,0,bw_A0_1+bw_A1_1*MIN(((MAX(0,bw_b2))+(MIN((15/24*bw_L),bw_L)))/2+((MIN((15/24*bw_L),bw_L))-(MAX(0,bw_b2)))/2*(-0.7745966692414834)-bw_h0,bw_zw)+bw_A2_1*MAX(0,((MAX(0,bw_b2))+(MIN((15/24*bw_L),bw_L)))/2+((MIN((15/24*bw_L),bw_L))-(MAX(0,bw_b2)))/2*(-0.7745966692414834)-bw_h0-bw_zw))*(((15/24*bw_L))-(((MAX(0,bw_b2))+(MIN((15/24*bw_L),bw_L)))/2+((MIN((15/24*bw_L),bw_L))-(MAX(0,bw_b2)))/2*(-0.7745966692414834)))+0.8888888888888888*IF(((MAX(0,bw_b2))+(MIN((15/24*bw_L),bw_L)))/2+((MIN((15/24*bw_L),bw_L))-(MAX(0,bw_b2)))/2*(0.0)&lt;bw_h0,0,bw_A0_1+bw_A1_1*MIN(((MAX(0,bw_b2))+(MIN((15/24*bw_L),bw_L)))/2+((MIN((15/24*bw_L),bw_L))-(MAX(0,bw_b2)))/2*(0.0)-bw_h0,bw_zw)+bw_A2_1*MAX(0,((MAX(0,bw_b2))+(MIN((15/24*bw_L),bw_L)))/2+((MIN((15/24*bw_L),bw_L))-(MAX(0,bw_b2)))/2*(0.0)-bw_h0-bw_zw))*(((15/24*bw_L))-(((MAX(0,bw_b2))+(MIN((15/24*bw_L),bw_L)))/2+((MIN((15/24*bw_L),bw_L))-(MAX(0,bw_b2)))/2*(0.0)))+0.5555555555555556*IF(((MAX(0,bw_b2))+(MIN((15/24*bw_L),bw_L)))/2+((MIN((15/24*bw_L),bw_L))-(MAX(0,bw_b2)))/2*(0.7745966692414834)&lt;bw_h0,0,bw_A0_1+bw_A1_1*MIN(((MAX(0,bw_b2))+(MIN((15/24*bw_L),bw_L)))/2+((MIN((15/24*bw_L),bw_L))-(MAX(0,bw_b2)))/2*(0.7745966692414834)-bw_h0,bw_zw)+bw_A2_1*MAX(0,((MAX(0,bw_b2))+(MIN((15/24*bw_L),bw_L)))/2+((MIN((15/24*bw_L),bw_L))-(MAX(0,bw_b2)))/2*(0.7745966692414834)-bw_h0-bw_zw))*(((15/24*bw_L))-(((MAX(0,bw_b2))+(MIN((15/24*bw_L),bw_L)))/2+((MIN((15/24*bw_L),bw_L))-(MAX(0,bw_b2)))/2*(0.7745966692414834)))),0))),NA()),NA())</f>
        <v/>
      </c>
      <c r="AO19">
        <f>L_bw-1000*(15/24*bw_L)</f>
        <v/>
      </c>
      <c r="AQ19">
        <f>IF(inputs_ok,IF(bw_on2,(t_bw+0.08*L_bw)+(0.28*L_bw/MAX(bw_Mspan,ABS(bw_Mbase),0.001))*(bw_R_2*(15/24*bw_L)-(IF(MIN((15/24*bw_L),bw_b2)&gt;MAX(0,bw_b1),((MIN((15/24*bw_L),bw_b2))-(MAX(0,bw_b1)))/2*(0.5555555555555556*IF(((MAX(0,bw_b1))+(MIN((15/24*bw_L),bw_b2)))/2+((MIN((15/24*bw_L),bw_b2))-(MAX(0,bw_b1)))/2*(-0.7745966692414834)&lt;bw_h0,0,bw_A0_2+bw_A1_2*MIN(((MAX(0,bw_b1))+(MIN((15/24*bw_L),bw_b2)))/2+((MIN((15/24*bw_L),bw_b2))-(MAX(0,bw_b1)))/2*(-0.7745966692414834)-bw_h0,bw_zw)+bw_A2_2*MAX(0,((MAX(0,bw_b1))+(MIN((15/24*bw_L),bw_b2)))/2+((MIN((15/24*bw_L),bw_b2))-(MAX(0,bw_b1)))/2*(-0.7745966692414834)-bw_h0-bw_zw))*(((15/24*bw_L))-(((MAX(0,bw_b1))+(MIN((15/24*bw_L),bw_b2)))/2+((MIN((15/24*bw_L),bw_b2))-(MAX(0,bw_b1)))/2*(-0.7745966692414834)))+0.8888888888888888*IF(((MAX(0,bw_b1))+(MIN((15/24*bw_L),bw_b2)))/2+((MIN((15/24*bw_L),bw_b2))-(MAX(0,bw_b1)))/2*(0.0)&lt;bw_h0,0,bw_A0_2+bw_A1_2*MIN(((MAX(0,bw_b1))+(MIN((15/24*bw_L),bw_b2)))/2+((MIN((15/24*bw_L),bw_b2))-(MAX(0,bw_b1)))/2*(0.0)-bw_h0,bw_zw)+bw_A2_2*MAX(0,((MAX(0,bw_b1))+(MIN((15/24*bw_L),bw_b2)))/2+((MIN((15/24*bw_L),bw_b2))-(MAX(0,bw_b1)))/2*(0.0)-bw_h0-bw_zw))*(((15/24*bw_L))-(((MAX(0,bw_b1))+(MIN((15/24*bw_L),bw_b2)))/2+((MIN((15/24*bw_L),bw_b2))-(MAX(0,bw_b1)))/2*(0.0)))+0.5555555555555556*IF(((MAX(0,bw_b1))+(MIN((15/24*bw_L),bw_b2)))/2+((MIN((15/24*bw_L),bw_b2))-(MAX(0,bw_b1)))/2*(0.7745966692414834)&lt;bw_h0,0,bw_A0_2+bw_A1_2*MIN(((MAX(0,bw_b1))+(MIN((15/24*bw_L),bw_b2)))/2+((MIN((15/24*bw_L),bw_b2))-(MAX(0,bw_b1)))/2*(0.7745966692414834)-bw_h0,bw_zw)+bw_A2_2*MAX(0,((MAX(0,bw_b1))+(MIN((15/24*bw_L),bw_b2)))/2+((MIN((15/24*bw_L),bw_b2))-(MAX(0,bw_b1)))/2*(0.7745966692414834)-bw_h0-bw_zw))*(((15/24*bw_L))-(((MAX(0,bw_b1))+(MIN((15/24*bw_L),bw_b2)))/2+((MIN((15/24*bw_L),bw_b2))-(MAX(0,bw_b1)))/2*(0.7745966692414834)))),0)+IF(MIN((15/24*bw_L),bw_L)&gt;MAX(0,bw_b2),((MIN((15/24*bw_L),bw_L))-(MAX(0,bw_b2)))/2*(0.5555555555555556*IF(((MAX(0,bw_b2))+(MIN((15/24*bw_L),bw_L)))/2+((MIN((15/24*bw_L),bw_L))-(MAX(0,bw_b2)))/2*(-0.7745966692414834)&lt;bw_h0,0,bw_A0_2+bw_A1_2*MIN(((MAX(0,bw_b2))+(MIN((15/24*bw_L),bw_L)))/2+((MIN((15/24*bw_L),bw_L))-(MAX(0,bw_b2)))/2*(-0.7745966692414834)-bw_h0,bw_zw)+bw_A2_2*MAX(0,((MAX(0,bw_b2))+(MIN((15/24*bw_L),bw_L)))/2+((MIN((15/24*bw_L),bw_L))-(MAX(0,bw_b2)))/2*(-0.7745966692414834)-bw_h0-bw_zw))*(((15/24*bw_L))-(((MAX(0,bw_b2))+(MIN((15/24*bw_L),bw_L)))/2+((MIN((15/24*bw_L),bw_L))-(MAX(0,bw_b2)))/2*(-0.7745966692414834)))+0.8888888888888888*IF(((MAX(0,bw_b2))+(MIN((15/24*bw_L),bw_L)))/2+((MIN((15/24*bw_L),bw_L))-(MAX(0,bw_b2)))/2*(0.0)&lt;bw_h0,0,bw_A0_2+bw_A1_2*MIN(((MAX(0,bw_b2))+(MIN((15/24*bw_L),bw_L)))/2+((MIN((15/24*bw_L),bw_L))-(MAX(0,bw_b2)))/2*(0.0)-bw_h0,bw_zw)+bw_A2_2*MAX(0,((MAX(0,bw_b2))+(MIN((15/24*bw_L),bw_L)))/2+((MIN((15/24*bw_L),bw_L))-(MAX(0,bw_b2)))/2*(0.0)-bw_h0-bw_zw))*(((15/24*bw_L))-(((MAX(0,bw_b2))+(MIN((15/24*bw_L),bw_L)))/2+((MIN((15/24*bw_L),bw_L))-(MAX(0,bw_b2)))/2*(0.0)))+0.5555555555555556*IF(((MAX(0,bw_b2))+(MIN((15/24*bw_L),bw_L)))/2+((MIN((15/24*bw_L),bw_L))-(MAX(0,bw_b2)))/2*(0.7745966692414834)&lt;bw_h0,0,bw_A0_2+bw_A1_2*MIN(((MAX(0,bw_b2))+(MIN((15/24*bw_L),bw_L)))/2+((MIN((15/24*bw_L),bw_L))-(MAX(0,bw_b2)))/2*(0.7745966692414834)-bw_h0,bw_zw)+bw_A2_2*MAX(0,((MAX(0,bw_b2))+(MIN((15/24*bw_L),bw_L)))/2+((MIN((15/24*bw_L),bw_L))-(MAX(0,bw_b2)))/2*(0.7745966692414834)-bw_h0-bw_zw))*(((15/24*bw_L))-(((MAX(0,bw_b2))+(MIN((15/24*bw_L),bw_L)))/2+((MIN((15/24*bw_L),bw_L))-(MAX(0,bw_b2)))/2*(0.7745966692414834)))),0))),NA()),NA())</f>
        <v/>
      </c>
      <c r="AR19">
        <f>L_bw-1000*(15/24*bw_L)</f>
        <v/>
      </c>
    </row>
    <row r="20">
      <c r="AB20">
        <f>IF(inputs_ok,IF(TRUE,-(0.3*L_bw/MAX(bw_pmax,0.001))*IF(AND(SMALL(bw_xall,18)=SMALL(bw_xall,17),SMALL(bw_xall,17)=bw_h0),0,IF(SMALL(bw_xall,17)&lt;bw_h0,0,bw_A0_1+bw_A1_1*MIN(SMALL(bw_xall,17)-bw_h0,bw_zw)+bw_A2_1*MAX(0,SMALL(bw_xall,17)-bw_h0-bw_zw))),NA()),NA())</f>
        <v/>
      </c>
      <c r="AC20">
        <f>L_bw-1000*SMALL(bw_xall,17)</f>
        <v/>
      </c>
      <c r="AE20">
        <f>IF(inputs_ok,IF(bw_on2,-(0.3*L_bw/MAX(bw_pmax,0.001))*IF(AND(SMALL(bw_xall,18)=SMALL(bw_xall,17),SMALL(bw_xall,17)=bw_h0),0,IF(SMALL(bw_xall,17)&lt;bw_h0,0,bw_A0_2+bw_A1_2*MIN(SMALL(bw_xall,17)-bw_h0,bw_zw)+bw_A2_2*MAX(0,SMALL(bw_xall,17)-bw_h0-bw_zw))),NA()),NA())</f>
        <v/>
      </c>
      <c r="AF20">
        <f>L_bw-1000*SMALL(bw_xall,17)</f>
        <v/>
      </c>
      <c r="AN20">
        <f>IF(inputs_ok,IF(TRUE,(t_bw+0.08*L_bw)+(0.28*L_bw/MAX(bw_Mspan,ABS(bw_Mbase),0.001))*(bw_R_1*(16/24*bw_L)-(IF(MIN((16/24*bw_L),bw_b2)&gt;MAX(0,bw_b1),((MIN((16/24*bw_L),bw_b2))-(MAX(0,bw_b1)))/2*(0.5555555555555556*IF(((MAX(0,bw_b1))+(MIN((16/24*bw_L),bw_b2)))/2+((MIN((16/24*bw_L),bw_b2))-(MAX(0,bw_b1)))/2*(-0.7745966692414834)&lt;bw_h0,0,bw_A0_1+bw_A1_1*MIN(((MAX(0,bw_b1))+(MIN((16/24*bw_L),bw_b2)))/2+((MIN((16/24*bw_L),bw_b2))-(MAX(0,bw_b1)))/2*(-0.7745966692414834)-bw_h0,bw_zw)+bw_A2_1*MAX(0,((MAX(0,bw_b1))+(MIN((16/24*bw_L),bw_b2)))/2+((MIN((16/24*bw_L),bw_b2))-(MAX(0,bw_b1)))/2*(-0.7745966692414834)-bw_h0-bw_zw))*(((16/24*bw_L))-(((MAX(0,bw_b1))+(MIN((16/24*bw_L),bw_b2)))/2+((MIN((16/24*bw_L),bw_b2))-(MAX(0,bw_b1)))/2*(-0.7745966692414834)))+0.8888888888888888*IF(((MAX(0,bw_b1))+(MIN((16/24*bw_L),bw_b2)))/2+((MIN((16/24*bw_L),bw_b2))-(MAX(0,bw_b1)))/2*(0.0)&lt;bw_h0,0,bw_A0_1+bw_A1_1*MIN(((MAX(0,bw_b1))+(MIN((16/24*bw_L),bw_b2)))/2+((MIN((16/24*bw_L),bw_b2))-(MAX(0,bw_b1)))/2*(0.0)-bw_h0,bw_zw)+bw_A2_1*MAX(0,((MAX(0,bw_b1))+(MIN((16/24*bw_L),bw_b2)))/2+((MIN((16/24*bw_L),bw_b2))-(MAX(0,bw_b1)))/2*(0.0)-bw_h0-bw_zw))*(((16/24*bw_L))-(((MAX(0,bw_b1))+(MIN((16/24*bw_L),bw_b2)))/2+((MIN((16/24*bw_L),bw_b2))-(MAX(0,bw_b1)))/2*(0.0)))+0.5555555555555556*IF(((MAX(0,bw_b1))+(MIN((16/24*bw_L),bw_b2)))/2+((MIN((16/24*bw_L),bw_b2))-(MAX(0,bw_b1)))/2*(0.7745966692414834)&lt;bw_h0,0,bw_A0_1+bw_A1_1*MIN(((MAX(0,bw_b1))+(MIN((16/24*bw_L),bw_b2)))/2+((MIN((16/24*bw_L),bw_b2))-(MAX(0,bw_b1)))/2*(0.7745966692414834)-bw_h0,bw_zw)+bw_A2_1*MAX(0,((MAX(0,bw_b1))+(MIN((16/24*bw_L),bw_b2)))/2+((MIN((16/24*bw_L),bw_b2))-(MAX(0,bw_b1)))/2*(0.7745966692414834)-bw_h0-bw_zw))*(((16/24*bw_L))-(((MAX(0,bw_b1))+(MIN((16/24*bw_L),bw_b2)))/2+((MIN((16/24*bw_L),bw_b2))-(MAX(0,bw_b1)))/2*(0.7745966692414834)))),0)+IF(MIN((16/24*bw_L),bw_L)&gt;MAX(0,bw_b2),((MIN((16/24*bw_L),bw_L))-(MAX(0,bw_b2)))/2*(0.5555555555555556*IF(((MAX(0,bw_b2))+(MIN((16/24*bw_L),bw_L)))/2+((MIN((16/24*bw_L),bw_L))-(MAX(0,bw_b2)))/2*(-0.7745966692414834)&lt;bw_h0,0,bw_A0_1+bw_A1_1*MIN(((MAX(0,bw_b2))+(MIN((16/24*bw_L),bw_L)))/2+((MIN((16/24*bw_L),bw_L))-(MAX(0,bw_b2)))/2*(-0.7745966692414834)-bw_h0,bw_zw)+bw_A2_1*MAX(0,((MAX(0,bw_b2))+(MIN((16/24*bw_L),bw_L)))/2+((MIN((16/24*bw_L),bw_L))-(MAX(0,bw_b2)))/2*(-0.7745966692414834)-bw_h0-bw_zw))*(((16/24*bw_L))-(((MAX(0,bw_b2))+(MIN((16/24*bw_L),bw_L)))/2+((MIN((16/24*bw_L),bw_L))-(MAX(0,bw_b2)))/2*(-0.7745966692414834)))+0.8888888888888888*IF(((MAX(0,bw_b2))+(MIN((16/24*bw_L),bw_L)))/2+((MIN((16/24*bw_L),bw_L))-(MAX(0,bw_b2)))/2*(0.0)&lt;bw_h0,0,bw_A0_1+bw_A1_1*MIN(((MAX(0,bw_b2))+(MIN((16/24*bw_L),bw_L)))/2+((MIN((16/24*bw_L),bw_L))-(MAX(0,bw_b2)))/2*(0.0)-bw_h0,bw_zw)+bw_A2_1*MAX(0,((MAX(0,bw_b2))+(MIN((16/24*bw_L),bw_L)))/2+((MIN((16/24*bw_L),bw_L))-(MAX(0,bw_b2)))/2*(0.0)-bw_h0-bw_zw))*(((16/24*bw_L))-(((MAX(0,bw_b2))+(MIN((16/24*bw_L),bw_L)))/2+((MIN((16/24*bw_L),bw_L))-(MAX(0,bw_b2)))/2*(0.0)))+0.5555555555555556*IF(((MAX(0,bw_b2))+(MIN((16/24*bw_L),bw_L)))/2+((MIN((16/24*bw_L),bw_L))-(MAX(0,bw_b2)))/2*(0.7745966692414834)&lt;bw_h0,0,bw_A0_1+bw_A1_1*MIN(((MAX(0,bw_b2))+(MIN((16/24*bw_L),bw_L)))/2+((MIN((16/24*bw_L),bw_L))-(MAX(0,bw_b2)))/2*(0.7745966692414834)-bw_h0,bw_zw)+bw_A2_1*MAX(0,((MAX(0,bw_b2))+(MIN((16/24*bw_L),bw_L)))/2+((MIN((16/24*bw_L),bw_L))-(MAX(0,bw_b2)))/2*(0.7745966692414834)-bw_h0-bw_zw))*(((16/24*bw_L))-(((MAX(0,bw_b2))+(MIN((16/24*bw_L),bw_L)))/2+((MIN((16/24*bw_L),bw_L))-(MAX(0,bw_b2)))/2*(0.7745966692414834)))),0))),NA()),NA())</f>
        <v/>
      </c>
      <c r="AO20">
        <f>L_bw-1000*(16/24*bw_L)</f>
        <v/>
      </c>
      <c r="AQ20">
        <f>IF(inputs_ok,IF(bw_on2,(t_bw+0.08*L_bw)+(0.28*L_bw/MAX(bw_Mspan,ABS(bw_Mbase),0.001))*(bw_R_2*(16/24*bw_L)-(IF(MIN((16/24*bw_L),bw_b2)&gt;MAX(0,bw_b1),((MIN((16/24*bw_L),bw_b2))-(MAX(0,bw_b1)))/2*(0.5555555555555556*IF(((MAX(0,bw_b1))+(MIN((16/24*bw_L),bw_b2)))/2+((MIN((16/24*bw_L),bw_b2))-(MAX(0,bw_b1)))/2*(-0.7745966692414834)&lt;bw_h0,0,bw_A0_2+bw_A1_2*MIN(((MAX(0,bw_b1))+(MIN((16/24*bw_L),bw_b2)))/2+((MIN((16/24*bw_L),bw_b2))-(MAX(0,bw_b1)))/2*(-0.7745966692414834)-bw_h0,bw_zw)+bw_A2_2*MAX(0,((MAX(0,bw_b1))+(MIN((16/24*bw_L),bw_b2)))/2+((MIN((16/24*bw_L),bw_b2))-(MAX(0,bw_b1)))/2*(-0.7745966692414834)-bw_h0-bw_zw))*(((16/24*bw_L))-(((MAX(0,bw_b1))+(MIN((16/24*bw_L),bw_b2)))/2+((MIN((16/24*bw_L),bw_b2))-(MAX(0,bw_b1)))/2*(-0.7745966692414834)))+0.8888888888888888*IF(((MAX(0,bw_b1))+(MIN((16/24*bw_L),bw_b2)))/2+((MIN((16/24*bw_L),bw_b2))-(MAX(0,bw_b1)))/2*(0.0)&lt;bw_h0,0,bw_A0_2+bw_A1_2*MIN(((MAX(0,bw_b1))+(MIN((16/24*bw_L),bw_b2)))/2+((MIN((16/24*bw_L),bw_b2))-(MAX(0,bw_b1)))/2*(0.0)-bw_h0,bw_zw)+bw_A2_2*MAX(0,((MAX(0,bw_b1))+(MIN((16/24*bw_L),bw_b2)))/2+((MIN((16/24*bw_L),bw_b2))-(MAX(0,bw_b1)))/2*(0.0)-bw_h0-bw_zw))*(((16/24*bw_L))-(((MAX(0,bw_b1))+(MIN((16/24*bw_L),bw_b2)))/2+((MIN((16/24*bw_L),bw_b2))-(MAX(0,bw_b1)))/2*(0.0)))+0.5555555555555556*IF(((MAX(0,bw_b1))+(MIN((16/24*bw_L),bw_b2)))/2+((MIN((16/24*bw_L),bw_b2))-(MAX(0,bw_b1)))/2*(0.7745966692414834)&lt;bw_h0,0,bw_A0_2+bw_A1_2*MIN(((MAX(0,bw_b1))+(MIN((16/24*bw_L),bw_b2)))/2+((MIN((16/24*bw_L),bw_b2))-(MAX(0,bw_b1)))/2*(0.7745966692414834)-bw_h0,bw_zw)+bw_A2_2*MAX(0,((MAX(0,bw_b1))+(MIN((16/24*bw_L),bw_b2)))/2+((MIN((16/24*bw_L),bw_b2))-(MAX(0,bw_b1)))/2*(0.7745966692414834)-bw_h0-bw_zw))*(((16/24*bw_L))-(((MAX(0,bw_b1))+(MIN((16/24*bw_L),bw_b2)))/2+((MIN((16/24*bw_L),bw_b2))-(MAX(0,bw_b1)))/2*(0.7745966692414834)))),0)+IF(MIN((16/24*bw_L),bw_L)&gt;MAX(0,bw_b2),((MIN((16/24*bw_L),bw_L))-(MAX(0,bw_b2)))/2*(0.5555555555555556*IF(((MAX(0,bw_b2))+(MIN((16/24*bw_L),bw_L)))/2+((MIN((16/24*bw_L),bw_L))-(MAX(0,bw_b2)))/2*(-0.7745966692414834)&lt;bw_h0,0,bw_A0_2+bw_A1_2*MIN(((MAX(0,bw_b2))+(MIN((16/24*bw_L),bw_L)))/2+((MIN((16/24*bw_L),bw_L))-(MAX(0,bw_b2)))/2*(-0.7745966692414834)-bw_h0,bw_zw)+bw_A2_2*MAX(0,((MAX(0,bw_b2))+(MIN((16/24*bw_L),bw_L)))/2+((MIN((16/24*bw_L),bw_L))-(MAX(0,bw_b2)))/2*(-0.7745966692414834)-bw_h0-bw_zw))*(((16/24*bw_L))-(((MAX(0,bw_b2))+(MIN((16/24*bw_L),bw_L)))/2+((MIN((16/24*bw_L),bw_L))-(MAX(0,bw_b2)))/2*(-0.7745966692414834)))+0.8888888888888888*IF(((MAX(0,bw_b2))+(MIN((16/24*bw_L),bw_L)))/2+((MIN((16/24*bw_L),bw_L))-(MAX(0,bw_b2)))/2*(0.0)&lt;bw_h0,0,bw_A0_2+bw_A1_2*MIN(((MAX(0,bw_b2))+(MIN((16/24*bw_L),bw_L)))/2+((MIN((16/24*bw_L),bw_L))-(MAX(0,bw_b2)))/2*(0.0)-bw_h0,bw_zw)+bw_A2_2*MAX(0,((MAX(0,bw_b2))+(MIN((16/24*bw_L),bw_L)))/2+((MIN((16/24*bw_L),bw_L))-(MAX(0,bw_b2)))/2*(0.0)-bw_h0-bw_zw))*(((16/24*bw_L))-(((MAX(0,bw_b2))+(MIN((16/24*bw_L),bw_L)))/2+((MIN((16/24*bw_L),bw_L))-(MAX(0,bw_b2)))/2*(0.0)))+0.5555555555555556*IF(((MAX(0,bw_b2))+(MIN((16/24*bw_L),bw_L)))/2+((MIN((16/24*bw_L),bw_L))-(MAX(0,bw_b2)))/2*(0.7745966692414834)&lt;bw_h0,0,bw_A0_2+bw_A1_2*MIN(((MAX(0,bw_b2))+(MIN((16/24*bw_L),bw_L)))/2+((MIN((16/24*bw_L),bw_L))-(MAX(0,bw_b2)))/2*(0.7745966692414834)-bw_h0,bw_zw)+bw_A2_2*MAX(0,((MAX(0,bw_b2))+(MIN((16/24*bw_L),bw_L)))/2+((MIN((16/24*bw_L),bw_L))-(MAX(0,bw_b2)))/2*(0.7745966692414834)-bw_h0-bw_zw))*(((16/24*bw_L))-(((MAX(0,bw_b2))+(MIN((16/24*bw_L),bw_L)))/2+((MIN((16/24*bw_L),bw_L))-(MAX(0,bw_b2)))/2*(0.7745966692414834)))),0))),NA()),NA())</f>
        <v/>
      </c>
      <c r="AR20">
        <f>L_bw-1000*(16/24*bw_L)</f>
        <v/>
      </c>
    </row>
    <row r="21">
      <c r="AB21">
        <f>IF(inputs_ok,IF(TRUE,-(0.3*L_bw/MAX(bw_pmax,0.001))*IF(AND(SMALL(bw_xall,19)=SMALL(bw_xall,18),SMALL(bw_xall,18)=bw_h0),0,IF(SMALL(bw_xall,18)&lt;bw_h0,0,bw_A0_1+bw_A1_1*MIN(SMALL(bw_xall,18)-bw_h0,bw_zw)+bw_A2_1*MAX(0,SMALL(bw_xall,18)-bw_h0-bw_zw))),NA()),NA())</f>
        <v/>
      </c>
      <c r="AC21">
        <f>L_bw-1000*SMALL(bw_xall,18)</f>
        <v/>
      </c>
      <c r="AE21">
        <f>IF(inputs_ok,IF(bw_on2,-(0.3*L_bw/MAX(bw_pmax,0.001))*IF(AND(SMALL(bw_xall,19)=SMALL(bw_xall,18),SMALL(bw_xall,18)=bw_h0),0,IF(SMALL(bw_xall,18)&lt;bw_h0,0,bw_A0_2+bw_A1_2*MIN(SMALL(bw_xall,18)-bw_h0,bw_zw)+bw_A2_2*MAX(0,SMALL(bw_xall,18)-bw_h0-bw_zw))),NA()),NA())</f>
        <v/>
      </c>
      <c r="AF21">
        <f>L_bw-1000*SMALL(bw_xall,18)</f>
        <v/>
      </c>
      <c r="AN21">
        <f>IF(inputs_ok,IF(TRUE,(t_bw+0.08*L_bw)+(0.28*L_bw/MAX(bw_Mspan,ABS(bw_Mbase),0.001))*(bw_R_1*(17/24*bw_L)-(IF(MIN((17/24*bw_L),bw_b2)&gt;MAX(0,bw_b1),((MIN((17/24*bw_L),bw_b2))-(MAX(0,bw_b1)))/2*(0.5555555555555556*IF(((MAX(0,bw_b1))+(MIN((17/24*bw_L),bw_b2)))/2+((MIN((17/24*bw_L),bw_b2))-(MAX(0,bw_b1)))/2*(-0.7745966692414834)&lt;bw_h0,0,bw_A0_1+bw_A1_1*MIN(((MAX(0,bw_b1))+(MIN((17/24*bw_L),bw_b2)))/2+((MIN((17/24*bw_L),bw_b2))-(MAX(0,bw_b1)))/2*(-0.7745966692414834)-bw_h0,bw_zw)+bw_A2_1*MAX(0,((MAX(0,bw_b1))+(MIN((17/24*bw_L),bw_b2)))/2+((MIN((17/24*bw_L),bw_b2))-(MAX(0,bw_b1)))/2*(-0.7745966692414834)-bw_h0-bw_zw))*(((17/24*bw_L))-(((MAX(0,bw_b1))+(MIN((17/24*bw_L),bw_b2)))/2+((MIN((17/24*bw_L),bw_b2))-(MAX(0,bw_b1)))/2*(-0.7745966692414834)))+0.8888888888888888*IF(((MAX(0,bw_b1))+(MIN((17/24*bw_L),bw_b2)))/2+((MIN((17/24*bw_L),bw_b2))-(MAX(0,bw_b1)))/2*(0.0)&lt;bw_h0,0,bw_A0_1+bw_A1_1*MIN(((MAX(0,bw_b1))+(MIN((17/24*bw_L),bw_b2)))/2+((MIN((17/24*bw_L),bw_b2))-(MAX(0,bw_b1)))/2*(0.0)-bw_h0,bw_zw)+bw_A2_1*MAX(0,((MAX(0,bw_b1))+(MIN((17/24*bw_L),bw_b2)))/2+((MIN((17/24*bw_L),bw_b2))-(MAX(0,bw_b1)))/2*(0.0)-bw_h0-bw_zw))*(((17/24*bw_L))-(((MAX(0,bw_b1))+(MIN((17/24*bw_L),bw_b2)))/2+((MIN((17/24*bw_L),bw_b2))-(MAX(0,bw_b1)))/2*(0.0)))+0.5555555555555556*IF(((MAX(0,bw_b1))+(MIN((17/24*bw_L),bw_b2)))/2+((MIN((17/24*bw_L),bw_b2))-(MAX(0,bw_b1)))/2*(0.7745966692414834)&lt;bw_h0,0,bw_A0_1+bw_A1_1*MIN(((MAX(0,bw_b1))+(MIN((17/24*bw_L),bw_b2)))/2+((MIN((17/24*bw_L),bw_b2))-(MAX(0,bw_b1)))/2*(0.7745966692414834)-bw_h0,bw_zw)+bw_A2_1*MAX(0,((MAX(0,bw_b1))+(MIN((17/24*bw_L),bw_b2)))/2+((MIN((17/24*bw_L),bw_b2))-(MAX(0,bw_b1)))/2*(0.7745966692414834)-bw_h0-bw_zw))*(((17/24*bw_L))-(((MAX(0,bw_b1))+(MIN((17/24*bw_L),bw_b2)))/2+((MIN((17/24*bw_L),bw_b2))-(MAX(0,bw_b1)))/2*(0.7745966692414834)))),0)+IF(MIN((17/24*bw_L),bw_L)&gt;MAX(0,bw_b2),((MIN((17/24*bw_L),bw_L))-(MAX(0,bw_b2)))/2*(0.5555555555555556*IF(((MAX(0,bw_b2))+(MIN((17/24*bw_L),bw_L)))/2+((MIN((17/24*bw_L),bw_L))-(MAX(0,bw_b2)))/2*(-0.7745966692414834)&lt;bw_h0,0,bw_A0_1+bw_A1_1*MIN(((MAX(0,bw_b2))+(MIN((17/24*bw_L),bw_L)))/2+((MIN((17/24*bw_L),bw_L))-(MAX(0,bw_b2)))/2*(-0.7745966692414834)-bw_h0,bw_zw)+bw_A2_1*MAX(0,((MAX(0,bw_b2))+(MIN((17/24*bw_L),bw_L)))/2+((MIN((17/24*bw_L),bw_L))-(MAX(0,bw_b2)))/2*(-0.7745966692414834)-bw_h0-bw_zw))*(((17/24*bw_L))-(((MAX(0,bw_b2))+(MIN((17/24*bw_L),bw_L)))/2+((MIN((17/24*bw_L),bw_L))-(MAX(0,bw_b2)))/2*(-0.7745966692414834)))+0.8888888888888888*IF(((MAX(0,bw_b2))+(MIN((17/24*bw_L),bw_L)))/2+((MIN((17/24*bw_L),bw_L))-(MAX(0,bw_b2)))/2*(0.0)&lt;bw_h0,0,bw_A0_1+bw_A1_1*MIN(((MAX(0,bw_b2))+(MIN((17/24*bw_L),bw_L)))/2+((MIN((17/24*bw_L),bw_L))-(MAX(0,bw_b2)))/2*(0.0)-bw_h0,bw_zw)+bw_A2_1*MAX(0,((MAX(0,bw_b2))+(MIN((17/24*bw_L),bw_L)))/2+((MIN((17/24*bw_L),bw_L))-(MAX(0,bw_b2)))/2*(0.0)-bw_h0-bw_zw))*(((17/24*bw_L))-(((MAX(0,bw_b2))+(MIN((17/24*bw_L),bw_L)))/2+((MIN((17/24*bw_L),bw_L))-(MAX(0,bw_b2)))/2*(0.0)))+0.5555555555555556*IF(((MAX(0,bw_b2))+(MIN((17/24*bw_L),bw_L)))/2+((MIN((17/24*bw_L),bw_L))-(MAX(0,bw_b2)))/2*(0.7745966692414834)&lt;bw_h0,0,bw_A0_1+bw_A1_1*MIN(((MAX(0,bw_b2))+(MIN((17/24*bw_L),bw_L)))/2+((MIN((17/24*bw_L),bw_L))-(MAX(0,bw_b2)))/2*(0.7745966692414834)-bw_h0,bw_zw)+bw_A2_1*MAX(0,((MAX(0,bw_b2))+(MIN((17/24*bw_L),bw_L)))/2+((MIN((17/24*bw_L),bw_L))-(MAX(0,bw_b2)))/2*(0.7745966692414834)-bw_h0-bw_zw))*(((17/24*bw_L))-(((MAX(0,bw_b2))+(MIN((17/24*bw_L),bw_L)))/2+((MIN((17/24*bw_L),bw_L))-(MAX(0,bw_b2)))/2*(0.7745966692414834)))),0))),NA()),NA())</f>
        <v/>
      </c>
      <c r="AO21">
        <f>L_bw-1000*(17/24*bw_L)</f>
        <v/>
      </c>
      <c r="AQ21">
        <f>IF(inputs_ok,IF(bw_on2,(t_bw+0.08*L_bw)+(0.28*L_bw/MAX(bw_Mspan,ABS(bw_Mbase),0.001))*(bw_R_2*(17/24*bw_L)-(IF(MIN((17/24*bw_L),bw_b2)&gt;MAX(0,bw_b1),((MIN((17/24*bw_L),bw_b2))-(MAX(0,bw_b1)))/2*(0.5555555555555556*IF(((MAX(0,bw_b1))+(MIN((17/24*bw_L),bw_b2)))/2+((MIN((17/24*bw_L),bw_b2))-(MAX(0,bw_b1)))/2*(-0.7745966692414834)&lt;bw_h0,0,bw_A0_2+bw_A1_2*MIN(((MAX(0,bw_b1))+(MIN((17/24*bw_L),bw_b2)))/2+((MIN((17/24*bw_L),bw_b2))-(MAX(0,bw_b1)))/2*(-0.7745966692414834)-bw_h0,bw_zw)+bw_A2_2*MAX(0,((MAX(0,bw_b1))+(MIN((17/24*bw_L),bw_b2)))/2+((MIN((17/24*bw_L),bw_b2))-(MAX(0,bw_b1)))/2*(-0.7745966692414834)-bw_h0-bw_zw))*(((17/24*bw_L))-(((MAX(0,bw_b1))+(MIN((17/24*bw_L),bw_b2)))/2+((MIN((17/24*bw_L),bw_b2))-(MAX(0,bw_b1)))/2*(-0.7745966692414834)))+0.8888888888888888*IF(((MAX(0,bw_b1))+(MIN((17/24*bw_L),bw_b2)))/2+((MIN((17/24*bw_L),bw_b2))-(MAX(0,bw_b1)))/2*(0.0)&lt;bw_h0,0,bw_A0_2+bw_A1_2*MIN(((MAX(0,bw_b1))+(MIN((17/24*bw_L),bw_b2)))/2+((MIN((17/24*bw_L),bw_b2))-(MAX(0,bw_b1)))/2*(0.0)-bw_h0,bw_zw)+bw_A2_2*MAX(0,((MAX(0,bw_b1))+(MIN((17/24*bw_L),bw_b2)))/2+((MIN((17/24*bw_L),bw_b2))-(MAX(0,bw_b1)))/2*(0.0)-bw_h0-bw_zw))*(((17/24*bw_L))-(((MAX(0,bw_b1))+(MIN((17/24*bw_L),bw_b2)))/2+((MIN((17/24*bw_L),bw_b2))-(MAX(0,bw_b1)))/2*(0.0)))+0.5555555555555556*IF(((MAX(0,bw_b1))+(MIN((17/24*bw_L),bw_b2)))/2+((MIN((17/24*bw_L),bw_b2))-(MAX(0,bw_b1)))/2*(0.7745966692414834)&lt;bw_h0,0,bw_A0_2+bw_A1_2*MIN(((MAX(0,bw_b1))+(MIN((17/24*bw_L),bw_b2)))/2+((MIN((17/24*bw_L),bw_b2))-(MAX(0,bw_b1)))/2*(0.7745966692414834)-bw_h0,bw_zw)+bw_A2_2*MAX(0,((MAX(0,bw_b1))+(MIN((17/24*bw_L),bw_b2)))/2+((MIN((17/24*bw_L),bw_b2))-(MAX(0,bw_b1)))/2*(0.7745966692414834)-bw_h0-bw_zw))*(((17/24*bw_L))-(((MAX(0,bw_b1))+(MIN((17/24*bw_L),bw_b2)))/2+((MIN((17/24*bw_L),bw_b2))-(MAX(0,bw_b1)))/2*(0.7745966692414834)))),0)+IF(MIN((17/24*bw_L),bw_L)&gt;MAX(0,bw_b2),((MIN((17/24*bw_L),bw_L))-(MAX(0,bw_b2)))/2*(0.5555555555555556*IF(((MAX(0,bw_b2))+(MIN((17/24*bw_L),bw_L)))/2+((MIN((17/24*bw_L),bw_L))-(MAX(0,bw_b2)))/2*(-0.7745966692414834)&lt;bw_h0,0,bw_A0_2+bw_A1_2*MIN(((MAX(0,bw_b2))+(MIN((17/24*bw_L),bw_L)))/2+((MIN((17/24*bw_L),bw_L))-(MAX(0,bw_b2)))/2*(-0.7745966692414834)-bw_h0,bw_zw)+bw_A2_2*MAX(0,((MAX(0,bw_b2))+(MIN((17/24*bw_L),bw_L)))/2+((MIN((17/24*bw_L),bw_L))-(MAX(0,bw_b2)))/2*(-0.7745966692414834)-bw_h0-bw_zw))*(((17/24*bw_L))-(((MAX(0,bw_b2))+(MIN((17/24*bw_L),bw_L)))/2+((MIN((17/24*bw_L),bw_L))-(MAX(0,bw_b2)))/2*(-0.7745966692414834)))+0.8888888888888888*IF(((MAX(0,bw_b2))+(MIN((17/24*bw_L),bw_L)))/2+((MIN((17/24*bw_L),bw_L))-(MAX(0,bw_b2)))/2*(0.0)&lt;bw_h0,0,bw_A0_2+bw_A1_2*MIN(((MAX(0,bw_b2))+(MIN((17/24*bw_L),bw_L)))/2+((MIN((17/24*bw_L),bw_L))-(MAX(0,bw_b2)))/2*(0.0)-bw_h0,bw_zw)+bw_A2_2*MAX(0,((MAX(0,bw_b2))+(MIN((17/24*bw_L),bw_L)))/2+((MIN((17/24*bw_L),bw_L))-(MAX(0,bw_b2)))/2*(0.0)-bw_h0-bw_zw))*(((17/24*bw_L))-(((MAX(0,bw_b2))+(MIN((17/24*bw_L),bw_L)))/2+((MIN((17/24*bw_L),bw_L))-(MAX(0,bw_b2)))/2*(0.0)))+0.5555555555555556*IF(((MAX(0,bw_b2))+(MIN((17/24*bw_L),bw_L)))/2+((MIN((17/24*bw_L),bw_L))-(MAX(0,bw_b2)))/2*(0.7745966692414834)&lt;bw_h0,0,bw_A0_2+bw_A1_2*MIN(((MAX(0,bw_b2))+(MIN((17/24*bw_L),bw_L)))/2+((MIN((17/24*bw_L),bw_L))-(MAX(0,bw_b2)))/2*(0.7745966692414834)-bw_h0,bw_zw)+bw_A2_2*MAX(0,((MAX(0,bw_b2))+(MIN((17/24*bw_L),bw_L)))/2+((MIN((17/24*bw_L),bw_L))-(MAX(0,bw_b2)))/2*(0.7745966692414834)-bw_h0-bw_zw))*(((17/24*bw_L))-(((MAX(0,bw_b2))+(MIN((17/24*bw_L),bw_L)))/2+((MIN((17/24*bw_L),bw_L))-(MAX(0,bw_b2)))/2*(0.7745966692414834)))),0))),NA()),NA())</f>
        <v/>
      </c>
      <c r="AR21">
        <f>L_bw-1000*(17/24*bw_L)</f>
        <v/>
      </c>
    </row>
    <row r="22">
      <c r="AB22">
        <f>IF(inputs_ok,IF(TRUE,-(0.3*L_bw/MAX(bw_pmax,0.001))*IF(AND(SMALL(bw_xall,20)=SMALL(bw_xall,19),SMALL(bw_xall,19)=bw_h0),0,IF(SMALL(bw_xall,19)&lt;bw_h0,0,bw_A0_1+bw_A1_1*MIN(SMALL(bw_xall,19)-bw_h0,bw_zw)+bw_A2_1*MAX(0,SMALL(bw_xall,19)-bw_h0-bw_zw))),NA()),NA())</f>
        <v/>
      </c>
      <c r="AC22">
        <f>L_bw-1000*SMALL(bw_xall,19)</f>
        <v/>
      </c>
      <c r="AE22">
        <f>IF(inputs_ok,IF(bw_on2,-(0.3*L_bw/MAX(bw_pmax,0.001))*IF(AND(SMALL(bw_xall,20)=SMALL(bw_xall,19),SMALL(bw_xall,19)=bw_h0),0,IF(SMALL(bw_xall,19)&lt;bw_h0,0,bw_A0_2+bw_A1_2*MIN(SMALL(bw_xall,19)-bw_h0,bw_zw)+bw_A2_2*MAX(0,SMALL(bw_xall,19)-bw_h0-bw_zw))),NA()),NA())</f>
        <v/>
      </c>
      <c r="AF22">
        <f>L_bw-1000*SMALL(bw_xall,19)</f>
        <v/>
      </c>
      <c r="AN22">
        <f>IF(inputs_ok,IF(TRUE,(t_bw+0.08*L_bw)+(0.28*L_bw/MAX(bw_Mspan,ABS(bw_Mbase),0.001))*(bw_R_1*(18/24*bw_L)-(IF(MIN((18/24*bw_L),bw_b2)&gt;MAX(0,bw_b1),((MIN((18/24*bw_L),bw_b2))-(MAX(0,bw_b1)))/2*(0.5555555555555556*IF(((MAX(0,bw_b1))+(MIN((18/24*bw_L),bw_b2)))/2+((MIN((18/24*bw_L),bw_b2))-(MAX(0,bw_b1)))/2*(-0.7745966692414834)&lt;bw_h0,0,bw_A0_1+bw_A1_1*MIN(((MAX(0,bw_b1))+(MIN((18/24*bw_L),bw_b2)))/2+((MIN((18/24*bw_L),bw_b2))-(MAX(0,bw_b1)))/2*(-0.7745966692414834)-bw_h0,bw_zw)+bw_A2_1*MAX(0,((MAX(0,bw_b1))+(MIN((18/24*bw_L),bw_b2)))/2+((MIN((18/24*bw_L),bw_b2))-(MAX(0,bw_b1)))/2*(-0.7745966692414834)-bw_h0-bw_zw))*(((18/24*bw_L))-(((MAX(0,bw_b1))+(MIN((18/24*bw_L),bw_b2)))/2+((MIN((18/24*bw_L),bw_b2))-(MAX(0,bw_b1)))/2*(-0.7745966692414834)))+0.8888888888888888*IF(((MAX(0,bw_b1))+(MIN((18/24*bw_L),bw_b2)))/2+((MIN((18/24*bw_L),bw_b2))-(MAX(0,bw_b1)))/2*(0.0)&lt;bw_h0,0,bw_A0_1+bw_A1_1*MIN(((MAX(0,bw_b1))+(MIN((18/24*bw_L),bw_b2)))/2+((MIN((18/24*bw_L),bw_b2))-(MAX(0,bw_b1)))/2*(0.0)-bw_h0,bw_zw)+bw_A2_1*MAX(0,((MAX(0,bw_b1))+(MIN((18/24*bw_L),bw_b2)))/2+((MIN((18/24*bw_L),bw_b2))-(MAX(0,bw_b1)))/2*(0.0)-bw_h0-bw_zw))*(((18/24*bw_L))-(((MAX(0,bw_b1))+(MIN((18/24*bw_L),bw_b2)))/2+((MIN((18/24*bw_L),bw_b2))-(MAX(0,bw_b1)))/2*(0.0)))+0.5555555555555556*IF(((MAX(0,bw_b1))+(MIN((18/24*bw_L),bw_b2)))/2+((MIN((18/24*bw_L),bw_b2))-(MAX(0,bw_b1)))/2*(0.7745966692414834)&lt;bw_h0,0,bw_A0_1+bw_A1_1*MIN(((MAX(0,bw_b1))+(MIN((18/24*bw_L),bw_b2)))/2+((MIN((18/24*bw_L),bw_b2))-(MAX(0,bw_b1)))/2*(0.7745966692414834)-bw_h0,bw_zw)+bw_A2_1*MAX(0,((MAX(0,bw_b1))+(MIN((18/24*bw_L),bw_b2)))/2+((MIN((18/24*bw_L),bw_b2))-(MAX(0,bw_b1)))/2*(0.7745966692414834)-bw_h0-bw_zw))*(((18/24*bw_L))-(((MAX(0,bw_b1))+(MIN((18/24*bw_L),bw_b2)))/2+((MIN((18/24*bw_L),bw_b2))-(MAX(0,bw_b1)))/2*(0.7745966692414834)))),0)+IF(MIN((18/24*bw_L),bw_L)&gt;MAX(0,bw_b2),((MIN((18/24*bw_L),bw_L))-(MAX(0,bw_b2)))/2*(0.5555555555555556*IF(((MAX(0,bw_b2))+(MIN((18/24*bw_L),bw_L)))/2+((MIN((18/24*bw_L),bw_L))-(MAX(0,bw_b2)))/2*(-0.7745966692414834)&lt;bw_h0,0,bw_A0_1+bw_A1_1*MIN(((MAX(0,bw_b2))+(MIN((18/24*bw_L),bw_L)))/2+((MIN((18/24*bw_L),bw_L))-(MAX(0,bw_b2)))/2*(-0.7745966692414834)-bw_h0,bw_zw)+bw_A2_1*MAX(0,((MAX(0,bw_b2))+(MIN((18/24*bw_L),bw_L)))/2+((MIN((18/24*bw_L),bw_L))-(MAX(0,bw_b2)))/2*(-0.7745966692414834)-bw_h0-bw_zw))*(((18/24*bw_L))-(((MAX(0,bw_b2))+(MIN((18/24*bw_L),bw_L)))/2+((MIN((18/24*bw_L),bw_L))-(MAX(0,bw_b2)))/2*(-0.7745966692414834)))+0.8888888888888888*IF(((MAX(0,bw_b2))+(MIN((18/24*bw_L),bw_L)))/2+((MIN((18/24*bw_L),bw_L))-(MAX(0,bw_b2)))/2*(0.0)&lt;bw_h0,0,bw_A0_1+bw_A1_1*MIN(((MAX(0,bw_b2))+(MIN((18/24*bw_L),bw_L)))/2+((MIN((18/24*bw_L),bw_L))-(MAX(0,bw_b2)))/2*(0.0)-bw_h0,bw_zw)+bw_A2_1*MAX(0,((MAX(0,bw_b2))+(MIN((18/24*bw_L),bw_L)))/2+((MIN((18/24*bw_L),bw_L))-(MAX(0,bw_b2)))/2*(0.0)-bw_h0-bw_zw))*(((18/24*bw_L))-(((MAX(0,bw_b2))+(MIN((18/24*bw_L),bw_L)))/2+((MIN((18/24*bw_L),bw_L))-(MAX(0,bw_b2)))/2*(0.0)))+0.5555555555555556*IF(((MAX(0,bw_b2))+(MIN((18/24*bw_L),bw_L)))/2+((MIN((18/24*bw_L),bw_L))-(MAX(0,bw_b2)))/2*(0.7745966692414834)&lt;bw_h0,0,bw_A0_1+bw_A1_1*MIN(((MAX(0,bw_b2))+(MIN((18/24*bw_L),bw_L)))/2+((MIN((18/24*bw_L),bw_L))-(MAX(0,bw_b2)))/2*(0.7745966692414834)-bw_h0,bw_zw)+bw_A2_1*MAX(0,((MAX(0,bw_b2))+(MIN((18/24*bw_L),bw_L)))/2+((MIN((18/24*bw_L),bw_L))-(MAX(0,bw_b2)))/2*(0.7745966692414834)-bw_h0-bw_zw))*(((18/24*bw_L))-(((MAX(0,bw_b2))+(MIN((18/24*bw_L),bw_L)))/2+((MIN((18/24*bw_L),bw_L))-(MAX(0,bw_b2)))/2*(0.7745966692414834)))),0))),NA()),NA())</f>
        <v/>
      </c>
      <c r="AO22">
        <f>L_bw-1000*(18/24*bw_L)</f>
        <v/>
      </c>
      <c r="AQ22">
        <f>IF(inputs_ok,IF(bw_on2,(t_bw+0.08*L_bw)+(0.28*L_bw/MAX(bw_Mspan,ABS(bw_Mbase),0.001))*(bw_R_2*(18/24*bw_L)-(IF(MIN((18/24*bw_L),bw_b2)&gt;MAX(0,bw_b1),((MIN((18/24*bw_L),bw_b2))-(MAX(0,bw_b1)))/2*(0.5555555555555556*IF(((MAX(0,bw_b1))+(MIN((18/24*bw_L),bw_b2)))/2+((MIN((18/24*bw_L),bw_b2))-(MAX(0,bw_b1)))/2*(-0.7745966692414834)&lt;bw_h0,0,bw_A0_2+bw_A1_2*MIN(((MAX(0,bw_b1))+(MIN((18/24*bw_L),bw_b2)))/2+((MIN((18/24*bw_L),bw_b2))-(MAX(0,bw_b1)))/2*(-0.7745966692414834)-bw_h0,bw_zw)+bw_A2_2*MAX(0,((MAX(0,bw_b1))+(MIN((18/24*bw_L),bw_b2)))/2+((MIN((18/24*bw_L),bw_b2))-(MAX(0,bw_b1)))/2*(-0.7745966692414834)-bw_h0-bw_zw))*(((18/24*bw_L))-(((MAX(0,bw_b1))+(MIN((18/24*bw_L),bw_b2)))/2+((MIN((18/24*bw_L),bw_b2))-(MAX(0,bw_b1)))/2*(-0.7745966692414834)))+0.8888888888888888*IF(((MAX(0,bw_b1))+(MIN((18/24*bw_L),bw_b2)))/2+((MIN((18/24*bw_L),bw_b2))-(MAX(0,bw_b1)))/2*(0.0)&lt;bw_h0,0,bw_A0_2+bw_A1_2*MIN(((MAX(0,bw_b1))+(MIN((18/24*bw_L),bw_b2)))/2+((MIN((18/24*bw_L),bw_b2))-(MAX(0,bw_b1)))/2*(0.0)-bw_h0,bw_zw)+bw_A2_2*MAX(0,((MAX(0,bw_b1))+(MIN((18/24*bw_L),bw_b2)))/2+((MIN((18/24*bw_L),bw_b2))-(MAX(0,bw_b1)))/2*(0.0)-bw_h0-bw_zw))*(((18/24*bw_L))-(((MAX(0,bw_b1))+(MIN((18/24*bw_L),bw_b2)))/2+((MIN((18/24*bw_L),bw_b2))-(MAX(0,bw_b1)))/2*(0.0)))+0.5555555555555556*IF(((MAX(0,bw_b1))+(MIN((18/24*bw_L),bw_b2)))/2+((MIN((18/24*bw_L),bw_b2))-(MAX(0,bw_b1)))/2*(0.7745966692414834)&lt;bw_h0,0,bw_A0_2+bw_A1_2*MIN(((MAX(0,bw_b1))+(MIN((18/24*bw_L),bw_b2)))/2+((MIN((18/24*bw_L),bw_b2))-(MAX(0,bw_b1)))/2*(0.7745966692414834)-bw_h0,bw_zw)+bw_A2_2*MAX(0,((MAX(0,bw_b1))+(MIN((18/24*bw_L),bw_b2)))/2+((MIN((18/24*bw_L),bw_b2))-(MAX(0,bw_b1)))/2*(0.7745966692414834)-bw_h0-bw_zw))*(((18/24*bw_L))-(((MAX(0,bw_b1))+(MIN((18/24*bw_L),bw_b2)))/2+((MIN((18/24*bw_L),bw_b2))-(MAX(0,bw_b1)))/2*(0.7745966692414834)))),0)+IF(MIN((18/24*bw_L),bw_L)&gt;MAX(0,bw_b2),((MIN((18/24*bw_L),bw_L))-(MAX(0,bw_b2)))/2*(0.5555555555555556*IF(((MAX(0,bw_b2))+(MIN((18/24*bw_L),bw_L)))/2+((MIN((18/24*bw_L),bw_L))-(MAX(0,bw_b2)))/2*(-0.7745966692414834)&lt;bw_h0,0,bw_A0_2+bw_A1_2*MIN(((MAX(0,bw_b2))+(MIN((18/24*bw_L),bw_L)))/2+((MIN((18/24*bw_L),bw_L))-(MAX(0,bw_b2)))/2*(-0.7745966692414834)-bw_h0,bw_zw)+bw_A2_2*MAX(0,((MAX(0,bw_b2))+(MIN((18/24*bw_L),bw_L)))/2+((MIN((18/24*bw_L),bw_L))-(MAX(0,bw_b2)))/2*(-0.7745966692414834)-bw_h0-bw_zw))*(((18/24*bw_L))-(((MAX(0,bw_b2))+(MIN((18/24*bw_L),bw_L)))/2+((MIN((18/24*bw_L),bw_L))-(MAX(0,bw_b2)))/2*(-0.7745966692414834)))+0.8888888888888888*IF(((MAX(0,bw_b2))+(MIN((18/24*bw_L),bw_L)))/2+((MIN((18/24*bw_L),bw_L))-(MAX(0,bw_b2)))/2*(0.0)&lt;bw_h0,0,bw_A0_2+bw_A1_2*MIN(((MAX(0,bw_b2))+(MIN((18/24*bw_L),bw_L)))/2+((MIN((18/24*bw_L),bw_L))-(MAX(0,bw_b2)))/2*(0.0)-bw_h0,bw_zw)+bw_A2_2*MAX(0,((MAX(0,bw_b2))+(MIN((18/24*bw_L),bw_L)))/2+((MIN((18/24*bw_L),bw_L))-(MAX(0,bw_b2)))/2*(0.0)-bw_h0-bw_zw))*(((18/24*bw_L))-(((MAX(0,bw_b2))+(MIN((18/24*bw_L),bw_L)))/2+((MIN((18/24*bw_L),bw_L))-(MAX(0,bw_b2)))/2*(0.0)))+0.5555555555555556*IF(((MAX(0,bw_b2))+(MIN((18/24*bw_L),bw_L)))/2+((MIN((18/24*bw_L),bw_L))-(MAX(0,bw_b2)))/2*(0.7745966692414834)&lt;bw_h0,0,bw_A0_2+bw_A1_2*MIN(((MAX(0,bw_b2))+(MIN((18/24*bw_L),bw_L)))/2+((MIN((18/24*bw_L),bw_L))-(MAX(0,bw_b2)))/2*(0.7745966692414834)-bw_h0,bw_zw)+bw_A2_2*MAX(0,((MAX(0,bw_b2))+(MIN((18/24*bw_L),bw_L)))/2+((MIN((18/24*bw_L),bw_L))-(MAX(0,bw_b2)))/2*(0.7745966692414834)-bw_h0-bw_zw))*(((18/24*bw_L))-(((MAX(0,bw_b2))+(MIN((18/24*bw_L),bw_L)))/2+((MIN((18/24*bw_L),bw_L))-(MAX(0,bw_b2)))/2*(0.7745966692414834)))),0))),NA()),NA())</f>
        <v/>
      </c>
      <c r="AR22">
        <f>L_bw-1000*(18/24*bw_L)</f>
        <v/>
      </c>
    </row>
    <row r="23">
      <c r="AB23">
        <f>IF(inputs_ok,IF(TRUE,-(0.3*L_bw/MAX(bw_pmax,0.001))*IF(AND(SMALL(bw_xall,21)=SMALL(bw_xall,20),SMALL(bw_xall,20)=bw_h0),0,IF(SMALL(bw_xall,20)&lt;bw_h0,0,bw_A0_1+bw_A1_1*MIN(SMALL(bw_xall,20)-bw_h0,bw_zw)+bw_A2_1*MAX(0,SMALL(bw_xall,20)-bw_h0-bw_zw))),NA()),NA())</f>
        <v/>
      </c>
      <c r="AC23">
        <f>L_bw-1000*SMALL(bw_xall,20)</f>
        <v/>
      </c>
      <c r="AE23">
        <f>IF(inputs_ok,IF(bw_on2,-(0.3*L_bw/MAX(bw_pmax,0.001))*IF(AND(SMALL(bw_xall,21)=SMALL(bw_xall,20),SMALL(bw_xall,20)=bw_h0),0,IF(SMALL(bw_xall,20)&lt;bw_h0,0,bw_A0_2+bw_A1_2*MIN(SMALL(bw_xall,20)-bw_h0,bw_zw)+bw_A2_2*MAX(0,SMALL(bw_xall,20)-bw_h0-bw_zw))),NA()),NA())</f>
        <v/>
      </c>
      <c r="AF23">
        <f>L_bw-1000*SMALL(bw_xall,20)</f>
        <v/>
      </c>
      <c r="AN23">
        <f>IF(inputs_ok,IF(TRUE,(t_bw+0.08*L_bw)+(0.28*L_bw/MAX(bw_Mspan,ABS(bw_Mbase),0.001))*(bw_R_1*(19/24*bw_L)-(IF(MIN((19/24*bw_L),bw_b2)&gt;MAX(0,bw_b1),((MIN((19/24*bw_L),bw_b2))-(MAX(0,bw_b1)))/2*(0.5555555555555556*IF(((MAX(0,bw_b1))+(MIN((19/24*bw_L),bw_b2)))/2+((MIN((19/24*bw_L),bw_b2))-(MAX(0,bw_b1)))/2*(-0.7745966692414834)&lt;bw_h0,0,bw_A0_1+bw_A1_1*MIN(((MAX(0,bw_b1))+(MIN((19/24*bw_L),bw_b2)))/2+((MIN((19/24*bw_L),bw_b2))-(MAX(0,bw_b1)))/2*(-0.7745966692414834)-bw_h0,bw_zw)+bw_A2_1*MAX(0,((MAX(0,bw_b1))+(MIN((19/24*bw_L),bw_b2)))/2+((MIN((19/24*bw_L),bw_b2))-(MAX(0,bw_b1)))/2*(-0.7745966692414834)-bw_h0-bw_zw))*(((19/24*bw_L))-(((MAX(0,bw_b1))+(MIN((19/24*bw_L),bw_b2)))/2+((MIN((19/24*bw_L),bw_b2))-(MAX(0,bw_b1)))/2*(-0.7745966692414834)))+0.8888888888888888*IF(((MAX(0,bw_b1))+(MIN((19/24*bw_L),bw_b2)))/2+((MIN((19/24*bw_L),bw_b2))-(MAX(0,bw_b1)))/2*(0.0)&lt;bw_h0,0,bw_A0_1+bw_A1_1*MIN(((MAX(0,bw_b1))+(MIN((19/24*bw_L),bw_b2)))/2+((MIN((19/24*bw_L),bw_b2))-(MAX(0,bw_b1)))/2*(0.0)-bw_h0,bw_zw)+bw_A2_1*MAX(0,((MAX(0,bw_b1))+(MIN((19/24*bw_L),bw_b2)))/2+((MIN((19/24*bw_L),bw_b2))-(MAX(0,bw_b1)))/2*(0.0)-bw_h0-bw_zw))*(((19/24*bw_L))-(((MAX(0,bw_b1))+(MIN((19/24*bw_L),bw_b2)))/2+((MIN((19/24*bw_L),bw_b2))-(MAX(0,bw_b1)))/2*(0.0)))+0.5555555555555556*IF(((MAX(0,bw_b1))+(MIN((19/24*bw_L),bw_b2)))/2+((MIN((19/24*bw_L),bw_b2))-(MAX(0,bw_b1)))/2*(0.7745966692414834)&lt;bw_h0,0,bw_A0_1+bw_A1_1*MIN(((MAX(0,bw_b1))+(MIN((19/24*bw_L),bw_b2)))/2+((MIN((19/24*bw_L),bw_b2))-(MAX(0,bw_b1)))/2*(0.7745966692414834)-bw_h0,bw_zw)+bw_A2_1*MAX(0,((MAX(0,bw_b1))+(MIN((19/24*bw_L),bw_b2)))/2+((MIN((19/24*bw_L),bw_b2))-(MAX(0,bw_b1)))/2*(0.7745966692414834)-bw_h0-bw_zw))*(((19/24*bw_L))-(((MAX(0,bw_b1))+(MIN((19/24*bw_L),bw_b2)))/2+((MIN((19/24*bw_L),bw_b2))-(MAX(0,bw_b1)))/2*(0.7745966692414834)))),0)+IF(MIN((19/24*bw_L),bw_L)&gt;MAX(0,bw_b2),((MIN((19/24*bw_L),bw_L))-(MAX(0,bw_b2)))/2*(0.5555555555555556*IF(((MAX(0,bw_b2))+(MIN((19/24*bw_L),bw_L)))/2+((MIN((19/24*bw_L),bw_L))-(MAX(0,bw_b2)))/2*(-0.7745966692414834)&lt;bw_h0,0,bw_A0_1+bw_A1_1*MIN(((MAX(0,bw_b2))+(MIN((19/24*bw_L),bw_L)))/2+((MIN((19/24*bw_L),bw_L))-(MAX(0,bw_b2)))/2*(-0.7745966692414834)-bw_h0,bw_zw)+bw_A2_1*MAX(0,((MAX(0,bw_b2))+(MIN((19/24*bw_L),bw_L)))/2+((MIN((19/24*bw_L),bw_L))-(MAX(0,bw_b2)))/2*(-0.7745966692414834)-bw_h0-bw_zw))*(((19/24*bw_L))-(((MAX(0,bw_b2))+(MIN((19/24*bw_L),bw_L)))/2+((MIN((19/24*bw_L),bw_L))-(MAX(0,bw_b2)))/2*(-0.7745966692414834)))+0.8888888888888888*IF(((MAX(0,bw_b2))+(MIN((19/24*bw_L),bw_L)))/2+((MIN((19/24*bw_L),bw_L))-(MAX(0,bw_b2)))/2*(0.0)&lt;bw_h0,0,bw_A0_1+bw_A1_1*MIN(((MAX(0,bw_b2))+(MIN((19/24*bw_L),bw_L)))/2+((MIN((19/24*bw_L),bw_L))-(MAX(0,bw_b2)))/2*(0.0)-bw_h0,bw_zw)+bw_A2_1*MAX(0,((MAX(0,bw_b2))+(MIN((19/24*bw_L),bw_L)))/2+((MIN((19/24*bw_L),bw_L))-(MAX(0,bw_b2)))/2*(0.0)-bw_h0-bw_zw))*(((19/24*bw_L))-(((MAX(0,bw_b2))+(MIN((19/24*bw_L),bw_L)))/2+((MIN((19/24*bw_L),bw_L))-(MAX(0,bw_b2)))/2*(0.0)))+0.5555555555555556*IF(((MAX(0,bw_b2))+(MIN((19/24*bw_L),bw_L)))/2+((MIN((19/24*bw_L),bw_L))-(MAX(0,bw_b2)))/2*(0.7745966692414834)&lt;bw_h0,0,bw_A0_1+bw_A1_1*MIN(((MAX(0,bw_b2))+(MIN((19/24*bw_L),bw_L)))/2+((MIN((19/24*bw_L),bw_L))-(MAX(0,bw_b2)))/2*(0.7745966692414834)-bw_h0,bw_zw)+bw_A2_1*MAX(0,((MAX(0,bw_b2))+(MIN((19/24*bw_L),bw_L)))/2+((MIN((19/24*bw_L),bw_L))-(MAX(0,bw_b2)))/2*(0.7745966692414834)-bw_h0-bw_zw))*(((19/24*bw_L))-(((MAX(0,bw_b2))+(MIN((19/24*bw_L),bw_L)))/2+((MIN((19/24*bw_L),bw_L))-(MAX(0,bw_b2)))/2*(0.7745966692414834)))),0))),NA()),NA())</f>
        <v/>
      </c>
      <c r="AO23">
        <f>L_bw-1000*(19/24*bw_L)</f>
        <v/>
      </c>
      <c r="AQ23">
        <f>IF(inputs_ok,IF(bw_on2,(t_bw+0.08*L_bw)+(0.28*L_bw/MAX(bw_Mspan,ABS(bw_Mbase),0.001))*(bw_R_2*(19/24*bw_L)-(IF(MIN((19/24*bw_L),bw_b2)&gt;MAX(0,bw_b1),((MIN((19/24*bw_L),bw_b2))-(MAX(0,bw_b1)))/2*(0.5555555555555556*IF(((MAX(0,bw_b1))+(MIN((19/24*bw_L),bw_b2)))/2+((MIN((19/24*bw_L),bw_b2))-(MAX(0,bw_b1)))/2*(-0.7745966692414834)&lt;bw_h0,0,bw_A0_2+bw_A1_2*MIN(((MAX(0,bw_b1))+(MIN((19/24*bw_L),bw_b2)))/2+((MIN((19/24*bw_L),bw_b2))-(MAX(0,bw_b1)))/2*(-0.7745966692414834)-bw_h0,bw_zw)+bw_A2_2*MAX(0,((MAX(0,bw_b1))+(MIN((19/24*bw_L),bw_b2)))/2+((MIN((19/24*bw_L),bw_b2))-(MAX(0,bw_b1)))/2*(-0.7745966692414834)-bw_h0-bw_zw))*(((19/24*bw_L))-(((MAX(0,bw_b1))+(MIN((19/24*bw_L),bw_b2)))/2+((MIN((19/24*bw_L),bw_b2))-(MAX(0,bw_b1)))/2*(-0.7745966692414834)))+0.8888888888888888*IF(((MAX(0,bw_b1))+(MIN((19/24*bw_L),bw_b2)))/2+((MIN((19/24*bw_L),bw_b2))-(MAX(0,bw_b1)))/2*(0.0)&lt;bw_h0,0,bw_A0_2+bw_A1_2*MIN(((MAX(0,bw_b1))+(MIN((19/24*bw_L),bw_b2)))/2+((MIN((19/24*bw_L),bw_b2))-(MAX(0,bw_b1)))/2*(0.0)-bw_h0,bw_zw)+bw_A2_2*MAX(0,((MAX(0,bw_b1))+(MIN((19/24*bw_L),bw_b2)))/2+((MIN((19/24*bw_L),bw_b2))-(MAX(0,bw_b1)))/2*(0.0)-bw_h0-bw_zw))*(((19/24*bw_L))-(((MAX(0,bw_b1))+(MIN((19/24*bw_L),bw_b2)))/2+((MIN((19/24*bw_L),bw_b2))-(MAX(0,bw_b1)))/2*(0.0)))+0.5555555555555556*IF(((MAX(0,bw_b1))+(MIN((19/24*bw_L),bw_b2)))/2+((MIN((19/24*bw_L),bw_b2))-(MAX(0,bw_b1)))/2*(0.7745966692414834)&lt;bw_h0,0,bw_A0_2+bw_A1_2*MIN(((MAX(0,bw_b1))+(MIN((19/24*bw_L),bw_b2)))/2+((MIN((19/24*bw_L),bw_b2))-(MAX(0,bw_b1)))/2*(0.7745966692414834)-bw_h0,bw_zw)+bw_A2_2*MAX(0,((MAX(0,bw_b1))+(MIN((19/24*bw_L),bw_b2)))/2+((MIN((19/24*bw_L),bw_b2))-(MAX(0,bw_b1)))/2*(0.7745966692414834)-bw_h0-bw_zw))*(((19/24*bw_L))-(((MAX(0,bw_b1))+(MIN((19/24*bw_L),bw_b2)))/2+((MIN((19/24*bw_L),bw_b2))-(MAX(0,bw_b1)))/2*(0.7745966692414834)))),0)+IF(MIN((19/24*bw_L),bw_L)&gt;MAX(0,bw_b2),((MIN((19/24*bw_L),bw_L))-(MAX(0,bw_b2)))/2*(0.5555555555555556*IF(((MAX(0,bw_b2))+(MIN((19/24*bw_L),bw_L)))/2+((MIN((19/24*bw_L),bw_L))-(MAX(0,bw_b2)))/2*(-0.7745966692414834)&lt;bw_h0,0,bw_A0_2+bw_A1_2*MIN(((MAX(0,bw_b2))+(MIN((19/24*bw_L),bw_L)))/2+((MIN((19/24*bw_L),bw_L))-(MAX(0,bw_b2)))/2*(-0.7745966692414834)-bw_h0,bw_zw)+bw_A2_2*MAX(0,((MAX(0,bw_b2))+(MIN((19/24*bw_L),bw_L)))/2+((MIN((19/24*bw_L),bw_L))-(MAX(0,bw_b2)))/2*(-0.7745966692414834)-bw_h0-bw_zw))*(((19/24*bw_L))-(((MAX(0,bw_b2))+(MIN((19/24*bw_L),bw_L)))/2+((MIN((19/24*bw_L),bw_L))-(MAX(0,bw_b2)))/2*(-0.7745966692414834)))+0.8888888888888888*IF(((MAX(0,bw_b2))+(MIN((19/24*bw_L),bw_L)))/2+((MIN((19/24*bw_L),bw_L))-(MAX(0,bw_b2)))/2*(0.0)&lt;bw_h0,0,bw_A0_2+bw_A1_2*MIN(((MAX(0,bw_b2))+(MIN((19/24*bw_L),bw_L)))/2+((MIN((19/24*bw_L),bw_L))-(MAX(0,bw_b2)))/2*(0.0)-bw_h0,bw_zw)+bw_A2_2*MAX(0,((MAX(0,bw_b2))+(MIN((19/24*bw_L),bw_L)))/2+((MIN((19/24*bw_L),bw_L))-(MAX(0,bw_b2)))/2*(0.0)-bw_h0-bw_zw))*(((19/24*bw_L))-(((MAX(0,bw_b2))+(MIN((19/24*bw_L),bw_L)))/2+((MIN((19/24*bw_L),bw_L))-(MAX(0,bw_b2)))/2*(0.0)))+0.5555555555555556*IF(((MAX(0,bw_b2))+(MIN((19/24*bw_L),bw_L)))/2+((MIN((19/24*bw_L),bw_L))-(MAX(0,bw_b2)))/2*(0.7745966692414834)&lt;bw_h0,0,bw_A0_2+bw_A1_2*MIN(((MAX(0,bw_b2))+(MIN((19/24*bw_L),bw_L)))/2+((MIN((19/24*bw_L),bw_L))-(MAX(0,bw_b2)))/2*(0.7745966692414834)-bw_h0,bw_zw)+bw_A2_2*MAX(0,((MAX(0,bw_b2))+(MIN((19/24*bw_L),bw_L)))/2+((MIN((19/24*bw_L),bw_L))-(MAX(0,bw_b2)))/2*(0.7745966692414834)-bw_h0-bw_zw))*(((19/24*bw_L))-(((MAX(0,bw_b2))+(MIN((19/24*bw_L),bw_L)))/2+((MIN((19/24*bw_L),bw_L))-(MAX(0,bw_b2)))/2*(0.7745966692414834)))),0))),NA()),NA())</f>
        <v/>
      </c>
      <c r="AR23">
        <f>L_bw-1000*(19/24*bw_L)</f>
        <v/>
      </c>
    </row>
    <row r="24">
      <c r="AB24">
        <f>IF(inputs_ok,IF(TRUE,-(0.3*L_bw/MAX(bw_pmax,0.001))*IF(AND(SMALL(bw_xall,22)=SMALL(bw_xall,21),SMALL(bw_xall,21)=bw_h0),0,IF(SMALL(bw_xall,21)&lt;bw_h0,0,bw_A0_1+bw_A1_1*MIN(SMALL(bw_xall,21)-bw_h0,bw_zw)+bw_A2_1*MAX(0,SMALL(bw_xall,21)-bw_h0-bw_zw))),NA()),NA())</f>
        <v/>
      </c>
      <c r="AC24">
        <f>L_bw-1000*SMALL(bw_xall,21)</f>
        <v/>
      </c>
      <c r="AE24">
        <f>IF(inputs_ok,IF(bw_on2,-(0.3*L_bw/MAX(bw_pmax,0.001))*IF(AND(SMALL(bw_xall,22)=SMALL(bw_xall,21),SMALL(bw_xall,21)=bw_h0),0,IF(SMALL(bw_xall,21)&lt;bw_h0,0,bw_A0_2+bw_A1_2*MIN(SMALL(bw_xall,21)-bw_h0,bw_zw)+bw_A2_2*MAX(0,SMALL(bw_xall,21)-bw_h0-bw_zw))),NA()),NA())</f>
        <v/>
      </c>
      <c r="AF24">
        <f>L_bw-1000*SMALL(bw_xall,21)</f>
        <v/>
      </c>
      <c r="AN24">
        <f>IF(inputs_ok,IF(TRUE,(t_bw+0.08*L_bw)+(0.28*L_bw/MAX(bw_Mspan,ABS(bw_Mbase),0.001))*(bw_R_1*(20/24*bw_L)-(IF(MIN((20/24*bw_L),bw_b2)&gt;MAX(0,bw_b1),((MIN((20/24*bw_L),bw_b2))-(MAX(0,bw_b1)))/2*(0.5555555555555556*IF(((MAX(0,bw_b1))+(MIN((20/24*bw_L),bw_b2)))/2+((MIN((20/24*bw_L),bw_b2))-(MAX(0,bw_b1)))/2*(-0.7745966692414834)&lt;bw_h0,0,bw_A0_1+bw_A1_1*MIN(((MAX(0,bw_b1))+(MIN((20/24*bw_L),bw_b2)))/2+((MIN((20/24*bw_L),bw_b2))-(MAX(0,bw_b1)))/2*(-0.7745966692414834)-bw_h0,bw_zw)+bw_A2_1*MAX(0,((MAX(0,bw_b1))+(MIN((20/24*bw_L),bw_b2)))/2+((MIN((20/24*bw_L),bw_b2))-(MAX(0,bw_b1)))/2*(-0.7745966692414834)-bw_h0-bw_zw))*(((20/24*bw_L))-(((MAX(0,bw_b1))+(MIN((20/24*bw_L),bw_b2)))/2+((MIN((20/24*bw_L),bw_b2))-(MAX(0,bw_b1)))/2*(-0.7745966692414834)))+0.8888888888888888*IF(((MAX(0,bw_b1))+(MIN((20/24*bw_L),bw_b2)))/2+((MIN((20/24*bw_L),bw_b2))-(MAX(0,bw_b1)))/2*(0.0)&lt;bw_h0,0,bw_A0_1+bw_A1_1*MIN(((MAX(0,bw_b1))+(MIN((20/24*bw_L),bw_b2)))/2+((MIN((20/24*bw_L),bw_b2))-(MAX(0,bw_b1)))/2*(0.0)-bw_h0,bw_zw)+bw_A2_1*MAX(0,((MAX(0,bw_b1))+(MIN((20/24*bw_L),bw_b2)))/2+((MIN((20/24*bw_L),bw_b2))-(MAX(0,bw_b1)))/2*(0.0)-bw_h0-bw_zw))*(((20/24*bw_L))-(((MAX(0,bw_b1))+(MIN((20/24*bw_L),bw_b2)))/2+((MIN((20/24*bw_L),bw_b2))-(MAX(0,bw_b1)))/2*(0.0)))+0.5555555555555556*IF(((MAX(0,bw_b1))+(MIN((20/24*bw_L),bw_b2)))/2+((MIN((20/24*bw_L),bw_b2))-(MAX(0,bw_b1)))/2*(0.7745966692414834)&lt;bw_h0,0,bw_A0_1+bw_A1_1*MIN(((MAX(0,bw_b1))+(MIN((20/24*bw_L),bw_b2)))/2+((MIN((20/24*bw_L),bw_b2))-(MAX(0,bw_b1)))/2*(0.7745966692414834)-bw_h0,bw_zw)+bw_A2_1*MAX(0,((MAX(0,bw_b1))+(MIN((20/24*bw_L),bw_b2)))/2+((MIN((20/24*bw_L),bw_b2))-(MAX(0,bw_b1)))/2*(0.7745966692414834)-bw_h0-bw_zw))*(((20/24*bw_L))-(((MAX(0,bw_b1))+(MIN((20/24*bw_L),bw_b2)))/2+((MIN((20/24*bw_L),bw_b2))-(MAX(0,bw_b1)))/2*(0.7745966692414834)))),0)+IF(MIN((20/24*bw_L),bw_L)&gt;MAX(0,bw_b2),((MIN((20/24*bw_L),bw_L))-(MAX(0,bw_b2)))/2*(0.5555555555555556*IF(((MAX(0,bw_b2))+(MIN((20/24*bw_L),bw_L)))/2+((MIN((20/24*bw_L),bw_L))-(MAX(0,bw_b2)))/2*(-0.7745966692414834)&lt;bw_h0,0,bw_A0_1+bw_A1_1*MIN(((MAX(0,bw_b2))+(MIN((20/24*bw_L),bw_L)))/2+((MIN((20/24*bw_L),bw_L))-(MAX(0,bw_b2)))/2*(-0.7745966692414834)-bw_h0,bw_zw)+bw_A2_1*MAX(0,((MAX(0,bw_b2))+(MIN((20/24*bw_L),bw_L)))/2+((MIN((20/24*bw_L),bw_L))-(MAX(0,bw_b2)))/2*(-0.7745966692414834)-bw_h0-bw_zw))*(((20/24*bw_L))-(((MAX(0,bw_b2))+(MIN((20/24*bw_L),bw_L)))/2+((MIN((20/24*bw_L),bw_L))-(MAX(0,bw_b2)))/2*(-0.7745966692414834)))+0.8888888888888888*IF(((MAX(0,bw_b2))+(MIN((20/24*bw_L),bw_L)))/2+((MIN((20/24*bw_L),bw_L))-(MAX(0,bw_b2)))/2*(0.0)&lt;bw_h0,0,bw_A0_1+bw_A1_1*MIN(((MAX(0,bw_b2))+(MIN((20/24*bw_L),bw_L)))/2+((MIN((20/24*bw_L),bw_L))-(MAX(0,bw_b2)))/2*(0.0)-bw_h0,bw_zw)+bw_A2_1*MAX(0,((MAX(0,bw_b2))+(MIN((20/24*bw_L),bw_L)))/2+((MIN((20/24*bw_L),bw_L))-(MAX(0,bw_b2)))/2*(0.0)-bw_h0-bw_zw))*(((20/24*bw_L))-(((MAX(0,bw_b2))+(MIN((20/24*bw_L),bw_L)))/2+((MIN((20/24*bw_L),bw_L))-(MAX(0,bw_b2)))/2*(0.0)))+0.5555555555555556*IF(((MAX(0,bw_b2))+(MIN((20/24*bw_L),bw_L)))/2+((MIN((20/24*bw_L),bw_L))-(MAX(0,bw_b2)))/2*(0.7745966692414834)&lt;bw_h0,0,bw_A0_1+bw_A1_1*MIN(((MAX(0,bw_b2))+(MIN((20/24*bw_L),bw_L)))/2+((MIN((20/24*bw_L),bw_L))-(MAX(0,bw_b2)))/2*(0.7745966692414834)-bw_h0,bw_zw)+bw_A2_1*MAX(0,((MAX(0,bw_b2))+(MIN((20/24*bw_L),bw_L)))/2+((MIN((20/24*bw_L),bw_L))-(MAX(0,bw_b2)))/2*(0.7745966692414834)-bw_h0-bw_zw))*(((20/24*bw_L))-(((MAX(0,bw_b2))+(MIN((20/24*bw_L),bw_L)))/2+((MIN((20/24*bw_L),bw_L))-(MAX(0,bw_b2)))/2*(0.7745966692414834)))),0))),NA()),NA())</f>
        <v/>
      </c>
      <c r="AO24">
        <f>L_bw-1000*(20/24*bw_L)</f>
        <v/>
      </c>
      <c r="AQ24">
        <f>IF(inputs_ok,IF(bw_on2,(t_bw+0.08*L_bw)+(0.28*L_bw/MAX(bw_Mspan,ABS(bw_Mbase),0.001))*(bw_R_2*(20/24*bw_L)-(IF(MIN((20/24*bw_L),bw_b2)&gt;MAX(0,bw_b1),((MIN((20/24*bw_L),bw_b2))-(MAX(0,bw_b1)))/2*(0.5555555555555556*IF(((MAX(0,bw_b1))+(MIN((20/24*bw_L),bw_b2)))/2+((MIN((20/24*bw_L),bw_b2))-(MAX(0,bw_b1)))/2*(-0.7745966692414834)&lt;bw_h0,0,bw_A0_2+bw_A1_2*MIN(((MAX(0,bw_b1))+(MIN((20/24*bw_L),bw_b2)))/2+((MIN((20/24*bw_L),bw_b2))-(MAX(0,bw_b1)))/2*(-0.7745966692414834)-bw_h0,bw_zw)+bw_A2_2*MAX(0,((MAX(0,bw_b1))+(MIN((20/24*bw_L),bw_b2)))/2+((MIN((20/24*bw_L),bw_b2))-(MAX(0,bw_b1)))/2*(-0.7745966692414834)-bw_h0-bw_zw))*(((20/24*bw_L))-(((MAX(0,bw_b1))+(MIN((20/24*bw_L),bw_b2)))/2+((MIN((20/24*bw_L),bw_b2))-(MAX(0,bw_b1)))/2*(-0.7745966692414834)))+0.8888888888888888*IF(((MAX(0,bw_b1))+(MIN((20/24*bw_L),bw_b2)))/2+((MIN((20/24*bw_L),bw_b2))-(MAX(0,bw_b1)))/2*(0.0)&lt;bw_h0,0,bw_A0_2+bw_A1_2*MIN(((MAX(0,bw_b1))+(MIN((20/24*bw_L),bw_b2)))/2+((MIN((20/24*bw_L),bw_b2))-(MAX(0,bw_b1)))/2*(0.0)-bw_h0,bw_zw)+bw_A2_2*MAX(0,((MAX(0,bw_b1))+(MIN((20/24*bw_L),bw_b2)))/2+((MIN((20/24*bw_L),bw_b2))-(MAX(0,bw_b1)))/2*(0.0)-bw_h0-bw_zw))*(((20/24*bw_L))-(((MAX(0,bw_b1))+(MIN((20/24*bw_L),bw_b2)))/2+((MIN((20/24*bw_L),bw_b2))-(MAX(0,bw_b1)))/2*(0.0)))+0.5555555555555556*IF(((MAX(0,bw_b1))+(MIN((20/24*bw_L),bw_b2)))/2+((MIN((20/24*bw_L),bw_b2))-(MAX(0,bw_b1)))/2*(0.7745966692414834)&lt;bw_h0,0,bw_A0_2+bw_A1_2*MIN(((MAX(0,bw_b1))+(MIN((20/24*bw_L),bw_b2)))/2+((MIN((20/24*bw_L),bw_b2))-(MAX(0,bw_b1)))/2*(0.7745966692414834)-bw_h0,bw_zw)+bw_A2_2*MAX(0,((MAX(0,bw_b1))+(MIN((20/24*bw_L),bw_b2)))/2+((MIN((20/24*bw_L),bw_b2))-(MAX(0,bw_b1)))/2*(0.7745966692414834)-bw_h0-bw_zw))*(((20/24*bw_L))-(((MAX(0,bw_b1))+(MIN((20/24*bw_L),bw_b2)))/2+((MIN((20/24*bw_L),bw_b2))-(MAX(0,bw_b1)))/2*(0.7745966692414834)))),0)+IF(MIN((20/24*bw_L),bw_L)&gt;MAX(0,bw_b2),((MIN((20/24*bw_L),bw_L))-(MAX(0,bw_b2)))/2*(0.5555555555555556*IF(((MAX(0,bw_b2))+(MIN((20/24*bw_L),bw_L)))/2+((MIN((20/24*bw_L),bw_L))-(MAX(0,bw_b2)))/2*(-0.7745966692414834)&lt;bw_h0,0,bw_A0_2+bw_A1_2*MIN(((MAX(0,bw_b2))+(MIN((20/24*bw_L),bw_L)))/2+((MIN((20/24*bw_L),bw_L))-(MAX(0,bw_b2)))/2*(-0.7745966692414834)-bw_h0,bw_zw)+bw_A2_2*MAX(0,((MAX(0,bw_b2))+(MIN((20/24*bw_L),bw_L)))/2+((MIN((20/24*bw_L),bw_L))-(MAX(0,bw_b2)))/2*(-0.7745966692414834)-bw_h0-bw_zw))*(((20/24*bw_L))-(((MAX(0,bw_b2))+(MIN((20/24*bw_L),bw_L)))/2+((MIN((20/24*bw_L),bw_L))-(MAX(0,bw_b2)))/2*(-0.7745966692414834)))+0.8888888888888888*IF(((MAX(0,bw_b2))+(MIN((20/24*bw_L),bw_L)))/2+((MIN((20/24*bw_L),bw_L))-(MAX(0,bw_b2)))/2*(0.0)&lt;bw_h0,0,bw_A0_2+bw_A1_2*MIN(((MAX(0,bw_b2))+(MIN((20/24*bw_L),bw_L)))/2+((MIN((20/24*bw_L),bw_L))-(MAX(0,bw_b2)))/2*(0.0)-bw_h0,bw_zw)+bw_A2_2*MAX(0,((MAX(0,bw_b2))+(MIN((20/24*bw_L),bw_L)))/2+((MIN((20/24*bw_L),bw_L))-(MAX(0,bw_b2)))/2*(0.0)-bw_h0-bw_zw))*(((20/24*bw_L))-(((MAX(0,bw_b2))+(MIN((20/24*bw_L),bw_L)))/2+((MIN((20/24*bw_L),bw_L))-(MAX(0,bw_b2)))/2*(0.0)))+0.5555555555555556*IF(((MAX(0,bw_b2))+(MIN((20/24*bw_L),bw_L)))/2+((MIN((20/24*bw_L),bw_L))-(MAX(0,bw_b2)))/2*(0.7745966692414834)&lt;bw_h0,0,bw_A0_2+bw_A1_2*MIN(((MAX(0,bw_b2))+(MIN((20/24*bw_L),bw_L)))/2+((MIN((20/24*bw_L),bw_L))-(MAX(0,bw_b2)))/2*(0.7745966692414834)-bw_h0,bw_zw)+bw_A2_2*MAX(0,((MAX(0,bw_b2))+(MIN((20/24*bw_L),bw_L)))/2+((MIN((20/24*bw_L),bw_L))-(MAX(0,bw_b2)))/2*(0.7745966692414834)-bw_h0-bw_zw))*(((20/24*bw_L))-(((MAX(0,bw_b2))+(MIN((20/24*bw_L),bw_L)))/2+((MIN((20/24*bw_L),bw_L))-(MAX(0,bw_b2)))/2*(0.7745966692414834)))),0))),NA()),NA())</f>
        <v/>
      </c>
      <c r="AR24">
        <f>L_bw-1000*(20/24*bw_L)</f>
        <v/>
      </c>
    </row>
    <row r="25">
      <c r="AB25">
        <f>IF(inputs_ok,IF(TRUE,-(0.3*L_bw/MAX(bw_pmax,0.001))*IF(AND(SMALL(bw_xall,23)=SMALL(bw_xall,22),SMALL(bw_xall,22)=bw_h0),0,IF(SMALL(bw_xall,22)&lt;bw_h0,0,bw_A0_1+bw_A1_1*MIN(SMALL(bw_xall,22)-bw_h0,bw_zw)+bw_A2_1*MAX(0,SMALL(bw_xall,22)-bw_h0-bw_zw))),NA()),NA())</f>
        <v/>
      </c>
      <c r="AC25">
        <f>L_bw-1000*SMALL(bw_xall,22)</f>
        <v/>
      </c>
      <c r="AE25">
        <f>IF(inputs_ok,IF(bw_on2,-(0.3*L_bw/MAX(bw_pmax,0.001))*IF(AND(SMALL(bw_xall,23)=SMALL(bw_xall,22),SMALL(bw_xall,22)=bw_h0),0,IF(SMALL(bw_xall,22)&lt;bw_h0,0,bw_A0_2+bw_A1_2*MIN(SMALL(bw_xall,22)-bw_h0,bw_zw)+bw_A2_2*MAX(0,SMALL(bw_xall,22)-bw_h0-bw_zw))),NA()),NA())</f>
        <v/>
      </c>
      <c r="AF25">
        <f>L_bw-1000*SMALL(bw_xall,22)</f>
        <v/>
      </c>
      <c r="AN25">
        <f>IF(inputs_ok,IF(TRUE,(t_bw+0.08*L_bw)+(0.28*L_bw/MAX(bw_Mspan,ABS(bw_Mbase),0.001))*(bw_R_1*(21/24*bw_L)-(IF(MIN((21/24*bw_L),bw_b2)&gt;MAX(0,bw_b1),((MIN((21/24*bw_L),bw_b2))-(MAX(0,bw_b1)))/2*(0.5555555555555556*IF(((MAX(0,bw_b1))+(MIN((21/24*bw_L),bw_b2)))/2+((MIN((21/24*bw_L),bw_b2))-(MAX(0,bw_b1)))/2*(-0.7745966692414834)&lt;bw_h0,0,bw_A0_1+bw_A1_1*MIN(((MAX(0,bw_b1))+(MIN((21/24*bw_L),bw_b2)))/2+((MIN((21/24*bw_L),bw_b2))-(MAX(0,bw_b1)))/2*(-0.7745966692414834)-bw_h0,bw_zw)+bw_A2_1*MAX(0,((MAX(0,bw_b1))+(MIN((21/24*bw_L),bw_b2)))/2+((MIN((21/24*bw_L),bw_b2))-(MAX(0,bw_b1)))/2*(-0.7745966692414834)-bw_h0-bw_zw))*(((21/24*bw_L))-(((MAX(0,bw_b1))+(MIN((21/24*bw_L),bw_b2)))/2+((MIN((21/24*bw_L),bw_b2))-(MAX(0,bw_b1)))/2*(-0.7745966692414834)))+0.8888888888888888*IF(((MAX(0,bw_b1))+(MIN((21/24*bw_L),bw_b2)))/2+((MIN((21/24*bw_L),bw_b2))-(MAX(0,bw_b1)))/2*(0.0)&lt;bw_h0,0,bw_A0_1+bw_A1_1*MIN(((MAX(0,bw_b1))+(MIN((21/24*bw_L),bw_b2)))/2+((MIN((21/24*bw_L),bw_b2))-(MAX(0,bw_b1)))/2*(0.0)-bw_h0,bw_zw)+bw_A2_1*MAX(0,((MAX(0,bw_b1))+(MIN((21/24*bw_L),bw_b2)))/2+((MIN((21/24*bw_L),bw_b2))-(MAX(0,bw_b1)))/2*(0.0)-bw_h0-bw_zw))*(((21/24*bw_L))-(((MAX(0,bw_b1))+(MIN((21/24*bw_L),bw_b2)))/2+((MIN((21/24*bw_L),bw_b2))-(MAX(0,bw_b1)))/2*(0.0)))+0.5555555555555556*IF(((MAX(0,bw_b1))+(MIN((21/24*bw_L),bw_b2)))/2+((MIN((21/24*bw_L),bw_b2))-(MAX(0,bw_b1)))/2*(0.7745966692414834)&lt;bw_h0,0,bw_A0_1+bw_A1_1*MIN(((MAX(0,bw_b1))+(MIN((21/24*bw_L),bw_b2)))/2+((MIN((21/24*bw_L),bw_b2))-(MAX(0,bw_b1)))/2*(0.7745966692414834)-bw_h0,bw_zw)+bw_A2_1*MAX(0,((MAX(0,bw_b1))+(MIN((21/24*bw_L),bw_b2)))/2+((MIN((21/24*bw_L),bw_b2))-(MAX(0,bw_b1)))/2*(0.7745966692414834)-bw_h0-bw_zw))*(((21/24*bw_L))-(((MAX(0,bw_b1))+(MIN((21/24*bw_L),bw_b2)))/2+((MIN((21/24*bw_L),bw_b2))-(MAX(0,bw_b1)))/2*(0.7745966692414834)))),0)+IF(MIN((21/24*bw_L),bw_L)&gt;MAX(0,bw_b2),((MIN((21/24*bw_L),bw_L))-(MAX(0,bw_b2)))/2*(0.5555555555555556*IF(((MAX(0,bw_b2))+(MIN((21/24*bw_L),bw_L)))/2+((MIN((21/24*bw_L),bw_L))-(MAX(0,bw_b2)))/2*(-0.7745966692414834)&lt;bw_h0,0,bw_A0_1+bw_A1_1*MIN(((MAX(0,bw_b2))+(MIN((21/24*bw_L),bw_L)))/2+((MIN((21/24*bw_L),bw_L))-(MAX(0,bw_b2)))/2*(-0.7745966692414834)-bw_h0,bw_zw)+bw_A2_1*MAX(0,((MAX(0,bw_b2))+(MIN((21/24*bw_L),bw_L)))/2+((MIN((21/24*bw_L),bw_L))-(MAX(0,bw_b2)))/2*(-0.7745966692414834)-bw_h0-bw_zw))*(((21/24*bw_L))-(((MAX(0,bw_b2))+(MIN((21/24*bw_L),bw_L)))/2+((MIN((21/24*bw_L),bw_L))-(MAX(0,bw_b2)))/2*(-0.7745966692414834)))+0.8888888888888888*IF(((MAX(0,bw_b2))+(MIN((21/24*bw_L),bw_L)))/2+((MIN((21/24*bw_L),bw_L))-(MAX(0,bw_b2)))/2*(0.0)&lt;bw_h0,0,bw_A0_1+bw_A1_1*MIN(((MAX(0,bw_b2))+(MIN((21/24*bw_L),bw_L)))/2+((MIN((21/24*bw_L),bw_L))-(MAX(0,bw_b2)))/2*(0.0)-bw_h0,bw_zw)+bw_A2_1*MAX(0,((MAX(0,bw_b2))+(MIN((21/24*bw_L),bw_L)))/2+((MIN((21/24*bw_L),bw_L))-(MAX(0,bw_b2)))/2*(0.0)-bw_h0-bw_zw))*(((21/24*bw_L))-(((MAX(0,bw_b2))+(MIN((21/24*bw_L),bw_L)))/2+((MIN((21/24*bw_L),bw_L))-(MAX(0,bw_b2)))/2*(0.0)))+0.5555555555555556*IF(((MAX(0,bw_b2))+(MIN((21/24*bw_L),bw_L)))/2+((MIN((21/24*bw_L),bw_L))-(MAX(0,bw_b2)))/2*(0.7745966692414834)&lt;bw_h0,0,bw_A0_1+bw_A1_1*MIN(((MAX(0,bw_b2))+(MIN((21/24*bw_L),bw_L)))/2+((MIN((21/24*bw_L),bw_L))-(MAX(0,bw_b2)))/2*(0.7745966692414834)-bw_h0,bw_zw)+bw_A2_1*MAX(0,((MAX(0,bw_b2))+(MIN((21/24*bw_L),bw_L)))/2+((MIN((21/24*bw_L),bw_L))-(MAX(0,bw_b2)))/2*(0.7745966692414834)-bw_h0-bw_zw))*(((21/24*bw_L))-(((MAX(0,bw_b2))+(MIN((21/24*bw_L),bw_L)))/2+((MIN((21/24*bw_L),bw_L))-(MAX(0,bw_b2)))/2*(0.7745966692414834)))),0))),NA()),NA())</f>
        <v/>
      </c>
      <c r="AO25">
        <f>L_bw-1000*(21/24*bw_L)</f>
        <v/>
      </c>
      <c r="AQ25">
        <f>IF(inputs_ok,IF(bw_on2,(t_bw+0.08*L_bw)+(0.28*L_bw/MAX(bw_Mspan,ABS(bw_Mbase),0.001))*(bw_R_2*(21/24*bw_L)-(IF(MIN((21/24*bw_L),bw_b2)&gt;MAX(0,bw_b1),((MIN((21/24*bw_L),bw_b2))-(MAX(0,bw_b1)))/2*(0.5555555555555556*IF(((MAX(0,bw_b1))+(MIN((21/24*bw_L),bw_b2)))/2+((MIN((21/24*bw_L),bw_b2))-(MAX(0,bw_b1)))/2*(-0.7745966692414834)&lt;bw_h0,0,bw_A0_2+bw_A1_2*MIN(((MAX(0,bw_b1))+(MIN((21/24*bw_L),bw_b2)))/2+((MIN((21/24*bw_L),bw_b2))-(MAX(0,bw_b1)))/2*(-0.7745966692414834)-bw_h0,bw_zw)+bw_A2_2*MAX(0,((MAX(0,bw_b1))+(MIN((21/24*bw_L),bw_b2)))/2+((MIN((21/24*bw_L),bw_b2))-(MAX(0,bw_b1)))/2*(-0.7745966692414834)-bw_h0-bw_zw))*(((21/24*bw_L))-(((MAX(0,bw_b1))+(MIN((21/24*bw_L),bw_b2)))/2+((MIN((21/24*bw_L),bw_b2))-(MAX(0,bw_b1)))/2*(-0.7745966692414834)))+0.8888888888888888*IF(((MAX(0,bw_b1))+(MIN((21/24*bw_L),bw_b2)))/2+((MIN((21/24*bw_L),bw_b2))-(MAX(0,bw_b1)))/2*(0.0)&lt;bw_h0,0,bw_A0_2+bw_A1_2*MIN(((MAX(0,bw_b1))+(MIN((21/24*bw_L),bw_b2)))/2+((MIN((21/24*bw_L),bw_b2))-(MAX(0,bw_b1)))/2*(0.0)-bw_h0,bw_zw)+bw_A2_2*MAX(0,((MAX(0,bw_b1))+(MIN((21/24*bw_L),bw_b2)))/2+((MIN((21/24*bw_L),bw_b2))-(MAX(0,bw_b1)))/2*(0.0)-bw_h0-bw_zw))*(((21/24*bw_L))-(((MAX(0,bw_b1))+(MIN((21/24*bw_L),bw_b2)))/2+((MIN((21/24*bw_L),bw_b2))-(MAX(0,bw_b1)))/2*(0.0)))+0.5555555555555556*IF(((MAX(0,bw_b1))+(MIN((21/24*bw_L),bw_b2)))/2+((MIN((21/24*bw_L),bw_b2))-(MAX(0,bw_b1)))/2*(0.7745966692414834)&lt;bw_h0,0,bw_A0_2+bw_A1_2*MIN(((MAX(0,bw_b1))+(MIN((21/24*bw_L),bw_b2)))/2+((MIN((21/24*bw_L),bw_b2))-(MAX(0,bw_b1)))/2*(0.7745966692414834)-bw_h0,bw_zw)+bw_A2_2*MAX(0,((MAX(0,bw_b1))+(MIN((21/24*bw_L),bw_b2)))/2+((MIN((21/24*bw_L),bw_b2))-(MAX(0,bw_b1)))/2*(0.7745966692414834)-bw_h0-bw_zw))*(((21/24*bw_L))-(((MAX(0,bw_b1))+(MIN((21/24*bw_L),bw_b2)))/2+((MIN((21/24*bw_L),bw_b2))-(MAX(0,bw_b1)))/2*(0.7745966692414834)))),0)+IF(MIN((21/24*bw_L),bw_L)&gt;MAX(0,bw_b2),((MIN((21/24*bw_L),bw_L))-(MAX(0,bw_b2)))/2*(0.5555555555555556*IF(((MAX(0,bw_b2))+(MIN((21/24*bw_L),bw_L)))/2+((MIN((21/24*bw_L),bw_L))-(MAX(0,bw_b2)))/2*(-0.7745966692414834)&lt;bw_h0,0,bw_A0_2+bw_A1_2*MIN(((MAX(0,bw_b2))+(MIN((21/24*bw_L),bw_L)))/2+((MIN((21/24*bw_L),bw_L))-(MAX(0,bw_b2)))/2*(-0.7745966692414834)-bw_h0,bw_zw)+bw_A2_2*MAX(0,((MAX(0,bw_b2))+(MIN((21/24*bw_L),bw_L)))/2+((MIN((21/24*bw_L),bw_L))-(MAX(0,bw_b2)))/2*(-0.7745966692414834)-bw_h0-bw_zw))*(((21/24*bw_L))-(((MAX(0,bw_b2))+(MIN((21/24*bw_L),bw_L)))/2+((MIN((21/24*bw_L),bw_L))-(MAX(0,bw_b2)))/2*(-0.7745966692414834)))+0.8888888888888888*IF(((MAX(0,bw_b2))+(MIN((21/24*bw_L),bw_L)))/2+((MIN((21/24*bw_L),bw_L))-(MAX(0,bw_b2)))/2*(0.0)&lt;bw_h0,0,bw_A0_2+bw_A1_2*MIN(((MAX(0,bw_b2))+(MIN((21/24*bw_L),bw_L)))/2+((MIN((21/24*bw_L),bw_L))-(MAX(0,bw_b2)))/2*(0.0)-bw_h0,bw_zw)+bw_A2_2*MAX(0,((MAX(0,bw_b2))+(MIN((21/24*bw_L),bw_L)))/2+((MIN((21/24*bw_L),bw_L))-(MAX(0,bw_b2)))/2*(0.0)-bw_h0-bw_zw))*(((21/24*bw_L))-(((MAX(0,bw_b2))+(MIN((21/24*bw_L),bw_L)))/2+((MIN((21/24*bw_L),bw_L))-(MAX(0,bw_b2)))/2*(0.0)))+0.5555555555555556*IF(((MAX(0,bw_b2))+(MIN((21/24*bw_L),bw_L)))/2+((MIN((21/24*bw_L),bw_L))-(MAX(0,bw_b2)))/2*(0.7745966692414834)&lt;bw_h0,0,bw_A0_2+bw_A1_2*MIN(((MAX(0,bw_b2))+(MIN((21/24*bw_L),bw_L)))/2+((MIN((21/24*bw_L),bw_L))-(MAX(0,bw_b2)))/2*(0.7745966692414834)-bw_h0,bw_zw)+bw_A2_2*MAX(0,((MAX(0,bw_b2))+(MIN((21/24*bw_L),bw_L)))/2+((MIN((21/24*bw_L),bw_L))-(MAX(0,bw_b2)))/2*(0.7745966692414834)-bw_h0-bw_zw))*(((21/24*bw_L))-(((MAX(0,bw_b2))+(MIN((21/24*bw_L),bw_L)))/2+((MIN((21/24*bw_L),bw_L))-(MAX(0,bw_b2)))/2*(0.7745966692414834)))),0))),NA()),NA())</f>
        <v/>
      </c>
      <c r="AR25">
        <f>L_bw-1000*(21/24*bw_L)</f>
        <v/>
      </c>
    </row>
    <row r="26">
      <c r="AB26">
        <f>IF(inputs_ok,IF(TRUE,-(0.3*L_bw/MAX(bw_pmax,0.001))*IF(AND(SMALL(bw_xall,24)=SMALL(bw_xall,23),SMALL(bw_xall,23)=bw_h0),0,IF(SMALL(bw_xall,23)&lt;bw_h0,0,bw_A0_1+bw_A1_1*MIN(SMALL(bw_xall,23)-bw_h0,bw_zw)+bw_A2_1*MAX(0,SMALL(bw_xall,23)-bw_h0-bw_zw))),NA()),NA())</f>
        <v/>
      </c>
      <c r="AC26">
        <f>L_bw-1000*SMALL(bw_xall,23)</f>
        <v/>
      </c>
      <c r="AE26">
        <f>IF(inputs_ok,IF(bw_on2,-(0.3*L_bw/MAX(bw_pmax,0.001))*IF(AND(SMALL(bw_xall,24)=SMALL(bw_xall,23),SMALL(bw_xall,23)=bw_h0),0,IF(SMALL(bw_xall,23)&lt;bw_h0,0,bw_A0_2+bw_A1_2*MIN(SMALL(bw_xall,23)-bw_h0,bw_zw)+bw_A2_2*MAX(0,SMALL(bw_xall,23)-bw_h0-bw_zw))),NA()),NA())</f>
        <v/>
      </c>
      <c r="AF26">
        <f>L_bw-1000*SMALL(bw_xall,23)</f>
        <v/>
      </c>
      <c r="AN26">
        <f>IF(inputs_ok,IF(TRUE,(t_bw+0.08*L_bw)+(0.28*L_bw/MAX(bw_Mspan,ABS(bw_Mbase),0.001))*(bw_R_1*(22/24*bw_L)-(IF(MIN((22/24*bw_L),bw_b2)&gt;MAX(0,bw_b1),((MIN((22/24*bw_L),bw_b2))-(MAX(0,bw_b1)))/2*(0.5555555555555556*IF(((MAX(0,bw_b1))+(MIN((22/24*bw_L),bw_b2)))/2+((MIN((22/24*bw_L),bw_b2))-(MAX(0,bw_b1)))/2*(-0.7745966692414834)&lt;bw_h0,0,bw_A0_1+bw_A1_1*MIN(((MAX(0,bw_b1))+(MIN((22/24*bw_L),bw_b2)))/2+((MIN((22/24*bw_L),bw_b2))-(MAX(0,bw_b1)))/2*(-0.7745966692414834)-bw_h0,bw_zw)+bw_A2_1*MAX(0,((MAX(0,bw_b1))+(MIN((22/24*bw_L),bw_b2)))/2+((MIN((22/24*bw_L),bw_b2))-(MAX(0,bw_b1)))/2*(-0.7745966692414834)-bw_h0-bw_zw))*(((22/24*bw_L))-(((MAX(0,bw_b1))+(MIN((22/24*bw_L),bw_b2)))/2+((MIN((22/24*bw_L),bw_b2))-(MAX(0,bw_b1)))/2*(-0.7745966692414834)))+0.8888888888888888*IF(((MAX(0,bw_b1))+(MIN((22/24*bw_L),bw_b2)))/2+((MIN((22/24*bw_L),bw_b2))-(MAX(0,bw_b1)))/2*(0.0)&lt;bw_h0,0,bw_A0_1+bw_A1_1*MIN(((MAX(0,bw_b1))+(MIN((22/24*bw_L),bw_b2)))/2+((MIN((22/24*bw_L),bw_b2))-(MAX(0,bw_b1)))/2*(0.0)-bw_h0,bw_zw)+bw_A2_1*MAX(0,((MAX(0,bw_b1))+(MIN((22/24*bw_L),bw_b2)))/2+((MIN((22/24*bw_L),bw_b2))-(MAX(0,bw_b1)))/2*(0.0)-bw_h0-bw_zw))*(((22/24*bw_L))-(((MAX(0,bw_b1))+(MIN((22/24*bw_L),bw_b2)))/2+((MIN((22/24*bw_L),bw_b2))-(MAX(0,bw_b1)))/2*(0.0)))+0.5555555555555556*IF(((MAX(0,bw_b1))+(MIN((22/24*bw_L),bw_b2)))/2+((MIN((22/24*bw_L),bw_b2))-(MAX(0,bw_b1)))/2*(0.7745966692414834)&lt;bw_h0,0,bw_A0_1+bw_A1_1*MIN(((MAX(0,bw_b1))+(MIN((22/24*bw_L),bw_b2)))/2+((MIN((22/24*bw_L),bw_b2))-(MAX(0,bw_b1)))/2*(0.7745966692414834)-bw_h0,bw_zw)+bw_A2_1*MAX(0,((MAX(0,bw_b1))+(MIN((22/24*bw_L),bw_b2)))/2+((MIN((22/24*bw_L),bw_b2))-(MAX(0,bw_b1)))/2*(0.7745966692414834)-bw_h0-bw_zw))*(((22/24*bw_L))-(((MAX(0,bw_b1))+(MIN((22/24*bw_L),bw_b2)))/2+((MIN((22/24*bw_L),bw_b2))-(MAX(0,bw_b1)))/2*(0.7745966692414834)))),0)+IF(MIN((22/24*bw_L),bw_L)&gt;MAX(0,bw_b2),((MIN((22/24*bw_L),bw_L))-(MAX(0,bw_b2)))/2*(0.5555555555555556*IF(((MAX(0,bw_b2))+(MIN((22/24*bw_L),bw_L)))/2+((MIN((22/24*bw_L),bw_L))-(MAX(0,bw_b2)))/2*(-0.7745966692414834)&lt;bw_h0,0,bw_A0_1+bw_A1_1*MIN(((MAX(0,bw_b2))+(MIN((22/24*bw_L),bw_L)))/2+((MIN((22/24*bw_L),bw_L))-(MAX(0,bw_b2)))/2*(-0.7745966692414834)-bw_h0,bw_zw)+bw_A2_1*MAX(0,((MAX(0,bw_b2))+(MIN((22/24*bw_L),bw_L)))/2+((MIN((22/24*bw_L),bw_L))-(MAX(0,bw_b2)))/2*(-0.7745966692414834)-bw_h0-bw_zw))*(((22/24*bw_L))-(((MAX(0,bw_b2))+(MIN((22/24*bw_L),bw_L)))/2+((MIN((22/24*bw_L),bw_L))-(MAX(0,bw_b2)))/2*(-0.7745966692414834)))+0.8888888888888888*IF(((MAX(0,bw_b2))+(MIN((22/24*bw_L),bw_L)))/2+((MIN((22/24*bw_L),bw_L))-(MAX(0,bw_b2)))/2*(0.0)&lt;bw_h0,0,bw_A0_1+bw_A1_1*MIN(((MAX(0,bw_b2))+(MIN((22/24*bw_L),bw_L)))/2+((MIN((22/24*bw_L),bw_L))-(MAX(0,bw_b2)))/2*(0.0)-bw_h0,bw_zw)+bw_A2_1*MAX(0,((MAX(0,bw_b2))+(MIN((22/24*bw_L),bw_L)))/2+((MIN((22/24*bw_L),bw_L))-(MAX(0,bw_b2)))/2*(0.0)-bw_h0-bw_zw))*(((22/24*bw_L))-(((MAX(0,bw_b2))+(MIN((22/24*bw_L),bw_L)))/2+((MIN((22/24*bw_L),bw_L))-(MAX(0,bw_b2)))/2*(0.0)))+0.5555555555555556*IF(((MAX(0,bw_b2))+(MIN((22/24*bw_L),bw_L)))/2+((MIN((22/24*bw_L),bw_L))-(MAX(0,bw_b2)))/2*(0.7745966692414834)&lt;bw_h0,0,bw_A0_1+bw_A1_1*MIN(((MAX(0,bw_b2))+(MIN((22/24*bw_L),bw_L)))/2+((MIN((22/24*bw_L),bw_L))-(MAX(0,bw_b2)))/2*(0.7745966692414834)-bw_h0,bw_zw)+bw_A2_1*MAX(0,((MAX(0,bw_b2))+(MIN((22/24*bw_L),bw_L)))/2+((MIN((22/24*bw_L),bw_L))-(MAX(0,bw_b2)))/2*(0.7745966692414834)-bw_h0-bw_zw))*(((22/24*bw_L))-(((MAX(0,bw_b2))+(MIN((22/24*bw_L),bw_L)))/2+((MIN((22/24*bw_L),bw_L))-(MAX(0,bw_b2)))/2*(0.7745966692414834)))),0))),NA()),NA())</f>
        <v/>
      </c>
      <c r="AO26">
        <f>L_bw-1000*(22/24*bw_L)</f>
        <v/>
      </c>
      <c r="AQ26">
        <f>IF(inputs_ok,IF(bw_on2,(t_bw+0.08*L_bw)+(0.28*L_bw/MAX(bw_Mspan,ABS(bw_Mbase),0.001))*(bw_R_2*(22/24*bw_L)-(IF(MIN((22/24*bw_L),bw_b2)&gt;MAX(0,bw_b1),((MIN((22/24*bw_L),bw_b2))-(MAX(0,bw_b1)))/2*(0.5555555555555556*IF(((MAX(0,bw_b1))+(MIN((22/24*bw_L),bw_b2)))/2+((MIN((22/24*bw_L),bw_b2))-(MAX(0,bw_b1)))/2*(-0.7745966692414834)&lt;bw_h0,0,bw_A0_2+bw_A1_2*MIN(((MAX(0,bw_b1))+(MIN((22/24*bw_L),bw_b2)))/2+((MIN((22/24*bw_L),bw_b2))-(MAX(0,bw_b1)))/2*(-0.7745966692414834)-bw_h0,bw_zw)+bw_A2_2*MAX(0,((MAX(0,bw_b1))+(MIN((22/24*bw_L),bw_b2)))/2+((MIN((22/24*bw_L),bw_b2))-(MAX(0,bw_b1)))/2*(-0.7745966692414834)-bw_h0-bw_zw))*(((22/24*bw_L))-(((MAX(0,bw_b1))+(MIN((22/24*bw_L),bw_b2)))/2+((MIN((22/24*bw_L),bw_b2))-(MAX(0,bw_b1)))/2*(-0.7745966692414834)))+0.8888888888888888*IF(((MAX(0,bw_b1))+(MIN((22/24*bw_L),bw_b2)))/2+((MIN((22/24*bw_L),bw_b2))-(MAX(0,bw_b1)))/2*(0.0)&lt;bw_h0,0,bw_A0_2+bw_A1_2*MIN(((MAX(0,bw_b1))+(MIN((22/24*bw_L),bw_b2)))/2+((MIN((22/24*bw_L),bw_b2))-(MAX(0,bw_b1)))/2*(0.0)-bw_h0,bw_zw)+bw_A2_2*MAX(0,((MAX(0,bw_b1))+(MIN((22/24*bw_L),bw_b2)))/2+((MIN((22/24*bw_L),bw_b2))-(MAX(0,bw_b1)))/2*(0.0)-bw_h0-bw_zw))*(((22/24*bw_L))-(((MAX(0,bw_b1))+(MIN((22/24*bw_L),bw_b2)))/2+((MIN((22/24*bw_L),bw_b2))-(MAX(0,bw_b1)))/2*(0.0)))+0.5555555555555556*IF(((MAX(0,bw_b1))+(MIN((22/24*bw_L),bw_b2)))/2+((MIN((22/24*bw_L),bw_b2))-(MAX(0,bw_b1)))/2*(0.7745966692414834)&lt;bw_h0,0,bw_A0_2+bw_A1_2*MIN(((MAX(0,bw_b1))+(MIN((22/24*bw_L),bw_b2)))/2+((MIN((22/24*bw_L),bw_b2))-(MAX(0,bw_b1)))/2*(0.7745966692414834)-bw_h0,bw_zw)+bw_A2_2*MAX(0,((MAX(0,bw_b1))+(MIN((22/24*bw_L),bw_b2)))/2+((MIN((22/24*bw_L),bw_b2))-(MAX(0,bw_b1)))/2*(0.7745966692414834)-bw_h0-bw_zw))*(((22/24*bw_L))-(((MAX(0,bw_b1))+(MIN((22/24*bw_L),bw_b2)))/2+((MIN((22/24*bw_L),bw_b2))-(MAX(0,bw_b1)))/2*(0.7745966692414834)))),0)+IF(MIN((22/24*bw_L),bw_L)&gt;MAX(0,bw_b2),((MIN((22/24*bw_L),bw_L))-(MAX(0,bw_b2)))/2*(0.5555555555555556*IF(((MAX(0,bw_b2))+(MIN((22/24*bw_L),bw_L)))/2+((MIN((22/24*bw_L),bw_L))-(MAX(0,bw_b2)))/2*(-0.7745966692414834)&lt;bw_h0,0,bw_A0_2+bw_A1_2*MIN(((MAX(0,bw_b2))+(MIN((22/24*bw_L),bw_L)))/2+((MIN((22/24*bw_L),bw_L))-(MAX(0,bw_b2)))/2*(-0.7745966692414834)-bw_h0,bw_zw)+bw_A2_2*MAX(0,((MAX(0,bw_b2))+(MIN((22/24*bw_L),bw_L)))/2+((MIN((22/24*bw_L),bw_L))-(MAX(0,bw_b2)))/2*(-0.7745966692414834)-bw_h0-bw_zw))*(((22/24*bw_L))-(((MAX(0,bw_b2))+(MIN((22/24*bw_L),bw_L)))/2+((MIN((22/24*bw_L),bw_L))-(MAX(0,bw_b2)))/2*(-0.7745966692414834)))+0.8888888888888888*IF(((MAX(0,bw_b2))+(MIN((22/24*bw_L),bw_L)))/2+((MIN((22/24*bw_L),bw_L))-(MAX(0,bw_b2)))/2*(0.0)&lt;bw_h0,0,bw_A0_2+bw_A1_2*MIN(((MAX(0,bw_b2))+(MIN((22/24*bw_L),bw_L)))/2+((MIN((22/24*bw_L),bw_L))-(MAX(0,bw_b2)))/2*(0.0)-bw_h0,bw_zw)+bw_A2_2*MAX(0,((MAX(0,bw_b2))+(MIN((22/24*bw_L),bw_L)))/2+((MIN((22/24*bw_L),bw_L))-(MAX(0,bw_b2)))/2*(0.0)-bw_h0-bw_zw))*(((22/24*bw_L))-(((MAX(0,bw_b2))+(MIN((22/24*bw_L),bw_L)))/2+((MIN((22/24*bw_L),bw_L))-(MAX(0,bw_b2)))/2*(0.0)))+0.5555555555555556*IF(((MAX(0,bw_b2))+(MIN((22/24*bw_L),bw_L)))/2+((MIN((22/24*bw_L),bw_L))-(MAX(0,bw_b2)))/2*(0.7745966692414834)&lt;bw_h0,0,bw_A0_2+bw_A1_2*MIN(((MAX(0,bw_b2))+(MIN((22/24*bw_L),bw_L)))/2+((MIN((22/24*bw_L),bw_L))-(MAX(0,bw_b2)))/2*(0.7745966692414834)-bw_h0,bw_zw)+bw_A2_2*MAX(0,((MAX(0,bw_b2))+(MIN((22/24*bw_L),bw_L)))/2+((MIN((22/24*bw_L),bw_L))-(MAX(0,bw_b2)))/2*(0.7745966692414834)-bw_h0-bw_zw))*(((22/24*bw_L))-(((MAX(0,bw_b2))+(MIN((22/24*bw_L),bw_L)))/2+((MIN((22/24*bw_L),bw_L))-(MAX(0,bw_b2)))/2*(0.7745966692414834)))),0))),NA()),NA())</f>
        <v/>
      </c>
      <c r="AR26">
        <f>L_bw-1000*(22/24*bw_L)</f>
        <v/>
      </c>
    </row>
    <row r="27">
      <c r="AB27">
        <f>IF(inputs_ok,IF(TRUE,-(0.3*L_bw/MAX(bw_pmax,0.001))*IF(AND(SMALL(bw_xall,25)=SMALL(bw_xall,24),SMALL(bw_xall,24)=bw_h0),0,IF(SMALL(bw_xall,24)&lt;bw_h0,0,bw_A0_1+bw_A1_1*MIN(SMALL(bw_xall,24)-bw_h0,bw_zw)+bw_A2_1*MAX(0,SMALL(bw_xall,24)-bw_h0-bw_zw))),NA()),NA())</f>
        <v/>
      </c>
      <c r="AC27">
        <f>L_bw-1000*SMALL(bw_xall,24)</f>
        <v/>
      </c>
      <c r="AE27">
        <f>IF(inputs_ok,IF(bw_on2,-(0.3*L_bw/MAX(bw_pmax,0.001))*IF(AND(SMALL(bw_xall,25)=SMALL(bw_xall,24),SMALL(bw_xall,24)=bw_h0),0,IF(SMALL(bw_xall,24)&lt;bw_h0,0,bw_A0_2+bw_A1_2*MIN(SMALL(bw_xall,24)-bw_h0,bw_zw)+bw_A2_2*MAX(0,SMALL(bw_xall,24)-bw_h0-bw_zw))),NA()),NA())</f>
        <v/>
      </c>
      <c r="AF27">
        <f>L_bw-1000*SMALL(bw_xall,24)</f>
        <v/>
      </c>
      <c r="AN27">
        <f>IF(inputs_ok,IF(TRUE,(t_bw+0.08*L_bw)+(0.28*L_bw/MAX(bw_Mspan,ABS(bw_Mbase),0.001))*(bw_R_1*(23/24*bw_L)-(IF(MIN((23/24*bw_L),bw_b2)&gt;MAX(0,bw_b1),((MIN((23/24*bw_L),bw_b2))-(MAX(0,bw_b1)))/2*(0.5555555555555556*IF(((MAX(0,bw_b1))+(MIN((23/24*bw_L),bw_b2)))/2+((MIN((23/24*bw_L),bw_b2))-(MAX(0,bw_b1)))/2*(-0.7745966692414834)&lt;bw_h0,0,bw_A0_1+bw_A1_1*MIN(((MAX(0,bw_b1))+(MIN((23/24*bw_L),bw_b2)))/2+((MIN((23/24*bw_L),bw_b2))-(MAX(0,bw_b1)))/2*(-0.7745966692414834)-bw_h0,bw_zw)+bw_A2_1*MAX(0,((MAX(0,bw_b1))+(MIN((23/24*bw_L),bw_b2)))/2+((MIN((23/24*bw_L),bw_b2))-(MAX(0,bw_b1)))/2*(-0.7745966692414834)-bw_h0-bw_zw))*(((23/24*bw_L))-(((MAX(0,bw_b1))+(MIN((23/24*bw_L),bw_b2)))/2+((MIN((23/24*bw_L),bw_b2))-(MAX(0,bw_b1)))/2*(-0.7745966692414834)))+0.8888888888888888*IF(((MAX(0,bw_b1))+(MIN((23/24*bw_L),bw_b2)))/2+((MIN((23/24*bw_L),bw_b2))-(MAX(0,bw_b1)))/2*(0.0)&lt;bw_h0,0,bw_A0_1+bw_A1_1*MIN(((MAX(0,bw_b1))+(MIN((23/24*bw_L),bw_b2)))/2+((MIN((23/24*bw_L),bw_b2))-(MAX(0,bw_b1)))/2*(0.0)-bw_h0,bw_zw)+bw_A2_1*MAX(0,((MAX(0,bw_b1))+(MIN((23/24*bw_L),bw_b2)))/2+((MIN((23/24*bw_L),bw_b2))-(MAX(0,bw_b1)))/2*(0.0)-bw_h0-bw_zw))*(((23/24*bw_L))-(((MAX(0,bw_b1))+(MIN((23/24*bw_L),bw_b2)))/2+((MIN((23/24*bw_L),bw_b2))-(MAX(0,bw_b1)))/2*(0.0)))+0.5555555555555556*IF(((MAX(0,bw_b1))+(MIN((23/24*bw_L),bw_b2)))/2+((MIN((23/24*bw_L),bw_b2))-(MAX(0,bw_b1)))/2*(0.7745966692414834)&lt;bw_h0,0,bw_A0_1+bw_A1_1*MIN(((MAX(0,bw_b1))+(MIN((23/24*bw_L),bw_b2)))/2+((MIN((23/24*bw_L),bw_b2))-(MAX(0,bw_b1)))/2*(0.7745966692414834)-bw_h0,bw_zw)+bw_A2_1*MAX(0,((MAX(0,bw_b1))+(MIN((23/24*bw_L),bw_b2)))/2+((MIN((23/24*bw_L),bw_b2))-(MAX(0,bw_b1)))/2*(0.7745966692414834)-bw_h0-bw_zw))*(((23/24*bw_L))-(((MAX(0,bw_b1))+(MIN((23/24*bw_L),bw_b2)))/2+((MIN((23/24*bw_L),bw_b2))-(MAX(0,bw_b1)))/2*(0.7745966692414834)))),0)+IF(MIN((23/24*bw_L),bw_L)&gt;MAX(0,bw_b2),((MIN((23/24*bw_L),bw_L))-(MAX(0,bw_b2)))/2*(0.5555555555555556*IF(((MAX(0,bw_b2))+(MIN((23/24*bw_L),bw_L)))/2+((MIN((23/24*bw_L),bw_L))-(MAX(0,bw_b2)))/2*(-0.7745966692414834)&lt;bw_h0,0,bw_A0_1+bw_A1_1*MIN(((MAX(0,bw_b2))+(MIN((23/24*bw_L),bw_L)))/2+((MIN((23/24*bw_L),bw_L))-(MAX(0,bw_b2)))/2*(-0.7745966692414834)-bw_h0,bw_zw)+bw_A2_1*MAX(0,((MAX(0,bw_b2))+(MIN((23/24*bw_L),bw_L)))/2+((MIN((23/24*bw_L),bw_L))-(MAX(0,bw_b2)))/2*(-0.7745966692414834)-bw_h0-bw_zw))*(((23/24*bw_L))-(((MAX(0,bw_b2))+(MIN((23/24*bw_L),bw_L)))/2+((MIN((23/24*bw_L),bw_L))-(MAX(0,bw_b2)))/2*(-0.7745966692414834)))+0.8888888888888888*IF(((MAX(0,bw_b2))+(MIN((23/24*bw_L),bw_L)))/2+((MIN((23/24*bw_L),bw_L))-(MAX(0,bw_b2)))/2*(0.0)&lt;bw_h0,0,bw_A0_1+bw_A1_1*MIN(((MAX(0,bw_b2))+(MIN((23/24*bw_L),bw_L)))/2+((MIN((23/24*bw_L),bw_L))-(MAX(0,bw_b2)))/2*(0.0)-bw_h0,bw_zw)+bw_A2_1*MAX(0,((MAX(0,bw_b2))+(MIN((23/24*bw_L),bw_L)))/2+((MIN((23/24*bw_L),bw_L))-(MAX(0,bw_b2)))/2*(0.0)-bw_h0-bw_zw))*(((23/24*bw_L))-(((MAX(0,bw_b2))+(MIN((23/24*bw_L),bw_L)))/2+((MIN((23/24*bw_L),bw_L))-(MAX(0,bw_b2)))/2*(0.0)))+0.5555555555555556*IF(((MAX(0,bw_b2))+(MIN((23/24*bw_L),bw_L)))/2+((MIN((23/24*bw_L),bw_L))-(MAX(0,bw_b2)))/2*(0.7745966692414834)&lt;bw_h0,0,bw_A0_1+bw_A1_1*MIN(((MAX(0,bw_b2))+(MIN((23/24*bw_L),bw_L)))/2+((MIN((23/24*bw_L),bw_L))-(MAX(0,bw_b2)))/2*(0.7745966692414834)-bw_h0,bw_zw)+bw_A2_1*MAX(0,((MAX(0,bw_b2))+(MIN((23/24*bw_L),bw_L)))/2+((MIN((23/24*bw_L),bw_L))-(MAX(0,bw_b2)))/2*(0.7745966692414834)-bw_h0-bw_zw))*(((23/24*bw_L))-(((MAX(0,bw_b2))+(MIN((23/24*bw_L),bw_L)))/2+((MIN((23/24*bw_L),bw_L))-(MAX(0,bw_b2)))/2*(0.7745966692414834)))),0))),NA()),NA())</f>
        <v/>
      </c>
      <c r="AO27">
        <f>L_bw-1000*(23/24*bw_L)</f>
        <v/>
      </c>
      <c r="AQ27">
        <f>IF(inputs_ok,IF(bw_on2,(t_bw+0.08*L_bw)+(0.28*L_bw/MAX(bw_Mspan,ABS(bw_Mbase),0.001))*(bw_R_2*(23/24*bw_L)-(IF(MIN((23/24*bw_L),bw_b2)&gt;MAX(0,bw_b1),((MIN((23/24*bw_L),bw_b2))-(MAX(0,bw_b1)))/2*(0.5555555555555556*IF(((MAX(0,bw_b1))+(MIN((23/24*bw_L),bw_b2)))/2+((MIN((23/24*bw_L),bw_b2))-(MAX(0,bw_b1)))/2*(-0.7745966692414834)&lt;bw_h0,0,bw_A0_2+bw_A1_2*MIN(((MAX(0,bw_b1))+(MIN((23/24*bw_L),bw_b2)))/2+((MIN((23/24*bw_L),bw_b2))-(MAX(0,bw_b1)))/2*(-0.7745966692414834)-bw_h0,bw_zw)+bw_A2_2*MAX(0,((MAX(0,bw_b1))+(MIN((23/24*bw_L),bw_b2)))/2+((MIN((23/24*bw_L),bw_b2))-(MAX(0,bw_b1)))/2*(-0.7745966692414834)-bw_h0-bw_zw))*(((23/24*bw_L))-(((MAX(0,bw_b1))+(MIN((23/24*bw_L),bw_b2)))/2+((MIN((23/24*bw_L),bw_b2))-(MAX(0,bw_b1)))/2*(-0.7745966692414834)))+0.8888888888888888*IF(((MAX(0,bw_b1))+(MIN((23/24*bw_L),bw_b2)))/2+((MIN((23/24*bw_L),bw_b2))-(MAX(0,bw_b1)))/2*(0.0)&lt;bw_h0,0,bw_A0_2+bw_A1_2*MIN(((MAX(0,bw_b1))+(MIN((23/24*bw_L),bw_b2)))/2+((MIN((23/24*bw_L),bw_b2))-(MAX(0,bw_b1)))/2*(0.0)-bw_h0,bw_zw)+bw_A2_2*MAX(0,((MAX(0,bw_b1))+(MIN((23/24*bw_L),bw_b2)))/2+((MIN((23/24*bw_L),bw_b2))-(MAX(0,bw_b1)))/2*(0.0)-bw_h0-bw_zw))*(((23/24*bw_L))-(((MAX(0,bw_b1))+(MIN((23/24*bw_L),bw_b2)))/2+((MIN((23/24*bw_L),bw_b2))-(MAX(0,bw_b1)))/2*(0.0)))+0.5555555555555556*IF(((MAX(0,bw_b1))+(MIN((23/24*bw_L),bw_b2)))/2+((MIN((23/24*bw_L),bw_b2))-(MAX(0,bw_b1)))/2*(0.7745966692414834)&lt;bw_h0,0,bw_A0_2+bw_A1_2*MIN(((MAX(0,bw_b1))+(MIN((23/24*bw_L),bw_b2)))/2+((MIN((23/24*bw_L),bw_b2))-(MAX(0,bw_b1)))/2*(0.7745966692414834)-bw_h0,bw_zw)+bw_A2_2*MAX(0,((MAX(0,bw_b1))+(MIN((23/24*bw_L),bw_b2)))/2+((MIN((23/24*bw_L),bw_b2))-(MAX(0,bw_b1)))/2*(0.7745966692414834)-bw_h0-bw_zw))*(((23/24*bw_L))-(((MAX(0,bw_b1))+(MIN((23/24*bw_L),bw_b2)))/2+((MIN((23/24*bw_L),bw_b2))-(MAX(0,bw_b1)))/2*(0.7745966692414834)))),0)+IF(MIN((23/24*bw_L),bw_L)&gt;MAX(0,bw_b2),((MIN((23/24*bw_L),bw_L))-(MAX(0,bw_b2)))/2*(0.5555555555555556*IF(((MAX(0,bw_b2))+(MIN((23/24*bw_L),bw_L)))/2+((MIN((23/24*bw_L),bw_L))-(MAX(0,bw_b2)))/2*(-0.7745966692414834)&lt;bw_h0,0,bw_A0_2+bw_A1_2*MIN(((MAX(0,bw_b2))+(MIN((23/24*bw_L),bw_L)))/2+((MIN((23/24*bw_L),bw_L))-(MAX(0,bw_b2)))/2*(-0.7745966692414834)-bw_h0,bw_zw)+bw_A2_2*MAX(0,((MAX(0,bw_b2))+(MIN((23/24*bw_L),bw_L)))/2+((MIN((23/24*bw_L),bw_L))-(MAX(0,bw_b2)))/2*(-0.7745966692414834)-bw_h0-bw_zw))*(((23/24*bw_L))-(((MAX(0,bw_b2))+(MIN((23/24*bw_L),bw_L)))/2+((MIN((23/24*bw_L),bw_L))-(MAX(0,bw_b2)))/2*(-0.7745966692414834)))+0.8888888888888888*IF(((MAX(0,bw_b2))+(MIN((23/24*bw_L),bw_L)))/2+((MIN((23/24*bw_L),bw_L))-(MAX(0,bw_b2)))/2*(0.0)&lt;bw_h0,0,bw_A0_2+bw_A1_2*MIN(((MAX(0,bw_b2))+(MIN((23/24*bw_L),bw_L)))/2+((MIN((23/24*bw_L),bw_L))-(MAX(0,bw_b2)))/2*(0.0)-bw_h0,bw_zw)+bw_A2_2*MAX(0,((MAX(0,bw_b2))+(MIN((23/24*bw_L),bw_L)))/2+((MIN((23/24*bw_L),bw_L))-(MAX(0,bw_b2)))/2*(0.0)-bw_h0-bw_zw))*(((23/24*bw_L))-(((MAX(0,bw_b2))+(MIN((23/24*bw_L),bw_L)))/2+((MIN((23/24*bw_L),bw_L))-(MAX(0,bw_b2)))/2*(0.0)))+0.5555555555555556*IF(((MAX(0,bw_b2))+(MIN((23/24*bw_L),bw_L)))/2+((MIN((23/24*bw_L),bw_L))-(MAX(0,bw_b2)))/2*(0.7745966692414834)&lt;bw_h0,0,bw_A0_2+bw_A1_2*MIN(((MAX(0,bw_b2))+(MIN((23/24*bw_L),bw_L)))/2+((MIN((23/24*bw_L),bw_L))-(MAX(0,bw_b2)))/2*(0.7745966692414834)-bw_h0,bw_zw)+bw_A2_2*MAX(0,((MAX(0,bw_b2))+(MIN((23/24*bw_L),bw_L)))/2+((MIN((23/24*bw_L),bw_L))-(MAX(0,bw_b2)))/2*(0.7745966692414834)-bw_h0-bw_zw))*(((23/24*bw_L))-(((MAX(0,bw_b2))+(MIN((23/24*bw_L),bw_L)))/2+((MIN((23/24*bw_L),bw_L))-(MAX(0,bw_b2)))/2*(0.7745966692414834)))),0))),NA()),NA())</f>
        <v/>
      </c>
      <c r="AR27">
        <f>L_bw-1000*(23/24*bw_L)</f>
        <v/>
      </c>
    </row>
    <row r="28">
      <c r="AB28">
        <f>IF(inputs_ok,IF(TRUE,-(0.3*L_bw/MAX(bw_pmax,0.001))*IF(AND(SMALL(bw_xall,26)=SMALL(bw_xall,25),SMALL(bw_xall,25)=bw_h0),0,IF(SMALL(bw_xall,25)&lt;bw_h0,0,bw_A0_1+bw_A1_1*MIN(SMALL(bw_xall,25)-bw_h0,bw_zw)+bw_A2_1*MAX(0,SMALL(bw_xall,25)-bw_h0-bw_zw))),NA()),NA())</f>
        <v/>
      </c>
      <c r="AC28">
        <f>L_bw-1000*SMALL(bw_xall,25)</f>
        <v/>
      </c>
      <c r="AE28">
        <f>IF(inputs_ok,IF(bw_on2,-(0.3*L_bw/MAX(bw_pmax,0.001))*IF(AND(SMALL(bw_xall,26)=SMALL(bw_xall,25),SMALL(bw_xall,25)=bw_h0),0,IF(SMALL(bw_xall,25)&lt;bw_h0,0,bw_A0_2+bw_A1_2*MIN(SMALL(bw_xall,25)-bw_h0,bw_zw)+bw_A2_2*MAX(0,SMALL(bw_xall,25)-bw_h0-bw_zw))),NA()),NA())</f>
        <v/>
      </c>
      <c r="AF28">
        <f>L_bw-1000*SMALL(bw_xall,25)</f>
        <v/>
      </c>
      <c r="AN28">
        <f>IF(inputs_ok,IF(TRUE,(t_bw+0.08*L_bw)+(0.28*L_bw/MAX(bw_Mspan,ABS(bw_Mbase),0.001))*(bw_R_1*(24/24*bw_L)-(IF(MIN((24/24*bw_L),bw_b2)&gt;MAX(0,bw_b1),((MIN((24/24*bw_L),bw_b2))-(MAX(0,bw_b1)))/2*(0.5555555555555556*IF(((MAX(0,bw_b1))+(MIN((24/24*bw_L),bw_b2)))/2+((MIN((24/24*bw_L),bw_b2))-(MAX(0,bw_b1)))/2*(-0.7745966692414834)&lt;bw_h0,0,bw_A0_1+bw_A1_1*MIN(((MAX(0,bw_b1))+(MIN((24/24*bw_L),bw_b2)))/2+((MIN((24/24*bw_L),bw_b2))-(MAX(0,bw_b1)))/2*(-0.7745966692414834)-bw_h0,bw_zw)+bw_A2_1*MAX(0,((MAX(0,bw_b1))+(MIN((24/24*bw_L),bw_b2)))/2+((MIN((24/24*bw_L),bw_b2))-(MAX(0,bw_b1)))/2*(-0.7745966692414834)-bw_h0-bw_zw))*(((24/24*bw_L))-(((MAX(0,bw_b1))+(MIN((24/24*bw_L),bw_b2)))/2+((MIN((24/24*bw_L),bw_b2))-(MAX(0,bw_b1)))/2*(-0.7745966692414834)))+0.8888888888888888*IF(((MAX(0,bw_b1))+(MIN((24/24*bw_L),bw_b2)))/2+((MIN((24/24*bw_L),bw_b2))-(MAX(0,bw_b1)))/2*(0.0)&lt;bw_h0,0,bw_A0_1+bw_A1_1*MIN(((MAX(0,bw_b1))+(MIN((24/24*bw_L),bw_b2)))/2+((MIN((24/24*bw_L),bw_b2))-(MAX(0,bw_b1)))/2*(0.0)-bw_h0,bw_zw)+bw_A2_1*MAX(0,((MAX(0,bw_b1))+(MIN((24/24*bw_L),bw_b2)))/2+((MIN((24/24*bw_L),bw_b2))-(MAX(0,bw_b1)))/2*(0.0)-bw_h0-bw_zw))*(((24/24*bw_L))-(((MAX(0,bw_b1))+(MIN((24/24*bw_L),bw_b2)))/2+((MIN((24/24*bw_L),bw_b2))-(MAX(0,bw_b1)))/2*(0.0)))+0.5555555555555556*IF(((MAX(0,bw_b1))+(MIN((24/24*bw_L),bw_b2)))/2+((MIN((24/24*bw_L),bw_b2))-(MAX(0,bw_b1)))/2*(0.7745966692414834)&lt;bw_h0,0,bw_A0_1+bw_A1_1*MIN(((MAX(0,bw_b1))+(MIN((24/24*bw_L),bw_b2)))/2+((MIN((24/24*bw_L),bw_b2))-(MAX(0,bw_b1)))/2*(0.7745966692414834)-bw_h0,bw_zw)+bw_A2_1*MAX(0,((MAX(0,bw_b1))+(MIN((24/24*bw_L),bw_b2)))/2+((MIN((24/24*bw_L),bw_b2))-(MAX(0,bw_b1)))/2*(0.7745966692414834)-bw_h0-bw_zw))*(((24/24*bw_L))-(((MAX(0,bw_b1))+(MIN((24/24*bw_L),bw_b2)))/2+((MIN((24/24*bw_L),bw_b2))-(MAX(0,bw_b1)))/2*(0.7745966692414834)))),0)+IF(MIN((24/24*bw_L),bw_L)&gt;MAX(0,bw_b2),((MIN((24/24*bw_L),bw_L))-(MAX(0,bw_b2)))/2*(0.5555555555555556*IF(((MAX(0,bw_b2))+(MIN((24/24*bw_L),bw_L)))/2+((MIN((24/24*bw_L),bw_L))-(MAX(0,bw_b2)))/2*(-0.7745966692414834)&lt;bw_h0,0,bw_A0_1+bw_A1_1*MIN(((MAX(0,bw_b2))+(MIN((24/24*bw_L),bw_L)))/2+((MIN((24/24*bw_L),bw_L))-(MAX(0,bw_b2)))/2*(-0.7745966692414834)-bw_h0,bw_zw)+bw_A2_1*MAX(0,((MAX(0,bw_b2))+(MIN((24/24*bw_L),bw_L)))/2+((MIN((24/24*bw_L),bw_L))-(MAX(0,bw_b2)))/2*(-0.7745966692414834)-bw_h0-bw_zw))*(((24/24*bw_L))-(((MAX(0,bw_b2))+(MIN((24/24*bw_L),bw_L)))/2+((MIN((24/24*bw_L),bw_L))-(MAX(0,bw_b2)))/2*(-0.7745966692414834)))+0.8888888888888888*IF(((MAX(0,bw_b2))+(MIN((24/24*bw_L),bw_L)))/2+((MIN((24/24*bw_L),bw_L))-(MAX(0,bw_b2)))/2*(0.0)&lt;bw_h0,0,bw_A0_1+bw_A1_1*MIN(((MAX(0,bw_b2))+(MIN((24/24*bw_L),bw_L)))/2+((MIN((24/24*bw_L),bw_L))-(MAX(0,bw_b2)))/2*(0.0)-bw_h0,bw_zw)+bw_A2_1*MAX(0,((MAX(0,bw_b2))+(MIN((24/24*bw_L),bw_L)))/2+((MIN((24/24*bw_L),bw_L))-(MAX(0,bw_b2)))/2*(0.0)-bw_h0-bw_zw))*(((24/24*bw_L))-(((MAX(0,bw_b2))+(MIN((24/24*bw_L),bw_L)))/2+((MIN((24/24*bw_L),bw_L))-(MAX(0,bw_b2)))/2*(0.0)))+0.5555555555555556*IF(((MAX(0,bw_b2))+(MIN((24/24*bw_L),bw_L)))/2+((MIN((24/24*bw_L),bw_L))-(MAX(0,bw_b2)))/2*(0.7745966692414834)&lt;bw_h0,0,bw_A0_1+bw_A1_1*MIN(((MAX(0,bw_b2))+(MIN((24/24*bw_L),bw_L)))/2+((MIN((24/24*bw_L),bw_L))-(MAX(0,bw_b2)))/2*(0.7745966692414834)-bw_h0,bw_zw)+bw_A2_1*MAX(0,((MAX(0,bw_b2))+(MIN((24/24*bw_L),bw_L)))/2+((MIN((24/24*bw_L),bw_L))-(MAX(0,bw_b2)))/2*(0.7745966692414834)-bw_h0-bw_zw))*(((24/24*bw_L))-(((MAX(0,bw_b2))+(MIN((24/24*bw_L),bw_L)))/2+((MIN((24/24*bw_L),bw_L))-(MAX(0,bw_b2)))/2*(0.7745966692414834)))),0))),NA()),NA())</f>
        <v/>
      </c>
      <c r="AO28">
        <f>L_bw-1000*(24/24*bw_L)</f>
        <v/>
      </c>
      <c r="AQ28">
        <f>IF(inputs_ok,IF(bw_on2,(t_bw+0.08*L_bw)+(0.28*L_bw/MAX(bw_Mspan,ABS(bw_Mbase),0.001))*(bw_R_2*(24/24*bw_L)-(IF(MIN((24/24*bw_L),bw_b2)&gt;MAX(0,bw_b1),((MIN((24/24*bw_L),bw_b2))-(MAX(0,bw_b1)))/2*(0.5555555555555556*IF(((MAX(0,bw_b1))+(MIN((24/24*bw_L),bw_b2)))/2+((MIN((24/24*bw_L),bw_b2))-(MAX(0,bw_b1)))/2*(-0.7745966692414834)&lt;bw_h0,0,bw_A0_2+bw_A1_2*MIN(((MAX(0,bw_b1))+(MIN((24/24*bw_L),bw_b2)))/2+((MIN((24/24*bw_L),bw_b2))-(MAX(0,bw_b1)))/2*(-0.7745966692414834)-bw_h0,bw_zw)+bw_A2_2*MAX(0,((MAX(0,bw_b1))+(MIN((24/24*bw_L),bw_b2)))/2+((MIN((24/24*bw_L),bw_b2))-(MAX(0,bw_b1)))/2*(-0.7745966692414834)-bw_h0-bw_zw))*(((24/24*bw_L))-(((MAX(0,bw_b1))+(MIN((24/24*bw_L),bw_b2)))/2+((MIN((24/24*bw_L),bw_b2))-(MAX(0,bw_b1)))/2*(-0.7745966692414834)))+0.8888888888888888*IF(((MAX(0,bw_b1))+(MIN((24/24*bw_L),bw_b2)))/2+((MIN((24/24*bw_L),bw_b2))-(MAX(0,bw_b1)))/2*(0.0)&lt;bw_h0,0,bw_A0_2+bw_A1_2*MIN(((MAX(0,bw_b1))+(MIN((24/24*bw_L),bw_b2)))/2+((MIN((24/24*bw_L),bw_b2))-(MAX(0,bw_b1)))/2*(0.0)-bw_h0,bw_zw)+bw_A2_2*MAX(0,((MAX(0,bw_b1))+(MIN((24/24*bw_L),bw_b2)))/2+((MIN((24/24*bw_L),bw_b2))-(MAX(0,bw_b1)))/2*(0.0)-bw_h0-bw_zw))*(((24/24*bw_L))-(((MAX(0,bw_b1))+(MIN((24/24*bw_L),bw_b2)))/2+((MIN((24/24*bw_L),bw_b2))-(MAX(0,bw_b1)))/2*(0.0)))+0.5555555555555556*IF(((MAX(0,bw_b1))+(MIN((24/24*bw_L),bw_b2)))/2+((MIN((24/24*bw_L),bw_b2))-(MAX(0,bw_b1)))/2*(0.7745966692414834)&lt;bw_h0,0,bw_A0_2+bw_A1_2*MIN(((MAX(0,bw_b1))+(MIN((24/24*bw_L),bw_b2)))/2+((MIN((24/24*bw_L),bw_b2))-(MAX(0,bw_b1)))/2*(0.7745966692414834)-bw_h0,bw_zw)+bw_A2_2*MAX(0,((MAX(0,bw_b1))+(MIN((24/24*bw_L),bw_b2)))/2+((MIN((24/24*bw_L),bw_b2))-(MAX(0,bw_b1)))/2*(0.7745966692414834)-bw_h0-bw_zw))*(((24/24*bw_L))-(((MAX(0,bw_b1))+(MIN((24/24*bw_L),bw_b2)))/2+((MIN((24/24*bw_L),bw_b2))-(MAX(0,bw_b1)))/2*(0.7745966692414834)))),0)+IF(MIN((24/24*bw_L),bw_L)&gt;MAX(0,bw_b2),((MIN((24/24*bw_L),bw_L))-(MAX(0,bw_b2)))/2*(0.5555555555555556*IF(((MAX(0,bw_b2))+(MIN((24/24*bw_L),bw_L)))/2+((MIN((24/24*bw_L),bw_L))-(MAX(0,bw_b2)))/2*(-0.7745966692414834)&lt;bw_h0,0,bw_A0_2+bw_A1_2*MIN(((MAX(0,bw_b2))+(MIN((24/24*bw_L),bw_L)))/2+((MIN((24/24*bw_L),bw_L))-(MAX(0,bw_b2)))/2*(-0.7745966692414834)-bw_h0,bw_zw)+bw_A2_2*MAX(0,((MAX(0,bw_b2))+(MIN((24/24*bw_L),bw_L)))/2+((MIN((24/24*bw_L),bw_L))-(MAX(0,bw_b2)))/2*(-0.7745966692414834)-bw_h0-bw_zw))*(((24/24*bw_L))-(((MAX(0,bw_b2))+(MIN((24/24*bw_L),bw_L)))/2+((MIN((24/24*bw_L),bw_L))-(MAX(0,bw_b2)))/2*(-0.7745966692414834)))+0.8888888888888888*IF(((MAX(0,bw_b2))+(MIN((24/24*bw_L),bw_L)))/2+((MIN((24/24*bw_L),bw_L))-(MAX(0,bw_b2)))/2*(0.0)&lt;bw_h0,0,bw_A0_2+bw_A1_2*MIN(((MAX(0,bw_b2))+(MIN((24/24*bw_L),bw_L)))/2+((MIN((24/24*bw_L),bw_L))-(MAX(0,bw_b2)))/2*(0.0)-bw_h0,bw_zw)+bw_A2_2*MAX(0,((MAX(0,bw_b2))+(MIN((24/24*bw_L),bw_L)))/2+((MIN((24/24*bw_L),bw_L))-(MAX(0,bw_b2)))/2*(0.0)-bw_h0-bw_zw))*(((24/24*bw_L))-(((MAX(0,bw_b2))+(MIN((24/24*bw_L),bw_L)))/2+((MIN((24/24*bw_L),bw_L))-(MAX(0,bw_b2)))/2*(0.0)))+0.5555555555555556*IF(((MAX(0,bw_b2))+(MIN((24/24*bw_L),bw_L)))/2+((MIN((24/24*bw_L),bw_L))-(MAX(0,bw_b2)))/2*(0.7745966692414834)&lt;bw_h0,0,bw_A0_2+bw_A1_2*MIN(((MAX(0,bw_b2))+(MIN((24/24*bw_L),bw_L)))/2+((MIN((24/24*bw_L),bw_L))-(MAX(0,bw_b2)))/2*(0.7745966692414834)-bw_h0,bw_zw)+bw_A2_2*MAX(0,((MAX(0,bw_b2))+(MIN((24/24*bw_L),bw_L)))/2+((MIN((24/24*bw_L),bw_L))-(MAX(0,bw_b2)))/2*(0.7745966692414834)-bw_h0-bw_zw))*(((24/24*bw_L))-(((MAX(0,bw_b2))+(MIN((24/24*bw_L),bw_L)))/2+((MIN((24/24*bw_L),bw_L))-(MAX(0,bw_b2)))/2*(0.7745966692414834)))),0))),NA()),NA())</f>
        <v/>
      </c>
      <c r="AR28">
        <f>L_bw-1000*(24/24*bw_L)</f>
        <v/>
      </c>
    </row>
    <row r="29">
      <c r="AB29">
        <f>IF(inputs_ok,IF(TRUE,-(0.3*L_bw/MAX(bw_pmax,0.001))*IF(AND(SMALL(bw_xall,27)=SMALL(bw_xall,26),SMALL(bw_xall,26)=bw_h0),0,IF(SMALL(bw_xall,26)&lt;bw_h0,0,bw_A0_1+bw_A1_1*MIN(SMALL(bw_xall,26)-bw_h0,bw_zw)+bw_A2_1*MAX(0,SMALL(bw_xall,26)-bw_h0-bw_zw))),NA()),NA())</f>
        <v/>
      </c>
      <c r="AC29">
        <f>L_bw-1000*SMALL(bw_xall,26)</f>
        <v/>
      </c>
      <c r="AE29">
        <f>IF(inputs_ok,IF(bw_on2,-(0.3*L_bw/MAX(bw_pmax,0.001))*IF(AND(SMALL(bw_xall,27)=SMALL(bw_xall,26),SMALL(bw_xall,26)=bw_h0),0,IF(SMALL(bw_xall,26)&lt;bw_h0,0,bw_A0_2+bw_A1_2*MIN(SMALL(bw_xall,26)-bw_h0,bw_zw)+bw_A2_2*MAX(0,SMALL(bw_xall,26)-bw_h0-bw_zw))),NA()),NA())</f>
        <v/>
      </c>
      <c r="AF29">
        <f>L_bw-1000*SMALL(bw_xall,26)</f>
        <v/>
      </c>
      <c r="AN29">
        <f>IF(inputs_ok,IF(TRUE,(t_bw+0.08*L_bw),NA()),NA())</f>
        <v/>
      </c>
      <c r="AO29">
        <f>0</f>
        <v/>
      </c>
      <c r="AQ29">
        <f>IF(inputs_ok,IF(bw_on2,(t_bw+0.08*L_bw),NA()),NA())</f>
        <v/>
      </c>
      <c r="AR29">
        <f>0</f>
        <v/>
      </c>
    </row>
    <row r="30">
      <c r="AB30">
        <f>IF(inputs_ok,IF(TRUE,-(0.3*L_bw/MAX(bw_pmax,0.001))*IF(AND(SMALL(bw_xall,28)=SMALL(bw_xall,27),SMALL(bw_xall,27)=bw_h0),0,IF(SMALL(bw_xall,27)&lt;bw_h0,0,bw_A0_1+bw_A1_1*MIN(SMALL(bw_xall,27)-bw_h0,bw_zw)+bw_A2_1*MAX(0,SMALL(bw_xall,27)-bw_h0-bw_zw))),NA()),NA())</f>
        <v/>
      </c>
      <c r="AC30">
        <f>L_bw-1000*SMALL(bw_xall,27)</f>
        <v/>
      </c>
      <c r="AE30">
        <f>IF(inputs_ok,IF(bw_on2,-(0.3*L_bw/MAX(bw_pmax,0.001))*IF(AND(SMALL(bw_xall,28)=SMALL(bw_xall,27),SMALL(bw_xall,27)=bw_h0),0,IF(SMALL(bw_xall,27)&lt;bw_h0,0,bw_A0_2+bw_A1_2*MIN(SMALL(bw_xall,27)-bw_h0,bw_zw)+bw_A2_2*MAX(0,SMALL(bw_xall,27)-bw_h0-bw_zw))),NA()),NA())</f>
        <v/>
      </c>
      <c r="AF30">
        <f>L_bw-1000*SMALL(bw_xall,27)</f>
        <v/>
      </c>
    </row>
    <row r="31">
      <c r="AB31">
        <f>IF(inputs_ok,IF(TRUE,-(0.3*L_bw/MAX(bw_pmax,0.001))*IF(FALSE,0,IF(SMALL(bw_xall,28)&lt;bw_h0,0,bw_A0_1+bw_A1_1*MIN(SMALL(bw_xall,28)-bw_h0,bw_zw)+bw_A2_1*MAX(0,SMALL(bw_xall,28)-bw_h0-bw_zw))),NA()),NA())</f>
        <v/>
      </c>
      <c r="AC31">
        <f>L_bw-1000*SMALL(bw_xall,28)</f>
        <v/>
      </c>
      <c r="AE31">
        <f>IF(inputs_ok,IF(bw_on2,-(0.3*L_bw/MAX(bw_pmax,0.001))*IF(FALSE,0,IF(SMALL(bw_xall,28)&lt;bw_h0,0,bw_A0_2+bw_A1_2*MIN(SMALL(bw_xall,28)-bw_h0,bw_zw)+bw_A2_2*MAX(0,SMALL(bw_xall,28)-bw_h0-bw_zw))),NA()),NA())</f>
        <v/>
      </c>
      <c r="AF31">
        <f>L_bw-1000*SMALL(bw_xall,28)</f>
        <v/>
      </c>
    </row>
    <row r="32">
      <c r="AB32">
        <f>IF(inputs_ok,IF(TRUE,0,NA()),NA())</f>
        <v/>
      </c>
      <c r="AC32">
        <f>0</f>
        <v/>
      </c>
      <c r="AE32">
        <f>IF(inputs_ok,IF(bw_on2,0,NA()),NA())</f>
        <v/>
      </c>
      <c r="AF32">
        <f>0</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6"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7" t="inlineStr">
        <is>
          <t>Parameter</t>
        </is>
      </c>
      <c r="C5" s="47" t="inlineStr">
        <is>
          <t>Clause</t>
        </is>
      </c>
      <c r="D5" s="47" t="inlineStr">
        <is>
          <t>UK NA</t>
        </is>
      </c>
      <c r="E5" s="47" t="inlineStr">
        <is>
          <t>PL NA</t>
        </is>
      </c>
      <c r="F5" s="47" t="inlineStr">
        <is>
          <t>Notes</t>
        </is>
      </c>
    </row>
    <row r="6">
      <c r="B6" s="48" t="inlineStr">
        <is>
          <t>Partial factor, concrete  γc</t>
        </is>
      </c>
      <c r="C6" s="49" t="inlineStr">
        <is>
          <t>2.4.2.4(1)</t>
        </is>
      </c>
      <c r="D6" s="50" t="n">
        <v>1.5</v>
      </c>
      <c r="E6" s="50" t="n">
        <v>1.4</v>
      </c>
      <c r="F6" s="49" t="inlineStr">
        <is>
          <t>Persistent &amp; transient. UK NA: recommended; PL: NA.2, Table NA.2</t>
        </is>
      </c>
    </row>
    <row r="7">
      <c r="B7" s="48" t="inlineStr">
        <is>
          <t>Partial factor, reinforcement  γs</t>
        </is>
      </c>
      <c r="C7" s="49" t="inlineStr">
        <is>
          <t>2.4.2.4(1)</t>
        </is>
      </c>
      <c r="D7" s="50" t="n">
        <v>1.15</v>
      </c>
      <c r="E7" s="50" t="n">
        <v>1.15</v>
      </c>
      <c r="F7" s="49" t="inlineStr">
        <is>
          <t>UK NA: recommended; PL: NA.2, Table NA.2</t>
        </is>
      </c>
    </row>
    <row r="8">
      <c r="B8" s="48" t="inlineStr">
        <is>
          <t>αcc  (compression in flexure / axial)</t>
        </is>
      </c>
      <c r="C8" s="49" t="inlineStr">
        <is>
          <t>3.1.6(1)</t>
        </is>
      </c>
      <c r="D8" s="50" t="n">
        <v>0.85</v>
      </c>
      <c r="E8" s="50" t="n">
        <v>1</v>
      </c>
      <c r="F8" s="49" t="inlineStr">
        <is>
          <t>UK NA: 0.85; PL: recommended (NA.9)</t>
        </is>
      </c>
    </row>
    <row r="9">
      <c r="B9" s="48" t="inlineStr">
        <is>
          <t>αcc,pl  (plain concrete, compression)</t>
        </is>
      </c>
      <c r="C9" s="49" t="inlineStr">
        <is>
          <t>12.3.1(1)</t>
        </is>
      </c>
      <c r="D9" s="50" t="n">
        <v>0.6</v>
      </c>
      <c r="E9" s="50" t="n">
        <v>0.8</v>
      </c>
      <c r="F9" s="49" t="inlineStr">
        <is>
          <t>UK NA Table NA.1: 0.6; PL: recommended (NA.9)</t>
        </is>
      </c>
    </row>
    <row r="10">
      <c r="B10" s="48" t="inlineStr">
        <is>
          <t>αcc  (shear and punching)</t>
        </is>
      </c>
      <c r="C10" s="49" t="inlineStr">
        <is>
          <t>3.1.6(1)</t>
        </is>
      </c>
      <c r="D10" s="50" t="n">
        <v>1</v>
      </c>
      <c r="E10" s="50" t="n">
        <v>1</v>
      </c>
      <c r="F10" s="49" t="inlineStr">
        <is>
          <t>UK NA: 1.0 for other phenomena; PL: recommended (NA.9)</t>
        </is>
      </c>
    </row>
    <row r="11">
      <c r="B11" s="48" t="inlineStr">
        <is>
          <t>αct  (design tensile strength)</t>
        </is>
      </c>
      <c r="C11" s="49" t="inlineStr">
        <is>
          <t>3.1.6(2)</t>
        </is>
      </c>
      <c r="D11" s="50" t="n">
        <v>1</v>
      </c>
      <c r="E11" s="50" t="n">
        <v>1</v>
      </c>
      <c r="F11" s="49" t="inlineStr">
        <is>
          <t>Recommended value in both annexes</t>
        </is>
      </c>
    </row>
    <row r="12">
      <c r="B12" s="48" t="inlineStr">
        <is>
          <t>CRd,c numerator  (CRd,c = value / γc)</t>
        </is>
      </c>
      <c r="C12" s="49" t="inlineStr">
        <is>
          <t>6.2.2(1), 6.4.4(1)</t>
        </is>
      </c>
      <c r="D12" s="50" t="n">
        <v>0.18</v>
      </c>
      <c r="E12" s="50" t="n">
        <v>0.18</v>
      </c>
      <c r="F12" s="49" t="inlineStr">
        <is>
          <t>Recommended value in both annexes</t>
        </is>
      </c>
    </row>
    <row r="13">
      <c r="B13" s="48" t="inlineStr">
        <is>
          <t>k1  (axial stress term, punching)</t>
        </is>
      </c>
      <c r="C13" s="49" t="inlineStr">
        <is>
          <t>6.4.4(1)</t>
        </is>
      </c>
      <c r="D13" s="50" t="n">
        <v>0.1</v>
      </c>
      <c r="E13" s="50" t="n">
        <v>0.1</v>
      </c>
      <c r="F13" s="49" t="inlineStr">
        <is>
          <t>Recommended value in both annexes</t>
        </is>
      </c>
    </row>
    <row r="14">
      <c r="B14" s="48" t="inlineStr">
        <is>
          <t>vRd,max factor  (vRd,max = factor · ν · fcd)</t>
        </is>
      </c>
      <c r="C14" s="49" t="inlineStr">
        <is>
          <t>6.4.5(3)</t>
        </is>
      </c>
      <c r="D14" s="50" t="n">
        <v>0.5</v>
      </c>
      <c r="E14" s="50" t="n">
        <v>0.4</v>
      </c>
      <c r="F14" s="49" t="inlineStr">
        <is>
          <t>UK NA: 0.5 ν fcd; PL: recommended value (NA.9), 0.4 ν fcd since EN 1992-1-1 AC:2010 (PN-EN 1992-1-1:2008/AC:2011)</t>
        </is>
      </c>
    </row>
    <row r="15">
      <c r="B15" s="48" t="inlineStr">
        <is>
          <t>kmax  (vEd ≤ kmax · vRd,c at u1)</t>
        </is>
      </c>
      <c r="C15" s="49" t="inlineStr">
        <is>
          <t>6.4.5</t>
        </is>
      </c>
      <c r="D15" s="50" t="n">
        <v>2</v>
      </c>
      <c r="E15" s="50" t="n">
        <v>1.5</v>
      </c>
      <c r="F15" s="49" t="inlineStr">
        <is>
          <t>UK NA 6.4.5(3): 2 vRd,c. PL: no limit in PN-EN 1992-1-1:2008; 1.5 (A1:2014 recommendation) applied conservatively</t>
        </is>
      </c>
    </row>
    <row r="16">
      <c r="B16" s="48" t="inlineStr">
        <is>
          <t>φlarge  (large bar threshold, mm)</t>
        </is>
      </c>
      <c r="C16" s="49" t="inlineStr">
        <is>
          <t>8.8(1)</t>
        </is>
      </c>
      <c r="D16" s="50" t="n">
        <v>40</v>
      </c>
      <c r="E16" s="50" t="n">
        <v>32</v>
      </c>
      <c r="F16" s="49" t="inlineStr">
        <is>
          <t>UK NA: 40 mm; PL: 32 mm recommended (NA.9)</t>
        </is>
      </c>
    </row>
    <row r="17">
      <c r="B17" s="48" t="inlineStr">
        <is>
          <t>cot θ upper limit  (variable strut)</t>
        </is>
      </c>
      <c r="C17" s="49" t="inlineStr">
        <is>
          <t>6.2.3(2)</t>
        </is>
      </c>
      <c r="D17" s="50" t="n">
        <v>2.5</v>
      </c>
      <c r="E17" s="50" t="n">
        <v>2</v>
      </c>
      <c r="F17" s="49" t="inlineStr">
        <is>
          <t>UK NA: 2.5 (1.25 with axial tension); PL: NA.4, 1 ≤ cot θ ≤ 2.0</t>
        </is>
      </c>
    </row>
    <row r="18">
      <c r="B18" s="48" t="inlineStr">
        <is>
          <t>k1  (x/d limit, δ ≥ k1 + k2 xu/d)</t>
        </is>
      </c>
      <c r="C18" s="49" t="inlineStr">
        <is>
          <t>5.5(4)</t>
        </is>
      </c>
      <c r="D18" s="50" t="n">
        <v>0.4</v>
      </c>
      <c r="E18" s="50" t="n">
        <v>0.44</v>
      </c>
      <c r="F18" s="49" t="inlineStr">
        <is>
          <t>UK NA for fyk ≤ 500 MPa; PL: recommended (NA.9)</t>
        </is>
      </c>
    </row>
    <row r="19">
      <c r="B19" s="48" t="inlineStr">
        <is>
          <t>k2  (x/d limit, εcu2 = 0.0035)</t>
        </is>
      </c>
      <c r="C19" s="49" t="inlineStr">
        <is>
          <t>5.5(4)</t>
        </is>
      </c>
      <c r="D19" s="50" t="n">
        <v>1</v>
      </c>
      <c r="E19" s="50" t="n">
        <v>1.25</v>
      </c>
      <c r="F19" s="49" t="inlineStr">
        <is>
          <t>UK NA: 0.6 + 0.0014/εcu2; PL: 1.25(0.6 + 0.0014/εcu2)</t>
        </is>
      </c>
    </row>
    <row r="20">
      <c r="B20" s="48" t="inlineStr">
        <is>
          <t>Upper limit on the (310/σs) factor  (0 = none)</t>
        </is>
      </c>
      <c r="C20" s="49" t="inlineStr">
        <is>
          <t>7.4.2(2)</t>
        </is>
      </c>
      <c r="D20" s="50" t="n">
        <v>1.5</v>
      </c>
      <c r="E20" s="50" t="n">
        <v>0</v>
      </c>
      <c r="F20" s="49" t="inlineStr">
        <is>
          <t>UK NA Table NA.5 Note 5: (310/σs) or (500/fyk)(As,prov/As,req) ≤ 1.5; PL: none</t>
        </is>
      </c>
    </row>
    <row r="21">
      <c r="B21" s="48" t="inlineStr">
        <is>
          <t>L/d not to exceed 40 K  (1 = applies)</t>
        </is>
      </c>
      <c r="C21" s="49" t="inlineStr">
        <is>
          <t>7.4.2(2)</t>
        </is>
      </c>
      <c r="D21" s="50" t="n">
        <v>1</v>
      </c>
      <c r="E21" s="50" t="n">
        <v>0</v>
      </c>
      <c r="F21" s="49" t="inlineStr">
        <is>
          <t>UK NA Table NA.5 Note 6; not in EN text</t>
        </is>
      </c>
    </row>
    <row r="22">
      <c r="B22" s="48" t="inlineStr">
        <is>
          <t>φmin  (longitudinal bars in columns, mm)</t>
        </is>
      </c>
      <c r="C22" s="49" t="inlineStr">
        <is>
          <t>9.5.2(1)</t>
        </is>
      </c>
      <c r="D22" s="50" t="n">
        <v>12</v>
      </c>
      <c r="E22" s="50" t="n">
        <v>6</v>
      </c>
      <c r="F22" s="49" t="inlineStr">
        <is>
          <t>UK NA: 12 mm; PL: NA.6, 6 mm</t>
        </is>
      </c>
    </row>
    <row r="23">
      <c r="B23" s="48" t="inlineStr">
        <is>
          <t>k3  (crack spacing)</t>
        </is>
      </c>
      <c r="C23" s="49" t="inlineStr">
        <is>
          <t>7.3.4(3)</t>
        </is>
      </c>
      <c r="D23" s="50" t="n">
        <v>3.4</v>
      </c>
      <c r="E23" s="50" t="n">
        <v>3.4</v>
      </c>
      <c r="F23" s="49" t="inlineStr">
        <is>
          <t>Recommended value in both annexes</t>
        </is>
      </c>
    </row>
    <row r="24">
      <c r="B24" s="48" t="inlineStr">
        <is>
          <t>k4  (crack spacing)</t>
        </is>
      </c>
      <c r="C24" s="49" t="inlineStr">
        <is>
          <t>7.3.4(3)</t>
        </is>
      </c>
      <c r="D24" s="50" t="n">
        <v>0.425</v>
      </c>
      <c r="E24" s="50" t="n">
        <v>0.425</v>
      </c>
      <c r="F24" s="49" t="inlineStr">
        <is>
          <t>Recommended value in both annexes</t>
        </is>
      </c>
    </row>
    <row r="25">
      <c r="B25" s="48" t="inlineStr">
        <is>
          <t>k1  (concrete stress, characteristic; XD, XF, XS)</t>
        </is>
      </c>
      <c r="C25" s="49" t="inlineStr">
        <is>
          <t>7.2(2)</t>
        </is>
      </c>
      <c r="D25" s="50" t="n">
        <v>0.6</v>
      </c>
      <c r="E25" s="50" t="n">
        <v>1</v>
      </c>
      <c r="F25" s="49" t="inlineStr">
        <is>
          <t>UK NA: recommended; PL: NA.5, k1 = 1.0</t>
        </is>
      </c>
    </row>
    <row r="26">
      <c r="B26" s="48" t="inlineStr">
        <is>
          <t>k2  (concrete stress, quasi-permanent; linear creep)</t>
        </is>
      </c>
      <c r="C26" s="49" t="inlineStr">
        <is>
          <t>7.2(3)</t>
        </is>
      </c>
      <c r="D26" s="50" t="n">
        <v>0.45</v>
      </c>
      <c r="E26" s="50" t="n">
        <v>0.45</v>
      </c>
      <c r="F26" s="49" t="inlineStr">
        <is>
          <t>Recommended value in both annexes (UK NA; PL NA.9)</t>
        </is>
      </c>
    </row>
    <row r="27">
      <c r="B27" s="48" t="inlineStr">
        <is>
          <t>k3  (steel stress, characteristic)</t>
        </is>
      </c>
      <c r="C27" s="49" t="inlineStr">
        <is>
          <t>7.2(5)</t>
        </is>
      </c>
      <c r="D27" s="50" t="n">
        <v>0.8</v>
      </c>
      <c r="E27" s="50" t="n">
        <v>0.8</v>
      </c>
      <c r="F27" s="49" t="inlineStr">
        <is>
          <t>Recommended value in both annexes (UK NA; PL NA.9)</t>
        </is>
      </c>
    </row>
    <row r="28">
      <c r="B28" s="48" t="inlineStr">
        <is>
          <t>k4  (steel stress, imposed deformation)</t>
        </is>
      </c>
      <c r="C28" s="49" t="inlineStr">
        <is>
          <t>7.2(5)</t>
        </is>
      </c>
      <c r="D28" s="50" t="n">
        <v>1</v>
      </c>
      <c r="E28" s="50" t="n">
        <v>1</v>
      </c>
      <c r="F28" s="49"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&amp;K8A8A8ANAE-RC-020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NAE-RC-020 Basement wall</dc:title>
  <dc:subject xmlns:dc="http://purl.org/dc/elements/1.1/">Wall propped by the floor slab  ·  earth pressure at rest, ground water and surcharge  ·  EN 1997-1, EN 1992-1-1</dc:subject>
  <dcterms:created xmlns:dcterms="http://purl.org/dc/terms/" xmlns:xsi="http://www.w3.org/2001/XMLSchema-instance" xsi:type="dcterms:W3CDTF">2026-10-30T10:58:38Z</dcterms:created>
  <dcterms:modified xmlns:dcterms="http://purl.org/dc/terms/" xmlns:xsi="http://www.w3.org/2001/XMLSchema-instance" xsi:type="dcterms:W3CDTF">2026-10-30T10:58:38Z</dcterms:modified>
  <cp:lastModifiedBy>NA Engineering sp. z o.o.</cp:lastModifiedBy>
  <cp:keywords>NA Engineering; Eurocode 2; EN 1992-1-1</cp:keywords>
</cp:coreProperties>
</file>