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s>
  <definedNames>
    <definedName name="n_cb">'Calculation'!$E$11</definedName>
    <definedName name="Lcb_1">'Calculation'!$E$12</definedName>
    <definedName name="Lcb_2">'Calculation'!$E$13</definedName>
    <definedName name="Lcb_3">'Calculation'!$E$14</definedName>
    <definedName name="Lcb_4">'Calculation'!$E$15</definedName>
    <definedName name="Lcb_5">'Calculation'!$E$16</definedName>
    <definedName name="gk_cb">'Calculation'!$E$17</definedName>
    <definedName name="qk_cb">'Calculation'!$E$18</definedName>
    <definedName name="gamma_G">'Calculation'!$E$19</definedName>
    <definedName name="gamma_Q">'Calculation'!$E$20</definedName>
    <definedName name="inputs_ok">IFERROR(AND(OR(AND(ISNUMBER(n_cb),n_cb=2),AND(ISNUMBER(n_cb),n_cb=3),AND(ISNUMBER(n_cb),n_cb=4),AND(ISNUMBER(n_cb),n_cb=5)),ISNUMBER(Lcb_1),Lcb_1&gt;0,ISNUMBER(Lcb_2),Lcb_2&gt;0,IF(n_cb&gt;=3,IF(ISNUMBER(Lcb_3),Lcb_3&gt;0,FALSE),TRUE),IF(n_cb&gt;=4,IF(ISNUMBER(Lcb_4),Lcb_4&gt;0,FALSE),TRUE),IF(n_cb&gt;=5,IF(ISNUMBER(Lcb_5),Lcb_5&gt;0,FALSE),TRUE),ISNUMBER(gk_cb),gk_cb&gt;=0,ISNUMBER(qk_cb),qk_cb&gt;=0,ISNUMBER(gamma_G),gamma_G&gt;0,ISNUMBER(gamma_Q),gamma_Q&gt;0,gamma_G*gk_cb+gamma_Q*qk_cb&gt;0),FALSE)</definedName>
    <definedName name="input_status">'Calculation'!$G$21</definedName>
    <definedName name="cb_on1">1&lt;=n_cb</definedName>
    <definedName name="cb_L1">IF(cb_on1,Lcb_1/1000,1)</definedName>
    <definedName name="cb_w1_1">IF(cb_on1,cb_wf,0)</definedName>
    <definedName name="cb_w2_1">IF(cb_on1,cb_wf,0)</definedName>
    <definedName name="cb_w3_1">IF(cb_on1,cb_wp,0)</definedName>
    <definedName name="cb_on2">2&lt;=n_cb</definedName>
    <definedName name="cb_L2">IF(cb_on2,Lcb_2/1000,1)</definedName>
    <definedName name="cb_w1_2">IF(cb_on2,cb_wf,0)</definedName>
    <definedName name="cb_w2_2">IF(cb_on2,cb_wp,0)</definedName>
    <definedName name="cb_w3_2">IF(cb_on2,cb_wf,0)</definedName>
    <definedName name="cb_on3">3&lt;=n_cb</definedName>
    <definedName name="cb_L3">IF(cb_on3,Lcb_3/1000,1)</definedName>
    <definedName name="cb_w1_3">IF(cb_on3,cb_wf,0)</definedName>
    <definedName name="cb_w2_3">IF(cb_on3,cb_wf,0)</definedName>
    <definedName name="cb_w3_3">IF(cb_on3,cb_wp,0)</definedName>
    <definedName name="cb_on4">4&lt;=n_cb</definedName>
    <definedName name="cb_L4">IF(cb_on4,Lcb_4/1000,1)</definedName>
    <definedName name="cb_w1_4">IF(cb_on4,cb_wf,0)</definedName>
    <definedName name="cb_w2_4">IF(cb_on4,cb_wp,0)</definedName>
    <definedName name="cb_w3_4">IF(cb_on4,cb_wf,0)</definedName>
    <definedName name="cb_on5">5&lt;=n_cb</definedName>
    <definedName name="cb_L5">IF(cb_on5,Lcb_5/1000,1)</definedName>
    <definedName name="cb_w1_5">IF(cb_on5,cb_wf,0)</definedName>
    <definedName name="cb_w2_5">IF(cb_on5,cb_wf,0)</definedName>
    <definedName name="cb_w3_5">IF(cb_on5,cb_wp,0)</definedName>
    <definedName name="cb_a1">IF(AND(1&gt;1,1&lt;n_cb),cb_L1,0)</definedName>
    <definedName name="cb_b1">IF(1&lt;n_cb,2*(cb_L1+cb_L2),1)</definedName>
    <definedName name="cb_c1">IF(2&lt;n_cb,cb_L2,0)</definedName>
    <definedName name="cb_den1">cb_b1</definedName>
    <definedName name="cb_cp1">cb_c1/cb_den1</definedName>
    <definedName name="cb_d1_1">IF(1&lt;n_cb,-(cb_w1_1*cb_L1^3+cb_w1_2*cb_L2^3)/4,0)</definedName>
    <definedName name="cb_dp1_1">(cb_d1_1)/cb_den1</definedName>
    <definedName name="cb_d2_1">IF(1&lt;n_cb,-(cb_w2_1*cb_L1^3+cb_w2_2*cb_L2^3)/4,0)</definedName>
    <definedName name="cb_dp2_1">(cb_d2_1)/cb_den1</definedName>
    <definedName name="cb_d3_1">IF(1&lt;n_cb,-(cb_w3_1*cb_L1^3+cb_w3_2*cb_L2^3)/4,0)</definedName>
    <definedName name="cb_dp3_1">(cb_d3_1)/cb_den1</definedName>
    <definedName name="cb_a2">IF(AND(2&gt;1,2&lt;n_cb),cb_L2,0)</definedName>
    <definedName name="cb_b2">IF(2&lt;n_cb,2*(cb_L2+cb_L3),1)</definedName>
    <definedName name="cb_c2">IF(3&lt;n_cb,cb_L3,0)</definedName>
    <definedName name="cb_den2">cb_b2-cb_a2*cb_cp1</definedName>
    <definedName name="cb_cp2">cb_c2/cb_den2</definedName>
    <definedName name="cb_d1_2">IF(2&lt;n_cb,-(cb_w1_2*cb_L2^3+cb_w1_3*cb_L3^3)/4,0)</definedName>
    <definedName name="cb_dp1_2">(cb_d1_2-cb_a2*cb_dp1_1)/cb_den2</definedName>
    <definedName name="cb_d2_2">IF(2&lt;n_cb,-(cb_w2_2*cb_L2^3+cb_w2_3*cb_L3^3)/4,0)</definedName>
    <definedName name="cb_dp2_2">(cb_d2_2-cb_a2*cb_dp2_1)/cb_den2</definedName>
    <definedName name="cb_d3_2">IF(2&lt;n_cb,-(cb_w3_2*cb_L2^3+cb_w3_3*cb_L3^3)/4,0)</definedName>
    <definedName name="cb_dp3_2">(cb_d3_2-cb_a2*cb_dp3_1)/cb_den2</definedName>
    <definedName name="cb_a3">IF(AND(3&gt;1,3&lt;n_cb),cb_L3,0)</definedName>
    <definedName name="cb_b3">IF(3&lt;n_cb,2*(cb_L3+cb_L4),1)</definedName>
    <definedName name="cb_c3">IF(4&lt;n_cb,cb_L4,0)</definedName>
    <definedName name="cb_den3">cb_b3-cb_a3*cb_cp2</definedName>
    <definedName name="cb_cp3">cb_c3/cb_den3</definedName>
    <definedName name="cb_d1_3">IF(3&lt;n_cb,-(cb_w1_3*cb_L3^3+cb_w1_4*cb_L4^3)/4,0)</definedName>
    <definedName name="cb_dp1_3">(cb_d1_3-cb_a3*cb_dp1_2)/cb_den3</definedName>
    <definedName name="cb_d2_3">IF(3&lt;n_cb,-(cb_w2_3*cb_L3^3+cb_w2_4*cb_L4^3)/4,0)</definedName>
    <definedName name="cb_dp2_3">(cb_d2_3-cb_a3*cb_dp2_2)/cb_den3</definedName>
    <definedName name="cb_d3_3">IF(3&lt;n_cb,-(cb_w3_3*cb_L3^3+cb_w3_4*cb_L4^3)/4,0)</definedName>
    <definedName name="cb_dp3_3">(cb_d3_3-cb_a3*cb_dp3_2)/cb_den3</definedName>
    <definedName name="cb_a4">IF(AND(4&gt;1,4&lt;n_cb),cb_L4,0)</definedName>
    <definedName name="cb_b4">IF(4&lt;n_cb,2*(cb_L4+cb_L5),1)</definedName>
    <definedName name="cb_c4">IF(5&lt;n_cb,cb_L5,0)</definedName>
    <definedName name="cb_den4">cb_b4-cb_a4*cb_cp3</definedName>
    <definedName name="cb_cp4">cb_c4/cb_den4</definedName>
    <definedName name="cb_d1_4">IF(4&lt;n_cb,-(cb_w1_4*cb_L4^3+cb_w1_5*cb_L5^3)/4,0)</definedName>
    <definedName name="cb_dp1_4">(cb_d1_4-cb_a4*cb_dp1_3)/cb_den4</definedName>
    <definedName name="cb_d2_4">IF(4&lt;n_cb,-(cb_w2_4*cb_L4^3+cb_w2_5*cb_L5^3)/4,0)</definedName>
    <definedName name="cb_dp2_4">(cb_d2_4-cb_a4*cb_dp2_3)/cb_den4</definedName>
    <definedName name="cb_d3_4">IF(4&lt;n_cb,-(cb_w3_4*cb_L4^3+cb_w3_5*cb_L5^3)/4,0)</definedName>
    <definedName name="cb_dp3_4">(cb_d3_4-cb_a4*cb_dp3_3)/cb_den4</definedName>
    <definedName name="cb_M1_0">0</definedName>
    <definedName name="cb_M1_5">0</definedName>
    <definedName name="cb_M1_4">cb_dp1_4</definedName>
    <definedName name="cb_M1_3">cb_dp1_3-cb_cp3*cb_M1_4</definedName>
    <definedName name="cb_M1_2">cb_dp1_2-cb_cp2*cb_M1_3</definedName>
    <definedName name="cb_M1_1">cb_dp1_1-cb_cp1*cb_M1_2</definedName>
    <definedName name="cb_V1_1">cb_w1_1*cb_L1/2+(cb_M1_1-cb_M1_0)/cb_L1</definedName>
    <definedName name="cb_S1_1">IF(AND(cb_w1_1&gt;0,cb_V1_1&gt;0,cb_V1_1&lt;cb_w1_1*cb_L1),cb_M1_0+cb_V1_1^2/(2*cb_w1_1),MAX(cb_M1_0,cb_M1_1))</definedName>
    <definedName name="cb_V1_2">cb_w1_2*cb_L2/2+(cb_M1_2-cb_M1_1)/cb_L2</definedName>
    <definedName name="cb_S1_2">IF(AND(cb_w1_2&gt;0,cb_V1_2&gt;0,cb_V1_2&lt;cb_w1_2*cb_L2),cb_M1_1+cb_V1_2^2/(2*cb_w1_2),MAX(cb_M1_1,cb_M1_2))</definedName>
    <definedName name="cb_V1_3">cb_w1_3*cb_L3/2+(cb_M1_3-cb_M1_2)/cb_L3</definedName>
    <definedName name="cb_S1_3">IF(AND(cb_w1_3&gt;0,cb_V1_3&gt;0,cb_V1_3&lt;cb_w1_3*cb_L3),cb_M1_2+cb_V1_3^2/(2*cb_w1_3),MAX(cb_M1_2,cb_M1_3))</definedName>
    <definedName name="cb_V1_4">cb_w1_4*cb_L4/2+(cb_M1_4-cb_M1_3)/cb_L4</definedName>
    <definedName name="cb_S1_4">IF(AND(cb_w1_4&gt;0,cb_V1_4&gt;0,cb_V1_4&lt;cb_w1_4*cb_L4),cb_M1_3+cb_V1_4^2/(2*cb_w1_4),MAX(cb_M1_3,cb_M1_4))</definedName>
    <definedName name="cb_V1_5">cb_w1_5*cb_L5/2+(cb_M1_5-cb_M1_4)/cb_L5</definedName>
    <definedName name="cb_S1_5">IF(AND(cb_w1_5&gt;0,cb_V1_5&gt;0,cb_V1_5&lt;cb_w1_5*cb_L5),cb_M1_4+cb_V1_5^2/(2*cb_w1_5),MAX(cb_M1_4,cb_M1_5))</definedName>
    <definedName name="cb_M2_0">0</definedName>
    <definedName name="cb_M2_5">0</definedName>
    <definedName name="cb_M2_4">cb_dp2_4</definedName>
    <definedName name="cb_M2_3">cb_dp2_3-cb_cp3*cb_M2_4</definedName>
    <definedName name="cb_M2_2">cb_dp2_2-cb_cp2*cb_M2_3</definedName>
    <definedName name="cb_M2_1">cb_dp2_1-cb_cp1*cb_M2_2</definedName>
    <definedName name="cb_V2_1">cb_w2_1*cb_L1/2+(cb_M2_1-cb_M2_0)/cb_L1</definedName>
    <definedName name="cb_S2_1">IF(AND(cb_w2_1&gt;0,cb_V2_1&gt;0,cb_V2_1&lt;cb_w2_1*cb_L1),cb_M2_0+cb_V2_1^2/(2*cb_w2_1),MAX(cb_M2_0,cb_M2_1))</definedName>
    <definedName name="cb_V2_2">cb_w2_2*cb_L2/2+(cb_M2_2-cb_M2_1)/cb_L2</definedName>
    <definedName name="cb_S2_2">IF(AND(cb_w2_2&gt;0,cb_V2_2&gt;0,cb_V2_2&lt;cb_w2_2*cb_L2),cb_M2_1+cb_V2_2^2/(2*cb_w2_2),MAX(cb_M2_1,cb_M2_2))</definedName>
    <definedName name="cb_V2_3">cb_w2_3*cb_L3/2+(cb_M2_3-cb_M2_2)/cb_L3</definedName>
    <definedName name="cb_S2_3">IF(AND(cb_w2_3&gt;0,cb_V2_3&gt;0,cb_V2_3&lt;cb_w2_3*cb_L3),cb_M2_2+cb_V2_3^2/(2*cb_w2_3),MAX(cb_M2_2,cb_M2_3))</definedName>
    <definedName name="cb_V2_4">cb_w2_4*cb_L4/2+(cb_M2_4-cb_M2_3)/cb_L4</definedName>
    <definedName name="cb_S2_4">IF(AND(cb_w2_4&gt;0,cb_V2_4&gt;0,cb_V2_4&lt;cb_w2_4*cb_L4),cb_M2_3+cb_V2_4^2/(2*cb_w2_4),MAX(cb_M2_3,cb_M2_4))</definedName>
    <definedName name="cb_V2_5">cb_w2_5*cb_L5/2+(cb_M2_5-cb_M2_4)/cb_L5</definedName>
    <definedName name="cb_S2_5">IF(AND(cb_w2_5&gt;0,cb_V2_5&gt;0,cb_V2_5&lt;cb_w2_5*cb_L5),cb_M2_4+cb_V2_5^2/(2*cb_w2_5),MAX(cb_M2_4,cb_M2_5))</definedName>
    <definedName name="cb_M3_0">0</definedName>
    <definedName name="cb_M3_5">0</definedName>
    <definedName name="cb_M3_4">cb_dp3_4</definedName>
    <definedName name="cb_M3_3">cb_dp3_3-cb_cp3*cb_M3_4</definedName>
    <definedName name="cb_M3_2">cb_dp3_2-cb_cp2*cb_M3_3</definedName>
    <definedName name="cb_M3_1">cb_dp3_1-cb_cp1*cb_M3_2</definedName>
    <definedName name="cb_V3_1">cb_w3_1*cb_L1/2+(cb_M3_1-cb_M3_0)/cb_L1</definedName>
    <definedName name="cb_S3_1">IF(AND(cb_w3_1&gt;0,cb_V3_1&gt;0,cb_V3_1&lt;cb_w3_1*cb_L1),cb_M3_0+cb_V3_1^2/(2*cb_w3_1),MAX(cb_M3_0,cb_M3_1))</definedName>
    <definedName name="cb_V3_2">cb_w3_2*cb_L2/2+(cb_M3_2-cb_M3_1)/cb_L2</definedName>
    <definedName name="cb_S3_2">IF(AND(cb_w3_2&gt;0,cb_V3_2&gt;0,cb_V3_2&lt;cb_w3_2*cb_L2),cb_M3_1+cb_V3_2^2/(2*cb_w3_2),MAX(cb_M3_1,cb_M3_2))</definedName>
    <definedName name="cb_V3_3">cb_w3_3*cb_L3/2+(cb_M3_3-cb_M3_2)/cb_L3</definedName>
    <definedName name="cb_S3_3">IF(AND(cb_w3_3&gt;0,cb_V3_3&gt;0,cb_V3_3&lt;cb_w3_3*cb_L3),cb_M3_2+cb_V3_3^2/(2*cb_w3_3),MAX(cb_M3_2,cb_M3_3))</definedName>
    <definedName name="cb_V3_4">cb_w3_4*cb_L4/2+(cb_M3_4-cb_M3_3)/cb_L4</definedName>
    <definedName name="cb_S3_4">IF(AND(cb_w3_4&gt;0,cb_V3_4&gt;0,cb_V3_4&lt;cb_w3_4*cb_L4),cb_M3_3+cb_V3_4^2/(2*cb_w3_4),MAX(cb_M3_3,cb_M3_4))</definedName>
    <definedName name="cb_V3_5">cb_w3_5*cb_L5/2+(cb_M3_5-cb_M3_4)/cb_L5</definedName>
    <definedName name="cb_S3_5">IF(AND(cb_w3_5&gt;0,cb_V3_5&gt;0,cb_V3_5&lt;cb_w3_5*cb_L5),cb_M3_4+cb_V3_5^2/(2*cb_w3_5),MAX(cb_M3_4,cb_M3_5))</definedName>
    <definedName name="cb_sag1">IF(cb_on1,MAX(cb_S1_1,cb_S2_1,cb_S3_1),-1E9)</definedName>
    <definedName name="cb_sag2">IF(cb_on2,MAX(cb_S1_2,cb_S2_2,cb_S3_2),-1E9)</definedName>
    <definedName name="cb_sag3">IF(cb_on3,MAX(cb_S1_3,cb_S2_3,cb_S3_3),-1E9)</definedName>
    <definedName name="cb_sag4">IF(cb_on4,MAX(cb_S1_4,cb_S2_4,cb_S3_4),-1E9)</definedName>
    <definedName name="cb_sag5">IF(cb_on5,MAX(cb_S1_5,cb_S2_5,cb_S3_5),-1E9)</definedName>
    <definedName name="cb_Mmin1">MIN(cb_M1_1,cb_M2_1,cb_M3_1)</definedName>
    <definedName name="cb_Mmax1">MAX(cb_M1_1,cb_M2_1,cb_M3_1)</definedName>
    <definedName name="cb_Mmin2">MIN(cb_M1_2,cb_M2_2,cb_M3_2)</definedName>
    <definedName name="cb_Mmax2">MAX(cb_M1_2,cb_M2_2,cb_M3_2)</definedName>
    <definedName name="cb_Mmin3">MIN(cb_M1_3,cb_M2_3,cb_M3_3)</definedName>
    <definedName name="cb_Mmax3">MAX(cb_M1_3,cb_M2_3,cb_M3_3)</definedName>
    <definedName name="cb_Mmin4">MIN(cb_M1_4,cb_M2_4,cb_M3_4)</definedName>
    <definedName name="cb_Mmax4">MAX(cb_M1_4,cb_M2_4,cb_M3_4)</definedName>
    <definedName name="cb_xs1_1">IF(AND(cb_w1_1&gt;0,cb_V1_1&gt;0,cb_V1_1&lt;cb_w1_1*cb_L1),cb_V1_1/cb_w1_1,IF(cb_M1_0&gt;=cb_M1_1,0,cb_L1))</definedName>
    <definedName name="cb_xs1_2">IF(AND(cb_w1_2&gt;0,cb_V1_2&gt;0,cb_V1_2&lt;cb_w1_2*cb_L2),cb_V1_2/cb_w1_2,IF(cb_M1_1&gt;=cb_M1_2,0,cb_L2))</definedName>
    <definedName name="cb_xs1_3">IF(AND(cb_w1_3&gt;0,cb_V1_3&gt;0,cb_V1_3&lt;cb_w1_3*cb_L3),cb_V1_3/cb_w1_3,IF(cb_M1_2&gt;=cb_M1_3,0,cb_L3))</definedName>
    <definedName name="cb_xs1_4">IF(AND(cb_w1_4&gt;0,cb_V1_4&gt;0,cb_V1_4&lt;cb_w1_4*cb_L4),cb_V1_4/cb_w1_4,IF(cb_M1_3&gt;=cb_M1_4,0,cb_L4))</definedName>
    <definedName name="cb_xs1_5">IF(AND(cb_w1_5&gt;0,cb_V1_5&gt;0,cb_V1_5&lt;cb_w1_5*cb_L5),cb_V1_5/cb_w1_5,IF(cb_M1_4&gt;=cb_M1_5,0,cb_L5))</definedName>
    <definedName name="cb_xs2_1">IF(AND(cb_w2_1&gt;0,cb_V2_1&gt;0,cb_V2_1&lt;cb_w2_1*cb_L1),cb_V2_1/cb_w2_1,IF(cb_M2_0&gt;=cb_M2_1,0,cb_L1))</definedName>
    <definedName name="cb_xs2_2">IF(AND(cb_w2_2&gt;0,cb_V2_2&gt;0,cb_V2_2&lt;cb_w2_2*cb_L2),cb_V2_2/cb_w2_2,IF(cb_M2_1&gt;=cb_M2_2,0,cb_L2))</definedName>
    <definedName name="cb_xs2_3">IF(AND(cb_w2_3&gt;0,cb_V2_3&gt;0,cb_V2_3&lt;cb_w2_3*cb_L3),cb_V2_3/cb_w2_3,IF(cb_M2_2&gt;=cb_M2_3,0,cb_L3))</definedName>
    <definedName name="cb_xs2_4">IF(AND(cb_w2_4&gt;0,cb_V2_4&gt;0,cb_V2_4&lt;cb_w2_4*cb_L4),cb_V2_4/cb_w2_4,IF(cb_M2_3&gt;=cb_M2_4,0,cb_L4))</definedName>
    <definedName name="cb_xs2_5">IF(AND(cb_w2_5&gt;0,cb_V2_5&gt;0,cb_V2_5&lt;cb_w2_5*cb_L5),cb_V2_5/cb_w2_5,IF(cb_M2_4&gt;=cb_M2_5,0,cb_L5))</definedName>
    <definedName name="cb_xs3_1">IF(AND(cb_w3_1&gt;0,cb_V3_1&gt;0,cb_V3_1&lt;cb_w3_1*cb_L1),cb_V3_1/cb_w3_1,IF(cb_M3_0&gt;=cb_M3_1,0,cb_L1))</definedName>
    <definedName name="cb_xs3_2">IF(AND(cb_w3_2&gt;0,cb_V3_2&gt;0,cb_V3_2&lt;cb_w3_2*cb_L2),cb_V3_2/cb_w3_2,IF(cb_M3_1&gt;=cb_M3_2,0,cb_L2))</definedName>
    <definedName name="cb_xs3_3">IF(AND(cb_w3_3&gt;0,cb_V3_3&gt;0,cb_V3_3&lt;cb_w3_3*cb_L3),cb_V3_3/cb_w3_3,IF(cb_M3_2&gt;=cb_M3_3,0,cb_L3))</definedName>
    <definedName name="cb_xs3_4">IF(AND(cb_w3_4&gt;0,cb_V3_4&gt;0,cb_V3_4&lt;cb_w3_4*cb_L4),cb_V3_4/cb_w3_4,IF(cb_M3_3&gt;=cb_M3_4,0,cb_L4))</definedName>
    <definedName name="cb_xs3_5">IF(AND(cb_w3_5&gt;0,cb_V3_5&gt;0,cb_V3_5&lt;cb_w3_5*cb_L5),cb_V3_5/cb_w3_5,IF(cb_M3_4&gt;=cb_M3_5,0,cb_L5))</definedName>
    <definedName name="cb_xsag1">CHOOSE(MATCH(cb_sag1,CHOOSE({1,2,3},cb_S1_1,cb_S2_1,cb_S3_1),0),cb_xs1_1,cb_xs2_1,cb_xs3_1)</definedName>
    <definedName name="cb_xsag2">CHOOSE(MATCH(cb_sag2,CHOOSE({1,2,3},cb_S1_2,cb_S2_2,cb_S3_2),0),cb_xs1_2,cb_xs2_2,cb_xs3_2)</definedName>
    <definedName name="cb_xsag3">CHOOSE(MATCH(cb_sag3,CHOOSE({1,2,3},cb_S1_3,cb_S2_3,cb_S3_3),0),cb_xs1_3,cb_xs2_3,cb_xs3_3)</definedName>
    <definedName name="cb_xsag4">CHOOSE(MATCH(cb_sag4,CHOOSE({1,2,3},cb_S1_4,cb_S2_4,cb_S3_4),0),cb_xs1_4,cb_xs2_4,cb_xs3_4)</definedName>
    <definedName name="cb_xsag5">CHOOSE(MATCH(cb_sag5,CHOOSE({1,2,3},cb_S1_5,cb_S2_5,cb_S3_5),0),cb_xs1_5,cb_xs2_5,cb_xs3_5)</definedName>
    <definedName name="cb_R1_0">cb_V1_1-0</definedName>
    <definedName name="cb_Vk1_0">MAX(ABS(cb_V1_1),ABS(0))</definedName>
    <definedName name="cb_R2_0">cb_V2_1-0</definedName>
    <definedName name="cb_Vk2_0">MAX(ABS(cb_V2_1),ABS(0))</definedName>
    <definedName name="cb_R3_0">cb_V3_1-0</definedName>
    <definedName name="cb_Vk3_0">MAX(ABS(cb_V3_1),ABS(0))</definedName>
    <definedName name="cb_on_s0">0&lt;=n_cb</definedName>
    <definedName name="cb_Rmax0">MAX(cb_R1_0,cb_R2_0,cb_R3_0)</definedName>
    <definedName name="cb_Rmin0">MIN(cb_R1_0,cb_R2_0,cb_R3_0)</definedName>
    <definedName name="cb_Vs0">MAX(cb_Vk1_0,cb_Vk2_0,cb_Vk3_0)</definedName>
    <definedName name="cb_R1_1">cb_V1_2-(cb_V1_1-cb_w1_1*cb_L1)</definedName>
    <definedName name="cb_Vk1_1">MAX(ABS(cb_V1_2),ABS((cb_V1_1-cb_w1_1*cb_L1)))</definedName>
    <definedName name="cb_R2_1">cb_V2_2-(cb_V2_1-cb_w2_1*cb_L1)</definedName>
    <definedName name="cb_Vk2_1">MAX(ABS(cb_V2_2),ABS((cb_V2_1-cb_w2_1*cb_L1)))</definedName>
    <definedName name="cb_R3_1">cb_V3_2-(cb_V3_1-cb_w3_1*cb_L1)</definedName>
    <definedName name="cb_Vk3_1">MAX(ABS(cb_V3_2),ABS((cb_V3_1-cb_w3_1*cb_L1)))</definedName>
    <definedName name="cb_on_s1">1&lt;=n_cb</definedName>
    <definedName name="cb_Rmax1">MAX(cb_R1_1,cb_R2_1,cb_R3_1)</definedName>
    <definedName name="cb_Rmin1">MIN(cb_R1_1,cb_R2_1,cb_R3_1)</definedName>
    <definedName name="cb_Vs1">MAX(cb_Vk1_1,cb_Vk2_1,cb_Vk3_1)</definedName>
    <definedName name="cb_R1_2">cb_V1_3-(cb_V1_2-cb_w1_2*cb_L2)</definedName>
    <definedName name="cb_Vk1_2">MAX(ABS(cb_V1_3),ABS((cb_V1_2-cb_w1_2*cb_L2)))</definedName>
    <definedName name="cb_R2_2">cb_V2_3-(cb_V2_2-cb_w2_2*cb_L2)</definedName>
    <definedName name="cb_Vk2_2">MAX(ABS(cb_V2_3),ABS((cb_V2_2-cb_w2_2*cb_L2)))</definedName>
    <definedName name="cb_R3_2">cb_V3_3-(cb_V3_2-cb_w3_2*cb_L2)</definedName>
    <definedName name="cb_Vk3_2">MAX(ABS(cb_V3_3),ABS((cb_V3_2-cb_w3_2*cb_L2)))</definedName>
    <definedName name="cb_on_s2">2&lt;=n_cb</definedName>
    <definedName name="cb_Rmax2">MAX(cb_R1_2,cb_R2_2,cb_R3_2)</definedName>
    <definedName name="cb_Rmin2">MIN(cb_R1_2,cb_R2_2,cb_R3_2)</definedName>
    <definedName name="cb_Vs2">MAX(cb_Vk1_2,cb_Vk2_2,cb_Vk3_2)</definedName>
    <definedName name="cb_R1_3">cb_V1_4-(cb_V1_3-cb_w1_3*cb_L3)</definedName>
    <definedName name="cb_Vk1_3">MAX(ABS(cb_V1_4),ABS((cb_V1_3-cb_w1_3*cb_L3)))</definedName>
    <definedName name="cb_R2_3">cb_V2_4-(cb_V2_3-cb_w2_3*cb_L3)</definedName>
    <definedName name="cb_Vk2_3">MAX(ABS(cb_V2_4),ABS((cb_V2_3-cb_w2_3*cb_L3)))</definedName>
    <definedName name="cb_R3_3">cb_V3_4-(cb_V3_3-cb_w3_3*cb_L3)</definedName>
    <definedName name="cb_Vk3_3">MAX(ABS(cb_V3_4),ABS((cb_V3_3-cb_w3_3*cb_L3)))</definedName>
    <definedName name="cb_on_s3">3&lt;=n_cb</definedName>
    <definedName name="cb_Rmax3">MAX(cb_R1_3,cb_R2_3,cb_R3_3)</definedName>
    <definedName name="cb_Rmin3">MIN(cb_R1_3,cb_R2_3,cb_R3_3)</definedName>
    <definedName name="cb_Vs3">MAX(cb_Vk1_3,cb_Vk2_3,cb_Vk3_3)</definedName>
    <definedName name="cb_R1_4">cb_V1_5-(cb_V1_4-cb_w1_4*cb_L4)</definedName>
    <definedName name="cb_Vk1_4">MAX(ABS(cb_V1_5),ABS((cb_V1_4-cb_w1_4*cb_L4)))</definedName>
    <definedName name="cb_R2_4">cb_V2_5-(cb_V2_4-cb_w2_4*cb_L4)</definedName>
    <definedName name="cb_Vk2_4">MAX(ABS(cb_V2_5),ABS((cb_V2_4-cb_w2_4*cb_L4)))</definedName>
    <definedName name="cb_R3_4">cb_V3_5-(cb_V3_4-cb_w3_4*cb_L4)</definedName>
    <definedName name="cb_Vk3_4">MAX(ABS(cb_V3_5),ABS((cb_V3_4-cb_w3_4*cb_L4)))</definedName>
    <definedName name="cb_on_s4">4&lt;=n_cb</definedName>
    <definedName name="cb_Rmax4">MAX(cb_R1_4,cb_R2_4,cb_R3_4)</definedName>
    <definedName name="cb_Rmin4">MIN(cb_R1_4,cb_R2_4,cb_R3_4)</definedName>
    <definedName name="cb_Vs4">MAX(cb_Vk1_4,cb_Vk2_4,cb_Vk3_4)</definedName>
    <definedName name="cb_R1_5">0-(cb_V1_5-cb_w1_5*cb_L5)</definedName>
    <definedName name="cb_Vk1_5">MAX(ABS(0),ABS((cb_V1_5-cb_w1_5*cb_L5)))</definedName>
    <definedName name="cb_R2_5">0-(cb_V2_5-cb_w2_5*cb_L5)</definedName>
    <definedName name="cb_Vk2_5">MAX(ABS(0),ABS((cb_V2_5-cb_w2_5*cb_L5)))</definedName>
    <definedName name="cb_R3_5">0-(cb_V3_5-cb_w3_5*cb_L5)</definedName>
    <definedName name="cb_Vk3_5">MAX(ABS(0),ABS((cb_V3_5-cb_w3_5*cb_L5)))</definedName>
    <definedName name="cb_on_s5">5&lt;=n_cb</definedName>
    <definedName name="cb_Rmax5">MAX(cb_R1_5,cb_R2_5,cb_R3_5)</definedName>
    <definedName name="cb_Rmin5">MIN(cb_R1_5,cb_R2_5,cb_R3_5)</definedName>
    <definedName name="cb_Vs5">MAX(cb_Vk1_5,cb_Vk2_5,cb_Vk3_5)</definedName>
    <definedName name="cb_X1">0</definedName>
    <definedName name="cb_X2">cb_X1+IF(cb_on1,Lcb_1,0)</definedName>
    <definedName name="cb_X3">cb_X2+IF(cb_on2,Lcb_2,0)</definedName>
    <definedName name="cb_X4">cb_X3+IF(cb_on3,Lcb_3,0)</definedName>
    <definedName name="cb_X5">cb_X4+IF(cb_on4,Lcb_4,0)</definedName>
    <definedName name="cb_Ltot">IF(cb_on1,Lcb_1,0)+IF(cb_on2,Lcb_2,0)+IF(cb_on3,Lcb_3,0)+IF(cb_on4,Lcb_4,0)+IF(cb_on5,Lcb_5,0)</definedName>
    <definedName name="uplift_status">'Calculation'!$G$28</definedName>
    <definedName name="cb_wf">'Calculation'!$E$55</definedName>
    <definedName name="cb_wp">'Calculation'!$E$56</definedName>
    <definedName name="cb_Msag">'Calculation'!$E$80</definedName>
    <definedName name="cb_Mhog">'Calculation'!$E$81</definedName>
    <definedName name="cb_Vmax">'Calculation'!$E$82</definedName>
    <definedName name="cb_Rmax">'Calculation'!$E$83</definedName>
    <definedName name="cb_Rmin">'Calculation'!$E$84</definedName>
    <definedName name="_xlnm.Print_Area" localSheetId="0">'About'!$A$1:$D$39</definedName>
    <definedName name="_xlnm.Print_Area" localSheetId="1">'Calculation'!$A$1:$H$88</definedName>
  </definedNames>
  <calcPr calcId="124519" fullCalcOnLoad="1"/>
</workbook>
</file>

<file path=xl/styles.xml><?xml version="1.0" encoding="utf-8"?>
<styleSheet xmlns="http://schemas.openxmlformats.org/spreadsheetml/2006/main">
  <numFmts count="2">
    <numFmt numFmtId="164" formatCode="dd mmm yyyy"/>
    <numFmt numFmtId="165" formatCode="0.0"/>
  </numFmts>
  <fonts count="19">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43">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0" fillId="0" borderId="1" applyAlignment="1" pivotButton="0" quotePrefix="0" xfId="0">
      <alignment horizontal="center" vertical="center"/>
    </xf>
    <xf numFmtId="0" fontId="12" fillId="3" borderId="1" applyAlignment="1" applyProtection="1" pivotButton="0" quotePrefix="0" xfId="0">
      <alignment horizontal="center" vertical="center"/>
      <protection locked="0" hidden="0"/>
    </xf>
    <xf numFmtId="0" fontId="8" fillId="0" borderId="1" applyAlignment="1" pivotButton="0" quotePrefix="0" xfId="0">
      <alignment vertical="center"/>
    </xf>
    <xf numFmtId="2"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0" fontId="0" fillId="4" borderId="0" applyAlignment="1" pivotButton="0" quotePrefix="0" xfId="0">
      <alignment horizontal="center" vertical="center"/>
    </xf>
    <xf numFmtId="165"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17" fillId="0" borderId="0" pivotButton="0" quotePrefix="0" xfId="0"/>
    <xf numFmtId="2" fontId="5" fillId="0" borderId="1" applyAlignment="1" pivotButton="0" quotePrefix="0" xfId="0">
      <alignment horizontal="center" vertical="center"/>
    </xf>
    <xf numFmtId="0" fontId="18" fillId="0" borderId="0" applyAlignment="1" pivotButton="0" quotePrefix="0" xfId="0">
      <alignment vertical="top" wrapText="1"/>
    </xf>
    <xf numFmtId="165" fontId="5" fillId="0" borderId="1" applyAlignment="1" pivotButton="0" quotePrefix="0" xfId="0">
      <alignment horizontal="center" vertical="center"/>
    </xf>
    <xf numFmtId="49" fontId="5" fillId="0" borderId="1" applyAlignment="1" pivotButton="0" quotePrefix="0" xfId="0">
      <alignment horizontal="center" vertical="center"/>
    </xf>
    <xf numFmtId="2" fontId="12" fillId="0" borderId="1" applyAlignment="1" pivotButton="0" quotePrefix="0" xfId="0">
      <alignment horizontal="center" vertic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beam</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'Geometry'!$D$3:$D$4</f>
            </numRef>
          </xVal>
          <yVal>
            <numRef>
              <f>'Geometry'!$E$3:$E$4</f>
            </numRef>
          </yVal>
          <smooth val="0"/>
        </ser>
        <ser>
          <idx val="2"/>
          <order val="2"/>
          <tx>
            <v>support A</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'Geometry'!$G$3:$G$6</f>
            </numRef>
          </xVal>
          <yVal>
            <numRef>
              <f>'Geometry'!$H$3:$H$6</f>
            </numRef>
          </yVal>
          <smooth val="0"/>
        </ser>
        <ser>
          <idx val="3"/>
          <order val="3"/>
          <tx>
            <strRef>
              <f>'Geometry'!$J$2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'Geometry'!$J$3</f>
            </numRef>
          </xVal>
          <yVal>
            <numRef>
              <f>'Geometry'!$K$3</f>
            </numRef>
          </yVal>
          <smooth val="0"/>
        </ser>
        <ser>
          <idx val="4"/>
          <order val="4"/>
          <tx>
            <v>support B</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'Geometry'!$M$3:$M$6</f>
            </numRef>
          </xVal>
          <yVal>
            <numRef>
              <f>'Geometry'!$N$3:$N$6</f>
            </numRef>
          </yVal>
          <smooth val="0"/>
        </ser>
        <ser>
          <idx val="5"/>
          <order val="5"/>
          <tx>
            <strRef>
              <f>'Geometry'!$P$2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'Geometry'!$P$3</f>
            </numRef>
          </xVal>
          <yVal>
            <numRef>
              <f>'Geometry'!$Q$3</f>
            </numRef>
          </yVal>
          <smooth val="0"/>
        </ser>
        <ser>
          <idx val="6"/>
          <order val="6"/>
          <tx>
            <v>support C</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'Geometry'!$S$3:$S$6</f>
            </numRef>
          </xVal>
          <yVal>
            <numRef>
              <f>'Geometry'!$T$3:$T$6</f>
            </numRef>
          </yVal>
          <smooth val="0"/>
        </ser>
        <ser>
          <idx val="7"/>
          <order val="7"/>
          <tx>
            <strRef>
              <f>'Geometry'!$V$2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'Geometry'!$V$3</f>
            </numRef>
          </xVal>
          <yVal>
            <numRef>
              <f>'Geometry'!$W$3</f>
            </numRef>
          </yVal>
          <smooth val="0"/>
        </ser>
        <ser>
          <idx val="8"/>
          <order val="8"/>
          <tx>
            <v>support D</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'Geometry'!$Y$3:$Y$6</f>
            </numRef>
          </xVal>
          <yVal>
            <numRef>
              <f>'Geometry'!$Z$3:$Z$6</f>
            </numRef>
          </yVal>
          <smooth val="0"/>
        </ser>
        <ser>
          <idx val="9"/>
          <order val="9"/>
          <tx>
            <strRef>
              <f>'Geometry'!$AB$2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'Geometry'!$AB$3</f>
            </numRef>
          </xVal>
          <yVal>
            <numRef>
              <f>'Geometry'!$AC$3</f>
            </numRef>
          </yVal>
          <smooth val="0"/>
        </ser>
        <ser>
          <idx val="10"/>
          <order val="10"/>
          <tx>
            <v>support E</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'Geometry'!$AE$3:$AE$6</f>
            </numRef>
          </xVal>
          <yVal>
            <numRef>
              <f>'Geometry'!$AF$3:$AF$6</f>
            </numRef>
          </yVal>
          <smooth val="0"/>
        </ser>
        <ser>
          <idx val="11"/>
          <order val="11"/>
          <tx>
            <strRef>
              <f>'Geometry'!$AH$2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'Geometry'!$AH$3</f>
            </numRef>
          </xVal>
          <yVal>
            <numRef>
              <f>'Geometry'!$AI$3</f>
            </numRef>
          </yVal>
          <smooth val="0"/>
        </ser>
        <ser>
          <idx val="12"/>
          <order val="12"/>
          <tx>
            <v>support F</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'Geometry'!$AK$3:$AK$6</f>
            </numRef>
          </xVal>
          <yVal>
            <numRef>
              <f>'Geometry'!$AL$3:$AL$6</f>
            </numRef>
          </yVal>
          <smooth val="0"/>
        </ser>
        <ser>
          <idx val="13"/>
          <order val="13"/>
          <tx>
            <strRef>
              <f>'Geometry'!$AN$2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'Geometry'!$AN$3</f>
            </numRef>
          </xVal>
          <yVal>
            <numRef>
              <f>'Geometry'!$AO$3</f>
            </numRef>
          </yVal>
          <smooth val="0"/>
        </ser>
        <ser>
          <idx val="14"/>
          <order val="14"/>
          <tx>
            <v>udl</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'Geometry'!$AQ$3:$AQ$6</f>
            </numRef>
          </xVal>
          <yVal>
            <numRef>
              <f>'Geometry'!$AR$3:$AR$6</f>
            </numRef>
          </yVal>
          <smooth val="0"/>
        </ser>
        <ser>
          <idx val="15"/>
          <order val="15"/>
          <tx>
            <strRef>
              <f>'Geometry'!$AT$2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'Geometry'!$AT$3</f>
            </numRef>
          </xVal>
          <yVal>
            <numRef>
              <f>'Geometry'!$AU$3</f>
            </numRef>
          </yVal>
          <smooth val="0"/>
        </ser>
        <ser>
          <idx val="16"/>
          <order val="16"/>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'Geometry'!$AW$3:$AW$4</f>
            </numRef>
          </xVal>
          <yVal>
            <numRef>
              <f>'Geometry'!$AX$3:$AX$4</f>
            </numRef>
          </yVal>
          <smooth val="0"/>
        </ser>
        <ser>
          <idx val="17"/>
          <order val="17"/>
          <tx>
            <strRef>
              <f>'Geometry'!$AZ$2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'Geometry'!$AZ$3</f>
            </numRef>
          </xVal>
          <yVal>
            <numRef>
              <f>'Geometry'!$BA$3</f>
            </numRef>
          </yVal>
          <smooth val="0"/>
        </ser>
        <ser>
          <idx val="18"/>
          <order val="18"/>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'Geometry'!$BC$3:$BC$4</f>
            </numRef>
          </xVal>
          <yVal>
            <numRef>
              <f>'Geometry'!$BD$3:$BD$4</f>
            </numRef>
          </yVal>
          <smooth val="0"/>
        </ser>
        <ser>
          <idx val="19"/>
          <order val="19"/>
          <tx>
            <strRef>
              <f>'Geometry'!$BF$2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'Geometry'!$BF$3</f>
            </numRef>
          </xVal>
          <yVal>
            <numRef>
              <f>'Geometry'!$BG$3</f>
            </numRef>
          </yVal>
          <smooth val="0"/>
        </ser>
        <ser>
          <idx val="20"/>
          <order val="2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'Geometry'!$BI$3:$BI$4</f>
            </numRef>
          </xVal>
          <yVal>
            <numRef>
              <f>'Geometry'!$BJ$3:$BJ$4</f>
            </numRef>
          </yVal>
          <smooth val="0"/>
        </ser>
        <ser>
          <idx val="21"/>
          <order val="21"/>
          <tx>
            <strRef>
              <f>'Geometry'!$BL$2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'Geometry'!$BL$3</f>
            </numRef>
          </xVal>
          <yVal>
            <numRef>
              <f>'Geometry'!$BM$3</f>
            </numRef>
          </yVal>
          <smooth val="0"/>
        </ser>
        <ser>
          <idx val="22"/>
          <order val="22"/>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'Geometry'!$BO$3:$BO$4</f>
            </numRef>
          </xVal>
          <yVal>
            <numRef>
              <f>'Geometry'!$BP$3:$BP$4</f>
            </numRef>
          </yVal>
          <smooth val="0"/>
        </ser>
        <ser>
          <idx val="23"/>
          <order val="23"/>
          <tx>
            <strRef>
              <f>'Geometry'!$BR$2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'Geometry'!$BR$3</f>
            </numRef>
          </xVal>
          <yVal>
            <numRef>
              <f>'Geometry'!$BS$3</f>
            </numRef>
          </yVal>
          <smooth val="0"/>
        </ser>
        <ser>
          <idx val="24"/>
          <order val="24"/>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'Geometry'!$BU$3:$BU$4</f>
            </numRef>
          </xVal>
          <yVal>
            <numRef>
              <f>'Geometry'!$BV$3:$BV$4</f>
            </numRef>
          </yVal>
          <smooth val="0"/>
        </ser>
        <ser>
          <idx val="25"/>
          <order val="25"/>
          <tx>
            <strRef>
              <f>'Geometry'!$BX$2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'Geometry'!$BX$3</f>
            </numRef>
          </xVal>
          <yVal>
            <numRef>
              <f>'Geometry'!$BY$3</f>
            </numRef>
          </yVal>
          <smooth val="0"/>
        </ser>
        <ser>
          <idx val="26"/>
          <order val="26"/>
          <tx>
            <v>SFD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'Geometry'!$CA$3:$CA$4</f>
            </numRef>
          </xVal>
          <yVal>
            <numRef>
              <f>'Geometry'!$CB$3:$CB$4</f>
            </numRef>
          </yVal>
          <smooth val="0"/>
        </ser>
        <ser>
          <idx val="27"/>
          <order val="27"/>
          <tx>
            <v>BMD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'Geometry'!$CD$3:$CD$4</f>
            </numRef>
          </xVal>
          <yVal>
            <numRef>
              <f>'Geometry'!$CE$3:$CE$4</f>
            </numRef>
          </yVal>
          <smooth val="0"/>
        </ser>
        <ser>
          <idx val="28"/>
          <order val="28"/>
          <tx>
            <v>Vmax</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'Geometry'!$CG$3:$CG$107</f>
            </numRef>
          </xVal>
          <yVal>
            <numRef>
              <f>'Geometry'!$CH$3:$CH$107</f>
            </numRef>
          </yVal>
          <smooth val="0"/>
        </ser>
        <ser>
          <idx val="29"/>
          <order val="29"/>
          <tx>
            <v>Vmin</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'Geometry'!$CJ$3:$CJ$107</f>
            </numRef>
          </xVal>
          <yVal>
            <numRef>
              <f>'Geometry'!$CK$3:$CK$107</f>
            </numRef>
          </yVal>
          <smooth val="0"/>
        </ser>
        <ser>
          <idx val="30"/>
          <order val="30"/>
          <tx>
            <v>Mmax</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'Geometry'!$CM$3:$CM$107</f>
            </numRef>
          </xVal>
          <yVal>
            <numRef>
              <f>'Geometry'!$CN$3:$CN$107</f>
            </numRef>
          </yVal>
          <smooth val="0"/>
        </ser>
        <ser>
          <idx val="31"/>
          <order val="31"/>
          <tx>
            <v>Mmin</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'Geometry'!$CP$3:$CP$107</f>
            </numRef>
          </xVal>
          <yVal>
            <numRef>
              <f>'Geometry'!$CQ$3:$CQ$107</f>
            </numRef>
          </yVal>
          <smooth val="0"/>
        </ser>
        <ser>
          <idx val="32"/>
          <order val="32"/>
          <tx>
            <v>peak 1</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'Geometry'!$CS$3</f>
            </numRef>
          </xVal>
          <yVal>
            <numRef>
              <f>'Geometry'!$CT$3</f>
            </numRef>
          </yVal>
          <smooth val="0"/>
        </ser>
        <ser>
          <idx val="33"/>
          <order val="33"/>
          <tx>
            <strRef>
              <f>'Geometry'!$CV$2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'Geometry'!$CV$3</f>
            </numRef>
          </xVal>
          <yVal>
            <numRef>
              <f>'Geometry'!$CW$3</f>
            </numRef>
          </yVal>
          <smooth val="0"/>
        </ser>
        <ser>
          <idx val="34"/>
          <order val="34"/>
          <tx>
            <v>peak 2</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'Geometry'!$CY$3</f>
            </numRef>
          </xVal>
          <yVal>
            <numRef>
              <f>'Geometry'!$CZ$3</f>
            </numRef>
          </yVal>
          <smooth val="0"/>
        </ser>
        <ser>
          <idx val="35"/>
          <order val="35"/>
          <tx>
            <strRef>
              <f>'Geometry'!$DB$2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'Geometry'!$DB$3</f>
            </numRef>
          </xVal>
          <yVal>
            <numRef>
              <f>'Geometry'!$DC$3</f>
            </numRef>
          </yVal>
          <smooth val="0"/>
        </ser>
        <ser>
          <idx val="36"/>
          <order val="36"/>
          <tx>
            <v>peak 3</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'Geometry'!$DE$3</f>
            </numRef>
          </xVal>
          <yVal>
            <numRef>
              <f>'Geometry'!$DF$3</f>
            </numRef>
          </yVal>
          <smooth val="0"/>
        </ser>
        <ser>
          <idx val="37"/>
          <order val="37"/>
          <tx>
            <strRef>
              <f>'Geometry'!$DH$2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'Geometry'!$DH$3</f>
            </numRef>
          </xVal>
          <yVal>
            <numRef>
              <f>'Geometry'!$DI$3</f>
            </numRef>
          </yVal>
          <smooth val="0"/>
        </ser>
        <ser>
          <idx val="38"/>
          <order val="38"/>
          <tx>
            <v>peak 4</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'Geometry'!$DK$3</f>
            </numRef>
          </xVal>
          <yVal>
            <numRef>
              <f>'Geometry'!$DL$3</f>
            </numRef>
          </yVal>
          <smooth val="0"/>
        </ser>
        <ser>
          <idx val="39"/>
          <order val="39"/>
          <tx>
            <strRef>
              <f>'Geometry'!$DN$2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'Geometry'!$DN$3</f>
            </numRef>
          </xVal>
          <yVal>
            <numRef>
              <f>'Geometry'!$DO$3</f>
            </numRef>
          </yVal>
          <smooth val="0"/>
        </ser>
        <ser>
          <idx val="40"/>
          <order val="40"/>
          <tx>
            <v>peak 5</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'Geometry'!$DQ$3</f>
            </numRef>
          </xVal>
          <yVal>
            <numRef>
              <f>'Geometry'!$DR$3</f>
            </numRef>
          </yVal>
          <smooth val="0"/>
        </ser>
        <ser>
          <idx val="41"/>
          <order val="41"/>
          <tx>
            <strRef>
              <f>'Geometry'!$DT$2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'Geometry'!$DT$3</f>
            </numRef>
          </xVal>
          <yVal>
            <numRef>
              <f>'Geometry'!$DU$3</f>
            </numRef>
          </yVal>
          <smooth val="0"/>
        </ser>
        <ser>
          <idx val="42"/>
          <order val="42"/>
          <tx>
            <strRef>
              <f>'Geometry'!$DW$2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'Geometry'!$DW$3</f>
            </numRef>
          </xVal>
          <yVal>
            <numRef>
              <f>'Geometry'!$DX$3</f>
            </numRef>
          </yVal>
          <smooth val="0"/>
        </ser>
        <ser>
          <idx val="43"/>
          <order val="43"/>
          <tx>
            <strRef>
              <f>'Geometry'!$DZ$2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'Geometry'!$DZ$3</f>
            </numRef>
          </xVal>
          <yVal>
            <numRef>
              <f>'Geometry'!$EA$3</f>
            </numRef>
          </yVal>
          <smooth val="0"/>
        </ser>
        <ser>
          <idx val="44"/>
          <order val="44"/>
          <tx>
            <strRef>
              <f>'Geometry'!$EC$2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'Geometry'!$EC$3</f>
            </numRef>
          </xVal>
          <yVal>
            <numRef>
              <f>'Geometry'!$ED$3</f>
            </numRef>
          </yVal>
          <smooth val="0"/>
        </ser>
        <ser>
          <idx val="45"/>
          <order val="45"/>
          <tx>
            <strRef>
              <f>'Geometry'!$EF$2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'Geometry'!$EF$3</f>
            </numRef>
          </xVal>
          <yVal>
            <numRef>
              <f>'Geometry'!$EG$3</f>
            </numRef>
          </yVal>
          <smooth val="0"/>
        </ser>
        <ser>
          <idx val="46"/>
          <order val="46"/>
          <tx>
            <strRef>
              <f>'Geometry'!$EI$2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'Geometry'!$EI$3</f>
            </numRef>
          </xVal>
          <yVal>
            <numRef>
              <f>'Geometry'!$EJ$3</f>
            </numRef>
          </yVal>
          <smooth val="0"/>
        </ser>
        <ser>
          <idx val="47"/>
          <order val="47"/>
          <tx>
            <strRef>
              <f>'Geometry'!$EL$2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'Geometry'!$EL$3</f>
            </numRef>
          </xVal>
          <yVal>
            <numRef>
              <f>'Geometry'!$EM$3</f>
            </numRef>
          </yVal>
          <smooth val="0"/>
        </ser>
        <ser>
          <idx val="48"/>
          <order val="48"/>
          <tx>
            <v>frame</v>
          </tx>
          <spPr>
            <a:ln xmlns:a="http://schemas.openxmlformats.org/drawingml/2006/main">
              <a:noFill/>
              <a:prstDash val="solid"/>
            </a:ln>
          </spPr>
          <marker>
            <symbol val="none"/>
            <spPr>
              <a:ln xmlns:a="http://schemas.openxmlformats.org/drawingml/2006/main">
                <a:prstDash val="solid"/>
              </a:ln>
            </spPr>
          </marker>
          <xVal>
            <numRef>
              <f>'Geometry'!$EO$3:$EO$4</f>
            </numRef>
          </xVal>
          <yVal>
            <numRef>
              <f>'Geometry'!$EP$3:$EP$4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30</row>
      <rowOff>0</rowOff>
    </from>
    <ext cx="6696000" cy="43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Continuous beam</t>
        </is>
      </c>
    </row>
    <row r="8" ht="20" customHeight="1">
      <c r="B8" s="4" t="inlineStr">
        <is>
          <t>Two to five spans  ·  pattern loading to the UK NA  ·  moment and shear envelopes, reactions</t>
        </is>
      </c>
    </row>
    <row r="10">
      <c r="B10" s="5" t="inlineStr">
        <is>
          <t>Reference</t>
        </is>
      </c>
      <c r="C10" s="6" t="inlineStr">
        <is>
          <t>NAE-RC-018  ·  version 1.0</t>
        </is>
      </c>
    </row>
    <row r="11" ht="31" customHeight="1">
      <c r="B11" s="5" t="inlineStr">
        <is>
          <t>Standards</t>
        </is>
      </c>
      <c r="C11" s="7" t="inlineStr">
        <is>
          <t>BS EN 1992-1-1:2004+A1:2014, 5.1.3 and 5.4 (linear elastic analysis)  ·  BS EN 1990:2002+A1:2005 (6.10)</t>
        </is>
      </c>
    </row>
    <row r="12" ht="31" customHeight="1">
      <c r="B12" s="5" t="inlineStr">
        <is>
          <t>National Annex</t>
        </is>
      </c>
      <c r="C12" s="7" t="inlineStr">
        <is>
          <t>NA+A2:2014 to BS EN 1992-1-1:2004+A1:2014, NA.2 5.1.3(1)P, option (b): all spans and alternate spans loaded</t>
        </is>
      </c>
    </row>
    <row r="13">
      <c r="B13" s="5" t="inlineStr">
        <is>
          <t>Issued</t>
        </is>
      </c>
      <c r="C13" s="6" t="inlineStr">
        <is>
          <t>30 October 2026</t>
        </is>
      </c>
    </row>
    <row r="15" ht="20" customHeight="1">
      <c r="B15" s="8" t="inlineStr">
        <is>
          <t>What it does</t>
        </is>
      </c>
      <c r="C15" s="9" t="n"/>
    </row>
    <row r="16" ht="76.5" customHeight="1">
      <c r="B16" s="7" t="inlineStr">
        <is>
          <t>Linear elastic analysis of a continuous beam or one-way slab strip of two to five spans under uniformly distributed loads. Three arrangements of the variable load are analysed: all spans, odd spans and even spans loaded, the other spans carrying the permanent load only. The sheet gives the envelope of the support (hogging) and span (sagging) moments, the largest shear and the reactions at every support, with the diagrams drawn to scale. Use the moments and shears in NAE-RC-004 Beam bending and shear.</t>
        </is>
      </c>
    </row>
    <row r="18" ht="20" customHeight="1">
      <c r="B18" s="8" t="inlineStr">
        <is>
          <t>How to use</t>
        </is>
      </c>
      <c r="C18" s="9" t="n"/>
    </row>
    <row r="19" ht="76.5" customHeight="1">
      <c r="B19" s="7" t="inlineStr">
        <is>
          <t>1.  Open the Calculation sheet and choose the number of spans.
2.  Enter the span lengths and one permanent and one variable UDL, common to every span. Spans beyond the number chosen are ignored and may be left blank.
3.  Read the Results block and the envelopes. The load arrangements are option (b) of UK NA to BS EN 1992-1-1 5.1.3(1)P: all spans and alternate spans loaded.</t>
        </is>
      </c>
    </row>
    <row r="21" ht="20" customHeight="1">
      <c r="B21" s="8" t="inlineStr">
        <is>
          <t>Scope and limitations</t>
        </is>
      </c>
      <c r="C21" s="9" t="n"/>
    </row>
    <row r="22" ht="91" customHeight="1">
      <c r="B22" s="7" t="inlineStr">
        <is>
          <t>Prismatic member (one EI for all spans) on knife-edge supports that do not settle, simply supported at both ends (no cantilevers, no end fixity), uniform loads over every span. The three-moment equation is solved exactly. Moment redistribution (5.5) is not applied: the elastic moments are given. The loads are factored with the γG and γQ entered; one γG for every span, as the UK NA load arrangements require. Point loads, partial loads, settlement, torsion and the supporting structure are for the user. A negative reaction (uplift) is flagged; check equilibrium (EQU) and hold-down separately. The diagrams use 20 stations per span; the values in the calculation are exact.</t>
        </is>
      </c>
    </row>
    <row r="24" ht="20" customHeight="1">
      <c r="B24" s="8" t="inlineStr">
        <is>
          <t>Further reading and independent cross-check</t>
        </is>
      </c>
      <c r="C24" s="9" t="n"/>
    </row>
    <row r="25" ht="91" customHeight="1">
      <c r="B25" s="10" t="inlineStr">
        <is>
          <t>•  UK NA to BS EN 1992-1-1, NA.2 5.1.3(1)P: alternate spans and all spans loaded.
•  The Concrete Centre, How to design concrete structures using Eurocode 2: Beams (moment coefficients for comparison).
•  IStructE, Manual for the design of concrete building structures to Eurocode 2.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&amp;K8A8A8ANAE-RC-018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87"/>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Continuous beam</t>
        </is>
      </c>
      <c r="H2" s="1" t="n"/>
    </row>
    <row r="3" ht="16" customHeight="1">
      <c r="A3" s="1" t="n"/>
      <c r="B3" s="1" t="n"/>
      <c r="C3" s="15" t="inlineStr">
        <is>
          <t>NAE-RC-018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spans and loads</t>
        </is>
      </c>
      <c r="C10" s="21" t="n"/>
      <c r="D10" s="21" t="n"/>
      <c r="E10" s="21" t="n"/>
      <c r="F10" s="21" t="n"/>
      <c r="G10" s="22" t="inlineStr">
        <is>
          <t>Characteristic values</t>
        </is>
      </c>
    </row>
    <row r="11" ht="17" customHeight="1">
      <c r="B11" s="23" t="n"/>
      <c r="C11" s="24" t="inlineStr">
        <is>
          <t>Number of spans</t>
        </is>
      </c>
      <c r="D11" s="25" t="inlineStr">
        <is>
          <r>
            <rPr>
              <rFont val="Calibri"/>
              <i val="1"/>
              <color rgb="002B2B2B"/>
              <sz val="10"/>
            </rPr>
            <t>n</t>
          </r>
        </is>
      </c>
      <c r="E11" s="26" t="n">
        <v>3</v>
      </c>
      <c r="F11" s="23" t="n"/>
      <c r="G11" s="23" t="n"/>
    </row>
    <row r="12" ht="17" customHeight="1">
      <c r="B12" s="23" t="n"/>
      <c r="C12" s="24" t="inlineStr">
        <is>
          <t>Span 1, centres of supports</t>
        </is>
      </c>
      <c r="D12" s="25" t="inlineStr">
        <is>
          <r>
            <rPr>
              <rFont val="Calibri"/>
              <i val="1"/>
              <color rgb="002B2B2B"/>
              <sz val="10"/>
            </rPr>
            <t>L</t>
          </r>
          <r>
            <rPr>
              <rFont val="Calibri"/>
              <i val="1"/>
              <color rgb="002B2B2B"/>
              <sz val="10"/>
              <vertAlign val="subscript"/>
            </rPr>
            <t>1</t>
          </r>
        </is>
      </c>
      <c r="E12" s="26" t="n">
        <v>6000</v>
      </c>
      <c r="F12" s="27" t="inlineStr">
        <is>
          <t>mm</t>
        </is>
      </c>
      <c r="G12" s="23" t="n"/>
    </row>
    <row r="13" ht="17" customHeight="1">
      <c r="B13" s="23" t="n"/>
      <c r="C13" s="24" t="inlineStr">
        <is>
          <t>Span 2, centres of supports</t>
        </is>
      </c>
      <c r="D13" s="25" t="inlineStr">
        <is>
          <r>
            <rPr>
              <rFont val="Calibri"/>
              <i val="1"/>
              <color rgb="002B2B2B"/>
              <sz val="10"/>
            </rPr>
            <t>L</t>
          </r>
          <r>
            <rPr>
              <rFont val="Calibri"/>
              <i val="1"/>
              <color rgb="002B2B2B"/>
              <sz val="10"/>
              <vertAlign val="subscript"/>
            </rPr>
            <t>2</t>
          </r>
        </is>
      </c>
      <c r="E13" s="26" t="n">
        <v>5000</v>
      </c>
      <c r="F13" s="27" t="inlineStr">
        <is>
          <t>mm</t>
        </is>
      </c>
      <c r="G13" s="23" t="n"/>
    </row>
    <row r="14" ht="17" customHeight="1">
      <c r="B14" s="23" t="n"/>
      <c r="C14" s="24" t="inlineStr">
        <is>
          <t>Span 3, centres of supports  (used when n ≥ 3)</t>
        </is>
      </c>
      <c r="D14" s="25" t="inlineStr">
        <is>
          <r>
            <rPr>
              <rFont val="Calibri"/>
              <i val="1"/>
              <color rgb="002B2B2B"/>
              <sz val="10"/>
            </rPr>
            <t>L</t>
          </r>
          <r>
            <rPr>
              <rFont val="Calibri"/>
              <i val="1"/>
              <color rgb="002B2B2B"/>
              <sz val="10"/>
              <vertAlign val="subscript"/>
            </rPr>
            <t>3</t>
          </r>
        </is>
      </c>
      <c r="E14" s="26" t="n">
        <v>6000</v>
      </c>
      <c r="F14" s="27" t="inlineStr">
        <is>
          <t>mm</t>
        </is>
      </c>
      <c r="G14" s="23" t="n"/>
    </row>
    <row r="15" ht="17" customHeight="1">
      <c r="B15" s="23" t="n"/>
      <c r="C15" s="24" t="inlineStr">
        <is>
          <t>Span 4, centres of supports  (used when n ≥ 4)</t>
        </is>
      </c>
      <c r="D15" s="25" t="inlineStr">
        <is>
          <r>
            <rPr>
              <rFont val="Calibri"/>
              <i val="1"/>
              <color rgb="002B2B2B"/>
              <sz val="10"/>
            </rPr>
            <t>L</t>
          </r>
          <r>
            <rPr>
              <rFont val="Calibri"/>
              <i val="1"/>
              <color rgb="002B2B2B"/>
              <sz val="10"/>
              <vertAlign val="subscript"/>
            </rPr>
            <t>4</t>
          </r>
        </is>
      </c>
      <c r="E15" s="26" t="n">
        <v>5000</v>
      </c>
      <c r="F15" s="27" t="inlineStr">
        <is>
          <t>mm</t>
        </is>
      </c>
      <c r="G15" s="23" t="n"/>
    </row>
    <row r="16" ht="17" customHeight="1">
      <c r="B16" s="23" t="n"/>
      <c r="C16" s="24" t="inlineStr">
        <is>
          <t>Span 5, centres of supports  (used when n ≥ 5)</t>
        </is>
      </c>
      <c r="D16" s="25" t="inlineStr">
        <is>
          <r>
            <rPr>
              <rFont val="Calibri"/>
              <i val="1"/>
              <color rgb="002B2B2B"/>
              <sz val="10"/>
            </rPr>
            <t>L</t>
          </r>
          <r>
            <rPr>
              <rFont val="Calibri"/>
              <i val="1"/>
              <color rgb="002B2B2B"/>
              <sz val="10"/>
              <vertAlign val="subscript"/>
            </rPr>
            <t>5</t>
          </r>
        </is>
      </c>
      <c r="E16" s="26" t="n">
        <v>6000</v>
      </c>
      <c r="F16" s="27" t="inlineStr">
        <is>
          <t>mm</t>
        </is>
      </c>
      <c r="G16" s="23" t="n"/>
    </row>
    <row r="17" ht="17" customHeight="1">
      <c r="B17" s="23" t="n"/>
      <c r="C17" s="24" t="inlineStr">
        <is>
          <t>UDL, permanent  (include the self weight)</t>
        </is>
      </c>
      <c r="D17" s="25" t="inlineStr">
        <is>
          <r>
            <rPr>
              <rFont val="Calibri"/>
              <i val="1"/>
              <color rgb="002B2B2B"/>
              <sz val="10"/>
            </rPr>
            <t>g</t>
          </r>
          <r>
            <rPr>
              <rFont val="Calibri"/>
              <i val="1"/>
              <color rgb="002B2B2B"/>
              <sz val="10"/>
              <vertAlign val="subscript"/>
            </rPr>
            <t>k</t>
          </r>
        </is>
      </c>
      <c r="E17" s="28" t="n">
        <v>20</v>
      </c>
      <c r="F17" s="27" t="inlineStr">
        <is>
          <t>kN/m</t>
        </is>
      </c>
      <c r="G17" s="23" t="n"/>
    </row>
    <row r="18" ht="17" customHeight="1">
      <c r="B18" s="23" t="n"/>
      <c r="C18" s="24" t="inlineStr">
        <is>
          <t>UDL, variable</t>
        </is>
      </c>
      <c r="D18" s="25" t="inlineStr">
        <is>
          <r>
            <rPr>
              <rFont val="Calibri"/>
              <i val="1"/>
              <color rgb="002B2B2B"/>
              <sz val="10"/>
            </rPr>
            <t>q</t>
          </r>
          <r>
            <rPr>
              <rFont val="Calibri"/>
              <i val="1"/>
              <color rgb="002B2B2B"/>
              <sz val="10"/>
              <vertAlign val="subscript"/>
            </rPr>
            <t>k</t>
          </r>
        </is>
      </c>
      <c r="E18" s="28" t="n">
        <v>10</v>
      </c>
      <c r="F18" s="27" t="inlineStr">
        <is>
          <t>kN/m</t>
        </is>
      </c>
      <c r="G18" s="23" t="n"/>
    </row>
    <row r="19" ht="17" customHeight="1">
      <c r="B19" s="29" t="inlineStr">
        <is>
          <t>EN 1990 A1.2(B)</t>
        </is>
      </c>
      <c r="C19" s="24" t="inlineStr">
        <is>
          <t>Partial factor, permanent</t>
        </is>
      </c>
      <c r="D19" s="25" t="inlineStr">
        <is>
          <r>
            <rPr>
              <rFont val="Calibri"/>
              <i val="1"/>
              <color rgb="002B2B2B"/>
              <sz val="10"/>
            </rPr>
            <t>γ</t>
          </r>
          <r>
            <rPr>
              <rFont val="Calibri"/>
              <i val="1"/>
              <color rgb="002B2B2B"/>
              <sz val="10"/>
              <vertAlign val="subscript"/>
            </rPr>
            <t>G</t>
          </r>
        </is>
      </c>
      <c r="E19" s="28" t="n">
        <v>1.35</v>
      </c>
      <c r="F19" s="23" t="n"/>
      <c r="G19" s="23" t="n"/>
    </row>
    <row r="20" ht="17" customHeight="1">
      <c r="B20" s="29" t="inlineStr">
        <is>
          <t>EN 1990 A1.2(B)</t>
        </is>
      </c>
      <c r="C20" s="24" t="inlineStr">
        <is>
          <t>Partial factor, variable</t>
        </is>
      </c>
      <c r="D20" s="25" t="inlineStr">
        <is>
          <r>
            <rPr>
              <rFont val="Calibri"/>
              <i val="1"/>
              <color rgb="002B2B2B"/>
              <sz val="10"/>
            </rPr>
            <t>γ</t>
          </r>
          <r>
            <rPr>
              <rFont val="Calibri"/>
              <i val="1"/>
              <color rgb="002B2B2B"/>
              <sz val="10"/>
              <vertAlign val="subscript"/>
            </rPr>
            <t>Q</t>
          </r>
        </is>
      </c>
      <c r="E20" s="28" t="n">
        <v>1.5</v>
      </c>
      <c r="F20" s="23" t="n"/>
      <c r="G20" s="23" t="n"/>
    </row>
    <row r="21" ht="17" customHeight="1">
      <c r="B21" s="23" t="n"/>
      <c r="C21" s="24" t="inlineStr">
        <is>
          <t>Inputs valid and consistent</t>
        </is>
      </c>
      <c r="D21" s="23" t="n"/>
      <c r="E21" s="9" t="n"/>
      <c r="F21" s="23" t="n"/>
      <c r="G21" s="30">
        <f>IF(inputs_ok,"OK","FAIL")</f>
        <v/>
      </c>
    </row>
    <row r="23" ht="22" customHeight="1">
      <c r="B23" s="20" t="inlineStr">
        <is>
          <t>Results</t>
        </is>
      </c>
      <c r="C23" s="21" t="n"/>
      <c r="D23" s="21" t="n"/>
      <c r="E23" s="21" t="n"/>
      <c r="F23" s="21" t="n"/>
      <c r="G23" s="21" t="n"/>
    </row>
    <row r="24" ht="26" customHeight="1">
      <c r="B24" s="31" t="n"/>
      <c r="C24" s="32" t="inlineStr">
        <is>
          <t>Largest sagging moment  (span)</t>
        </is>
      </c>
      <c r="D24" s="33" t="inlineStr">
        <is>
          <r>
            <rPr>
              <rFont val="Calibri"/>
              <i val="1"/>
              <color rgb="002B2B2B"/>
              <sz val="11"/>
            </rPr>
            <t>M</t>
          </r>
          <r>
            <rPr>
              <rFont val="Calibri"/>
              <i val="1"/>
              <color rgb="002B2B2B"/>
              <sz val="11"/>
              <vertAlign val="subscript"/>
            </rPr>
            <t>Ed,span</t>
          </r>
        </is>
      </c>
      <c r="E24" s="34">
        <f>IF(inputs_ok,cb_Msag,"–")</f>
        <v/>
      </c>
      <c r="F24" s="35" t="inlineStr">
        <is>
          <t>kNm</t>
        </is>
      </c>
      <c r="G24" s="31" t="n"/>
    </row>
    <row r="25" ht="26" customHeight="1">
      <c r="B25" s="31" t="n"/>
      <c r="C25" s="32" t="inlineStr">
        <is>
          <t>Largest hogging moment  (support)</t>
        </is>
      </c>
      <c r="D25" s="33" t="inlineStr">
        <is>
          <r>
            <rPr>
              <rFont val="Calibri"/>
              <i val="1"/>
              <color rgb="002B2B2B"/>
              <sz val="11"/>
            </rPr>
            <t>M</t>
          </r>
          <r>
            <rPr>
              <rFont val="Calibri"/>
              <i val="1"/>
              <color rgb="002B2B2B"/>
              <sz val="11"/>
              <vertAlign val="subscript"/>
            </rPr>
            <t>Ed,sup</t>
          </r>
        </is>
      </c>
      <c r="E25" s="34">
        <f>IF(inputs_ok,cb_Mhog,"–")</f>
        <v/>
      </c>
      <c r="F25" s="35" t="inlineStr">
        <is>
          <t>kNm</t>
        </is>
      </c>
      <c r="G25" s="31" t="n"/>
    </row>
    <row r="26" ht="26" customHeight="1">
      <c r="B26" s="31" t="n"/>
      <c r="C26" s="32" t="inlineStr">
        <is>
          <t>Largest shear force  (at a support)</t>
        </is>
      </c>
      <c r="D26" s="33" t="inlineStr">
        <is>
          <r>
            <rPr>
              <rFont val="Calibri"/>
              <i val="1"/>
              <color rgb="002B2B2B"/>
              <sz val="11"/>
            </rPr>
            <t>V</t>
          </r>
          <r>
            <rPr>
              <rFont val="Calibri"/>
              <i val="1"/>
              <color rgb="002B2B2B"/>
              <sz val="11"/>
              <vertAlign val="subscript"/>
            </rPr>
            <t>Ed,max</t>
          </r>
        </is>
      </c>
      <c r="E26" s="34">
        <f>IF(inputs_ok,cb_Vmax,"–")</f>
        <v/>
      </c>
      <c r="F26" s="35" t="inlineStr">
        <is>
          <t>kN</t>
        </is>
      </c>
      <c r="G26" s="31" t="n"/>
    </row>
    <row r="27" ht="26" customHeight="1">
      <c r="B27" s="31" t="n"/>
      <c r="C27" s="32" t="inlineStr">
        <is>
          <t>Largest reaction</t>
        </is>
      </c>
      <c r="D27" s="33" t="inlineStr">
        <is>
          <r>
            <rPr>
              <rFont val="Calibri"/>
              <i val="1"/>
              <color rgb="002B2B2B"/>
              <sz val="11"/>
            </rPr>
            <t>R</t>
          </r>
          <r>
            <rPr>
              <rFont val="Calibri"/>
              <i val="1"/>
              <color rgb="002B2B2B"/>
              <sz val="11"/>
              <vertAlign val="subscript"/>
            </rPr>
            <t>max</t>
          </r>
        </is>
      </c>
      <c r="E27" s="34">
        <f>IF(inputs_ok,cb_Rmax,"–")</f>
        <v/>
      </c>
      <c r="F27" s="35" t="inlineStr">
        <is>
          <t>kN</t>
        </is>
      </c>
      <c r="G27" s="31" t="n"/>
    </row>
    <row r="28" ht="26" customHeight="1">
      <c r="B28" s="31" t="n"/>
      <c r="C28" s="32" t="inlineStr">
        <is>
          <t>Smallest reaction</t>
        </is>
      </c>
      <c r="D28" s="33" t="inlineStr">
        <is>
          <r>
            <rPr>
              <rFont val="Calibri"/>
              <i val="1"/>
              <color rgb="002B2B2B"/>
              <sz val="11"/>
            </rPr>
            <t>R</t>
          </r>
          <r>
            <rPr>
              <rFont val="Calibri"/>
              <i val="1"/>
              <color rgb="002B2B2B"/>
              <sz val="11"/>
              <vertAlign val="subscript"/>
            </rPr>
            <t>min</t>
          </r>
        </is>
      </c>
      <c r="E28" s="34">
        <f>IF(inputs_ok,cb_Rmin,"–")</f>
        <v/>
      </c>
      <c r="F28" s="35" t="inlineStr">
        <is>
          <t>kN</t>
        </is>
      </c>
      <c r="G28" s="36">
        <f>IF(NOT(inputs_ok),"FAIL",IF(cb_Rmin&lt;0,"! Uplift: check EQU","OK"))</f>
        <v/>
      </c>
    </row>
    <row r="29"/>
    <row r="30">
      <c r="B30" s="37" t="inlineStr">
        <is>
          <t>Your beam, to scale  ·  envelopes of the three load cases: shear force (blue) and bending moment (dark, sagging below)</t>
        </is>
      </c>
    </row>
    <row r="31"/>
    <row r="32"/>
    <row r="33"/>
    <row r="34"/>
    <row r="35"/>
    <row r="36"/>
    <row r="37"/>
    <row r="38"/>
    <row r="39"/>
    <row r="40"/>
    <row r="41"/>
    <row r="42"/>
    <row r="43"/>
    <row r="44"/>
    <row r="45"/>
    <row r="46"/>
    <row r="47"/>
    <row r="48"/>
    <row r="49"/>
    <row r="50"/>
    <row r="51"/>
    <row r="52"/>
    <row r="53"/>
    <row r="54" ht="22" customHeight="1">
      <c r="B54" s="20" t="inlineStr">
        <is>
          <t>Calculation</t>
        </is>
      </c>
      <c r="C54" s="21" t="n"/>
      <c r="D54" s="21" t="n"/>
      <c r="E54" s="21" t="n"/>
      <c r="F54" s="21" t="n"/>
      <c r="G54" s="21" t="n"/>
    </row>
    <row r="55" ht="17" customHeight="1">
      <c r="B55" s="29" t="inlineStr">
        <is>
          <t>(6.10)</t>
        </is>
      </c>
      <c r="C55" s="24" t="inlineStr">
        <is>
          <t>Design load, loaded span  γG gk + γQ qk</t>
        </is>
      </c>
      <c r="D55" s="25" t="inlineStr">
        <is>
          <r>
            <rPr>
              <rFont val="Calibri"/>
              <i val="1"/>
              <color rgb="002B2B2B"/>
              <sz val="10"/>
            </rPr>
            <t>w</t>
          </r>
          <r>
            <rPr>
              <rFont val="Calibri"/>
              <i val="1"/>
              <color rgb="002B2B2B"/>
              <sz val="10"/>
              <vertAlign val="subscript"/>
            </rPr>
            <t>1</t>
          </r>
        </is>
      </c>
      <c r="E55" s="38">
        <f>IF(inputs_ok,gamma_G*gk_cb+gamma_Q*qk_cb,NA())</f>
        <v/>
      </c>
      <c r="F55" s="27" t="inlineStr">
        <is>
          <t>kN/m</t>
        </is>
      </c>
      <c r="G55" s="23" t="n"/>
    </row>
    <row r="56" ht="17" customHeight="1">
      <c r="B56" s="29" t="inlineStr">
        <is>
          <t>UK NA 5.1.3</t>
        </is>
      </c>
      <c r="C56" s="24" t="inlineStr">
        <is>
          <t>Design load, unloaded span  γG gk</t>
        </is>
      </c>
      <c r="D56" s="25" t="inlineStr">
        <is>
          <r>
            <rPr>
              <rFont val="Calibri"/>
              <i val="1"/>
              <color rgb="002B2B2B"/>
              <sz val="10"/>
            </rPr>
            <t>w</t>
          </r>
          <r>
            <rPr>
              <rFont val="Calibri"/>
              <i val="1"/>
              <color rgb="002B2B2B"/>
              <sz val="10"/>
              <vertAlign val="subscript"/>
            </rPr>
            <t>2</t>
          </r>
        </is>
      </c>
      <c r="E56" s="38">
        <f>IF(inputs_ok,gamma_G*gk_cb,NA())</f>
        <v/>
      </c>
      <c r="F56" s="27" t="inlineStr">
        <is>
          <t>kN/m</t>
        </is>
      </c>
      <c r="G56" s="23" t="n"/>
    </row>
    <row r="57" ht="41.5" customHeight="1">
      <c r="B57" s="39" t="inlineStr">
        <is>
          <t>Load cases (UK NA 5.1.3(1)P): 1 every span carries w1; 2 odd spans w1, even spans w2; 3 even spans w1, odd spans w2. Support moments from the three-moment equation  Mj−1 Lj + 2 Mj (Lj + Lj+1) + Mj+1 Lj+1 = −(wj Lj³ + wj+1 Lj+1³) / 4, M = 0 at the end supports. The envelope is the worst of the three cases at every point.</t>
        </is>
      </c>
    </row>
    <row r="58" ht="16.5" customHeight="1">
      <c r="B58" s="39" t="inlineStr">
        <is>
          <t>Moments are signed: + sagging (tension at the bottom), − hogging.</t>
        </is>
      </c>
    </row>
    <row r="59" ht="17" customHeight="1">
      <c r="B59" s="29" t="inlineStr">
        <is>
          <t>5.4</t>
        </is>
      </c>
      <c r="C59" s="24" t="inlineStr">
        <is>
          <t>Moment at support B, most negative of the cases</t>
        </is>
      </c>
      <c r="D59" s="25" t="inlineStr">
        <is>
          <r>
            <rPr>
              <rFont val="Calibri"/>
              <i val="1"/>
              <color rgb="002B2B2B"/>
              <sz val="10"/>
            </rPr>
            <t>M</t>
          </r>
          <r>
            <rPr>
              <rFont val="Calibri"/>
              <i val="1"/>
              <color rgb="002B2B2B"/>
              <sz val="10"/>
              <vertAlign val="subscript"/>
            </rPr>
            <t>B</t>
          </r>
        </is>
      </c>
      <c r="E59" s="40">
        <f>IF(inputs_ok,IF(1&lt;n_cb,cb_Mmin1,"–"),NA())</f>
        <v/>
      </c>
      <c r="F59" s="27" t="inlineStr">
        <is>
          <t>kNm</t>
        </is>
      </c>
      <c r="G59" s="23">
        <f>IF(AND(inputs_ok,1&lt;n_cb),IF(cb_Mmax1&gt;0,"! Sagging in a case: "&amp;TEXT(cb_Mmax1,"0.0"),""),"")</f>
        <v/>
      </c>
    </row>
    <row r="60" ht="17" customHeight="1">
      <c r="B60" s="29" t="inlineStr">
        <is>
          <t>5.4</t>
        </is>
      </c>
      <c r="C60" s="24" t="inlineStr">
        <is>
          <t>Moment at support C, most negative of the cases</t>
        </is>
      </c>
      <c r="D60" s="25" t="inlineStr">
        <is>
          <r>
            <rPr>
              <rFont val="Calibri"/>
              <i val="1"/>
              <color rgb="002B2B2B"/>
              <sz val="10"/>
            </rPr>
            <t>M</t>
          </r>
          <r>
            <rPr>
              <rFont val="Calibri"/>
              <i val="1"/>
              <color rgb="002B2B2B"/>
              <sz val="10"/>
              <vertAlign val="subscript"/>
            </rPr>
            <t>C</t>
          </r>
        </is>
      </c>
      <c r="E60" s="40">
        <f>IF(inputs_ok,IF(2&lt;n_cb,cb_Mmin2,"–"),NA())</f>
        <v/>
      </c>
      <c r="F60" s="27" t="inlineStr">
        <is>
          <t>kNm</t>
        </is>
      </c>
      <c r="G60" s="23">
        <f>IF(AND(inputs_ok,2&lt;n_cb),IF(cb_Mmax2&gt;0,"! Sagging in a case: "&amp;TEXT(cb_Mmax2,"0.0"),""),"")</f>
        <v/>
      </c>
    </row>
    <row r="61" ht="17" customHeight="1">
      <c r="B61" s="29" t="inlineStr">
        <is>
          <t>5.4</t>
        </is>
      </c>
      <c r="C61" s="24" t="inlineStr">
        <is>
          <t>Moment at support D, most negative of the cases</t>
        </is>
      </c>
      <c r="D61" s="25" t="inlineStr">
        <is>
          <r>
            <rPr>
              <rFont val="Calibri"/>
              <i val="1"/>
              <color rgb="002B2B2B"/>
              <sz val="10"/>
            </rPr>
            <t>M</t>
          </r>
          <r>
            <rPr>
              <rFont val="Calibri"/>
              <i val="1"/>
              <color rgb="002B2B2B"/>
              <sz val="10"/>
              <vertAlign val="subscript"/>
            </rPr>
            <t>D</t>
          </r>
        </is>
      </c>
      <c r="E61" s="40">
        <f>IF(inputs_ok,IF(3&lt;n_cb,cb_Mmin3,"–"),NA())</f>
        <v/>
      </c>
      <c r="F61" s="27" t="inlineStr">
        <is>
          <t>kNm</t>
        </is>
      </c>
      <c r="G61" s="23">
        <f>IF(AND(inputs_ok,3&lt;n_cb),IF(cb_Mmax3&gt;0,"! Sagging in a case: "&amp;TEXT(cb_Mmax3,"0.0"),""),"")</f>
        <v/>
      </c>
    </row>
    <row r="62" ht="17" customHeight="1">
      <c r="B62" s="29" t="inlineStr">
        <is>
          <t>5.4</t>
        </is>
      </c>
      <c r="C62" s="24" t="inlineStr">
        <is>
          <t>Moment at support E, most negative of the cases</t>
        </is>
      </c>
      <c r="D62" s="25" t="inlineStr">
        <is>
          <r>
            <rPr>
              <rFont val="Calibri"/>
              <i val="1"/>
              <color rgb="002B2B2B"/>
              <sz val="10"/>
            </rPr>
            <t>M</t>
          </r>
          <r>
            <rPr>
              <rFont val="Calibri"/>
              <i val="1"/>
              <color rgb="002B2B2B"/>
              <sz val="10"/>
              <vertAlign val="subscript"/>
            </rPr>
            <t>E</t>
          </r>
        </is>
      </c>
      <c r="E62" s="40">
        <f>IF(inputs_ok,IF(4&lt;n_cb,cb_Mmin4,"–"),NA())</f>
        <v/>
      </c>
      <c r="F62" s="27" t="inlineStr">
        <is>
          <t>kNm</t>
        </is>
      </c>
      <c r="G62" s="23">
        <f>IF(AND(inputs_ok,4&lt;n_cb),IF(cb_Mmax4&gt;0,"! Sagging in a case: "&amp;TEXT(cb_Mmax4,"0.0"),""),"")</f>
        <v/>
      </c>
    </row>
    <row r="63" ht="17" customHeight="1">
      <c r="B63" s="29" t="inlineStr">
        <is>
          <t>5.4</t>
        </is>
      </c>
      <c r="C63" s="24" t="inlineStr">
        <is>
          <t>Largest moment in span 1, worst of the cases</t>
        </is>
      </c>
      <c r="D63" s="25" t="inlineStr">
        <is>
          <r>
            <rPr>
              <rFont val="Calibri"/>
              <i val="1"/>
              <color rgb="002B2B2B"/>
              <sz val="10"/>
            </rPr>
            <t>M</t>
          </r>
          <r>
            <rPr>
              <rFont val="Calibri"/>
              <i val="1"/>
              <color rgb="002B2B2B"/>
              <sz val="10"/>
              <vertAlign val="subscript"/>
            </rPr>
            <t>1</t>
          </r>
        </is>
      </c>
      <c r="E63" s="40">
        <f>IF(inputs_ok,IF(cb_on1,cb_sag1,"–"),NA())</f>
        <v/>
      </c>
      <c r="F63" s="27" t="inlineStr">
        <is>
          <t>kNm</t>
        </is>
      </c>
      <c r="G63" s="23">
        <f>IF(AND(inputs_ok,cb_on1),IF(cb_sag1&lt;0,"! No sagging in this span","at "&amp;TEXT(cb_xsag1,"0.00")&amp;" m"),"")</f>
        <v/>
      </c>
    </row>
    <row r="64" ht="17" customHeight="1">
      <c r="B64" s="29" t="inlineStr">
        <is>
          <t>5.4</t>
        </is>
      </c>
      <c r="C64" s="24" t="inlineStr">
        <is>
          <t>Largest moment in span 2, worst of the cases</t>
        </is>
      </c>
      <c r="D64" s="25" t="inlineStr">
        <is>
          <r>
            <rPr>
              <rFont val="Calibri"/>
              <i val="1"/>
              <color rgb="002B2B2B"/>
              <sz val="10"/>
            </rPr>
            <t>M</t>
          </r>
          <r>
            <rPr>
              <rFont val="Calibri"/>
              <i val="1"/>
              <color rgb="002B2B2B"/>
              <sz val="10"/>
              <vertAlign val="subscript"/>
            </rPr>
            <t>2</t>
          </r>
        </is>
      </c>
      <c r="E64" s="40">
        <f>IF(inputs_ok,IF(cb_on2,cb_sag2,"–"),NA())</f>
        <v/>
      </c>
      <c r="F64" s="27" t="inlineStr">
        <is>
          <t>kNm</t>
        </is>
      </c>
      <c r="G64" s="23">
        <f>IF(AND(inputs_ok,cb_on2),IF(cb_sag2&lt;0,"! No sagging in this span","at "&amp;TEXT(cb_xsag2,"0.00")&amp;" m"),"")</f>
        <v/>
      </c>
    </row>
    <row r="65" ht="17" customHeight="1">
      <c r="B65" s="29" t="inlineStr">
        <is>
          <t>5.4</t>
        </is>
      </c>
      <c r="C65" s="24" t="inlineStr">
        <is>
          <t>Largest moment in span 3, worst of the cases</t>
        </is>
      </c>
      <c r="D65" s="25" t="inlineStr">
        <is>
          <r>
            <rPr>
              <rFont val="Calibri"/>
              <i val="1"/>
              <color rgb="002B2B2B"/>
              <sz val="10"/>
            </rPr>
            <t>M</t>
          </r>
          <r>
            <rPr>
              <rFont val="Calibri"/>
              <i val="1"/>
              <color rgb="002B2B2B"/>
              <sz val="10"/>
              <vertAlign val="subscript"/>
            </rPr>
            <t>3</t>
          </r>
        </is>
      </c>
      <c r="E65" s="40">
        <f>IF(inputs_ok,IF(cb_on3,cb_sag3,"–"),NA())</f>
        <v/>
      </c>
      <c r="F65" s="27" t="inlineStr">
        <is>
          <t>kNm</t>
        </is>
      </c>
      <c r="G65" s="23">
        <f>IF(AND(inputs_ok,cb_on3),IF(cb_sag3&lt;0,"! No sagging in this span","at "&amp;TEXT(cb_xsag3,"0.00")&amp;" m"),"")</f>
        <v/>
      </c>
    </row>
    <row r="66" ht="17" customHeight="1">
      <c r="B66" s="29" t="inlineStr">
        <is>
          <t>5.4</t>
        </is>
      </c>
      <c r="C66" s="24" t="inlineStr">
        <is>
          <t>Largest moment in span 4, worst of the cases</t>
        </is>
      </c>
      <c r="D66" s="25" t="inlineStr">
        <is>
          <r>
            <rPr>
              <rFont val="Calibri"/>
              <i val="1"/>
              <color rgb="002B2B2B"/>
              <sz val="10"/>
            </rPr>
            <t>M</t>
          </r>
          <r>
            <rPr>
              <rFont val="Calibri"/>
              <i val="1"/>
              <color rgb="002B2B2B"/>
              <sz val="10"/>
              <vertAlign val="subscript"/>
            </rPr>
            <t>4</t>
          </r>
        </is>
      </c>
      <c r="E66" s="40">
        <f>IF(inputs_ok,IF(cb_on4,cb_sag4,"–"),NA())</f>
        <v/>
      </c>
      <c r="F66" s="27" t="inlineStr">
        <is>
          <t>kNm</t>
        </is>
      </c>
      <c r="G66" s="23">
        <f>IF(AND(inputs_ok,cb_on4),IF(cb_sag4&lt;0,"! No sagging in this span","at "&amp;TEXT(cb_xsag4,"0.00")&amp;" m"),"")</f>
        <v/>
      </c>
    </row>
    <row r="67" ht="17" customHeight="1">
      <c r="B67" s="29" t="inlineStr">
        <is>
          <t>5.4</t>
        </is>
      </c>
      <c r="C67" s="24" t="inlineStr">
        <is>
          <t>Largest moment in span 5, worst of the cases</t>
        </is>
      </c>
      <c r="D67" s="25" t="inlineStr">
        <is>
          <r>
            <rPr>
              <rFont val="Calibri"/>
              <i val="1"/>
              <color rgb="002B2B2B"/>
              <sz val="10"/>
            </rPr>
            <t>M</t>
          </r>
          <r>
            <rPr>
              <rFont val="Calibri"/>
              <i val="1"/>
              <color rgb="002B2B2B"/>
              <sz val="10"/>
              <vertAlign val="subscript"/>
            </rPr>
            <t>5</t>
          </r>
        </is>
      </c>
      <c r="E67" s="40">
        <f>IF(inputs_ok,IF(cb_on5,cb_sag5,"–"),NA())</f>
        <v/>
      </c>
      <c r="F67" s="27" t="inlineStr">
        <is>
          <t>kNm</t>
        </is>
      </c>
      <c r="G67" s="23">
        <f>IF(AND(inputs_ok,cb_on5),IF(cb_sag5&lt;0,"! No sagging in this span","at "&amp;TEXT(cb_xsag5,"0.00")&amp;" m"),"")</f>
        <v/>
      </c>
    </row>
    <row r="68" ht="17" customHeight="1">
      <c r="B68" s="23" t="n"/>
      <c r="C68" s="24" t="inlineStr">
        <is>
          <t>Largest shear at support A</t>
        </is>
      </c>
      <c r="D68" s="25" t="inlineStr">
        <is>
          <r>
            <rPr>
              <rFont val="Calibri"/>
              <i val="1"/>
              <color rgb="002B2B2B"/>
              <sz val="10"/>
            </rPr>
            <t>V</t>
          </r>
          <r>
            <rPr>
              <rFont val="Calibri"/>
              <i val="1"/>
              <color rgb="002B2B2B"/>
              <sz val="10"/>
              <vertAlign val="subscript"/>
            </rPr>
            <t>A</t>
          </r>
        </is>
      </c>
      <c r="E68" s="40">
        <f>IF(inputs_ok,IF(cb_on_s0,cb_Vs0,"–"),NA())</f>
        <v/>
      </c>
      <c r="F68" s="27" t="inlineStr">
        <is>
          <t>kN</t>
        </is>
      </c>
      <c r="G68" s="23" t="n"/>
    </row>
    <row r="69" ht="17" customHeight="1">
      <c r="B69" s="23" t="n"/>
      <c r="C69" s="24" t="inlineStr">
        <is>
          <t>Largest shear at support B</t>
        </is>
      </c>
      <c r="D69" s="25" t="inlineStr">
        <is>
          <r>
            <rPr>
              <rFont val="Calibri"/>
              <i val="1"/>
              <color rgb="002B2B2B"/>
              <sz val="10"/>
            </rPr>
            <t>V</t>
          </r>
          <r>
            <rPr>
              <rFont val="Calibri"/>
              <i val="1"/>
              <color rgb="002B2B2B"/>
              <sz val="10"/>
              <vertAlign val="subscript"/>
            </rPr>
            <t>B</t>
          </r>
        </is>
      </c>
      <c r="E69" s="40">
        <f>IF(inputs_ok,IF(cb_on_s1,cb_Vs1,"–"),NA())</f>
        <v/>
      </c>
      <c r="F69" s="27" t="inlineStr">
        <is>
          <t>kN</t>
        </is>
      </c>
      <c r="G69" s="23" t="n"/>
    </row>
    <row r="70" ht="17" customHeight="1">
      <c r="B70" s="23" t="n"/>
      <c r="C70" s="24" t="inlineStr">
        <is>
          <t>Largest shear at support C</t>
        </is>
      </c>
      <c r="D70" s="25" t="inlineStr">
        <is>
          <r>
            <rPr>
              <rFont val="Calibri"/>
              <i val="1"/>
              <color rgb="002B2B2B"/>
              <sz val="10"/>
            </rPr>
            <t>V</t>
          </r>
          <r>
            <rPr>
              <rFont val="Calibri"/>
              <i val="1"/>
              <color rgb="002B2B2B"/>
              <sz val="10"/>
              <vertAlign val="subscript"/>
            </rPr>
            <t>C</t>
          </r>
        </is>
      </c>
      <c r="E70" s="40">
        <f>IF(inputs_ok,IF(cb_on_s2,cb_Vs2,"–"),NA())</f>
        <v/>
      </c>
      <c r="F70" s="27" t="inlineStr">
        <is>
          <t>kN</t>
        </is>
      </c>
      <c r="G70" s="23" t="n"/>
    </row>
    <row r="71" ht="17" customHeight="1">
      <c r="B71" s="23" t="n"/>
      <c r="C71" s="24" t="inlineStr">
        <is>
          <t>Largest shear at support D</t>
        </is>
      </c>
      <c r="D71" s="25" t="inlineStr">
        <is>
          <r>
            <rPr>
              <rFont val="Calibri"/>
              <i val="1"/>
              <color rgb="002B2B2B"/>
              <sz val="10"/>
            </rPr>
            <t>V</t>
          </r>
          <r>
            <rPr>
              <rFont val="Calibri"/>
              <i val="1"/>
              <color rgb="002B2B2B"/>
              <sz val="10"/>
              <vertAlign val="subscript"/>
            </rPr>
            <t>D</t>
          </r>
        </is>
      </c>
      <c r="E71" s="40">
        <f>IF(inputs_ok,IF(cb_on_s3,cb_Vs3,"–"),NA())</f>
        <v/>
      </c>
      <c r="F71" s="27" t="inlineStr">
        <is>
          <t>kN</t>
        </is>
      </c>
      <c r="G71" s="23" t="n"/>
    </row>
    <row r="72" ht="17" customHeight="1">
      <c r="B72" s="23" t="n"/>
      <c r="C72" s="24" t="inlineStr">
        <is>
          <t>Largest shear at support E</t>
        </is>
      </c>
      <c r="D72" s="25" t="inlineStr">
        <is>
          <r>
            <rPr>
              <rFont val="Calibri"/>
              <i val="1"/>
              <color rgb="002B2B2B"/>
              <sz val="10"/>
            </rPr>
            <t>V</t>
          </r>
          <r>
            <rPr>
              <rFont val="Calibri"/>
              <i val="1"/>
              <color rgb="002B2B2B"/>
              <sz val="10"/>
              <vertAlign val="subscript"/>
            </rPr>
            <t>E</t>
          </r>
        </is>
      </c>
      <c r="E72" s="40">
        <f>IF(inputs_ok,IF(cb_on_s4,cb_Vs4,"–"),NA())</f>
        <v/>
      </c>
      <c r="F72" s="27" t="inlineStr">
        <is>
          <t>kN</t>
        </is>
      </c>
      <c r="G72" s="23" t="n"/>
    </row>
    <row r="73" ht="17" customHeight="1">
      <c r="B73" s="23" t="n"/>
      <c r="C73" s="24" t="inlineStr">
        <is>
          <t>Largest shear at support F</t>
        </is>
      </c>
      <c r="D73" s="25" t="inlineStr">
        <is>
          <r>
            <rPr>
              <rFont val="Calibri"/>
              <i val="1"/>
              <color rgb="002B2B2B"/>
              <sz val="10"/>
            </rPr>
            <t>V</t>
          </r>
          <r>
            <rPr>
              <rFont val="Calibri"/>
              <i val="1"/>
              <color rgb="002B2B2B"/>
              <sz val="10"/>
              <vertAlign val="subscript"/>
            </rPr>
            <t>F</t>
          </r>
        </is>
      </c>
      <c r="E73" s="40">
        <f>IF(inputs_ok,IF(cb_on_s5,cb_Vs5,"–"),NA())</f>
        <v/>
      </c>
      <c r="F73" s="27" t="inlineStr">
        <is>
          <t>kN</t>
        </is>
      </c>
      <c r="G73" s="23" t="n"/>
    </row>
    <row r="74" ht="17" customHeight="1">
      <c r="B74" s="23" t="n"/>
      <c r="C74" s="24" t="inlineStr">
        <is>
          <t>Reaction at support A  (max  /  min)</t>
        </is>
      </c>
      <c r="D74" s="25" t="inlineStr">
        <is>
          <r>
            <rPr>
              <rFont val="Calibri"/>
              <i val="1"/>
              <color rgb="002B2B2B"/>
              <sz val="10"/>
            </rPr>
            <t>R</t>
          </r>
          <r>
            <rPr>
              <rFont val="Calibri"/>
              <i val="1"/>
              <color rgb="002B2B2B"/>
              <sz val="10"/>
              <vertAlign val="subscript"/>
            </rPr>
            <t>A</t>
          </r>
        </is>
      </c>
      <c r="E74" s="41">
        <f>IF(inputs_ok,IF(cb_on_s0,TEXT(cb_Rmax0,"0.0")&amp;"  /  "&amp;TEXT(cb_Rmin0,"0.0"),"–"),NA())</f>
        <v/>
      </c>
      <c r="F74" s="27" t="inlineStr">
        <is>
          <t>kN</t>
        </is>
      </c>
      <c r="G74" s="23" t="n"/>
    </row>
    <row r="75" ht="17" customHeight="1">
      <c r="B75" s="23" t="n"/>
      <c r="C75" s="24" t="inlineStr">
        <is>
          <t>Reaction at support B  (max  /  min)</t>
        </is>
      </c>
      <c r="D75" s="25" t="inlineStr">
        <is>
          <r>
            <rPr>
              <rFont val="Calibri"/>
              <i val="1"/>
              <color rgb="002B2B2B"/>
              <sz val="10"/>
            </rPr>
            <t>R</t>
          </r>
          <r>
            <rPr>
              <rFont val="Calibri"/>
              <i val="1"/>
              <color rgb="002B2B2B"/>
              <sz val="10"/>
              <vertAlign val="subscript"/>
            </rPr>
            <t>B</t>
          </r>
        </is>
      </c>
      <c r="E75" s="41">
        <f>IF(inputs_ok,IF(cb_on_s1,TEXT(cb_Rmax1,"0.0")&amp;"  /  "&amp;TEXT(cb_Rmin1,"0.0"),"–"),NA())</f>
        <v/>
      </c>
      <c r="F75" s="27" t="inlineStr">
        <is>
          <t>kN</t>
        </is>
      </c>
      <c r="G75" s="23" t="n"/>
    </row>
    <row r="76" ht="17" customHeight="1">
      <c r="B76" s="23" t="n"/>
      <c r="C76" s="24" t="inlineStr">
        <is>
          <t>Reaction at support C  (max  /  min)</t>
        </is>
      </c>
      <c r="D76" s="25" t="inlineStr">
        <is>
          <r>
            <rPr>
              <rFont val="Calibri"/>
              <i val="1"/>
              <color rgb="002B2B2B"/>
              <sz val="10"/>
            </rPr>
            <t>R</t>
          </r>
          <r>
            <rPr>
              <rFont val="Calibri"/>
              <i val="1"/>
              <color rgb="002B2B2B"/>
              <sz val="10"/>
              <vertAlign val="subscript"/>
            </rPr>
            <t>C</t>
          </r>
        </is>
      </c>
      <c r="E76" s="41">
        <f>IF(inputs_ok,IF(cb_on_s2,TEXT(cb_Rmax2,"0.0")&amp;"  /  "&amp;TEXT(cb_Rmin2,"0.0"),"–"),NA())</f>
        <v/>
      </c>
      <c r="F76" s="27" t="inlineStr">
        <is>
          <t>kN</t>
        </is>
      </c>
      <c r="G76" s="23" t="n"/>
    </row>
    <row r="77" ht="17" customHeight="1">
      <c r="B77" s="23" t="n"/>
      <c r="C77" s="24" t="inlineStr">
        <is>
          <t>Reaction at support D  (max  /  min)</t>
        </is>
      </c>
      <c r="D77" s="25" t="inlineStr">
        <is>
          <r>
            <rPr>
              <rFont val="Calibri"/>
              <i val="1"/>
              <color rgb="002B2B2B"/>
              <sz val="10"/>
            </rPr>
            <t>R</t>
          </r>
          <r>
            <rPr>
              <rFont val="Calibri"/>
              <i val="1"/>
              <color rgb="002B2B2B"/>
              <sz val="10"/>
              <vertAlign val="subscript"/>
            </rPr>
            <t>D</t>
          </r>
        </is>
      </c>
      <c r="E77" s="41">
        <f>IF(inputs_ok,IF(cb_on_s3,TEXT(cb_Rmax3,"0.0")&amp;"  /  "&amp;TEXT(cb_Rmin3,"0.0"),"–"),NA())</f>
        <v/>
      </c>
      <c r="F77" s="27" t="inlineStr">
        <is>
          <t>kN</t>
        </is>
      </c>
      <c r="G77" s="23" t="n"/>
    </row>
    <row r="78" ht="17" customHeight="1">
      <c r="B78" s="23" t="n"/>
      <c r="C78" s="24" t="inlineStr">
        <is>
          <t>Reaction at support E  (max  /  min)</t>
        </is>
      </c>
      <c r="D78" s="25" t="inlineStr">
        <is>
          <r>
            <rPr>
              <rFont val="Calibri"/>
              <i val="1"/>
              <color rgb="002B2B2B"/>
              <sz val="10"/>
            </rPr>
            <t>R</t>
          </r>
          <r>
            <rPr>
              <rFont val="Calibri"/>
              <i val="1"/>
              <color rgb="002B2B2B"/>
              <sz val="10"/>
              <vertAlign val="subscript"/>
            </rPr>
            <t>E</t>
          </r>
        </is>
      </c>
      <c r="E78" s="41">
        <f>IF(inputs_ok,IF(cb_on_s4,TEXT(cb_Rmax4,"0.0")&amp;"  /  "&amp;TEXT(cb_Rmin4,"0.0"),"–"),NA())</f>
        <v/>
      </c>
      <c r="F78" s="27" t="inlineStr">
        <is>
          <t>kN</t>
        </is>
      </c>
      <c r="G78" s="23" t="n"/>
    </row>
    <row r="79" ht="17" customHeight="1">
      <c r="B79" s="23" t="n"/>
      <c r="C79" s="24" t="inlineStr">
        <is>
          <t>Reaction at support F  (max  /  min)</t>
        </is>
      </c>
      <c r="D79" s="25" t="inlineStr">
        <is>
          <r>
            <rPr>
              <rFont val="Calibri"/>
              <i val="1"/>
              <color rgb="002B2B2B"/>
              <sz val="10"/>
            </rPr>
            <t>R</t>
          </r>
          <r>
            <rPr>
              <rFont val="Calibri"/>
              <i val="1"/>
              <color rgb="002B2B2B"/>
              <sz val="10"/>
              <vertAlign val="subscript"/>
            </rPr>
            <t>F</t>
          </r>
        </is>
      </c>
      <c r="E79" s="41">
        <f>IF(inputs_ok,IF(cb_on_s5,TEXT(cb_Rmax5,"0.0")&amp;"  /  "&amp;TEXT(cb_Rmin5,"0.0"),"–"),NA())</f>
        <v/>
      </c>
      <c r="F79" s="27" t="inlineStr">
        <is>
          <t>kN</t>
        </is>
      </c>
      <c r="G79" s="23" t="n"/>
    </row>
    <row r="80" ht="17" customHeight="1">
      <c r="B80" s="23" t="n"/>
      <c r="C80" s="24" t="inlineStr">
        <is>
          <t>Largest sagging moment  (0: none)</t>
        </is>
      </c>
      <c r="D80" s="25" t="inlineStr">
        <is>
          <r>
            <rPr>
              <rFont val="Calibri"/>
              <i val="1"/>
              <color rgb="002B2B2B"/>
              <sz val="10"/>
            </rPr>
            <t>M</t>
          </r>
          <r>
            <rPr>
              <rFont val="Calibri"/>
              <i val="1"/>
              <color rgb="002B2B2B"/>
              <sz val="10"/>
              <vertAlign val="subscript"/>
            </rPr>
            <t>span</t>
          </r>
        </is>
      </c>
      <c r="E80" s="42">
        <f>IF(inputs_ok,MAX(0,cb_sag1,cb_sag2,cb_sag3,cb_sag4,cb_sag5),NA())</f>
        <v/>
      </c>
      <c r="F80" s="27" t="inlineStr">
        <is>
          <t>kNm</t>
        </is>
      </c>
      <c r="G80" s="23" t="n"/>
    </row>
    <row r="81" ht="17" customHeight="1">
      <c r="B81" s="23" t="n"/>
      <c r="C81" s="24" t="inlineStr">
        <is>
          <t>Largest hogging moment, as a magnitude  (0: none)</t>
        </is>
      </c>
      <c r="D81" s="25" t="inlineStr">
        <is>
          <r>
            <rPr>
              <rFont val="Calibri"/>
              <i val="1"/>
              <color rgb="002B2B2B"/>
              <sz val="10"/>
            </rPr>
            <t>M</t>
          </r>
          <r>
            <rPr>
              <rFont val="Calibri"/>
              <i val="1"/>
              <color rgb="002B2B2B"/>
              <sz val="10"/>
              <vertAlign val="subscript"/>
            </rPr>
            <t>sup</t>
          </r>
        </is>
      </c>
      <c r="E81" s="42">
        <f>IF(inputs_ok,MAX(0,IF(1&lt;n_cb,-cb_Mmin1,0),IF(2&lt;n_cb,-cb_Mmin2,0),IF(3&lt;n_cb,-cb_Mmin3,0),IF(4&lt;n_cb,-cb_Mmin4,0)),NA())</f>
        <v/>
      </c>
      <c r="F81" s="27" t="inlineStr">
        <is>
          <t>kNm</t>
        </is>
      </c>
      <c r="G81" s="23" t="n"/>
    </row>
    <row r="82" ht="17" customHeight="1">
      <c r="B82" s="23" t="n"/>
      <c r="C82" s="24" t="inlineStr">
        <is>
          <t>Largest shear</t>
        </is>
      </c>
      <c r="D82" s="25" t="inlineStr">
        <is>
          <r>
            <rPr>
              <rFont val="Calibri"/>
              <i val="1"/>
              <color rgb="002B2B2B"/>
              <sz val="10"/>
            </rPr>
            <t>V</t>
          </r>
          <r>
            <rPr>
              <rFont val="Calibri"/>
              <i val="1"/>
              <color rgb="002B2B2B"/>
              <sz val="10"/>
              <vertAlign val="subscript"/>
            </rPr>
            <t>max</t>
          </r>
        </is>
      </c>
      <c r="E82" s="42">
        <f>IF(inputs_ok,MAX(IF(cb_on_s0,cb_Vs0,0),IF(cb_on_s1,cb_Vs1,0),IF(cb_on_s2,cb_Vs2,0),IF(cb_on_s3,cb_Vs3,0),IF(cb_on_s4,cb_Vs4,0),IF(cb_on_s5,cb_Vs5,0)),NA())</f>
        <v/>
      </c>
      <c r="F82" s="27" t="inlineStr">
        <is>
          <t>kN</t>
        </is>
      </c>
      <c r="G82" s="23" t="n"/>
    </row>
    <row r="83" ht="17" customHeight="1">
      <c r="B83" s="23" t="n"/>
      <c r="C83" s="24" t="inlineStr">
        <is>
          <t>Largest reaction</t>
        </is>
      </c>
      <c r="D83" s="25" t="inlineStr">
        <is>
          <r>
            <rPr>
              <rFont val="Calibri"/>
              <i val="1"/>
              <color rgb="002B2B2B"/>
              <sz val="10"/>
            </rPr>
            <t>R</t>
          </r>
          <r>
            <rPr>
              <rFont val="Calibri"/>
              <i val="1"/>
              <color rgb="002B2B2B"/>
              <sz val="10"/>
              <vertAlign val="subscript"/>
            </rPr>
            <t>max</t>
          </r>
        </is>
      </c>
      <c r="E83" s="42">
        <f>IF(inputs_ok,MAX(IF(cb_on_s0,cb_Rmax0,-1E9),IF(cb_on_s1,cb_Rmax1,-1E9),IF(cb_on_s2,cb_Rmax2,-1E9),IF(cb_on_s3,cb_Rmax3,-1E9),IF(cb_on_s4,cb_Rmax4,-1E9),IF(cb_on_s5,cb_Rmax5,-1E9)),NA())</f>
        <v/>
      </c>
      <c r="F83" s="27" t="inlineStr">
        <is>
          <t>kN</t>
        </is>
      </c>
      <c r="G83" s="23" t="n"/>
    </row>
    <row r="84" ht="17" customHeight="1">
      <c r="B84" s="23" t="n"/>
      <c r="C84" s="24" t="inlineStr">
        <is>
          <t>Smallest reaction</t>
        </is>
      </c>
      <c r="D84" s="25" t="inlineStr">
        <is>
          <r>
            <rPr>
              <rFont val="Calibri"/>
              <i val="1"/>
              <color rgb="002B2B2B"/>
              <sz val="10"/>
            </rPr>
            <t>R</t>
          </r>
          <r>
            <rPr>
              <rFont val="Calibri"/>
              <i val="1"/>
              <color rgb="002B2B2B"/>
              <sz val="10"/>
              <vertAlign val="subscript"/>
            </rPr>
            <t>min</t>
          </r>
        </is>
      </c>
      <c r="E84" s="42">
        <f>IF(inputs_ok,MIN(IF(cb_on_s0,cb_Rmin0,1E9),IF(cb_on_s1,cb_Rmin1,1E9),IF(cb_on_s2,cb_Rmin2,1E9),IF(cb_on_s3,cb_Rmin3,1E9),IF(cb_on_s4,cb_Rmin4,1E9),IF(cb_on_s5,cb_Rmin5,1E9)),NA())</f>
        <v/>
      </c>
      <c r="F84" s="27" t="inlineStr">
        <is>
          <t>kN</t>
        </is>
      </c>
      <c r="G84" s="23" t="n"/>
    </row>
    <row r="85" ht="79" customHeight="1">
      <c r="B85" s="39" t="inlineStr">
        <is>
          <t>Elastic moments, no redistribution. Redistribution (5.5) has to be applied to each load case on its own, with the shears and reactions recalculated and the envelope formed again; 5.5(4) also limits the spans (adjacent spans within 0.5 to 2 times each other) and needs the xu / d check. It is not done here.
Shears are at the support centrelines. 6.2.1(8): for a member under a mainly uniform load the design shear need not be checked closer than d to the support face; any shear reinforcement required must be continued to the support, and VEd at the face must not exceed VRd,max. Anchor the bottom bars at the supports separately (9.2.1.4).</t>
        </is>
      </c>
    </row>
    <row r="86"/>
    <row r="87" ht="29" customHeight="1">
      <c r="B87" s="39"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9">
    <mergeCell ref="B85:G85"/>
    <mergeCell ref="E5:G5"/>
    <mergeCell ref="B57:G57"/>
    <mergeCell ref="B58:G58"/>
    <mergeCell ref="D2:G2"/>
    <mergeCell ref="E7:G7"/>
    <mergeCell ref="E6:G6"/>
    <mergeCell ref="C3:G3"/>
    <mergeCell ref="B87:G87"/>
  </mergeCells>
  <conditionalFormatting sqref="G9:G88">
    <cfRule type="expression" priority="1" dxfId="0">
      <formula>G9="OK"</formula>
    </cfRule>
    <cfRule type="expression" priority="2" dxfId="1">
      <formula>G9="FAIL"</formula>
    </cfRule>
    <cfRule type="expression" priority="3" dxfId="2">
      <formula>LEFT(G9,1)="!"</formula>
    </cfRule>
  </conditionalFormatting>
  <dataValidations count="10">
    <dataValidation sqref="E11" showDropDown="0" showInputMessage="0" showErrorMessage="1" allowBlank="0" errorTitle="NA Engineering" error="Pick a value from the list." type="list" errorStyle="stop">
      <formula1>"2,3,4,5"</formula1>
    </dataValidation>
    <dataValidation sqref="E12" showDropDown="0" showInputMessage="0" showErrorMessage="1" allowBlank="0" errorTitle="NA Engineering" error="Enter a number greater than 0." type="decimal" errorStyle="stop" operator="greaterThan">
      <formula1>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1" errorTitle="NA Engineering" error="Enter a number greater than 0." type="custom" errorStyle="stop">
      <formula1>IF(n_cb&gt;=3,AND(ISNUMBER(E14),E14&gt;0),TRUE)</formula1>
    </dataValidation>
    <dataValidation sqref="E15" showDropDown="0" showInputMessage="0" showErrorMessage="1" allowBlank="1" errorTitle="NA Engineering" error="Enter a number greater than 0." type="custom" errorStyle="stop">
      <formula1>IF(n_cb&gt;=4,AND(ISNUMBER(E15),E15&gt;0),TRUE)</formula1>
    </dataValidation>
    <dataValidation sqref="E16" showDropDown="0" showInputMessage="0" showErrorMessage="1" allowBlank="1" errorTitle="NA Engineering" error="Enter a number greater than 0." type="custom" errorStyle="stop">
      <formula1>IF(n_cb&gt;=5,AND(ISNUMBER(E16),E16&gt;0),TRUE)</formula1>
    </dataValidation>
    <dataValidation sqref="E17" showDropDown="0" showInputMessage="0" showErrorMessage="1" allowBlank="0" errorTitle="NA Engineering" error="Enter a number ≥ 0." type="decimal" errorStyle="stop" operator="greaterThanOrEqual">
      <formula1>0</formula1>
    </dataValidation>
    <dataValidation sqref="E18" showDropDown="0" showInputMessage="0" showErrorMessage="1" allowBlank="0" errorTitle="NA Engineering" error="Enter a number ≥ 0." type="decimal" errorStyle="stop" operator="greaterThanOrEqual">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&amp;K8A8A8ANAE-RC-018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EP107"/>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beam</t>
        </is>
      </c>
      <c r="G2" t="inlineStr">
        <is>
          <t>support A</t>
        </is>
      </c>
      <c r="J2">
        <f>IF(inputs_ok,IF(cb_on_s0,"A",""),"")</f>
        <v/>
      </c>
      <c r="M2" t="inlineStr">
        <is>
          <t>support B</t>
        </is>
      </c>
      <c r="P2">
        <f>IF(inputs_ok,IF(cb_on_s1,"B",""),"")</f>
        <v/>
      </c>
      <c r="S2" t="inlineStr">
        <is>
          <t>support C</t>
        </is>
      </c>
      <c r="V2">
        <f>IF(inputs_ok,IF(cb_on_s2,"C",""),"")</f>
        <v/>
      </c>
      <c r="Y2" t="inlineStr">
        <is>
          <t>support D</t>
        </is>
      </c>
      <c r="AB2">
        <f>IF(inputs_ok,IF(cb_on_s3,"D",""),"")</f>
        <v/>
      </c>
      <c r="AE2" t="inlineStr">
        <is>
          <t>support E</t>
        </is>
      </c>
      <c r="AH2">
        <f>IF(inputs_ok,IF(cb_on_s4,"E",""),"")</f>
        <v/>
      </c>
      <c r="AK2" t="inlineStr">
        <is>
          <t>support F</t>
        </is>
      </c>
      <c r="AN2">
        <f>IF(inputs_ok,IF(cb_on_s5,"F",""),"")</f>
        <v/>
      </c>
      <c r="AQ2" t="inlineStr">
        <is>
          <t>udl</t>
        </is>
      </c>
      <c r="AT2">
        <f>IF(inputs_ok,"w1 = "&amp;TEXT(cb_wf,"0.0")&amp;",  w2 = "&amp;TEXT(cb_wp,"0.0")&amp;" kN/m","")</f>
        <v/>
      </c>
      <c r="AW2" t="inlineStr">
        <is>
          <t>dim</t>
        </is>
      </c>
      <c r="AZ2">
        <f>IF(inputs_ok,IF(cb_on1,"L1 = "&amp;TEXT(Lcb_1,"0"),""),"")</f>
        <v/>
      </c>
      <c r="BC2" t="inlineStr">
        <is>
          <t>dim</t>
        </is>
      </c>
      <c r="BF2">
        <f>IF(inputs_ok,IF(cb_on2,"L2 = "&amp;TEXT(Lcb_2,"0"),""),"")</f>
        <v/>
      </c>
      <c r="BI2" t="inlineStr">
        <is>
          <t>dim</t>
        </is>
      </c>
      <c r="BL2">
        <f>IF(inputs_ok,IF(cb_on3,"L3 = "&amp;TEXT(Lcb_3,"0"),""),"")</f>
        <v/>
      </c>
      <c r="BO2" t="inlineStr">
        <is>
          <t>dim</t>
        </is>
      </c>
      <c r="BR2">
        <f>IF(inputs_ok,IF(cb_on4,"L4 = "&amp;TEXT(Lcb_4,"0"),""),"")</f>
        <v/>
      </c>
      <c r="BU2" t="inlineStr">
        <is>
          <t>dim</t>
        </is>
      </c>
      <c r="BX2">
        <f>IF(inputs_ok,IF(cb_on5,"L5 = "&amp;TEXT(Lcb_5,"0"),""),"")</f>
        <v/>
      </c>
      <c r="CA2" t="inlineStr">
        <is>
          <t>SFD axis</t>
        </is>
      </c>
      <c r="CD2" t="inlineStr">
        <is>
          <t>BMD axis</t>
        </is>
      </c>
      <c r="CG2" t="inlineStr">
        <is>
          <t>Vmax</t>
        </is>
      </c>
      <c r="CJ2" t="inlineStr">
        <is>
          <t>Vmin</t>
        </is>
      </c>
      <c r="CM2" t="inlineStr">
        <is>
          <t>Mmax</t>
        </is>
      </c>
      <c r="CP2" t="inlineStr">
        <is>
          <t>Mmin</t>
        </is>
      </c>
      <c r="CS2" t="inlineStr">
        <is>
          <t>peak 1</t>
        </is>
      </c>
      <c r="CV2">
        <f>IF(inputs_ok,IF(cb_on1,TEXT(cb_sag1,"0;−0"),""),"")</f>
        <v/>
      </c>
      <c r="CY2" t="inlineStr">
        <is>
          <t>peak 2</t>
        </is>
      </c>
      <c r="DB2">
        <f>IF(inputs_ok,IF(cb_on2,TEXT(cb_sag2,"0;−0"),""),"")</f>
        <v/>
      </c>
      <c r="DE2" t="inlineStr">
        <is>
          <t>peak 3</t>
        </is>
      </c>
      <c r="DH2">
        <f>IF(inputs_ok,IF(cb_on3,TEXT(cb_sag3,"0;−0"),""),"")</f>
        <v/>
      </c>
      <c r="DK2" t="inlineStr">
        <is>
          <t>peak 4</t>
        </is>
      </c>
      <c r="DN2">
        <f>IF(inputs_ok,IF(cb_on4,TEXT(cb_sag4,"0;−0"),""),"")</f>
        <v/>
      </c>
      <c r="DQ2" t="inlineStr">
        <is>
          <t>peak 5</t>
        </is>
      </c>
      <c r="DT2">
        <f>IF(inputs_ok,IF(cb_on5,TEXT(cb_sag5,"0;−0"),""),"")</f>
        <v/>
      </c>
      <c r="DW2">
        <f>IF(inputs_ok,IF(1&lt;n_cb,TEXT(cb_Mmin1,"0;−0"),""),"")</f>
        <v/>
      </c>
      <c r="DZ2">
        <f>IF(inputs_ok,IF(2&lt;n_cb,TEXT(cb_Mmin2,"0;−0"),""),"")</f>
        <v/>
      </c>
      <c r="EC2">
        <f>IF(inputs_ok,IF(3&lt;n_cb,TEXT(cb_Mmin3,"0;−0"),""),"")</f>
        <v/>
      </c>
      <c r="EF2">
        <f>IF(inputs_ok,IF(4&lt;n_cb,TEXT(cb_Mmin4,"0;−0"),""),"")</f>
        <v/>
      </c>
      <c r="EI2">
        <f>IF(inputs_ok,"M, kNm","")</f>
        <v/>
      </c>
      <c r="EL2">
        <f>IF(inputs_ok,"V, kN","")</f>
        <v/>
      </c>
      <c r="EO2" t="inlineStr">
        <is>
          <t>frame</t>
        </is>
      </c>
    </row>
    <row r="3">
      <c r="A3">
        <f>0</f>
        <v/>
      </c>
      <c r="B3">
        <f>0</f>
        <v/>
      </c>
      <c r="D3">
        <f>IF(inputs_ok,0,NA())</f>
        <v/>
      </c>
      <c r="E3">
        <f>0</f>
        <v/>
      </c>
      <c r="G3">
        <f>IF(inputs_ok,IF(cb_on_s0,0,NA())-0.012*cb_Ltot,NA())</f>
        <v/>
      </c>
      <c r="H3">
        <f>-2*0.012*cb_Ltot</f>
        <v/>
      </c>
      <c r="J3">
        <f>IF(inputs_ok,IF(cb_on_s0,0,NA()),NA())</f>
        <v/>
      </c>
      <c r="K3">
        <f>-2*0.012*cb_Ltot</f>
        <v/>
      </c>
      <c r="M3">
        <f>IF(inputs_ok,IF(cb_on_s1,cb_X1+Lcb_1,NA())-0.012*cb_Ltot,NA())</f>
        <v/>
      </c>
      <c r="N3">
        <f>-2*0.012*cb_Ltot</f>
        <v/>
      </c>
      <c r="P3">
        <f>IF(inputs_ok,IF(cb_on_s1,cb_X1+Lcb_1,NA()),NA())</f>
        <v/>
      </c>
      <c r="Q3">
        <f>-2*0.012*cb_Ltot</f>
        <v/>
      </c>
      <c r="S3">
        <f>IF(inputs_ok,IF(cb_on_s2,cb_X2+Lcb_2,NA())-0.012*cb_Ltot,NA())</f>
        <v/>
      </c>
      <c r="T3">
        <f>-2*0.012*cb_Ltot</f>
        <v/>
      </c>
      <c r="V3">
        <f>IF(inputs_ok,IF(cb_on_s2,cb_X2+Lcb_2,NA()),NA())</f>
        <v/>
      </c>
      <c r="W3">
        <f>-2*0.012*cb_Ltot</f>
        <v/>
      </c>
      <c r="Y3">
        <f>IF(inputs_ok,IF(cb_on_s3,cb_X3+Lcb_3,NA())-0.012*cb_Ltot,NA())</f>
        <v/>
      </c>
      <c r="Z3">
        <f>-2*0.012*cb_Ltot</f>
        <v/>
      </c>
      <c r="AB3">
        <f>IF(inputs_ok,IF(cb_on_s3,cb_X3+Lcb_3,NA()),NA())</f>
        <v/>
      </c>
      <c r="AC3">
        <f>-2*0.012*cb_Ltot</f>
        <v/>
      </c>
      <c r="AE3">
        <f>IF(inputs_ok,IF(cb_on_s4,cb_X4+Lcb_4,NA())-0.012*cb_Ltot,NA())</f>
        <v/>
      </c>
      <c r="AF3">
        <f>-2*0.012*cb_Ltot</f>
        <v/>
      </c>
      <c r="AH3">
        <f>IF(inputs_ok,IF(cb_on_s4,cb_X4+Lcb_4,NA()),NA())</f>
        <v/>
      </c>
      <c r="AI3">
        <f>-2*0.012*cb_Ltot</f>
        <v/>
      </c>
      <c r="AK3">
        <f>IF(inputs_ok,IF(cb_on_s5,cb_X5+Lcb_5,NA())-0.012*cb_Ltot,NA())</f>
        <v/>
      </c>
      <c r="AL3">
        <f>-2*0.012*cb_Ltot</f>
        <v/>
      </c>
      <c r="AN3">
        <f>IF(inputs_ok,IF(cb_on_s5,cb_X5+Lcb_5,NA()),NA())</f>
        <v/>
      </c>
      <c r="AO3">
        <f>-2*0.012*cb_Ltot</f>
        <v/>
      </c>
      <c r="AQ3">
        <f>IF(inputs_ok,0,NA())</f>
        <v/>
      </c>
      <c r="AR3">
        <f>0.01*cb_Ltot</f>
        <v/>
      </c>
      <c r="AT3">
        <f>IF(inputs_ok,cb_Ltot/2,NA())</f>
        <v/>
      </c>
      <c r="AU3">
        <f>0.01*cb_Ltot+(0.035*cb_Ltot)</f>
        <v/>
      </c>
      <c r="AW3">
        <f>IF(inputs_ok,IF(TRUE,IF(cb_on1,cb_X1,NA()),NA()),NA())</f>
        <v/>
      </c>
      <c r="AX3">
        <f>IF(TRUE,-0.075*cb_Ltot,NA())</f>
        <v/>
      </c>
      <c r="AZ3">
        <f>IF(inputs_ok,IF(TRUE,((IF(cb_on1,cb_X1,NA()))+(IF(cb_on1,cb_X1+Lcb_1,NA())))/2,NA()),NA())</f>
        <v/>
      </c>
      <c r="BA3">
        <f>IF(TRUE,((-0.075*cb_Ltot)+(-0.075*cb_Ltot))/2,NA())</f>
        <v/>
      </c>
      <c r="BC3">
        <f>IF(inputs_ok,IF(TRUE,IF(cb_on2,cb_X2,NA()),NA()),NA())</f>
        <v/>
      </c>
      <c r="BD3">
        <f>IF(TRUE,-0.075*cb_Ltot,NA())</f>
        <v/>
      </c>
      <c r="BF3">
        <f>IF(inputs_ok,IF(TRUE,((IF(cb_on2,cb_X2,NA()))+(IF(cb_on2,cb_X2+Lcb_2,NA())))/2,NA()),NA())</f>
        <v/>
      </c>
      <c r="BG3">
        <f>IF(TRUE,((-0.075*cb_Ltot)+(-0.075*cb_Ltot))/2,NA())</f>
        <v/>
      </c>
      <c r="BI3">
        <f>IF(inputs_ok,IF(TRUE,IF(cb_on3,cb_X3,NA()),NA()),NA())</f>
        <v/>
      </c>
      <c r="BJ3">
        <f>IF(TRUE,-0.075*cb_Ltot,NA())</f>
        <v/>
      </c>
      <c r="BL3">
        <f>IF(inputs_ok,IF(TRUE,((IF(cb_on3,cb_X3,NA()))+(IF(cb_on3,cb_X3+Lcb_3,NA())))/2,NA()),NA())</f>
        <v/>
      </c>
      <c r="BM3">
        <f>IF(TRUE,((-0.075*cb_Ltot)+(-0.075*cb_Ltot))/2,NA())</f>
        <v/>
      </c>
      <c r="BO3">
        <f>IF(inputs_ok,IF(TRUE,IF(cb_on4,cb_X4,NA()),NA()),NA())</f>
        <v/>
      </c>
      <c r="BP3">
        <f>IF(TRUE,-0.075*cb_Ltot,NA())</f>
        <v/>
      </c>
      <c r="BR3">
        <f>IF(inputs_ok,IF(TRUE,((IF(cb_on4,cb_X4,NA()))+(IF(cb_on4,cb_X4+Lcb_4,NA())))/2,NA()),NA())</f>
        <v/>
      </c>
      <c r="BS3">
        <f>IF(TRUE,((-0.075*cb_Ltot)+(-0.075*cb_Ltot))/2,NA())</f>
        <v/>
      </c>
      <c r="BU3">
        <f>IF(inputs_ok,IF(TRUE,IF(cb_on5,cb_X5,NA()),NA()),NA())</f>
        <v/>
      </c>
      <c r="BV3">
        <f>IF(TRUE,-0.075*cb_Ltot,NA())</f>
        <v/>
      </c>
      <c r="BX3">
        <f>IF(inputs_ok,IF(TRUE,((IF(cb_on5,cb_X5,NA()))+(IF(cb_on5,cb_X5+Lcb_5,NA())))/2,NA()),NA())</f>
        <v/>
      </c>
      <c r="BY3">
        <f>IF(TRUE,((-0.075*cb_Ltot)+(-0.075*cb_Ltot))/2,NA())</f>
        <v/>
      </c>
      <c r="CA3">
        <f>IF(inputs_ok,0,NA())</f>
        <v/>
      </c>
      <c r="CB3">
        <f>(-0.2*cb_Ltot)</f>
        <v/>
      </c>
      <c r="CD3">
        <f>IF(inputs_ok,0,NA())</f>
        <v/>
      </c>
      <c r="CE3">
        <f>(-0.47*cb_Ltot)</f>
        <v/>
      </c>
      <c r="CG3">
        <f>IF(inputs_ok,IF(cb_on1,cb_X1+0/20*Lcb_1,NA()),NA())</f>
        <v/>
      </c>
      <c r="CH3">
        <f>(-0.2*cb_Ltot)+(0.07*cb_Ltot/MAX(cb_Vmax,0.001))*MAX((cb_V1_1-cb_w1_1*0/20*cb_L1),(cb_V2_1-cb_w2_1*0/20*cb_L1),(cb_V3_1-cb_w3_1*0/20*cb_L1))</f>
        <v/>
      </c>
      <c r="CJ3">
        <f>IF(inputs_ok,IF(cb_on1,cb_X1+0/20*Lcb_1,NA()),NA())</f>
        <v/>
      </c>
      <c r="CK3">
        <f>(-0.2*cb_Ltot)+(0.07*cb_Ltot/MAX(cb_Vmax,0.001))*MIN((cb_V1_1-cb_w1_1*0/20*cb_L1),(cb_V2_1-cb_w2_1*0/20*cb_L1),(cb_V3_1-cb_w3_1*0/20*cb_L1))</f>
        <v/>
      </c>
      <c r="CM3">
        <f>IF(inputs_ok,IF(cb_on1,cb_X1+0/20*Lcb_1,NA()),NA())</f>
        <v/>
      </c>
      <c r="CN3">
        <f>(-0.47*cb_Ltot)-(0.11*cb_Ltot/MAX(cb_Msag,cb_Mhog,0.001))*MAX((cb_M1_0+cb_V1_1*(0/20*cb_L1)-cb_w1_1*(0/20*cb_L1)^2/2),(cb_M2_0+cb_V2_1*(0/20*cb_L1)-cb_w2_1*(0/20*cb_L1)^2/2),(cb_M3_0+cb_V3_1*(0/20*cb_L1)-cb_w3_1*(0/20*cb_L1)^2/2))</f>
        <v/>
      </c>
      <c r="CP3">
        <f>IF(inputs_ok,IF(cb_on1,cb_X1+0/20*Lcb_1,NA()),NA())</f>
        <v/>
      </c>
      <c r="CQ3">
        <f>(-0.47*cb_Ltot)-(0.11*cb_Ltot/MAX(cb_Msag,cb_Mhog,0.001))*MIN((cb_M1_0+cb_V1_1*(0/20*cb_L1)-cb_w1_1*(0/20*cb_L1)^2/2),(cb_M2_0+cb_V2_1*(0/20*cb_L1)-cb_w2_1*(0/20*cb_L1)^2/2),(cb_M3_0+cb_V3_1*(0/20*cb_L1)-cb_w3_1*(0/20*cb_L1)^2/2))</f>
        <v/>
      </c>
      <c r="CS3">
        <f>IF(inputs_ok,IF(cb_on1,cb_X1+1000*cb_xsag1,NA()),NA())</f>
        <v/>
      </c>
      <c r="CT3">
        <f>IF(cb_on1,(-0.47*cb_Ltot)-(0.11*cb_Ltot/MAX(cb_Msag,cb_Mhog,0.001))*cb_sag1,NA())</f>
        <v/>
      </c>
      <c r="CV3">
        <f>IF(inputs_ok,IF(cb_on1,cb_X1+1000*cb_xsag1,NA()),NA())</f>
        <v/>
      </c>
      <c r="CW3">
        <f>IF(cb_on1,(-0.47*cb_Ltot)-(0.11*cb_Ltot/MAX(cb_Msag,cb_Mhog,0.001))*cb_sag1,NA())</f>
        <v/>
      </c>
      <c r="CY3">
        <f>IF(inputs_ok,IF(cb_on2,cb_X2+1000*cb_xsag2,NA()),NA())</f>
        <v/>
      </c>
      <c r="CZ3">
        <f>IF(cb_on2,(-0.47*cb_Ltot)-(0.11*cb_Ltot/MAX(cb_Msag,cb_Mhog,0.001))*cb_sag2,NA())</f>
        <v/>
      </c>
      <c r="DB3">
        <f>IF(inputs_ok,IF(cb_on2,cb_X2+1000*cb_xsag2,NA()),NA())</f>
        <v/>
      </c>
      <c r="DC3">
        <f>IF(cb_on2,(-0.47*cb_Ltot)-(0.11*cb_Ltot/MAX(cb_Msag,cb_Mhog,0.001))*cb_sag2,NA())</f>
        <v/>
      </c>
      <c r="DE3">
        <f>IF(inputs_ok,IF(cb_on3,cb_X3+1000*cb_xsag3,NA()),NA())</f>
        <v/>
      </c>
      <c r="DF3">
        <f>IF(cb_on3,(-0.47*cb_Ltot)-(0.11*cb_Ltot/MAX(cb_Msag,cb_Mhog,0.001))*cb_sag3,NA())</f>
        <v/>
      </c>
      <c r="DH3">
        <f>IF(inputs_ok,IF(cb_on3,cb_X3+1000*cb_xsag3,NA()),NA())</f>
        <v/>
      </c>
      <c r="DI3">
        <f>IF(cb_on3,(-0.47*cb_Ltot)-(0.11*cb_Ltot/MAX(cb_Msag,cb_Mhog,0.001))*cb_sag3,NA())</f>
        <v/>
      </c>
      <c r="DK3">
        <f>IF(inputs_ok,IF(cb_on4,cb_X4+1000*cb_xsag4,NA()),NA())</f>
        <v/>
      </c>
      <c r="DL3">
        <f>IF(cb_on4,(-0.47*cb_Ltot)-(0.11*cb_Ltot/MAX(cb_Msag,cb_Mhog,0.001))*cb_sag4,NA())</f>
        <v/>
      </c>
      <c r="DN3">
        <f>IF(inputs_ok,IF(cb_on4,cb_X4+1000*cb_xsag4,NA()),NA())</f>
        <v/>
      </c>
      <c r="DO3">
        <f>IF(cb_on4,(-0.47*cb_Ltot)-(0.11*cb_Ltot/MAX(cb_Msag,cb_Mhog,0.001))*cb_sag4,NA())</f>
        <v/>
      </c>
      <c r="DQ3">
        <f>IF(inputs_ok,IF(cb_on5,cb_X5+1000*cb_xsag5,NA()),NA())</f>
        <v/>
      </c>
      <c r="DR3">
        <f>IF(cb_on5,(-0.47*cb_Ltot)-(0.11*cb_Ltot/MAX(cb_Msag,cb_Mhog,0.001))*cb_sag5,NA())</f>
        <v/>
      </c>
      <c r="DT3">
        <f>IF(inputs_ok,IF(cb_on5,cb_X5+1000*cb_xsag5,NA()),NA())</f>
        <v/>
      </c>
      <c r="DU3">
        <f>IF(cb_on5,(-0.47*cb_Ltot)-(0.11*cb_Ltot/MAX(cb_Msag,cb_Mhog,0.001))*cb_sag5,NA())</f>
        <v/>
      </c>
      <c r="DW3">
        <f>IF(inputs_ok,IF(1&lt;n_cb,cb_X2,NA()),NA())</f>
        <v/>
      </c>
      <c r="DX3">
        <f>(-0.47*cb_Ltot)-(0.11*cb_Ltot/MAX(cb_Msag,cb_Mhog,0.001))*cb_Mmin1</f>
        <v/>
      </c>
      <c r="DZ3">
        <f>IF(inputs_ok,IF(2&lt;n_cb,cb_X3,NA()),NA())</f>
        <v/>
      </c>
      <c r="EA3">
        <f>(-0.47*cb_Ltot)-(0.11*cb_Ltot/MAX(cb_Msag,cb_Mhog,0.001))*cb_Mmin2</f>
        <v/>
      </c>
      <c r="EC3">
        <f>IF(inputs_ok,IF(3&lt;n_cb,cb_X4,NA()),NA())</f>
        <v/>
      </c>
      <c r="ED3">
        <f>(-0.47*cb_Ltot)-(0.11*cb_Ltot/MAX(cb_Msag,cb_Mhog,0.001))*cb_Mmin3</f>
        <v/>
      </c>
      <c r="EF3">
        <f>IF(inputs_ok,IF(4&lt;n_cb,cb_X5,NA()),NA())</f>
        <v/>
      </c>
      <c r="EG3">
        <f>(-0.47*cb_Ltot)-(0.11*cb_Ltot/MAX(cb_Msag,cb_Mhog,0.001))*cb_Mmin4</f>
        <v/>
      </c>
      <c r="EI3">
        <f>IF(inputs_ok,0,NA())</f>
        <v/>
      </c>
      <c r="EJ3">
        <f>(-0.47*cb_Ltot)</f>
        <v/>
      </c>
      <c r="EL3">
        <f>IF(inputs_ok,0,NA())</f>
        <v/>
      </c>
      <c r="EM3">
        <f>(-0.2*cb_Ltot)</f>
        <v/>
      </c>
      <c r="EO3">
        <f>((-0.06*cb_Ltot)+(1.03*cb_Ltot))/2-MAX((0.08*cb_Ltot)-(-0.62*cb_Ltot),((1.03*cb_Ltot)-(-0.06*cb_Ltot))/1.55)*0.58*1.55</f>
        <v/>
      </c>
      <c r="EP3">
        <f>((-0.62*cb_Ltot)+(0.08*cb_Ltot))/2-MAX((0.08*cb_Ltot)-(-0.62*cb_Ltot),((1.03*cb_Ltot)-(-0.06*cb_Ltot))/1.55)*0.58</f>
        <v/>
      </c>
    </row>
    <row r="4">
      <c r="D4">
        <f>IF(inputs_ok,cb_Ltot,NA())</f>
        <v/>
      </c>
      <c r="E4">
        <f>0</f>
        <v/>
      </c>
      <c r="G4">
        <f>IF(inputs_ok,IF(cb_on_s0,0,NA()),NA())</f>
        <v/>
      </c>
      <c r="H4">
        <f>0</f>
        <v/>
      </c>
      <c r="M4">
        <f>IF(inputs_ok,IF(cb_on_s1,cb_X1+Lcb_1,NA()),NA())</f>
        <v/>
      </c>
      <c r="N4">
        <f>0</f>
        <v/>
      </c>
      <c r="S4">
        <f>IF(inputs_ok,IF(cb_on_s2,cb_X2+Lcb_2,NA()),NA())</f>
        <v/>
      </c>
      <c r="T4">
        <f>0</f>
        <v/>
      </c>
      <c r="Y4">
        <f>IF(inputs_ok,IF(cb_on_s3,cb_X3+Lcb_3,NA()),NA())</f>
        <v/>
      </c>
      <c r="Z4">
        <f>0</f>
        <v/>
      </c>
      <c r="AE4">
        <f>IF(inputs_ok,IF(cb_on_s4,cb_X4+Lcb_4,NA()),NA())</f>
        <v/>
      </c>
      <c r="AF4">
        <f>0</f>
        <v/>
      </c>
      <c r="AK4">
        <f>IF(inputs_ok,IF(cb_on_s5,cb_X5+Lcb_5,NA()),NA())</f>
        <v/>
      </c>
      <c r="AL4">
        <f>0</f>
        <v/>
      </c>
      <c r="AQ4">
        <f>IF(inputs_ok,0,NA())</f>
        <v/>
      </c>
      <c r="AR4">
        <f>0.01*cb_Ltot+(0.035*cb_Ltot)</f>
        <v/>
      </c>
      <c r="AW4">
        <f>IF(inputs_ok,IF(TRUE,IF(cb_on1,cb_X1+Lcb_1,NA()),NA()),NA())</f>
        <v/>
      </c>
      <c r="AX4">
        <f>IF(TRUE,-0.075*cb_Ltot,NA())</f>
        <v/>
      </c>
      <c r="BC4">
        <f>IF(inputs_ok,IF(TRUE,IF(cb_on2,cb_X2+Lcb_2,NA()),NA()),NA())</f>
        <v/>
      </c>
      <c r="BD4">
        <f>IF(TRUE,-0.075*cb_Ltot,NA())</f>
        <v/>
      </c>
      <c r="BI4">
        <f>IF(inputs_ok,IF(TRUE,IF(cb_on3,cb_X3+Lcb_3,NA()),NA()),NA())</f>
        <v/>
      </c>
      <c r="BJ4">
        <f>IF(TRUE,-0.075*cb_Ltot,NA())</f>
        <v/>
      </c>
      <c r="BO4">
        <f>IF(inputs_ok,IF(TRUE,IF(cb_on4,cb_X4+Lcb_4,NA()),NA()),NA())</f>
        <v/>
      </c>
      <c r="BP4">
        <f>IF(TRUE,-0.075*cb_Ltot,NA())</f>
        <v/>
      </c>
      <c r="BU4">
        <f>IF(inputs_ok,IF(TRUE,IF(cb_on5,cb_X5+Lcb_5,NA()),NA()),NA())</f>
        <v/>
      </c>
      <c r="BV4">
        <f>IF(TRUE,-0.075*cb_Ltot,NA())</f>
        <v/>
      </c>
      <c r="CA4">
        <f>IF(inputs_ok,cb_Ltot,NA())</f>
        <v/>
      </c>
      <c r="CB4">
        <f>(-0.2*cb_Ltot)</f>
        <v/>
      </c>
      <c r="CD4">
        <f>IF(inputs_ok,cb_Ltot,NA())</f>
        <v/>
      </c>
      <c r="CE4">
        <f>(-0.47*cb_Ltot)</f>
        <v/>
      </c>
      <c r="CG4">
        <f>IF(inputs_ok,IF(cb_on1,cb_X1+1/20*Lcb_1,NA()),NA())</f>
        <v/>
      </c>
      <c r="CH4">
        <f>(-0.2*cb_Ltot)+(0.07*cb_Ltot/MAX(cb_Vmax,0.001))*MAX((cb_V1_1-cb_w1_1*1/20*cb_L1),(cb_V2_1-cb_w2_1*1/20*cb_L1),(cb_V3_1-cb_w3_1*1/20*cb_L1))</f>
        <v/>
      </c>
      <c r="CJ4">
        <f>IF(inputs_ok,IF(cb_on1,cb_X1+1/20*Lcb_1,NA()),NA())</f>
        <v/>
      </c>
      <c r="CK4">
        <f>(-0.2*cb_Ltot)+(0.07*cb_Ltot/MAX(cb_Vmax,0.001))*MIN((cb_V1_1-cb_w1_1*1/20*cb_L1),(cb_V2_1-cb_w2_1*1/20*cb_L1),(cb_V3_1-cb_w3_1*1/20*cb_L1))</f>
        <v/>
      </c>
      <c r="CM4">
        <f>IF(inputs_ok,IF(cb_on1,cb_X1+1/20*Lcb_1,NA()),NA())</f>
        <v/>
      </c>
      <c r="CN4">
        <f>(-0.47*cb_Ltot)-(0.11*cb_Ltot/MAX(cb_Msag,cb_Mhog,0.001))*MAX((cb_M1_0+cb_V1_1*(1/20*cb_L1)-cb_w1_1*(1/20*cb_L1)^2/2),(cb_M2_0+cb_V2_1*(1/20*cb_L1)-cb_w2_1*(1/20*cb_L1)^2/2),(cb_M3_0+cb_V3_1*(1/20*cb_L1)-cb_w3_1*(1/20*cb_L1)^2/2))</f>
        <v/>
      </c>
      <c r="CP4">
        <f>IF(inputs_ok,IF(cb_on1,cb_X1+1/20*Lcb_1,NA()),NA())</f>
        <v/>
      </c>
      <c r="CQ4">
        <f>(-0.47*cb_Ltot)-(0.11*cb_Ltot/MAX(cb_Msag,cb_Mhog,0.001))*MIN((cb_M1_0+cb_V1_1*(1/20*cb_L1)-cb_w1_1*(1/20*cb_L1)^2/2),(cb_M2_0+cb_V2_1*(1/20*cb_L1)-cb_w2_1*(1/20*cb_L1)^2/2),(cb_M3_0+cb_V3_1*(1/20*cb_L1)-cb_w3_1*(1/20*cb_L1)^2/2))</f>
        <v/>
      </c>
      <c r="EO4">
        <f>((-0.06*cb_Ltot)+(1.03*cb_Ltot))/2+MAX((0.08*cb_Ltot)-(-0.62*cb_Ltot),((1.03*cb_Ltot)-(-0.06*cb_Ltot))/1.55)*0.58*1.55</f>
        <v/>
      </c>
      <c r="EP4">
        <f>((-0.62*cb_Ltot)+(0.08*cb_Ltot))/2+MAX((0.08*cb_Ltot)-(-0.62*cb_Ltot),((1.03*cb_Ltot)-(-0.06*cb_Ltot))/1.55)*0.58</f>
        <v/>
      </c>
    </row>
    <row r="5">
      <c r="G5">
        <f>IF(inputs_ok,IF(cb_on_s0,0,NA())+0.012*cb_Ltot,NA())</f>
        <v/>
      </c>
      <c r="H5">
        <f>-2*0.012*cb_Ltot</f>
        <v/>
      </c>
      <c r="M5">
        <f>IF(inputs_ok,IF(cb_on_s1,cb_X1+Lcb_1,NA())+0.012*cb_Ltot,NA())</f>
        <v/>
      </c>
      <c r="N5">
        <f>-2*0.012*cb_Ltot</f>
        <v/>
      </c>
      <c r="S5">
        <f>IF(inputs_ok,IF(cb_on_s2,cb_X2+Lcb_2,NA())+0.012*cb_Ltot,NA())</f>
        <v/>
      </c>
      <c r="T5">
        <f>-2*0.012*cb_Ltot</f>
        <v/>
      </c>
      <c r="Y5">
        <f>IF(inputs_ok,IF(cb_on_s3,cb_X3+Lcb_3,NA())+0.012*cb_Ltot,NA())</f>
        <v/>
      </c>
      <c r="Z5">
        <f>-2*0.012*cb_Ltot</f>
        <v/>
      </c>
      <c r="AE5">
        <f>IF(inputs_ok,IF(cb_on_s4,cb_X4+Lcb_4,NA())+0.012*cb_Ltot,NA())</f>
        <v/>
      </c>
      <c r="AF5">
        <f>-2*0.012*cb_Ltot</f>
        <v/>
      </c>
      <c r="AK5">
        <f>IF(inputs_ok,IF(cb_on_s5,cb_X5+Lcb_5,NA())+0.012*cb_Ltot,NA())</f>
        <v/>
      </c>
      <c r="AL5">
        <f>-2*0.012*cb_Ltot</f>
        <v/>
      </c>
      <c r="AQ5">
        <f>IF(inputs_ok,cb_Ltot,NA())</f>
        <v/>
      </c>
      <c r="AR5">
        <f>0.01*cb_Ltot+(0.035*cb_Ltot)</f>
        <v/>
      </c>
      <c r="CG5">
        <f>IF(inputs_ok,IF(cb_on1,cb_X1+2/20*Lcb_1,NA()),NA())</f>
        <v/>
      </c>
      <c r="CH5">
        <f>(-0.2*cb_Ltot)+(0.07*cb_Ltot/MAX(cb_Vmax,0.001))*MAX((cb_V1_1-cb_w1_1*2/20*cb_L1),(cb_V2_1-cb_w2_1*2/20*cb_L1),(cb_V3_1-cb_w3_1*2/20*cb_L1))</f>
        <v/>
      </c>
      <c r="CJ5">
        <f>IF(inputs_ok,IF(cb_on1,cb_X1+2/20*Lcb_1,NA()),NA())</f>
        <v/>
      </c>
      <c r="CK5">
        <f>(-0.2*cb_Ltot)+(0.07*cb_Ltot/MAX(cb_Vmax,0.001))*MIN((cb_V1_1-cb_w1_1*2/20*cb_L1),(cb_V2_1-cb_w2_1*2/20*cb_L1),(cb_V3_1-cb_w3_1*2/20*cb_L1))</f>
        <v/>
      </c>
      <c r="CM5">
        <f>IF(inputs_ok,IF(cb_on1,cb_X1+2/20*Lcb_1,NA()),NA())</f>
        <v/>
      </c>
      <c r="CN5">
        <f>(-0.47*cb_Ltot)-(0.11*cb_Ltot/MAX(cb_Msag,cb_Mhog,0.001))*MAX((cb_M1_0+cb_V1_1*(2/20*cb_L1)-cb_w1_1*(2/20*cb_L1)^2/2),(cb_M2_0+cb_V2_1*(2/20*cb_L1)-cb_w2_1*(2/20*cb_L1)^2/2),(cb_M3_0+cb_V3_1*(2/20*cb_L1)-cb_w3_1*(2/20*cb_L1)^2/2))</f>
        <v/>
      </c>
      <c r="CP5">
        <f>IF(inputs_ok,IF(cb_on1,cb_X1+2/20*Lcb_1,NA()),NA())</f>
        <v/>
      </c>
      <c r="CQ5">
        <f>(-0.47*cb_Ltot)-(0.11*cb_Ltot/MAX(cb_Msag,cb_Mhog,0.001))*MIN((cb_M1_0+cb_V1_1*(2/20*cb_L1)-cb_w1_1*(2/20*cb_L1)^2/2),(cb_M2_0+cb_V2_1*(2/20*cb_L1)-cb_w2_1*(2/20*cb_L1)^2/2),(cb_M3_0+cb_V3_1*(2/20*cb_L1)-cb_w3_1*(2/20*cb_L1)^2/2))</f>
        <v/>
      </c>
    </row>
    <row r="6">
      <c r="G6">
        <f>IF(inputs_ok,IF(cb_on_s0,0,NA())-0.012*cb_Ltot,NA())</f>
        <v/>
      </c>
      <c r="H6">
        <f>-2*0.012*cb_Ltot</f>
        <v/>
      </c>
      <c r="M6">
        <f>IF(inputs_ok,IF(cb_on_s1,cb_X1+Lcb_1,NA())-0.012*cb_Ltot,NA())</f>
        <v/>
      </c>
      <c r="N6">
        <f>-2*0.012*cb_Ltot</f>
        <v/>
      </c>
      <c r="S6">
        <f>IF(inputs_ok,IF(cb_on_s2,cb_X2+Lcb_2,NA())-0.012*cb_Ltot,NA())</f>
        <v/>
      </c>
      <c r="T6">
        <f>-2*0.012*cb_Ltot</f>
        <v/>
      </c>
      <c r="Y6">
        <f>IF(inputs_ok,IF(cb_on_s3,cb_X3+Lcb_3,NA())-0.012*cb_Ltot,NA())</f>
        <v/>
      </c>
      <c r="Z6">
        <f>-2*0.012*cb_Ltot</f>
        <v/>
      </c>
      <c r="AE6">
        <f>IF(inputs_ok,IF(cb_on_s4,cb_X4+Lcb_4,NA())-0.012*cb_Ltot,NA())</f>
        <v/>
      </c>
      <c r="AF6">
        <f>-2*0.012*cb_Ltot</f>
        <v/>
      </c>
      <c r="AK6">
        <f>IF(inputs_ok,IF(cb_on_s5,cb_X5+Lcb_5,NA())-0.012*cb_Ltot,NA())</f>
        <v/>
      </c>
      <c r="AL6">
        <f>-2*0.012*cb_Ltot</f>
        <v/>
      </c>
      <c r="AQ6">
        <f>IF(inputs_ok,cb_Ltot,NA())</f>
        <v/>
      </c>
      <c r="AR6">
        <f>0.01*cb_Ltot</f>
        <v/>
      </c>
      <c r="CG6">
        <f>IF(inputs_ok,IF(cb_on1,cb_X1+3/20*Lcb_1,NA()),NA())</f>
        <v/>
      </c>
      <c r="CH6">
        <f>(-0.2*cb_Ltot)+(0.07*cb_Ltot/MAX(cb_Vmax,0.001))*MAX((cb_V1_1-cb_w1_1*3/20*cb_L1),(cb_V2_1-cb_w2_1*3/20*cb_L1),(cb_V3_1-cb_w3_1*3/20*cb_L1))</f>
        <v/>
      </c>
      <c r="CJ6">
        <f>IF(inputs_ok,IF(cb_on1,cb_X1+3/20*Lcb_1,NA()),NA())</f>
        <v/>
      </c>
      <c r="CK6">
        <f>(-0.2*cb_Ltot)+(0.07*cb_Ltot/MAX(cb_Vmax,0.001))*MIN((cb_V1_1-cb_w1_1*3/20*cb_L1),(cb_V2_1-cb_w2_1*3/20*cb_L1),(cb_V3_1-cb_w3_1*3/20*cb_L1))</f>
        <v/>
      </c>
      <c r="CM6">
        <f>IF(inputs_ok,IF(cb_on1,cb_X1+3/20*Lcb_1,NA()),NA())</f>
        <v/>
      </c>
      <c r="CN6">
        <f>(-0.47*cb_Ltot)-(0.11*cb_Ltot/MAX(cb_Msag,cb_Mhog,0.001))*MAX((cb_M1_0+cb_V1_1*(3/20*cb_L1)-cb_w1_1*(3/20*cb_L1)^2/2),(cb_M2_0+cb_V2_1*(3/20*cb_L1)-cb_w2_1*(3/20*cb_L1)^2/2),(cb_M3_0+cb_V3_1*(3/20*cb_L1)-cb_w3_1*(3/20*cb_L1)^2/2))</f>
        <v/>
      </c>
      <c r="CP6">
        <f>IF(inputs_ok,IF(cb_on1,cb_X1+3/20*Lcb_1,NA()),NA())</f>
        <v/>
      </c>
      <c r="CQ6">
        <f>(-0.47*cb_Ltot)-(0.11*cb_Ltot/MAX(cb_Msag,cb_Mhog,0.001))*MIN((cb_M1_0+cb_V1_1*(3/20*cb_L1)-cb_w1_1*(3/20*cb_L1)^2/2),(cb_M2_0+cb_V2_1*(3/20*cb_L1)-cb_w2_1*(3/20*cb_L1)^2/2),(cb_M3_0+cb_V3_1*(3/20*cb_L1)-cb_w3_1*(3/20*cb_L1)^2/2))</f>
        <v/>
      </c>
    </row>
    <row r="7">
      <c r="CG7">
        <f>IF(inputs_ok,IF(cb_on1,cb_X1+4/20*Lcb_1,NA()),NA())</f>
        <v/>
      </c>
      <c r="CH7">
        <f>(-0.2*cb_Ltot)+(0.07*cb_Ltot/MAX(cb_Vmax,0.001))*MAX((cb_V1_1-cb_w1_1*4/20*cb_L1),(cb_V2_1-cb_w2_1*4/20*cb_L1),(cb_V3_1-cb_w3_1*4/20*cb_L1))</f>
        <v/>
      </c>
      <c r="CJ7">
        <f>IF(inputs_ok,IF(cb_on1,cb_X1+4/20*Lcb_1,NA()),NA())</f>
        <v/>
      </c>
      <c r="CK7">
        <f>(-0.2*cb_Ltot)+(0.07*cb_Ltot/MAX(cb_Vmax,0.001))*MIN((cb_V1_1-cb_w1_1*4/20*cb_L1),(cb_V2_1-cb_w2_1*4/20*cb_L1),(cb_V3_1-cb_w3_1*4/20*cb_L1))</f>
        <v/>
      </c>
      <c r="CM7">
        <f>IF(inputs_ok,IF(cb_on1,cb_X1+4/20*Lcb_1,NA()),NA())</f>
        <v/>
      </c>
      <c r="CN7">
        <f>(-0.47*cb_Ltot)-(0.11*cb_Ltot/MAX(cb_Msag,cb_Mhog,0.001))*MAX((cb_M1_0+cb_V1_1*(4/20*cb_L1)-cb_w1_1*(4/20*cb_L1)^2/2),(cb_M2_0+cb_V2_1*(4/20*cb_L1)-cb_w2_1*(4/20*cb_L1)^2/2),(cb_M3_0+cb_V3_1*(4/20*cb_L1)-cb_w3_1*(4/20*cb_L1)^2/2))</f>
        <v/>
      </c>
      <c r="CP7">
        <f>IF(inputs_ok,IF(cb_on1,cb_X1+4/20*Lcb_1,NA()),NA())</f>
        <v/>
      </c>
      <c r="CQ7">
        <f>(-0.47*cb_Ltot)-(0.11*cb_Ltot/MAX(cb_Msag,cb_Mhog,0.001))*MIN((cb_M1_0+cb_V1_1*(4/20*cb_L1)-cb_w1_1*(4/20*cb_L1)^2/2),(cb_M2_0+cb_V2_1*(4/20*cb_L1)-cb_w2_1*(4/20*cb_L1)^2/2),(cb_M3_0+cb_V3_1*(4/20*cb_L1)-cb_w3_1*(4/20*cb_L1)^2/2))</f>
        <v/>
      </c>
    </row>
    <row r="8">
      <c r="CG8">
        <f>IF(inputs_ok,IF(cb_on1,cb_X1+5/20*Lcb_1,NA()),NA())</f>
        <v/>
      </c>
      <c r="CH8">
        <f>(-0.2*cb_Ltot)+(0.07*cb_Ltot/MAX(cb_Vmax,0.001))*MAX((cb_V1_1-cb_w1_1*5/20*cb_L1),(cb_V2_1-cb_w2_1*5/20*cb_L1),(cb_V3_1-cb_w3_1*5/20*cb_L1))</f>
        <v/>
      </c>
      <c r="CJ8">
        <f>IF(inputs_ok,IF(cb_on1,cb_X1+5/20*Lcb_1,NA()),NA())</f>
        <v/>
      </c>
      <c r="CK8">
        <f>(-0.2*cb_Ltot)+(0.07*cb_Ltot/MAX(cb_Vmax,0.001))*MIN((cb_V1_1-cb_w1_1*5/20*cb_L1),(cb_V2_1-cb_w2_1*5/20*cb_L1),(cb_V3_1-cb_w3_1*5/20*cb_L1))</f>
        <v/>
      </c>
      <c r="CM8">
        <f>IF(inputs_ok,IF(cb_on1,cb_X1+5/20*Lcb_1,NA()),NA())</f>
        <v/>
      </c>
      <c r="CN8">
        <f>(-0.47*cb_Ltot)-(0.11*cb_Ltot/MAX(cb_Msag,cb_Mhog,0.001))*MAX((cb_M1_0+cb_V1_1*(5/20*cb_L1)-cb_w1_1*(5/20*cb_L1)^2/2),(cb_M2_0+cb_V2_1*(5/20*cb_L1)-cb_w2_1*(5/20*cb_L1)^2/2),(cb_M3_0+cb_V3_1*(5/20*cb_L1)-cb_w3_1*(5/20*cb_L1)^2/2))</f>
        <v/>
      </c>
      <c r="CP8">
        <f>IF(inputs_ok,IF(cb_on1,cb_X1+5/20*Lcb_1,NA()),NA())</f>
        <v/>
      </c>
      <c r="CQ8">
        <f>(-0.47*cb_Ltot)-(0.11*cb_Ltot/MAX(cb_Msag,cb_Mhog,0.001))*MIN((cb_M1_0+cb_V1_1*(5/20*cb_L1)-cb_w1_1*(5/20*cb_L1)^2/2),(cb_M2_0+cb_V2_1*(5/20*cb_L1)-cb_w2_1*(5/20*cb_L1)^2/2),(cb_M3_0+cb_V3_1*(5/20*cb_L1)-cb_w3_1*(5/20*cb_L1)^2/2))</f>
        <v/>
      </c>
    </row>
    <row r="9">
      <c r="CG9">
        <f>IF(inputs_ok,IF(cb_on1,cb_X1+6/20*Lcb_1,NA()),NA())</f>
        <v/>
      </c>
      <c r="CH9">
        <f>(-0.2*cb_Ltot)+(0.07*cb_Ltot/MAX(cb_Vmax,0.001))*MAX((cb_V1_1-cb_w1_1*6/20*cb_L1),(cb_V2_1-cb_w2_1*6/20*cb_L1),(cb_V3_1-cb_w3_1*6/20*cb_L1))</f>
        <v/>
      </c>
      <c r="CJ9">
        <f>IF(inputs_ok,IF(cb_on1,cb_X1+6/20*Lcb_1,NA()),NA())</f>
        <v/>
      </c>
      <c r="CK9">
        <f>(-0.2*cb_Ltot)+(0.07*cb_Ltot/MAX(cb_Vmax,0.001))*MIN((cb_V1_1-cb_w1_1*6/20*cb_L1),(cb_V2_1-cb_w2_1*6/20*cb_L1),(cb_V3_1-cb_w3_1*6/20*cb_L1))</f>
        <v/>
      </c>
      <c r="CM9">
        <f>IF(inputs_ok,IF(cb_on1,cb_X1+6/20*Lcb_1,NA()),NA())</f>
        <v/>
      </c>
      <c r="CN9">
        <f>(-0.47*cb_Ltot)-(0.11*cb_Ltot/MAX(cb_Msag,cb_Mhog,0.001))*MAX((cb_M1_0+cb_V1_1*(6/20*cb_L1)-cb_w1_1*(6/20*cb_L1)^2/2),(cb_M2_0+cb_V2_1*(6/20*cb_L1)-cb_w2_1*(6/20*cb_L1)^2/2),(cb_M3_0+cb_V3_1*(6/20*cb_L1)-cb_w3_1*(6/20*cb_L1)^2/2))</f>
        <v/>
      </c>
      <c r="CP9">
        <f>IF(inputs_ok,IF(cb_on1,cb_X1+6/20*Lcb_1,NA()),NA())</f>
        <v/>
      </c>
      <c r="CQ9">
        <f>(-0.47*cb_Ltot)-(0.11*cb_Ltot/MAX(cb_Msag,cb_Mhog,0.001))*MIN((cb_M1_0+cb_V1_1*(6/20*cb_L1)-cb_w1_1*(6/20*cb_L1)^2/2),(cb_M2_0+cb_V2_1*(6/20*cb_L1)-cb_w2_1*(6/20*cb_L1)^2/2),(cb_M3_0+cb_V3_1*(6/20*cb_L1)-cb_w3_1*(6/20*cb_L1)^2/2))</f>
        <v/>
      </c>
    </row>
    <row r="10">
      <c r="CG10">
        <f>IF(inputs_ok,IF(cb_on1,cb_X1+7/20*Lcb_1,NA()),NA())</f>
        <v/>
      </c>
      <c r="CH10">
        <f>(-0.2*cb_Ltot)+(0.07*cb_Ltot/MAX(cb_Vmax,0.001))*MAX((cb_V1_1-cb_w1_1*7/20*cb_L1),(cb_V2_1-cb_w2_1*7/20*cb_L1),(cb_V3_1-cb_w3_1*7/20*cb_L1))</f>
        <v/>
      </c>
      <c r="CJ10">
        <f>IF(inputs_ok,IF(cb_on1,cb_X1+7/20*Lcb_1,NA()),NA())</f>
        <v/>
      </c>
      <c r="CK10">
        <f>(-0.2*cb_Ltot)+(0.07*cb_Ltot/MAX(cb_Vmax,0.001))*MIN((cb_V1_1-cb_w1_1*7/20*cb_L1),(cb_V2_1-cb_w2_1*7/20*cb_L1),(cb_V3_1-cb_w3_1*7/20*cb_L1))</f>
        <v/>
      </c>
      <c r="CM10">
        <f>IF(inputs_ok,IF(cb_on1,cb_X1+7/20*Lcb_1,NA()),NA())</f>
        <v/>
      </c>
      <c r="CN10">
        <f>(-0.47*cb_Ltot)-(0.11*cb_Ltot/MAX(cb_Msag,cb_Mhog,0.001))*MAX((cb_M1_0+cb_V1_1*(7/20*cb_L1)-cb_w1_1*(7/20*cb_L1)^2/2),(cb_M2_0+cb_V2_1*(7/20*cb_L1)-cb_w2_1*(7/20*cb_L1)^2/2),(cb_M3_0+cb_V3_1*(7/20*cb_L1)-cb_w3_1*(7/20*cb_L1)^2/2))</f>
        <v/>
      </c>
      <c r="CP10">
        <f>IF(inputs_ok,IF(cb_on1,cb_X1+7/20*Lcb_1,NA()),NA())</f>
        <v/>
      </c>
      <c r="CQ10">
        <f>(-0.47*cb_Ltot)-(0.11*cb_Ltot/MAX(cb_Msag,cb_Mhog,0.001))*MIN((cb_M1_0+cb_V1_1*(7/20*cb_L1)-cb_w1_1*(7/20*cb_L1)^2/2),(cb_M2_0+cb_V2_1*(7/20*cb_L1)-cb_w2_1*(7/20*cb_L1)^2/2),(cb_M3_0+cb_V3_1*(7/20*cb_L1)-cb_w3_1*(7/20*cb_L1)^2/2))</f>
        <v/>
      </c>
    </row>
    <row r="11">
      <c r="CG11">
        <f>IF(inputs_ok,IF(cb_on1,cb_X1+8/20*Lcb_1,NA()),NA())</f>
        <v/>
      </c>
      <c r="CH11">
        <f>(-0.2*cb_Ltot)+(0.07*cb_Ltot/MAX(cb_Vmax,0.001))*MAX((cb_V1_1-cb_w1_1*8/20*cb_L1),(cb_V2_1-cb_w2_1*8/20*cb_L1),(cb_V3_1-cb_w3_1*8/20*cb_L1))</f>
        <v/>
      </c>
      <c r="CJ11">
        <f>IF(inputs_ok,IF(cb_on1,cb_X1+8/20*Lcb_1,NA()),NA())</f>
        <v/>
      </c>
      <c r="CK11">
        <f>(-0.2*cb_Ltot)+(0.07*cb_Ltot/MAX(cb_Vmax,0.001))*MIN((cb_V1_1-cb_w1_1*8/20*cb_L1),(cb_V2_1-cb_w2_1*8/20*cb_L1),(cb_V3_1-cb_w3_1*8/20*cb_L1))</f>
        <v/>
      </c>
      <c r="CM11">
        <f>IF(inputs_ok,IF(cb_on1,cb_X1+8/20*Lcb_1,NA()),NA())</f>
        <v/>
      </c>
      <c r="CN11">
        <f>(-0.47*cb_Ltot)-(0.11*cb_Ltot/MAX(cb_Msag,cb_Mhog,0.001))*MAX((cb_M1_0+cb_V1_1*(8/20*cb_L1)-cb_w1_1*(8/20*cb_L1)^2/2),(cb_M2_0+cb_V2_1*(8/20*cb_L1)-cb_w2_1*(8/20*cb_L1)^2/2),(cb_M3_0+cb_V3_1*(8/20*cb_L1)-cb_w3_1*(8/20*cb_L1)^2/2))</f>
        <v/>
      </c>
      <c r="CP11">
        <f>IF(inputs_ok,IF(cb_on1,cb_X1+8/20*Lcb_1,NA()),NA())</f>
        <v/>
      </c>
      <c r="CQ11">
        <f>(-0.47*cb_Ltot)-(0.11*cb_Ltot/MAX(cb_Msag,cb_Mhog,0.001))*MIN((cb_M1_0+cb_V1_1*(8/20*cb_L1)-cb_w1_1*(8/20*cb_L1)^2/2),(cb_M2_0+cb_V2_1*(8/20*cb_L1)-cb_w2_1*(8/20*cb_L1)^2/2),(cb_M3_0+cb_V3_1*(8/20*cb_L1)-cb_w3_1*(8/20*cb_L1)^2/2))</f>
        <v/>
      </c>
    </row>
    <row r="12">
      <c r="CG12">
        <f>IF(inputs_ok,IF(cb_on1,cb_X1+9/20*Lcb_1,NA()),NA())</f>
        <v/>
      </c>
      <c r="CH12">
        <f>(-0.2*cb_Ltot)+(0.07*cb_Ltot/MAX(cb_Vmax,0.001))*MAX((cb_V1_1-cb_w1_1*9/20*cb_L1),(cb_V2_1-cb_w2_1*9/20*cb_L1),(cb_V3_1-cb_w3_1*9/20*cb_L1))</f>
        <v/>
      </c>
      <c r="CJ12">
        <f>IF(inputs_ok,IF(cb_on1,cb_X1+9/20*Lcb_1,NA()),NA())</f>
        <v/>
      </c>
      <c r="CK12">
        <f>(-0.2*cb_Ltot)+(0.07*cb_Ltot/MAX(cb_Vmax,0.001))*MIN((cb_V1_1-cb_w1_1*9/20*cb_L1),(cb_V2_1-cb_w2_1*9/20*cb_L1),(cb_V3_1-cb_w3_1*9/20*cb_L1))</f>
        <v/>
      </c>
      <c r="CM12">
        <f>IF(inputs_ok,IF(cb_on1,cb_X1+9/20*Lcb_1,NA()),NA())</f>
        <v/>
      </c>
      <c r="CN12">
        <f>(-0.47*cb_Ltot)-(0.11*cb_Ltot/MAX(cb_Msag,cb_Mhog,0.001))*MAX((cb_M1_0+cb_V1_1*(9/20*cb_L1)-cb_w1_1*(9/20*cb_L1)^2/2),(cb_M2_0+cb_V2_1*(9/20*cb_L1)-cb_w2_1*(9/20*cb_L1)^2/2),(cb_M3_0+cb_V3_1*(9/20*cb_L1)-cb_w3_1*(9/20*cb_L1)^2/2))</f>
        <v/>
      </c>
      <c r="CP12">
        <f>IF(inputs_ok,IF(cb_on1,cb_X1+9/20*Lcb_1,NA()),NA())</f>
        <v/>
      </c>
      <c r="CQ12">
        <f>(-0.47*cb_Ltot)-(0.11*cb_Ltot/MAX(cb_Msag,cb_Mhog,0.001))*MIN((cb_M1_0+cb_V1_1*(9/20*cb_L1)-cb_w1_1*(9/20*cb_L1)^2/2),(cb_M2_0+cb_V2_1*(9/20*cb_L1)-cb_w2_1*(9/20*cb_L1)^2/2),(cb_M3_0+cb_V3_1*(9/20*cb_L1)-cb_w3_1*(9/20*cb_L1)^2/2))</f>
        <v/>
      </c>
    </row>
    <row r="13">
      <c r="CG13">
        <f>IF(inputs_ok,IF(cb_on1,cb_X1+10/20*Lcb_1,NA()),NA())</f>
        <v/>
      </c>
      <c r="CH13">
        <f>(-0.2*cb_Ltot)+(0.07*cb_Ltot/MAX(cb_Vmax,0.001))*MAX((cb_V1_1-cb_w1_1*10/20*cb_L1),(cb_V2_1-cb_w2_1*10/20*cb_L1),(cb_V3_1-cb_w3_1*10/20*cb_L1))</f>
        <v/>
      </c>
      <c r="CJ13">
        <f>IF(inputs_ok,IF(cb_on1,cb_X1+10/20*Lcb_1,NA()),NA())</f>
        <v/>
      </c>
      <c r="CK13">
        <f>(-0.2*cb_Ltot)+(0.07*cb_Ltot/MAX(cb_Vmax,0.001))*MIN((cb_V1_1-cb_w1_1*10/20*cb_L1),(cb_V2_1-cb_w2_1*10/20*cb_L1),(cb_V3_1-cb_w3_1*10/20*cb_L1))</f>
        <v/>
      </c>
      <c r="CM13">
        <f>IF(inputs_ok,IF(cb_on1,cb_X1+10/20*Lcb_1,NA()),NA())</f>
        <v/>
      </c>
      <c r="CN13">
        <f>(-0.47*cb_Ltot)-(0.11*cb_Ltot/MAX(cb_Msag,cb_Mhog,0.001))*MAX((cb_M1_0+cb_V1_1*(10/20*cb_L1)-cb_w1_1*(10/20*cb_L1)^2/2),(cb_M2_0+cb_V2_1*(10/20*cb_L1)-cb_w2_1*(10/20*cb_L1)^2/2),(cb_M3_0+cb_V3_1*(10/20*cb_L1)-cb_w3_1*(10/20*cb_L1)^2/2))</f>
        <v/>
      </c>
      <c r="CP13">
        <f>IF(inputs_ok,IF(cb_on1,cb_X1+10/20*Lcb_1,NA()),NA())</f>
        <v/>
      </c>
      <c r="CQ13">
        <f>(-0.47*cb_Ltot)-(0.11*cb_Ltot/MAX(cb_Msag,cb_Mhog,0.001))*MIN((cb_M1_0+cb_V1_1*(10/20*cb_L1)-cb_w1_1*(10/20*cb_L1)^2/2),(cb_M2_0+cb_V2_1*(10/20*cb_L1)-cb_w2_1*(10/20*cb_L1)^2/2),(cb_M3_0+cb_V3_1*(10/20*cb_L1)-cb_w3_1*(10/20*cb_L1)^2/2))</f>
        <v/>
      </c>
    </row>
    <row r="14">
      <c r="CG14">
        <f>IF(inputs_ok,IF(cb_on1,cb_X1+11/20*Lcb_1,NA()),NA())</f>
        <v/>
      </c>
      <c r="CH14">
        <f>(-0.2*cb_Ltot)+(0.07*cb_Ltot/MAX(cb_Vmax,0.001))*MAX((cb_V1_1-cb_w1_1*11/20*cb_L1),(cb_V2_1-cb_w2_1*11/20*cb_L1),(cb_V3_1-cb_w3_1*11/20*cb_L1))</f>
        <v/>
      </c>
      <c r="CJ14">
        <f>IF(inputs_ok,IF(cb_on1,cb_X1+11/20*Lcb_1,NA()),NA())</f>
        <v/>
      </c>
      <c r="CK14">
        <f>(-0.2*cb_Ltot)+(0.07*cb_Ltot/MAX(cb_Vmax,0.001))*MIN((cb_V1_1-cb_w1_1*11/20*cb_L1),(cb_V2_1-cb_w2_1*11/20*cb_L1),(cb_V3_1-cb_w3_1*11/20*cb_L1))</f>
        <v/>
      </c>
      <c r="CM14">
        <f>IF(inputs_ok,IF(cb_on1,cb_X1+11/20*Lcb_1,NA()),NA())</f>
        <v/>
      </c>
      <c r="CN14">
        <f>(-0.47*cb_Ltot)-(0.11*cb_Ltot/MAX(cb_Msag,cb_Mhog,0.001))*MAX((cb_M1_0+cb_V1_1*(11/20*cb_L1)-cb_w1_1*(11/20*cb_L1)^2/2),(cb_M2_0+cb_V2_1*(11/20*cb_L1)-cb_w2_1*(11/20*cb_L1)^2/2),(cb_M3_0+cb_V3_1*(11/20*cb_L1)-cb_w3_1*(11/20*cb_L1)^2/2))</f>
        <v/>
      </c>
      <c r="CP14">
        <f>IF(inputs_ok,IF(cb_on1,cb_X1+11/20*Lcb_1,NA()),NA())</f>
        <v/>
      </c>
      <c r="CQ14">
        <f>(-0.47*cb_Ltot)-(0.11*cb_Ltot/MAX(cb_Msag,cb_Mhog,0.001))*MIN((cb_M1_0+cb_V1_1*(11/20*cb_L1)-cb_w1_1*(11/20*cb_L1)^2/2),(cb_M2_0+cb_V2_1*(11/20*cb_L1)-cb_w2_1*(11/20*cb_L1)^2/2),(cb_M3_0+cb_V3_1*(11/20*cb_L1)-cb_w3_1*(11/20*cb_L1)^2/2))</f>
        <v/>
      </c>
    </row>
    <row r="15">
      <c r="CG15">
        <f>IF(inputs_ok,IF(cb_on1,cb_X1+12/20*Lcb_1,NA()),NA())</f>
        <v/>
      </c>
      <c r="CH15">
        <f>(-0.2*cb_Ltot)+(0.07*cb_Ltot/MAX(cb_Vmax,0.001))*MAX((cb_V1_1-cb_w1_1*12/20*cb_L1),(cb_V2_1-cb_w2_1*12/20*cb_L1),(cb_V3_1-cb_w3_1*12/20*cb_L1))</f>
        <v/>
      </c>
      <c r="CJ15">
        <f>IF(inputs_ok,IF(cb_on1,cb_X1+12/20*Lcb_1,NA()),NA())</f>
        <v/>
      </c>
      <c r="CK15">
        <f>(-0.2*cb_Ltot)+(0.07*cb_Ltot/MAX(cb_Vmax,0.001))*MIN((cb_V1_1-cb_w1_1*12/20*cb_L1),(cb_V2_1-cb_w2_1*12/20*cb_L1),(cb_V3_1-cb_w3_1*12/20*cb_L1))</f>
        <v/>
      </c>
      <c r="CM15">
        <f>IF(inputs_ok,IF(cb_on1,cb_X1+12/20*Lcb_1,NA()),NA())</f>
        <v/>
      </c>
      <c r="CN15">
        <f>(-0.47*cb_Ltot)-(0.11*cb_Ltot/MAX(cb_Msag,cb_Mhog,0.001))*MAX((cb_M1_0+cb_V1_1*(12/20*cb_L1)-cb_w1_1*(12/20*cb_L1)^2/2),(cb_M2_0+cb_V2_1*(12/20*cb_L1)-cb_w2_1*(12/20*cb_L1)^2/2),(cb_M3_0+cb_V3_1*(12/20*cb_L1)-cb_w3_1*(12/20*cb_L1)^2/2))</f>
        <v/>
      </c>
      <c r="CP15">
        <f>IF(inputs_ok,IF(cb_on1,cb_X1+12/20*Lcb_1,NA()),NA())</f>
        <v/>
      </c>
      <c r="CQ15">
        <f>(-0.47*cb_Ltot)-(0.11*cb_Ltot/MAX(cb_Msag,cb_Mhog,0.001))*MIN((cb_M1_0+cb_V1_1*(12/20*cb_L1)-cb_w1_1*(12/20*cb_L1)^2/2),(cb_M2_0+cb_V2_1*(12/20*cb_L1)-cb_w2_1*(12/20*cb_L1)^2/2),(cb_M3_0+cb_V3_1*(12/20*cb_L1)-cb_w3_1*(12/20*cb_L1)^2/2))</f>
        <v/>
      </c>
    </row>
    <row r="16">
      <c r="CG16">
        <f>IF(inputs_ok,IF(cb_on1,cb_X1+13/20*Lcb_1,NA()),NA())</f>
        <v/>
      </c>
      <c r="CH16">
        <f>(-0.2*cb_Ltot)+(0.07*cb_Ltot/MAX(cb_Vmax,0.001))*MAX((cb_V1_1-cb_w1_1*13/20*cb_L1),(cb_V2_1-cb_w2_1*13/20*cb_L1),(cb_V3_1-cb_w3_1*13/20*cb_L1))</f>
        <v/>
      </c>
      <c r="CJ16">
        <f>IF(inputs_ok,IF(cb_on1,cb_X1+13/20*Lcb_1,NA()),NA())</f>
        <v/>
      </c>
      <c r="CK16">
        <f>(-0.2*cb_Ltot)+(0.07*cb_Ltot/MAX(cb_Vmax,0.001))*MIN((cb_V1_1-cb_w1_1*13/20*cb_L1),(cb_V2_1-cb_w2_1*13/20*cb_L1),(cb_V3_1-cb_w3_1*13/20*cb_L1))</f>
        <v/>
      </c>
      <c r="CM16">
        <f>IF(inputs_ok,IF(cb_on1,cb_X1+13/20*Lcb_1,NA()),NA())</f>
        <v/>
      </c>
      <c r="CN16">
        <f>(-0.47*cb_Ltot)-(0.11*cb_Ltot/MAX(cb_Msag,cb_Mhog,0.001))*MAX((cb_M1_0+cb_V1_1*(13/20*cb_L1)-cb_w1_1*(13/20*cb_L1)^2/2),(cb_M2_0+cb_V2_1*(13/20*cb_L1)-cb_w2_1*(13/20*cb_L1)^2/2),(cb_M3_0+cb_V3_1*(13/20*cb_L1)-cb_w3_1*(13/20*cb_L1)^2/2))</f>
        <v/>
      </c>
      <c r="CP16">
        <f>IF(inputs_ok,IF(cb_on1,cb_X1+13/20*Lcb_1,NA()),NA())</f>
        <v/>
      </c>
      <c r="CQ16">
        <f>(-0.47*cb_Ltot)-(0.11*cb_Ltot/MAX(cb_Msag,cb_Mhog,0.001))*MIN((cb_M1_0+cb_V1_1*(13/20*cb_L1)-cb_w1_1*(13/20*cb_L1)^2/2),(cb_M2_0+cb_V2_1*(13/20*cb_L1)-cb_w2_1*(13/20*cb_L1)^2/2),(cb_M3_0+cb_V3_1*(13/20*cb_L1)-cb_w3_1*(13/20*cb_L1)^2/2))</f>
        <v/>
      </c>
    </row>
    <row r="17">
      <c r="CG17">
        <f>IF(inputs_ok,IF(cb_on1,cb_X1+14/20*Lcb_1,NA()),NA())</f>
        <v/>
      </c>
      <c r="CH17">
        <f>(-0.2*cb_Ltot)+(0.07*cb_Ltot/MAX(cb_Vmax,0.001))*MAX((cb_V1_1-cb_w1_1*14/20*cb_L1),(cb_V2_1-cb_w2_1*14/20*cb_L1),(cb_V3_1-cb_w3_1*14/20*cb_L1))</f>
        <v/>
      </c>
      <c r="CJ17">
        <f>IF(inputs_ok,IF(cb_on1,cb_X1+14/20*Lcb_1,NA()),NA())</f>
        <v/>
      </c>
      <c r="CK17">
        <f>(-0.2*cb_Ltot)+(0.07*cb_Ltot/MAX(cb_Vmax,0.001))*MIN((cb_V1_1-cb_w1_1*14/20*cb_L1),(cb_V2_1-cb_w2_1*14/20*cb_L1),(cb_V3_1-cb_w3_1*14/20*cb_L1))</f>
        <v/>
      </c>
      <c r="CM17">
        <f>IF(inputs_ok,IF(cb_on1,cb_X1+14/20*Lcb_1,NA()),NA())</f>
        <v/>
      </c>
      <c r="CN17">
        <f>(-0.47*cb_Ltot)-(0.11*cb_Ltot/MAX(cb_Msag,cb_Mhog,0.001))*MAX((cb_M1_0+cb_V1_1*(14/20*cb_L1)-cb_w1_1*(14/20*cb_L1)^2/2),(cb_M2_0+cb_V2_1*(14/20*cb_L1)-cb_w2_1*(14/20*cb_L1)^2/2),(cb_M3_0+cb_V3_1*(14/20*cb_L1)-cb_w3_1*(14/20*cb_L1)^2/2))</f>
        <v/>
      </c>
      <c r="CP17">
        <f>IF(inputs_ok,IF(cb_on1,cb_X1+14/20*Lcb_1,NA()),NA())</f>
        <v/>
      </c>
      <c r="CQ17">
        <f>(-0.47*cb_Ltot)-(0.11*cb_Ltot/MAX(cb_Msag,cb_Mhog,0.001))*MIN((cb_M1_0+cb_V1_1*(14/20*cb_L1)-cb_w1_1*(14/20*cb_L1)^2/2),(cb_M2_0+cb_V2_1*(14/20*cb_L1)-cb_w2_1*(14/20*cb_L1)^2/2),(cb_M3_0+cb_V3_1*(14/20*cb_L1)-cb_w3_1*(14/20*cb_L1)^2/2))</f>
        <v/>
      </c>
    </row>
    <row r="18">
      <c r="CG18">
        <f>IF(inputs_ok,IF(cb_on1,cb_X1+15/20*Lcb_1,NA()),NA())</f>
        <v/>
      </c>
      <c r="CH18">
        <f>(-0.2*cb_Ltot)+(0.07*cb_Ltot/MAX(cb_Vmax,0.001))*MAX((cb_V1_1-cb_w1_1*15/20*cb_L1),(cb_V2_1-cb_w2_1*15/20*cb_L1),(cb_V3_1-cb_w3_1*15/20*cb_L1))</f>
        <v/>
      </c>
      <c r="CJ18">
        <f>IF(inputs_ok,IF(cb_on1,cb_X1+15/20*Lcb_1,NA()),NA())</f>
        <v/>
      </c>
      <c r="CK18">
        <f>(-0.2*cb_Ltot)+(0.07*cb_Ltot/MAX(cb_Vmax,0.001))*MIN((cb_V1_1-cb_w1_1*15/20*cb_L1),(cb_V2_1-cb_w2_1*15/20*cb_L1),(cb_V3_1-cb_w3_1*15/20*cb_L1))</f>
        <v/>
      </c>
      <c r="CM18">
        <f>IF(inputs_ok,IF(cb_on1,cb_X1+15/20*Lcb_1,NA()),NA())</f>
        <v/>
      </c>
      <c r="CN18">
        <f>(-0.47*cb_Ltot)-(0.11*cb_Ltot/MAX(cb_Msag,cb_Mhog,0.001))*MAX((cb_M1_0+cb_V1_1*(15/20*cb_L1)-cb_w1_1*(15/20*cb_L1)^2/2),(cb_M2_0+cb_V2_1*(15/20*cb_L1)-cb_w2_1*(15/20*cb_L1)^2/2),(cb_M3_0+cb_V3_1*(15/20*cb_L1)-cb_w3_1*(15/20*cb_L1)^2/2))</f>
        <v/>
      </c>
      <c r="CP18">
        <f>IF(inputs_ok,IF(cb_on1,cb_X1+15/20*Lcb_1,NA()),NA())</f>
        <v/>
      </c>
      <c r="CQ18">
        <f>(-0.47*cb_Ltot)-(0.11*cb_Ltot/MAX(cb_Msag,cb_Mhog,0.001))*MIN((cb_M1_0+cb_V1_1*(15/20*cb_L1)-cb_w1_1*(15/20*cb_L1)^2/2),(cb_M2_0+cb_V2_1*(15/20*cb_L1)-cb_w2_1*(15/20*cb_L1)^2/2),(cb_M3_0+cb_V3_1*(15/20*cb_L1)-cb_w3_1*(15/20*cb_L1)^2/2))</f>
        <v/>
      </c>
    </row>
    <row r="19">
      <c r="CG19">
        <f>IF(inputs_ok,IF(cb_on1,cb_X1+16/20*Lcb_1,NA()),NA())</f>
        <v/>
      </c>
      <c r="CH19">
        <f>(-0.2*cb_Ltot)+(0.07*cb_Ltot/MAX(cb_Vmax,0.001))*MAX((cb_V1_1-cb_w1_1*16/20*cb_L1),(cb_V2_1-cb_w2_1*16/20*cb_L1),(cb_V3_1-cb_w3_1*16/20*cb_L1))</f>
        <v/>
      </c>
      <c r="CJ19">
        <f>IF(inputs_ok,IF(cb_on1,cb_X1+16/20*Lcb_1,NA()),NA())</f>
        <v/>
      </c>
      <c r="CK19">
        <f>(-0.2*cb_Ltot)+(0.07*cb_Ltot/MAX(cb_Vmax,0.001))*MIN((cb_V1_1-cb_w1_1*16/20*cb_L1),(cb_V2_1-cb_w2_1*16/20*cb_L1),(cb_V3_1-cb_w3_1*16/20*cb_L1))</f>
        <v/>
      </c>
      <c r="CM19">
        <f>IF(inputs_ok,IF(cb_on1,cb_X1+16/20*Lcb_1,NA()),NA())</f>
        <v/>
      </c>
      <c r="CN19">
        <f>(-0.47*cb_Ltot)-(0.11*cb_Ltot/MAX(cb_Msag,cb_Mhog,0.001))*MAX((cb_M1_0+cb_V1_1*(16/20*cb_L1)-cb_w1_1*(16/20*cb_L1)^2/2),(cb_M2_0+cb_V2_1*(16/20*cb_L1)-cb_w2_1*(16/20*cb_L1)^2/2),(cb_M3_0+cb_V3_1*(16/20*cb_L1)-cb_w3_1*(16/20*cb_L1)^2/2))</f>
        <v/>
      </c>
      <c r="CP19">
        <f>IF(inputs_ok,IF(cb_on1,cb_X1+16/20*Lcb_1,NA()),NA())</f>
        <v/>
      </c>
      <c r="CQ19">
        <f>(-0.47*cb_Ltot)-(0.11*cb_Ltot/MAX(cb_Msag,cb_Mhog,0.001))*MIN((cb_M1_0+cb_V1_1*(16/20*cb_L1)-cb_w1_1*(16/20*cb_L1)^2/2),(cb_M2_0+cb_V2_1*(16/20*cb_L1)-cb_w2_1*(16/20*cb_L1)^2/2),(cb_M3_0+cb_V3_1*(16/20*cb_L1)-cb_w3_1*(16/20*cb_L1)^2/2))</f>
        <v/>
      </c>
    </row>
    <row r="20">
      <c r="CG20">
        <f>IF(inputs_ok,IF(cb_on1,cb_X1+17/20*Lcb_1,NA()),NA())</f>
        <v/>
      </c>
      <c r="CH20">
        <f>(-0.2*cb_Ltot)+(0.07*cb_Ltot/MAX(cb_Vmax,0.001))*MAX((cb_V1_1-cb_w1_1*17/20*cb_L1),(cb_V2_1-cb_w2_1*17/20*cb_L1),(cb_V3_1-cb_w3_1*17/20*cb_L1))</f>
        <v/>
      </c>
      <c r="CJ20">
        <f>IF(inputs_ok,IF(cb_on1,cb_X1+17/20*Lcb_1,NA()),NA())</f>
        <v/>
      </c>
      <c r="CK20">
        <f>(-0.2*cb_Ltot)+(0.07*cb_Ltot/MAX(cb_Vmax,0.001))*MIN((cb_V1_1-cb_w1_1*17/20*cb_L1),(cb_V2_1-cb_w2_1*17/20*cb_L1),(cb_V3_1-cb_w3_1*17/20*cb_L1))</f>
        <v/>
      </c>
      <c r="CM20">
        <f>IF(inputs_ok,IF(cb_on1,cb_X1+17/20*Lcb_1,NA()),NA())</f>
        <v/>
      </c>
      <c r="CN20">
        <f>(-0.47*cb_Ltot)-(0.11*cb_Ltot/MAX(cb_Msag,cb_Mhog,0.001))*MAX((cb_M1_0+cb_V1_1*(17/20*cb_L1)-cb_w1_1*(17/20*cb_L1)^2/2),(cb_M2_0+cb_V2_1*(17/20*cb_L1)-cb_w2_1*(17/20*cb_L1)^2/2),(cb_M3_0+cb_V3_1*(17/20*cb_L1)-cb_w3_1*(17/20*cb_L1)^2/2))</f>
        <v/>
      </c>
      <c r="CP20">
        <f>IF(inputs_ok,IF(cb_on1,cb_X1+17/20*Lcb_1,NA()),NA())</f>
        <v/>
      </c>
      <c r="CQ20">
        <f>(-0.47*cb_Ltot)-(0.11*cb_Ltot/MAX(cb_Msag,cb_Mhog,0.001))*MIN((cb_M1_0+cb_V1_1*(17/20*cb_L1)-cb_w1_1*(17/20*cb_L1)^2/2),(cb_M2_0+cb_V2_1*(17/20*cb_L1)-cb_w2_1*(17/20*cb_L1)^2/2),(cb_M3_0+cb_V3_1*(17/20*cb_L1)-cb_w3_1*(17/20*cb_L1)^2/2))</f>
        <v/>
      </c>
    </row>
    <row r="21">
      <c r="CG21">
        <f>IF(inputs_ok,IF(cb_on1,cb_X1+18/20*Lcb_1,NA()),NA())</f>
        <v/>
      </c>
      <c r="CH21">
        <f>(-0.2*cb_Ltot)+(0.07*cb_Ltot/MAX(cb_Vmax,0.001))*MAX((cb_V1_1-cb_w1_1*18/20*cb_L1),(cb_V2_1-cb_w2_1*18/20*cb_L1),(cb_V3_1-cb_w3_1*18/20*cb_L1))</f>
        <v/>
      </c>
      <c r="CJ21">
        <f>IF(inputs_ok,IF(cb_on1,cb_X1+18/20*Lcb_1,NA()),NA())</f>
        <v/>
      </c>
      <c r="CK21">
        <f>(-0.2*cb_Ltot)+(0.07*cb_Ltot/MAX(cb_Vmax,0.001))*MIN((cb_V1_1-cb_w1_1*18/20*cb_L1),(cb_V2_1-cb_w2_1*18/20*cb_L1),(cb_V3_1-cb_w3_1*18/20*cb_L1))</f>
        <v/>
      </c>
      <c r="CM21">
        <f>IF(inputs_ok,IF(cb_on1,cb_X1+18/20*Lcb_1,NA()),NA())</f>
        <v/>
      </c>
      <c r="CN21">
        <f>(-0.47*cb_Ltot)-(0.11*cb_Ltot/MAX(cb_Msag,cb_Mhog,0.001))*MAX((cb_M1_0+cb_V1_1*(18/20*cb_L1)-cb_w1_1*(18/20*cb_L1)^2/2),(cb_M2_0+cb_V2_1*(18/20*cb_L1)-cb_w2_1*(18/20*cb_L1)^2/2),(cb_M3_0+cb_V3_1*(18/20*cb_L1)-cb_w3_1*(18/20*cb_L1)^2/2))</f>
        <v/>
      </c>
      <c r="CP21">
        <f>IF(inputs_ok,IF(cb_on1,cb_X1+18/20*Lcb_1,NA()),NA())</f>
        <v/>
      </c>
      <c r="CQ21">
        <f>(-0.47*cb_Ltot)-(0.11*cb_Ltot/MAX(cb_Msag,cb_Mhog,0.001))*MIN((cb_M1_0+cb_V1_1*(18/20*cb_L1)-cb_w1_1*(18/20*cb_L1)^2/2),(cb_M2_0+cb_V2_1*(18/20*cb_L1)-cb_w2_1*(18/20*cb_L1)^2/2),(cb_M3_0+cb_V3_1*(18/20*cb_L1)-cb_w3_1*(18/20*cb_L1)^2/2))</f>
        <v/>
      </c>
    </row>
    <row r="22">
      <c r="CG22">
        <f>IF(inputs_ok,IF(cb_on1,cb_X1+19/20*Lcb_1,NA()),NA())</f>
        <v/>
      </c>
      <c r="CH22">
        <f>(-0.2*cb_Ltot)+(0.07*cb_Ltot/MAX(cb_Vmax,0.001))*MAX((cb_V1_1-cb_w1_1*19/20*cb_L1),(cb_V2_1-cb_w2_1*19/20*cb_L1),(cb_V3_1-cb_w3_1*19/20*cb_L1))</f>
        <v/>
      </c>
      <c r="CJ22">
        <f>IF(inputs_ok,IF(cb_on1,cb_X1+19/20*Lcb_1,NA()),NA())</f>
        <v/>
      </c>
      <c r="CK22">
        <f>(-0.2*cb_Ltot)+(0.07*cb_Ltot/MAX(cb_Vmax,0.001))*MIN((cb_V1_1-cb_w1_1*19/20*cb_L1),(cb_V2_1-cb_w2_1*19/20*cb_L1),(cb_V3_1-cb_w3_1*19/20*cb_L1))</f>
        <v/>
      </c>
      <c r="CM22">
        <f>IF(inputs_ok,IF(cb_on1,cb_X1+19/20*Lcb_1,NA()),NA())</f>
        <v/>
      </c>
      <c r="CN22">
        <f>(-0.47*cb_Ltot)-(0.11*cb_Ltot/MAX(cb_Msag,cb_Mhog,0.001))*MAX((cb_M1_0+cb_V1_1*(19/20*cb_L1)-cb_w1_1*(19/20*cb_L1)^2/2),(cb_M2_0+cb_V2_1*(19/20*cb_L1)-cb_w2_1*(19/20*cb_L1)^2/2),(cb_M3_0+cb_V3_1*(19/20*cb_L1)-cb_w3_1*(19/20*cb_L1)^2/2))</f>
        <v/>
      </c>
      <c r="CP22">
        <f>IF(inputs_ok,IF(cb_on1,cb_X1+19/20*Lcb_1,NA()),NA())</f>
        <v/>
      </c>
      <c r="CQ22">
        <f>(-0.47*cb_Ltot)-(0.11*cb_Ltot/MAX(cb_Msag,cb_Mhog,0.001))*MIN((cb_M1_0+cb_V1_1*(19/20*cb_L1)-cb_w1_1*(19/20*cb_L1)^2/2),(cb_M2_0+cb_V2_1*(19/20*cb_L1)-cb_w2_1*(19/20*cb_L1)^2/2),(cb_M3_0+cb_V3_1*(19/20*cb_L1)-cb_w3_1*(19/20*cb_L1)^2/2))</f>
        <v/>
      </c>
    </row>
    <row r="23">
      <c r="CG23">
        <f>IF(inputs_ok,IF(cb_on1,cb_X1+20/20*Lcb_1,NA()),NA())</f>
        <v/>
      </c>
      <c r="CH23">
        <f>(-0.2*cb_Ltot)+(0.07*cb_Ltot/MAX(cb_Vmax,0.001))*MAX((cb_V1_1-cb_w1_1*20/20*cb_L1),(cb_V2_1-cb_w2_1*20/20*cb_L1),(cb_V3_1-cb_w3_1*20/20*cb_L1))</f>
        <v/>
      </c>
      <c r="CJ23">
        <f>IF(inputs_ok,IF(cb_on1,cb_X1+20/20*Lcb_1,NA()),NA())</f>
        <v/>
      </c>
      <c r="CK23">
        <f>(-0.2*cb_Ltot)+(0.07*cb_Ltot/MAX(cb_Vmax,0.001))*MIN((cb_V1_1-cb_w1_1*20/20*cb_L1),(cb_V2_1-cb_w2_1*20/20*cb_L1),(cb_V3_1-cb_w3_1*20/20*cb_L1))</f>
        <v/>
      </c>
      <c r="CM23">
        <f>IF(inputs_ok,IF(cb_on1,cb_X1+20/20*Lcb_1,NA()),NA())</f>
        <v/>
      </c>
      <c r="CN23">
        <f>(-0.47*cb_Ltot)-(0.11*cb_Ltot/MAX(cb_Msag,cb_Mhog,0.001))*MAX((cb_M1_0+cb_V1_1*(20/20*cb_L1)-cb_w1_1*(20/20*cb_L1)^2/2),(cb_M2_0+cb_V2_1*(20/20*cb_L1)-cb_w2_1*(20/20*cb_L1)^2/2),(cb_M3_0+cb_V3_1*(20/20*cb_L1)-cb_w3_1*(20/20*cb_L1)^2/2))</f>
        <v/>
      </c>
      <c r="CP23">
        <f>IF(inputs_ok,IF(cb_on1,cb_X1+20/20*Lcb_1,NA()),NA())</f>
        <v/>
      </c>
      <c r="CQ23">
        <f>(-0.47*cb_Ltot)-(0.11*cb_Ltot/MAX(cb_Msag,cb_Mhog,0.001))*MIN((cb_M1_0+cb_V1_1*(20/20*cb_L1)-cb_w1_1*(20/20*cb_L1)^2/2),(cb_M2_0+cb_V2_1*(20/20*cb_L1)-cb_w2_1*(20/20*cb_L1)^2/2),(cb_M3_0+cb_V3_1*(20/20*cb_L1)-cb_w3_1*(20/20*cb_L1)^2/2))</f>
        <v/>
      </c>
    </row>
    <row r="24">
      <c r="CG24">
        <f>IF(inputs_ok,IF(cb_on2,cb_X2+0/20*Lcb_2,NA()),NA())</f>
        <v/>
      </c>
      <c r="CH24">
        <f>(-0.2*cb_Ltot)+(0.07*cb_Ltot/MAX(cb_Vmax,0.001))*MAX((cb_V1_2-cb_w1_2*0/20*cb_L2),(cb_V2_2-cb_w2_2*0/20*cb_L2),(cb_V3_2-cb_w3_2*0/20*cb_L2))</f>
        <v/>
      </c>
      <c r="CJ24">
        <f>IF(inputs_ok,IF(cb_on2,cb_X2+0/20*Lcb_2,NA()),NA())</f>
        <v/>
      </c>
      <c r="CK24">
        <f>(-0.2*cb_Ltot)+(0.07*cb_Ltot/MAX(cb_Vmax,0.001))*MIN((cb_V1_2-cb_w1_2*0/20*cb_L2),(cb_V2_2-cb_w2_2*0/20*cb_L2),(cb_V3_2-cb_w3_2*0/20*cb_L2))</f>
        <v/>
      </c>
      <c r="CM24">
        <f>IF(inputs_ok,IF(cb_on2,cb_X2+0/20*Lcb_2,NA()),NA())</f>
        <v/>
      </c>
      <c r="CN24">
        <f>(-0.47*cb_Ltot)-(0.11*cb_Ltot/MAX(cb_Msag,cb_Mhog,0.001))*MAX((cb_M1_1+cb_V1_2*(0/20*cb_L2)-cb_w1_2*(0/20*cb_L2)^2/2),(cb_M2_1+cb_V2_2*(0/20*cb_L2)-cb_w2_2*(0/20*cb_L2)^2/2),(cb_M3_1+cb_V3_2*(0/20*cb_L2)-cb_w3_2*(0/20*cb_L2)^2/2))</f>
        <v/>
      </c>
      <c r="CP24">
        <f>IF(inputs_ok,IF(cb_on2,cb_X2+0/20*Lcb_2,NA()),NA())</f>
        <v/>
      </c>
      <c r="CQ24">
        <f>(-0.47*cb_Ltot)-(0.11*cb_Ltot/MAX(cb_Msag,cb_Mhog,0.001))*MIN((cb_M1_1+cb_V1_2*(0/20*cb_L2)-cb_w1_2*(0/20*cb_L2)^2/2),(cb_M2_1+cb_V2_2*(0/20*cb_L2)-cb_w2_2*(0/20*cb_L2)^2/2),(cb_M3_1+cb_V3_2*(0/20*cb_L2)-cb_w3_2*(0/20*cb_L2)^2/2))</f>
        <v/>
      </c>
    </row>
    <row r="25">
      <c r="CG25">
        <f>IF(inputs_ok,IF(cb_on2,cb_X2+1/20*Lcb_2,NA()),NA())</f>
        <v/>
      </c>
      <c r="CH25">
        <f>(-0.2*cb_Ltot)+(0.07*cb_Ltot/MAX(cb_Vmax,0.001))*MAX((cb_V1_2-cb_w1_2*1/20*cb_L2),(cb_V2_2-cb_w2_2*1/20*cb_L2),(cb_V3_2-cb_w3_2*1/20*cb_L2))</f>
        <v/>
      </c>
      <c r="CJ25">
        <f>IF(inputs_ok,IF(cb_on2,cb_X2+1/20*Lcb_2,NA()),NA())</f>
        <v/>
      </c>
      <c r="CK25">
        <f>(-0.2*cb_Ltot)+(0.07*cb_Ltot/MAX(cb_Vmax,0.001))*MIN((cb_V1_2-cb_w1_2*1/20*cb_L2),(cb_V2_2-cb_w2_2*1/20*cb_L2),(cb_V3_2-cb_w3_2*1/20*cb_L2))</f>
        <v/>
      </c>
      <c r="CM25">
        <f>IF(inputs_ok,IF(cb_on2,cb_X2+1/20*Lcb_2,NA()),NA())</f>
        <v/>
      </c>
      <c r="CN25">
        <f>(-0.47*cb_Ltot)-(0.11*cb_Ltot/MAX(cb_Msag,cb_Mhog,0.001))*MAX((cb_M1_1+cb_V1_2*(1/20*cb_L2)-cb_w1_2*(1/20*cb_L2)^2/2),(cb_M2_1+cb_V2_2*(1/20*cb_L2)-cb_w2_2*(1/20*cb_L2)^2/2),(cb_M3_1+cb_V3_2*(1/20*cb_L2)-cb_w3_2*(1/20*cb_L2)^2/2))</f>
        <v/>
      </c>
      <c r="CP25">
        <f>IF(inputs_ok,IF(cb_on2,cb_X2+1/20*Lcb_2,NA()),NA())</f>
        <v/>
      </c>
      <c r="CQ25">
        <f>(-0.47*cb_Ltot)-(0.11*cb_Ltot/MAX(cb_Msag,cb_Mhog,0.001))*MIN((cb_M1_1+cb_V1_2*(1/20*cb_L2)-cb_w1_2*(1/20*cb_L2)^2/2),(cb_M2_1+cb_V2_2*(1/20*cb_L2)-cb_w2_2*(1/20*cb_L2)^2/2),(cb_M3_1+cb_V3_2*(1/20*cb_L2)-cb_w3_2*(1/20*cb_L2)^2/2))</f>
        <v/>
      </c>
    </row>
    <row r="26">
      <c r="CG26">
        <f>IF(inputs_ok,IF(cb_on2,cb_X2+2/20*Lcb_2,NA()),NA())</f>
        <v/>
      </c>
      <c r="CH26">
        <f>(-0.2*cb_Ltot)+(0.07*cb_Ltot/MAX(cb_Vmax,0.001))*MAX((cb_V1_2-cb_w1_2*2/20*cb_L2),(cb_V2_2-cb_w2_2*2/20*cb_L2),(cb_V3_2-cb_w3_2*2/20*cb_L2))</f>
        <v/>
      </c>
      <c r="CJ26">
        <f>IF(inputs_ok,IF(cb_on2,cb_X2+2/20*Lcb_2,NA()),NA())</f>
        <v/>
      </c>
      <c r="CK26">
        <f>(-0.2*cb_Ltot)+(0.07*cb_Ltot/MAX(cb_Vmax,0.001))*MIN((cb_V1_2-cb_w1_2*2/20*cb_L2),(cb_V2_2-cb_w2_2*2/20*cb_L2),(cb_V3_2-cb_w3_2*2/20*cb_L2))</f>
        <v/>
      </c>
      <c r="CM26">
        <f>IF(inputs_ok,IF(cb_on2,cb_X2+2/20*Lcb_2,NA()),NA())</f>
        <v/>
      </c>
      <c r="CN26">
        <f>(-0.47*cb_Ltot)-(0.11*cb_Ltot/MAX(cb_Msag,cb_Mhog,0.001))*MAX((cb_M1_1+cb_V1_2*(2/20*cb_L2)-cb_w1_2*(2/20*cb_L2)^2/2),(cb_M2_1+cb_V2_2*(2/20*cb_L2)-cb_w2_2*(2/20*cb_L2)^2/2),(cb_M3_1+cb_V3_2*(2/20*cb_L2)-cb_w3_2*(2/20*cb_L2)^2/2))</f>
        <v/>
      </c>
      <c r="CP26">
        <f>IF(inputs_ok,IF(cb_on2,cb_X2+2/20*Lcb_2,NA()),NA())</f>
        <v/>
      </c>
      <c r="CQ26">
        <f>(-0.47*cb_Ltot)-(0.11*cb_Ltot/MAX(cb_Msag,cb_Mhog,0.001))*MIN((cb_M1_1+cb_V1_2*(2/20*cb_L2)-cb_w1_2*(2/20*cb_L2)^2/2),(cb_M2_1+cb_V2_2*(2/20*cb_L2)-cb_w2_2*(2/20*cb_L2)^2/2),(cb_M3_1+cb_V3_2*(2/20*cb_L2)-cb_w3_2*(2/20*cb_L2)^2/2))</f>
        <v/>
      </c>
    </row>
    <row r="27">
      <c r="CG27">
        <f>IF(inputs_ok,IF(cb_on2,cb_X2+3/20*Lcb_2,NA()),NA())</f>
        <v/>
      </c>
      <c r="CH27">
        <f>(-0.2*cb_Ltot)+(0.07*cb_Ltot/MAX(cb_Vmax,0.001))*MAX((cb_V1_2-cb_w1_2*3/20*cb_L2),(cb_V2_2-cb_w2_2*3/20*cb_L2),(cb_V3_2-cb_w3_2*3/20*cb_L2))</f>
        <v/>
      </c>
      <c r="CJ27">
        <f>IF(inputs_ok,IF(cb_on2,cb_X2+3/20*Lcb_2,NA()),NA())</f>
        <v/>
      </c>
      <c r="CK27">
        <f>(-0.2*cb_Ltot)+(0.07*cb_Ltot/MAX(cb_Vmax,0.001))*MIN((cb_V1_2-cb_w1_2*3/20*cb_L2),(cb_V2_2-cb_w2_2*3/20*cb_L2),(cb_V3_2-cb_w3_2*3/20*cb_L2))</f>
        <v/>
      </c>
      <c r="CM27">
        <f>IF(inputs_ok,IF(cb_on2,cb_X2+3/20*Lcb_2,NA()),NA())</f>
        <v/>
      </c>
      <c r="CN27">
        <f>(-0.47*cb_Ltot)-(0.11*cb_Ltot/MAX(cb_Msag,cb_Mhog,0.001))*MAX((cb_M1_1+cb_V1_2*(3/20*cb_L2)-cb_w1_2*(3/20*cb_L2)^2/2),(cb_M2_1+cb_V2_2*(3/20*cb_L2)-cb_w2_2*(3/20*cb_L2)^2/2),(cb_M3_1+cb_V3_2*(3/20*cb_L2)-cb_w3_2*(3/20*cb_L2)^2/2))</f>
        <v/>
      </c>
      <c r="CP27">
        <f>IF(inputs_ok,IF(cb_on2,cb_X2+3/20*Lcb_2,NA()),NA())</f>
        <v/>
      </c>
      <c r="CQ27">
        <f>(-0.47*cb_Ltot)-(0.11*cb_Ltot/MAX(cb_Msag,cb_Mhog,0.001))*MIN((cb_M1_1+cb_V1_2*(3/20*cb_L2)-cb_w1_2*(3/20*cb_L2)^2/2),(cb_M2_1+cb_V2_2*(3/20*cb_L2)-cb_w2_2*(3/20*cb_L2)^2/2),(cb_M3_1+cb_V3_2*(3/20*cb_L2)-cb_w3_2*(3/20*cb_L2)^2/2))</f>
        <v/>
      </c>
    </row>
    <row r="28">
      <c r="CG28">
        <f>IF(inputs_ok,IF(cb_on2,cb_X2+4/20*Lcb_2,NA()),NA())</f>
        <v/>
      </c>
      <c r="CH28">
        <f>(-0.2*cb_Ltot)+(0.07*cb_Ltot/MAX(cb_Vmax,0.001))*MAX((cb_V1_2-cb_w1_2*4/20*cb_L2),(cb_V2_2-cb_w2_2*4/20*cb_L2),(cb_V3_2-cb_w3_2*4/20*cb_L2))</f>
        <v/>
      </c>
      <c r="CJ28">
        <f>IF(inputs_ok,IF(cb_on2,cb_X2+4/20*Lcb_2,NA()),NA())</f>
        <v/>
      </c>
      <c r="CK28">
        <f>(-0.2*cb_Ltot)+(0.07*cb_Ltot/MAX(cb_Vmax,0.001))*MIN((cb_V1_2-cb_w1_2*4/20*cb_L2),(cb_V2_2-cb_w2_2*4/20*cb_L2),(cb_V3_2-cb_w3_2*4/20*cb_L2))</f>
        <v/>
      </c>
      <c r="CM28">
        <f>IF(inputs_ok,IF(cb_on2,cb_X2+4/20*Lcb_2,NA()),NA())</f>
        <v/>
      </c>
      <c r="CN28">
        <f>(-0.47*cb_Ltot)-(0.11*cb_Ltot/MAX(cb_Msag,cb_Mhog,0.001))*MAX((cb_M1_1+cb_V1_2*(4/20*cb_L2)-cb_w1_2*(4/20*cb_L2)^2/2),(cb_M2_1+cb_V2_2*(4/20*cb_L2)-cb_w2_2*(4/20*cb_L2)^2/2),(cb_M3_1+cb_V3_2*(4/20*cb_L2)-cb_w3_2*(4/20*cb_L2)^2/2))</f>
        <v/>
      </c>
      <c r="CP28">
        <f>IF(inputs_ok,IF(cb_on2,cb_X2+4/20*Lcb_2,NA()),NA())</f>
        <v/>
      </c>
      <c r="CQ28">
        <f>(-0.47*cb_Ltot)-(0.11*cb_Ltot/MAX(cb_Msag,cb_Mhog,0.001))*MIN((cb_M1_1+cb_V1_2*(4/20*cb_L2)-cb_w1_2*(4/20*cb_L2)^2/2),(cb_M2_1+cb_V2_2*(4/20*cb_L2)-cb_w2_2*(4/20*cb_L2)^2/2),(cb_M3_1+cb_V3_2*(4/20*cb_L2)-cb_w3_2*(4/20*cb_L2)^2/2))</f>
        <v/>
      </c>
    </row>
    <row r="29">
      <c r="CG29">
        <f>IF(inputs_ok,IF(cb_on2,cb_X2+5/20*Lcb_2,NA()),NA())</f>
        <v/>
      </c>
      <c r="CH29">
        <f>(-0.2*cb_Ltot)+(0.07*cb_Ltot/MAX(cb_Vmax,0.001))*MAX((cb_V1_2-cb_w1_2*5/20*cb_L2),(cb_V2_2-cb_w2_2*5/20*cb_L2),(cb_V3_2-cb_w3_2*5/20*cb_L2))</f>
        <v/>
      </c>
      <c r="CJ29">
        <f>IF(inputs_ok,IF(cb_on2,cb_X2+5/20*Lcb_2,NA()),NA())</f>
        <v/>
      </c>
      <c r="CK29">
        <f>(-0.2*cb_Ltot)+(0.07*cb_Ltot/MAX(cb_Vmax,0.001))*MIN((cb_V1_2-cb_w1_2*5/20*cb_L2),(cb_V2_2-cb_w2_2*5/20*cb_L2),(cb_V3_2-cb_w3_2*5/20*cb_L2))</f>
        <v/>
      </c>
      <c r="CM29">
        <f>IF(inputs_ok,IF(cb_on2,cb_X2+5/20*Lcb_2,NA()),NA())</f>
        <v/>
      </c>
      <c r="CN29">
        <f>(-0.47*cb_Ltot)-(0.11*cb_Ltot/MAX(cb_Msag,cb_Mhog,0.001))*MAX((cb_M1_1+cb_V1_2*(5/20*cb_L2)-cb_w1_2*(5/20*cb_L2)^2/2),(cb_M2_1+cb_V2_2*(5/20*cb_L2)-cb_w2_2*(5/20*cb_L2)^2/2),(cb_M3_1+cb_V3_2*(5/20*cb_L2)-cb_w3_2*(5/20*cb_L2)^2/2))</f>
        <v/>
      </c>
      <c r="CP29">
        <f>IF(inputs_ok,IF(cb_on2,cb_X2+5/20*Lcb_2,NA()),NA())</f>
        <v/>
      </c>
      <c r="CQ29">
        <f>(-0.47*cb_Ltot)-(0.11*cb_Ltot/MAX(cb_Msag,cb_Mhog,0.001))*MIN((cb_M1_1+cb_V1_2*(5/20*cb_L2)-cb_w1_2*(5/20*cb_L2)^2/2),(cb_M2_1+cb_V2_2*(5/20*cb_L2)-cb_w2_2*(5/20*cb_L2)^2/2),(cb_M3_1+cb_V3_2*(5/20*cb_L2)-cb_w3_2*(5/20*cb_L2)^2/2))</f>
        <v/>
      </c>
    </row>
    <row r="30">
      <c r="CG30">
        <f>IF(inputs_ok,IF(cb_on2,cb_X2+6/20*Lcb_2,NA()),NA())</f>
        <v/>
      </c>
      <c r="CH30">
        <f>(-0.2*cb_Ltot)+(0.07*cb_Ltot/MAX(cb_Vmax,0.001))*MAX((cb_V1_2-cb_w1_2*6/20*cb_L2),(cb_V2_2-cb_w2_2*6/20*cb_L2),(cb_V3_2-cb_w3_2*6/20*cb_L2))</f>
        <v/>
      </c>
      <c r="CJ30">
        <f>IF(inputs_ok,IF(cb_on2,cb_X2+6/20*Lcb_2,NA()),NA())</f>
        <v/>
      </c>
      <c r="CK30">
        <f>(-0.2*cb_Ltot)+(0.07*cb_Ltot/MAX(cb_Vmax,0.001))*MIN((cb_V1_2-cb_w1_2*6/20*cb_L2),(cb_V2_2-cb_w2_2*6/20*cb_L2),(cb_V3_2-cb_w3_2*6/20*cb_L2))</f>
        <v/>
      </c>
      <c r="CM30">
        <f>IF(inputs_ok,IF(cb_on2,cb_X2+6/20*Lcb_2,NA()),NA())</f>
        <v/>
      </c>
      <c r="CN30">
        <f>(-0.47*cb_Ltot)-(0.11*cb_Ltot/MAX(cb_Msag,cb_Mhog,0.001))*MAX((cb_M1_1+cb_V1_2*(6/20*cb_L2)-cb_w1_2*(6/20*cb_L2)^2/2),(cb_M2_1+cb_V2_2*(6/20*cb_L2)-cb_w2_2*(6/20*cb_L2)^2/2),(cb_M3_1+cb_V3_2*(6/20*cb_L2)-cb_w3_2*(6/20*cb_L2)^2/2))</f>
        <v/>
      </c>
      <c r="CP30">
        <f>IF(inputs_ok,IF(cb_on2,cb_X2+6/20*Lcb_2,NA()),NA())</f>
        <v/>
      </c>
      <c r="CQ30">
        <f>(-0.47*cb_Ltot)-(0.11*cb_Ltot/MAX(cb_Msag,cb_Mhog,0.001))*MIN((cb_M1_1+cb_V1_2*(6/20*cb_L2)-cb_w1_2*(6/20*cb_L2)^2/2),(cb_M2_1+cb_V2_2*(6/20*cb_L2)-cb_w2_2*(6/20*cb_L2)^2/2),(cb_M3_1+cb_V3_2*(6/20*cb_L2)-cb_w3_2*(6/20*cb_L2)^2/2))</f>
        <v/>
      </c>
    </row>
    <row r="31">
      <c r="CG31">
        <f>IF(inputs_ok,IF(cb_on2,cb_X2+7/20*Lcb_2,NA()),NA())</f>
        <v/>
      </c>
      <c r="CH31">
        <f>(-0.2*cb_Ltot)+(0.07*cb_Ltot/MAX(cb_Vmax,0.001))*MAX((cb_V1_2-cb_w1_2*7/20*cb_L2),(cb_V2_2-cb_w2_2*7/20*cb_L2),(cb_V3_2-cb_w3_2*7/20*cb_L2))</f>
        <v/>
      </c>
      <c r="CJ31">
        <f>IF(inputs_ok,IF(cb_on2,cb_X2+7/20*Lcb_2,NA()),NA())</f>
        <v/>
      </c>
      <c r="CK31">
        <f>(-0.2*cb_Ltot)+(0.07*cb_Ltot/MAX(cb_Vmax,0.001))*MIN((cb_V1_2-cb_w1_2*7/20*cb_L2),(cb_V2_2-cb_w2_2*7/20*cb_L2),(cb_V3_2-cb_w3_2*7/20*cb_L2))</f>
        <v/>
      </c>
      <c r="CM31">
        <f>IF(inputs_ok,IF(cb_on2,cb_X2+7/20*Lcb_2,NA()),NA())</f>
        <v/>
      </c>
      <c r="CN31">
        <f>(-0.47*cb_Ltot)-(0.11*cb_Ltot/MAX(cb_Msag,cb_Mhog,0.001))*MAX((cb_M1_1+cb_V1_2*(7/20*cb_L2)-cb_w1_2*(7/20*cb_L2)^2/2),(cb_M2_1+cb_V2_2*(7/20*cb_L2)-cb_w2_2*(7/20*cb_L2)^2/2),(cb_M3_1+cb_V3_2*(7/20*cb_L2)-cb_w3_2*(7/20*cb_L2)^2/2))</f>
        <v/>
      </c>
      <c r="CP31">
        <f>IF(inputs_ok,IF(cb_on2,cb_X2+7/20*Lcb_2,NA()),NA())</f>
        <v/>
      </c>
      <c r="CQ31">
        <f>(-0.47*cb_Ltot)-(0.11*cb_Ltot/MAX(cb_Msag,cb_Mhog,0.001))*MIN((cb_M1_1+cb_V1_2*(7/20*cb_L2)-cb_w1_2*(7/20*cb_L2)^2/2),(cb_M2_1+cb_V2_2*(7/20*cb_L2)-cb_w2_2*(7/20*cb_L2)^2/2),(cb_M3_1+cb_V3_2*(7/20*cb_L2)-cb_w3_2*(7/20*cb_L2)^2/2))</f>
        <v/>
      </c>
    </row>
    <row r="32">
      <c r="CG32">
        <f>IF(inputs_ok,IF(cb_on2,cb_X2+8/20*Lcb_2,NA()),NA())</f>
        <v/>
      </c>
      <c r="CH32">
        <f>(-0.2*cb_Ltot)+(0.07*cb_Ltot/MAX(cb_Vmax,0.001))*MAX((cb_V1_2-cb_w1_2*8/20*cb_L2),(cb_V2_2-cb_w2_2*8/20*cb_L2),(cb_V3_2-cb_w3_2*8/20*cb_L2))</f>
        <v/>
      </c>
      <c r="CJ32">
        <f>IF(inputs_ok,IF(cb_on2,cb_X2+8/20*Lcb_2,NA()),NA())</f>
        <v/>
      </c>
      <c r="CK32">
        <f>(-0.2*cb_Ltot)+(0.07*cb_Ltot/MAX(cb_Vmax,0.001))*MIN((cb_V1_2-cb_w1_2*8/20*cb_L2),(cb_V2_2-cb_w2_2*8/20*cb_L2),(cb_V3_2-cb_w3_2*8/20*cb_L2))</f>
        <v/>
      </c>
      <c r="CM32">
        <f>IF(inputs_ok,IF(cb_on2,cb_X2+8/20*Lcb_2,NA()),NA())</f>
        <v/>
      </c>
      <c r="CN32">
        <f>(-0.47*cb_Ltot)-(0.11*cb_Ltot/MAX(cb_Msag,cb_Mhog,0.001))*MAX((cb_M1_1+cb_V1_2*(8/20*cb_L2)-cb_w1_2*(8/20*cb_L2)^2/2),(cb_M2_1+cb_V2_2*(8/20*cb_L2)-cb_w2_2*(8/20*cb_L2)^2/2),(cb_M3_1+cb_V3_2*(8/20*cb_L2)-cb_w3_2*(8/20*cb_L2)^2/2))</f>
        <v/>
      </c>
      <c r="CP32">
        <f>IF(inputs_ok,IF(cb_on2,cb_X2+8/20*Lcb_2,NA()),NA())</f>
        <v/>
      </c>
      <c r="CQ32">
        <f>(-0.47*cb_Ltot)-(0.11*cb_Ltot/MAX(cb_Msag,cb_Mhog,0.001))*MIN((cb_M1_1+cb_V1_2*(8/20*cb_L2)-cb_w1_2*(8/20*cb_L2)^2/2),(cb_M2_1+cb_V2_2*(8/20*cb_L2)-cb_w2_2*(8/20*cb_L2)^2/2),(cb_M3_1+cb_V3_2*(8/20*cb_L2)-cb_w3_2*(8/20*cb_L2)^2/2))</f>
        <v/>
      </c>
    </row>
    <row r="33">
      <c r="CG33">
        <f>IF(inputs_ok,IF(cb_on2,cb_X2+9/20*Lcb_2,NA()),NA())</f>
        <v/>
      </c>
      <c r="CH33">
        <f>(-0.2*cb_Ltot)+(0.07*cb_Ltot/MAX(cb_Vmax,0.001))*MAX((cb_V1_2-cb_w1_2*9/20*cb_L2),(cb_V2_2-cb_w2_2*9/20*cb_L2),(cb_V3_2-cb_w3_2*9/20*cb_L2))</f>
        <v/>
      </c>
      <c r="CJ33">
        <f>IF(inputs_ok,IF(cb_on2,cb_X2+9/20*Lcb_2,NA()),NA())</f>
        <v/>
      </c>
      <c r="CK33">
        <f>(-0.2*cb_Ltot)+(0.07*cb_Ltot/MAX(cb_Vmax,0.001))*MIN((cb_V1_2-cb_w1_2*9/20*cb_L2),(cb_V2_2-cb_w2_2*9/20*cb_L2),(cb_V3_2-cb_w3_2*9/20*cb_L2))</f>
        <v/>
      </c>
      <c r="CM33">
        <f>IF(inputs_ok,IF(cb_on2,cb_X2+9/20*Lcb_2,NA()),NA())</f>
        <v/>
      </c>
      <c r="CN33">
        <f>(-0.47*cb_Ltot)-(0.11*cb_Ltot/MAX(cb_Msag,cb_Mhog,0.001))*MAX((cb_M1_1+cb_V1_2*(9/20*cb_L2)-cb_w1_2*(9/20*cb_L2)^2/2),(cb_M2_1+cb_V2_2*(9/20*cb_L2)-cb_w2_2*(9/20*cb_L2)^2/2),(cb_M3_1+cb_V3_2*(9/20*cb_L2)-cb_w3_2*(9/20*cb_L2)^2/2))</f>
        <v/>
      </c>
      <c r="CP33">
        <f>IF(inputs_ok,IF(cb_on2,cb_X2+9/20*Lcb_2,NA()),NA())</f>
        <v/>
      </c>
      <c r="CQ33">
        <f>(-0.47*cb_Ltot)-(0.11*cb_Ltot/MAX(cb_Msag,cb_Mhog,0.001))*MIN((cb_M1_1+cb_V1_2*(9/20*cb_L2)-cb_w1_2*(9/20*cb_L2)^2/2),(cb_M2_1+cb_V2_2*(9/20*cb_L2)-cb_w2_2*(9/20*cb_L2)^2/2),(cb_M3_1+cb_V3_2*(9/20*cb_L2)-cb_w3_2*(9/20*cb_L2)^2/2))</f>
        <v/>
      </c>
    </row>
    <row r="34">
      <c r="CG34">
        <f>IF(inputs_ok,IF(cb_on2,cb_X2+10/20*Lcb_2,NA()),NA())</f>
        <v/>
      </c>
      <c r="CH34">
        <f>(-0.2*cb_Ltot)+(0.07*cb_Ltot/MAX(cb_Vmax,0.001))*MAX((cb_V1_2-cb_w1_2*10/20*cb_L2),(cb_V2_2-cb_w2_2*10/20*cb_L2),(cb_V3_2-cb_w3_2*10/20*cb_L2))</f>
        <v/>
      </c>
      <c r="CJ34">
        <f>IF(inputs_ok,IF(cb_on2,cb_X2+10/20*Lcb_2,NA()),NA())</f>
        <v/>
      </c>
      <c r="CK34">
        <f>(-0.2*cb_Ltot)+(0.07*cb_Ltot/MAX(cb_Vmax,0.001))*MIN((cb_V1_2-cb_w1_2*10/20*cb_L2),(cb_V2_2-cb_w2_2*10/20*cb_L2),(cb_V3_2-cb_w3_2*10/20*cb_L2))</f>
        <v/>
      </c>
      <c r="CM34">
        <f>IF(inputs_ok,IF(cb_on2,cb_X2+10/20*Lcb_2,NA()),NA())</f>
        <v/>
      </c>
      <c r="CN34">
        <f>(-0.47*cb_Ltot)-(0.11*cb_Ltot/MAX(cb_Msag,cb_Mhog,0.001))*MAX((cb_M1_1+cb_V1_2*(10/20*cb_L2)-cb_w1_2*(10/20*cb_L2)^2/2),(cb_M2_1+cb_V2_2*(10/20*cb_L2)-cb_w2_2*(10/20*cb_L2)^2/2),(cb_M3_1+cb_V3_2*(10/20*cb_L2)-cb_w3_2*(10/20*cb_L2)^2/2))</f>
        <v/>
      </c>
      <c r="CP34">
        <f>IF(inputs_ok,IF(cb_on2,cb_X2+10/20*Lcb_2,NA()),NA())</f>
        <v/>
      </c>
      <c r="CQ34">
        <f>(-0.47*cb_Ltot)-(0.11*cb_Ltot/MAX(cb_Msag,cb_Mhog,0.001))*MIN((cb_M1_1+cb_V1_2*(10/20*cb_L2)-cb_w1_2*(10/20*cb_L2)^2/2),(cb_M2_1+cb_V2_2*(10/20*cb_L2)-cb_w2_2*(10/20*cb_L2)^2/2),(cb_M3_1+cb_V3_2*(10/20*cb_L2)-cb_w3_2*(10/20*cb_L2)^2/2))</f>
        <v/>
      </c>
    </row>
    <row r="35">
      <c r="CG35">
        <f>IF(inputs_ok,IF(cb_on2,cb_X2+11/20*Lcb_2,NA()),NA())</f>
        <v/>
      </c>
      <c r="CH35">
        <f>(-0.2*cb_Ltot)+(0.07*cb_Ltot/MAX(cb_Vmax,0.001))*MAX((cb_V1_2-cb_w1_2*11/20*cb_L2),(cb_V2_2-cb_w2_2*11/20*cb_L2),(cb_V3_2-cb_w3_2*11/20*cb_L2))</f>
        <v/>
      </c>
      <c r="CJ35">
        <f>IF(inputs_ok,IF(cb_on2,cb_X2+11/20*Lcb_2,NA()),NA())</f>
        <v/>
      </c>
      <c r="CK35">
        <f>(-0.2*cb_Ltot)+(0.07*cb_Ltot/MAX(cb_Vmax,0.001))*MIN((cb_V1_2-cb_w1_2*11/20*cb_L2),(cb_V2_2-cb_w2_2*11/20*cb_L2),(cb_V3_2-cb_w3_2*11/20*cb_L2))</f>
        <v/>
      </c>
      <c r="CM35">
        <f>IF(inputs_ok,IF(cb_on2,cb_X2+11/20*Lcb_2,NA()),NA())</f>
        <v/>
      </c>
      <c r="CN35">
        <f>(-0.47*cb_Ltot)-(0.11*cb_Ltot/MAX(cb_Msag,cb_Mhog,0.001))*MAX((cb_M1_1+cb_V1_2*(11/20*cb_L2)-cb_w1_2*(11/20*cb_L2)^2/2),(cb_M2_1+cb_V2_2*(11/20*cb_L2)-cb_w2_2*(11/20*cb_L2)^2/2),(cb_M3_1+cb_V3_2*(11/20*cb_L2)-cb_w3_2*(11/20*cb_L2)^2/2))</f>
        <v/>
      </c>
      <c r="CP35">
        <f>IF(inputs_ok,IF(cb_on2,cb_X2+11/20*Lcb_2,NA()),NA())</f>
        <v/>
      </c>
      <c r="CQ35">
        <f>(-0.47*cb_Ltot)-(0.11*cb_Ltot/MAX(cb_Msag,cb_Mhog,0.001))*MIN((cb_M1_1+cb_V1_2*(11/20*cb_L2)-cb_w1_2*(11/20*cb_L2)^2/2),(cb_M2_1+cb_V2_2*(11/20*cb_L2)-cb_w2_2*(11/20*cb_L2)^2/2),(cb_M3_1+cb_V3_2*(11/20*cb_L2)-cb_w3_2*(11/20*cb_L2)^2/2))</f>
        <v/>
      </c>
    </row>
    <row r="36">
      <c r="CG36">
        <f>IF(inputs_ok,IF(cb_on2,cb_X2+12/20*Lcb_2,NA()),NA())</f>
        <v/>
      </c>
      <c r="CH36">
        <f>(-0.2*cb_Ltot)+(0.07*cb_Ltot/MAX(cb_Vmax,0.001))*MAX((cb_V1_2-cb_w1_2*12/20*cb_L2),(cb_V2_2-cb_w2_2*12/20*cb_L2),(cb_V3_2-cb_w3_2*12/20*cb_L2))</f>
        <v/>
      </c>
      <c r="CJ36">
        <f>IF(inputs_ok,IF(cb_on2,cb_X2+12/20*Lcb_2,NA()),NA())</f>
        <v/>
      </c>
      <c r="CK36">
        <f>(-0.2*cb_Ltot)+(0.07*cb_Ltot/MAX(cb_Vmax,0.001))*MIN((cb_V1_2-cb_w1_2*12/20*cb_L2),(cb_V2_2-cb_w2_2*12/20*cb_L2),(cb_V3_2-cb_w3_2*12/20*cb_L2))</f>
        <v/>
      </c>
      <c r="CM36">
        <f>IF(inputs_ok,IF(cb_on2,cb_X2+12/20*Lcb_2,NA()),NA())</f>
        <v/>
      </c>
      <c r="CN36">
        <f>(-0.47*cb_Ltot)-(0.11*cb_Ltot/MAX(cb_Msag,cb_Mhog,0.001))*MAX((cb_M1_1+cb_V1_2*(12/20*cb_L2)-cb_w1_2*(12/20*cb_L2)^2/2),(cb_M2_1+cb_V2_2*(12/20*cb_L2)-cb_w2_2*(12/20*cb_L2)^2/2),(cb_M3_1+cb_V3_2*(12/20*cb_L2)-cb_w3_2*(12/20*cb_L2)^2/2))</f>
        <v/>
      </c>
      <c r="CP36">
        <f>IF(inputs_ok,IF(cb_on2,cb_X2+12/20*Lcb_2,NA()),NA())</f>
        <v/>
      </c>
      <c r="CQ36">
        <f>(-0.47*cb_Ltot)-(0.11*cb_Ltot/MAX(cb_Msag,cb_Mhog,0.001))*MIN((cb_M1_1+cb_V1_2*(12/20*cb_L2)-cb_w1_2*(12/20*cb_L2)^2/2),(cb_M2_1+cb_V2_2*(12/20*cb_L2)-cb_w2_2*(12/20*cb_L2)^2/2),(cb_M3_1+cb_V3_2*(12/20*cb_L2)-cb_w3_2*(12/20*cb_L2)^2/2))</f>
        <v/>
      </c>
    </row>
    <row r="37">
      <c r="CG37">
        <f>IF(inputs_ok,IF(cb_on2,cb_X2+13/20*Lcb_2,NA()),NA())</f>
        <v/>
      </c>
      <c r="CH37">
        <f>(-0.2*cb_Ltot)+(0.07*cb_Ltot/MAX(cb_Vmax,0.001))*MAX((cb_V1_2-cb_w1_2*13/20*cb_L2),(cb_V2_2-cb_w2_2*13/20*cb_L2),(cb_V3_2-cb_w3_2*13/20*cb_L2))</f>
        <v/>
      </c>
      <c r="CJ37">
        <f>IF(inputs_ok,IF(cb_on2,cb_X2+13/20*Lcb_2,NA()),NA())</f>
        <v/>
      </c>
      <c r="CK37">
        <f>(-0.2*cb_Ltot)+(0.07*cb_Ltot/MAX(cb_Vmax,0.001))*MIN((cb_V1_2-cb_w1_2*13/20*cb_L2),(cb_V2_2-cb_w2_2*13/20*cb_L2),(cb_V3_2-cb_w3_2*13/20*cb_L2))</f>
        <v/>
      </c>
      <c r="CM37">
        <f>IF(inputs_ok,IF(cb_on2,cb_X2+13/20*Lcb_2,NA()),NA())</f>
        <v/>
      </c>
      <c r="CN37">
        <f>(-0.47*cb_Ltot)-(0.11*cb_Ltot/MAX(cb_Msag,cb_Mhog,0.001))*MAX((cb_M1_1+cb_V1_2*(13/20*cb_L2)-cb_w1_2*(13/20*cb_L2)^2/2),(cb_M2_1+cb_V2_2*(13/20*cb_L2)-cb_w2_2*(13/20*cb_L2)^2/2),(cb_M3_1+cb_V3_2*(13/20*cb_L2)-cb_w3_2*(13/20*cb_L2)^2/2))</f>
        <v/>
      </c>
      <c r="CP37">
        <f>IF(inputs_ok,IF(cb_on2,cb_X2+13/20*Lcb_2,NA()),NA())</f>
        <v/>
      </c>
      <c r="CQ37">
        <f>(-0.47*cb_Ltot)-(0.11*cb_Ltot/MAX(cb_Msag,cb_Mhog,0.001))*MIN((cb_M1_1+cb_V1_2*(13/20*cb_L2)-cb_w1_2*(13/20*cb_L2)^2/2),(cb_M2_1+cb_V2_2*(13/20*cb_L2)-cb_w2_2*(13/20*cb_L2)^2/2),(cb_M3_1+cb_V3_2*(13/20*cb_L2)-cb_w3_2*(13/20*cb_L2)^2/2))</f>
        <v/>
      </c>
    </row>
    <row r="38">
      <c r="CG38">
        <f>IF(inputs_ok,IF(cb_on2,cb_X2+14/20*Lcb_2,NA()),NA())</f>
        <v/>
      </c>
      <c r="CH38">
        <f>(-0.2*cb_Ltot)+(0.07*cb_Ltot/MAX(cb_Vmax,0.001))*MAX((cb_V1_2-cb_w1_2*14/20*cb_L2),(cb_V2_2-cb_w2_2*14/20*cb_L2),(cb_V3_2-cb_w3_2*14/20*cb_L2))</f>
        <v/>
      </c>
      <c r="CJ38">
        <f>IF(inputs_ok,IF(cb_on2,cb_X2+14/20*Lcb_2,NA()),NA())</f>
        <v/>
      </c>
      <c r="CK38">
        <f>(-0.2*cb_Ltot)+(0.07*cb_Ltot/MAX(cb_Vmax,0.001))*MIN((cb_V1_2-cb_w1_2*14/20*cb_L2),(cb_V2_2-cb_w2_2*14/20*cb_L2),(cb_V3_2-cb_w3_2*14/20*cb_L2))</f>
        <v/>
      </c>
      <c r="CM38">
        <f>IF(inputs_ok,IF(cb_on2,cb_X2+14/20*Lcb_2,NA()),NA())</f>
        <v/>
      </c>
      <c r="CN38">
        <f>(-0.47*cb_Ltot)-(0.11*cb_Ltot/MAX(cb_Msag,cb_Mhog,0.001))*MAX((cb_M1_1+cb_V1_2*(14/20*cb_L2)-cb_w1_2*(14/20*cb_L2)^2/2),(cb_M2_1+cb_V2_2*(14/20*cb_L2)-cb_w2_2*(14/20*cb_L2)^2/2),(cb_M3_1+cb_V3_2*(14/20*cb_L2)-cb_w3_2*(14/20*cb_L2)^2/2))</f>
        <v/>
      </c>
      <c r="CP38">
        <f>IF(inputs_ok,IF(cb_on2,cb_X2+14/20*Lcb_2,NA()),NA())</f>
        <v/>
      </c>
      <c r="CQ38">
        <f>(-0.47*cb_Ltot)-(0.11*cb_Ltot/MAX(cb_Msag,cb_Mhog,0.001))*MIN((cb_M1_1+cb_V1_2*(14/20*cb_L2)-cb_w1_2*(14/20*cb_L2)^2/2),(cb_M2_1+cb_V2_2*(14/20*cb_L2)-cb_w2_2*(14/20*cb_L2)^2/2),(cb_M3_1+cb_V3_2*(14/20*cb_L2)-cb_w3_2*(14/20*cb_L2)^2/2))</f>
        <v/>
      </c>
    </row>
    <row r="39">
      <c r="CG39">
        <f>IF(inputs_ok,IF(cb_on2,cb_X2+15/20*Lcb_2,NA()),NA())</f>
        <v/>
      </c>
      <c r="CH39">
        <f>(-0.2*cb_Ltot)+(0.07*cb_Ltot/MAX(cb_Vmax,0.001))*MAX((cb_V1_2-cb_w1_2*15/20*cb_L2),(cb_V2_2-cb_w2_2*15/20*cb_L2),(cb_V3_2-cb_w3_2*15/20*cb_L2))</f>
        <v/>
      </c>
      <c r="CJ39">
        <f>IF(inputs_ok,IF(cb_on2,cb_X2+15/20*Lcb_2,NA()),NA())</f>
        <v/>
      </c>
      <c r="CK39">
        <f>(-0.2*cb_Ltot)+(0.07*cb_Ltot/MAX(cb_Vmax,0.001))*MIN((cb_V1_2-cb_w1_2*15/20*cb_L2),(cb_V2_2-cb_w2_2*15/20*cb_L2),(cb_V3_2-cb_w3_2*15/20*cb_L2))</f>
        <v/>
      </c>
      <c r="CM39">
        <f>IF(inputs_ok,IF(cb_on2,cb_X2+15/20*Lcb_2,NA()),NA())</f>
        <v/>
      </c>
      <c r="CN39">
        <f>(-0.47*cb_Ltot)-(0.11*cb_Ltot/MAX(cb_Msag,cb_Mhog,0.001))*MAX((cb_M1_1+cb_V1_2*(15/20*cb_L2)-cb_w1_2*(15/20*cb_L2)^2/2),(cb_M2_1+cb_V2_2*(15/20*cb_L2)-cb_w2_2*(15/20*cb_L2)^2/2),(cb_M3_1+cb_V3_2*(15/20*cb_L2)-cb_w3_2*(15/20*cb_L2)^2/2))</f>
        <v/>
      </c>
      <c r="CP39">
        <f>IF(inputs_ok,IF(cb_on2,cb_X2+15/20*Lcb_2,NA()),NA())</f>
        <v/>
      </c>
      <c r="CQ39">
        <f>(-0.47*cb_Ltot)-(0.11*cb_Ltot/MAX(cb_Msag,cb_Mhog,0.001))*MIN((cb_M1_1+cb_V1_2*(15/20*cb_L2)-cb_w1_2*(15/20*cb_L2)^2/2),(cb_M2_1+cb_V2_2*(15/20*cb_L2)-cb_w2_2*(15/20*cb_L2)^2/2),(cb_M3_1+cb_V3_2*(15/20*cb_L2)-cb_w3_2*(15/20*cb_L2)^2/2))</f>
        <v/>
      </c>
    </row>
    <row r="40">
      <c r="CG40">
        <f>IF(inputs_ok,IF(cb_on2,cb_X2+16/20*Lcb_2,NA()),NA())</f>
        <v/>
      </c>
      <c r="CH40">
        <f>(-0.2*cb_Ltot)+(0.07*cb_Ltot/MAX(cb_Vmax,0.001))*MAX((cb_V1_2-cb_w1_2*16/20*cb_L2),(cb_V2_2-cb_w2_2*16/20*cb_L2),(cb_V3_2-cb_w3_2*16/20*cb_L2))</f>
        <v/>
      </c>
      <c r="CJ40">
        <f>IF(inputs_ok,IF(cb_on2,cb_X2+16/20*Lcb_2,NA()),NA())</f>
        <v/>
      </c>
      <c r="CK40">
        <f>(-0.2*cb_Ltot)+(0.07*cb_Ltot/MAX(cb_Vmax,0.001))*MIN((cb_V1_2-cb_w1_2*16/20*cb_L2),(cb_V2_2-cb_w2_2*16/20*cb_L2),(cb_V3_2-cb_w3_2*16/20*cb_L2))</f>
        <v/>
      </c>
      <c r="CM40">
        <f>IF(inputs_ok,IF(cb_on2,cb_X2+16/20*Lcb_2,NA()),NA())</f>
        <v/>
      </c>
      <c r="CN40">
        <f>(-0.47*cb_Ltot)-(0.11*cb_Ltot/MAX(cb_Msag,cb_Mhog,0.001))*MAX((cb_M1_1+cb_V1_2*(16/20*cb_L2)-cb_w1_2*(16/20*cb_L2)^2/2),(cb_M2_1+cb_V2_2*(16/20*cb_L2)-cb_w2_2*(16/20*cb_L2)^2/2),(cb_M3_1+cb_V3_2*(16/20*cb_L2)-cb_w3_2*(16/20*cb_L2)^2/2))</f>
        <v/>
      </c>
      <c r="CP40">
        <f>IF(inputs_ok,IF(cb_on2,cb_X2+16/20*Lcb_2,NA()),NA())</f>
        <v/>
      </c>
      <c r="CQ40">
        <f>(-0.47*cb_Ltot)-(0.11*cb_Ltot/MAX(cb_Msag,cb_Mhog,0.001))*MIN((cb_M1_1+cb_V1_2*(16/20*cb_L2)-cb_w1_2*(16/20*cb_L2)^2/2),(cb_M2_1+cb_V2_2*(16/20*cb_L2)-cb_w2_2*(16/20*cb_L2)^2/2),(cb_M3_1+cb_V3_2*(16/20*cb_L2)-cb_w3_2*(16/20*cb_L2)^2/2))</f>
        <v/>
      </c>
    </row>
    <row r="41">
      <c r="CG41">
        <f>IF(inputs_ok,IF(cb_on2,cb_X2+17/20*Lcb_2,NA()),NA())</f>
        <v/>
      </c>
      <c r="CH41">
        <f>(-0.2*cb_Ltot)+(0.07*cb_Ltot/MAX(cb_Vmax,0.001))*MAX((cb_V1_2-cb_w1_2*17/20*cb_L2),(cb_V2_2-cb_w2_2*17/20*cb_L2),(cb_V3_2-cb_w3_2*17/20*cb_L2))</f>
        <v/>
      </c>
      <c r="CJ41">
        <f>IF(inputs_ok,IF(cb_on2,cb_X2+17/20*Lcb_2,NA()),NA())</f>
        <v/>
      </c>
      <c r="CK41">
        <f>(-0.2*cb_Ltot)+(0.07*cb_Ltot/MAX(cb_Vmax,0.001))*MIN((cb_V1_2-cb_w1_2*17/20*cb_L2),(cb_V2_2-cb_w2_2*17/20*cb_L2),(cb_V3_2-cb_w3_2*17/20*cb_L2))</f>
        <v/>
      </c>
      <c r="CM41">
        <f>IF(inputs_ok,IF(cb_on2,cb_X2+17/20*Lcb_2,NA()),NA())</f>
        <v/>
      </c>
      <c r="CN41">
        <f>(-0.47*cb_Ltot)-(0.11*cb_Ltot/MAX(cb_Msag,cb_Mhog,0.001))*MAX((cb_M1_1+cb_V1_2*(17/20*cb_L2)-cb_w1_2*(17/20*cb_L2)^2/2),(cb_M2_1+cb_V2_2*(17/20*cb_L2)-cb_w2_2*(17/20*cb_L2)^2/2),(cb_M3_1+cb_V3_2*(17/20*cb_L2)-cb_w3_2*(17/20*cb_L2)^2/2))</f>
        <v/>
      </c>
      <c r="CP41">
        <f>IF(inputs_ok,IF(cb_on2,cb_X2+17/20*Lcb_2,NA()),NA())</f>
        <v/>
      </c>
      <c r="CQ41">
        <f>(-0.47*cb_Ltot)-(0.11*cb_Ltot/MAX(cb_Msag,cb_Mhog,0.001))*MIN((cb_M1_1+cb_V1_2*(17/20*cb_L2)-cb_w1_2*(17/20*cb_L2)^2/2),(cb_M2_1+cb_V2_2*(17/20*cb_L2)-cb_w2_2*(17/20*cb_L2)^2/2),(cb_M3_1+cb_V3_2*(17/20*cb_L2)-cb_w3_2*(17/20*cb_L2)^2/2))</f>
        <v/>
      </c>
    </row>
    <row r="42">
      <c r="CG42">
        <f>IF(inputs_ok,IF(cb_on2,cb_X2+18/20*Lcb_2,NA()),NA())</f>
        <v/>
      </c>
      <c r="CH42">
        <f>(-0.2*cb_Ltot)+(0.07*cb_Ltot/MAX(cb_Vmax,0.001))*MAX((cb_V1_2-cb_w1_2*18/20*cb_L2),(cb_V2_2-cb_w2_2*18/20*cb_L2),(cb_V3_2-cb_w3_2*18/20*cb_L2))</f>
        <v/>
      </c>
      <c r="CJ42">
        <f>IF(inputs_ok,IF(cb_on2,cb_X2+18/20*Lcb_2,NA()),NA())</f>
        <v/>
      </c>
      <c r="CK42">
        <f>(-0.2*cb_Ltot)+(0.07*cb_Ltot/MAX(cb_Vmax,0.001))*MIN((cb_V1_2-cb_w1_2*18/20*cb_L2),(cb_V2_2-cb_w2_2*18/20*cb_L2),(cb_V3_2-cb_w3_2*18/20*cb_L2))</f>
        <v/>
      </c>
      <c r="CM42">
        <f>IF(inputs_ok,IF(cb_on2,cb_X2+18/20*Lcb_2,NA()),NA())</f>
        <v/>
      </c>
      <c r="CN42">
        <f>(-0.47*cb_Ltot)-(0.11*cb_Ltot/MAX(cb_Msag,cb_Mhog,0.001))*MAX((cb_M1_1+cb_V1_2*(18/20*cb_L2)-cb_w1_2*(18/20*cb_L2)^2/2),(cb_M2_1+cb_V2_2*(18/20*cb_L2)-cb_w2_2*(18/20*cb_L2)^2/2),(cb_M3_1+cb_V3_2*(18/20*cb_L2)-cb_w3_2*(18/20*cb_L2)^2/2))</f>
        <v/>
      </c>
      <c r="CP42">
        <f>IF(inputs_ok,IF(cb_on2,cb_X2+18/20*Lcb_2,NA()),NA())</f>
        <v/>
      </c>
      <c r="CQ42">
        <f>(-0.47*cb_Ltot)-(0.11*cb_Ltot/MAX(cb_Msag,cb_Mhog,0.001))*MIN((cb_M1_1+cb_V1_2*(18/20*cb_L2)-cb_w1_2*(18/20*cb_L2)^2/2),(cb_M2_1+cb_V2_2*(18/20*cb_L2)-cb_w2_2*(18/20*cb_L2)^2/2),(cb_M3_1+cb_V3_2*(18/20*cb_L2)-cb_w3_2*(18/20*cb_L2)^2/2))</f>
        <v/>
      </c>
    </row>
    <row r="43">
      <c r="CG43">
        <f>IF(inputs_ok,IF(cb_on2,cb_X2+19/20*Lcb_2,NA()),NA())</f>
        <v/>
      </c>
      <c r="CH43">
        <f>(-0.2*cb_Ltot)+(0.07*cb_Ltot/MAX(cb_Vmax,0.001))*MAX((cb_V1_2-cb_w1_2*19/20*cb_L2),(cb_V2_2-cb_w2_2*19/20*cb_L2),(cb_V3_2-cb_w3_2*19/20*cb_L2))</f>
        <v/>
      </c>
      <c r="CJ43">
        <f>IF(inputs_ok,IF(cb_on2,cb_X2+19/20*Lcb_2,NA()),NA())</f>
        <v/>
      </c>
      <c r="CK43">
        <f>(-0.2*cb_Ltot)+(0.07*cb_Ltot/MAX(cb_Vmax,0.001))*MIN((cb_V1_2-cb_w1_2*19/20*cb_L2),(cb_V2_2-cb_w2_2*19/20*cb_L2),(cb_V3_2-cb_w3_2*19/20*cb_L2))</f>
        <v/>
      </c>
      <c r="CM43">
        <f>IF(inputs_ok,IF(cb_on2,cb_X2+19/20*Lcb_2,NA()),NA())</f>
        <v/>
      </c>
      <c r="CN43">
        <f>(-0.47*cb_Ltot)-(0.11*cb_Ltot/MAX(cb_Msag,cb_Mhog,0.001))*MAX((cb_M1_1+cb_V1_2*(19/20*cb_L2)-cb_w1_2*(19/20*cb_L2)^2/2),(cb_M2_1+cb_V2_2*(19/20*cb_L2)-cb_w2_2*(19/20*cb_L2)^2/2),(cb_M3_1+cb_V3_2*(19/20*cb_L2)-cb_w3_2*(19/20*cb_L2)^2/2))</f>
        <v/>
      </c>
      <c r="CP43">
        <f>IF(inputs_ok,IF(cb_on2,cb_X2+19/20*Lcb_2,NA()),NA())</f>
        <v/>
      </c>
      <c r="CQ43">
        <f>(-0.47*cb_Ltot)-(0.11*cb_Ltot/MAX(cb_Msag,cb_Mhog,0.001))*MIN((cb_M1_1+cb_V1_2*(19/20*cb_L2)-cb_w1_2*(19/20*cb_L2)^2/2),(cb_M2_1+cb_V2_2*(19/20*cb_L2)-cb_w2_2*(19/20*cb_L2)^2/2),(cb_M3_1+cb_V3_2*(19/20*cb_L2)-cb_w3_2*(19/20*cb_L2)^2/2))</f>
        <v/>
      </c>
    </row>
    <row r="44">
      <c r="CG44">
        <f>IF(inputs_ok,IF(cb_on2,cb_X2+20/20*Lcb_2,NA()),NA())</f>
        <v/>
      </c>
      <c r="CH44">
        <f>(-0.2*cb_Ltot)+(0.07*cb_Ltot/MAX(cb_Vmax,0.001))*MAX((cb_V1_2-cb_w1_2*20/20*cb_L2),(cb_V2_2-cb_w2_2*20/20*cb_L2),(cb_V3_2-cb_w3_2*20/20*cb_L2))</f>
        <v/>
      </c>
      <c r="CJ44">
        <f>IF(inputs_ok,IF(cb_on2,cb_X2+20/20*Lcb_2,NA()),NA())</f>
        <v/>
      </c>
      <c r="CK44">
        <f>(-0.2*cb_Ltot)+(0.07*cb_Ltot/MAX(cb_Vmax,0.001))*MIN((cb_V1_2-cb_w1_2*20/20*cb_L2),(cb_V2_2-cb_w2_2*20/20*cb_L2),(cb_V3_2-cb_w3_2*20/20*cb_L2))</f>
        <v/>
      </c>
      <c r="CM44">
        <f>IF(inputs_ok,IF(cb_on2,cb_X2+20/20*Lcb_2,NA()),NA())</f>
        <v/>
      </c>
      <c r="CN44">
        <f>(-0.47*cb_Ltot)-(0.11*cb_Ltot/MAX(cb_Msag,cb_Mhog,0.001))*MAX((cb_M1_1+cb_V1_2*(20/20*cb_L2)-cb_w1_2*(20/20*cb_L2)^2/2),(cb_M2_1+cb_V2_2*(20/20*cb_L2)-cb_w2_2*(20/20*cb_L2)^2/2),(cb_M3_1+cb_V3_2*(20/20*cb_L2)-cb_w3_2*(20/20*cb_L2)^2/2))</f>
        <v/>
      </c>
      <c r="CP44">
        <f>IF(inputs_ok,IF(cb_on2,cb_X2+20/20*Lcb_2,NA()),NA())</f>
        <v/>
      </c>
      <c r="CQ44">
        <f>(-0.47*cb_Ltot)-(0.11*cb_Ltot/MAX(cb_Msag,cb_Mhog,0.001))*MIN((cb_M1_1+cb_V1_2*(20/20*cb_L2)-cb_w1_2*(20/20*cb_L2)^2/2),(cb_M2_1+cb_V2_2*(20/20*cb_L2)-cb_w2_2*(20/20*cb_L2)^2/2),(cb_M3_1+cb_V3_2*(20/20*cb_L2)-cb_w3_2*(20/20*cb_L2)^2/2))</f>
        <v/>
      </c>
    </row>
    <row r="45">
      <c r="CG45">
        <f>IF(inputs_ok,IF(cb_on3,cb_X3+0/20*Lcb_3,NA()),NA())</f>
        <v/>
      </c>
      <c r="CH45">
        <f>(-0.2*cb_Ltot)+(0.07*cb_Ltot/MAX(cb_Vmax,0.001))*MAX((cb_V1_3-cb_w1_3*0/20*cb_L3),(cb_V2_3-cb_w2_3*0/20*cb_L3),(cb_V3_3-cb_w3_3*0/20*cb_L3))</f>
        <v/>
      </c>
      <c r="CJ45">
        <f>IF(inputs_ok,IF(cb_on3,cb_X3+0/20*Lcb_3,NA()),NA())</f>
        <v/>
      </c>
      <c r="CK45">
        <f>(-0.2*cb_Ltot)+(0.07*cb_Ltot/MAX(cb_Vmax,0.001))*MIN((cb_V1_3-cb_w1_3*0/20*cb_L3),(cb_V2_3-cb_w2_3*0/20*cb_L3),(cb_V3_3-cb_w3_3*0/20*cb_L3))</f>
        <v/>
      </c>
      <c r="CM45">
        <f>IF(inputs_ok,IF(cb_on3,cb_X3+0/20*Lcb_3,NA()),NA())</f>
        <v/>
      </c>
      <c r="CN45">
        <f>(-0.47*cb_Ltot)-(0.11*cb_Ltot/MAX(cb_Msag,cb_Mhog,0.001))*MAX((cb_M1_2+cb_V1_3*(0/20*cb_L3)-cb_w1_3*(0/20*cb_L3)^2/2),(cb_M2_2+cb_V2_3*(0/20*cb_L3)-cb_w2_3*(0/20*cb_L3)^2/2),(cb_M3_2+cb_V3_3*(0/20*cb_L3)-cb_w3_3*(0/20*cb_L3)^2/2))</f>
        <v/>
      </c>
      <c r="CP45">
        <f>IF(inputs_ok,IF(cb_on3,cb_X3+0/20*Lcb_3,NA()),NA())</f>
        <v/>
      </c>
      <c r="CQ45">
        <f>(-0.47*cb_Ltot)-(0.11*cb_Ltot/MAX(cb_Msag,cb_Mhog,0.001))*MIN((cb_M1_2+cb_V1_3*(0/20*cb_L3)-cb_w1_3*(0/20*cb_L3)^2/2),(cb_M2_2+cb_V2_3*(0/20*cb_L3)-cb_w2_3*(0/20*cb_L3)^2/2),(cb_M3_2+cb_V3_3*(0/20*cb_L3)-cb_w3_3*(0/20*cb_L3)^2/2))</f>
        <v/>
      </c>
    </row>
    <row r="46">
      <c r="CG46">
        <f>IF(inputs_ok,IF(cb_on3,cb_X3+1/20*Lcb_3,NA()),NA())</f>
        <v/>
      </c>
      <c r="CH46">
        <f>(-0.2*cb_Ltot)+(0.07*cb_Ltot/MAX(cb_Vmax,0.001))*MAX((cb_V1_3-cb_w1_3*1/20*cb_L3),(cb_V2_3-cb_w2_3*1/20*cb_L3),(cb_V3_3-cb_w3_3*1/20*cb_L3))</f>
        <v/>
      </c>
      <c r="CJ46">
        <f>IF(inputs_ok,IF(cb_on3,cb_X3+1/20*Lcb_3,NA()),NA())</f>
        <v/>
      </c>
      <c r="CK46">
        <f>(-0.2*cb_Ltot)+(0.07*cb_Ltot/MAX(cb_Vmax,0.001))*MIN((cb_V1_3-cb_w1_3*1/20*cb_L3),(cb_V2_3-cb_w2_3*1/20*cb_L3),(cb_V3_3-cb_w3_3*1/20*cb_L3))</f>
        <v/>
      </c>
      <c r="CM46">
        <f>IF(inputs_ok,IF(cb_on3,cb_X3+1/20*Lcb_3,NA()),NA())</f>
        <v/>
      </c>
      <c r="CN46">
        <f>(-0.47*cb_Ltot)-(0.11*cb_Ltot/MAX(cb_Msag,cb_Mhog,0.001))*MAX((cb_M1_2+cb_V1_3*(1/20*cb_L3)-cb_w1_3*(1/20*cb_L3)^2/2),(cb_M2_2+cb_V2_3*(1/20*cb_L3)-cb_w2_3*(1/20*cb_L3)^2/2),(cb_M3_2+cb_V3_3*(1/20*cb_L3)-cb_w3_3*(1/20*cb_L3)^2/2))</f>
        <v/>
      </c>
      <c r="CP46">
        <f>IF(inputs_ok,IF(cb_on3,cb_X3+1/20*Lcb_3,NA()),NA())</f>
        <v/>
      </c>
      <c r="CQ46">
        <f>(-0.47*cb_Ltot)-(0.11*cb_Ltot/MAX(cb_Msag,cb_Mhog,0.001))*MIN((cb_M1_2+cb_V1_3*(1/20*cb_L3)-cb_w1_3*(1/20*cb_L3)^2/2),(cb_M2_2+cb_V2_3*(1/20*cb_L3)-cb_w2_3*(1/20*cb_L3)^2/2),(cb_M3_2+cb_V3_3*(1/20*cb_L3)-cb_w3_3*(1/20*cb_L3)^2/2))</f>
        <v/>
      </c>
    </row>
    <row r="47">
      <c r="CG47">
        <f>IF(inputs_ok,IF(cb_on3,cb_X3+2/20*Lcb_3,NA()),NA())</f>
        <v/>
      </c>
      <c r="CH47">
        <f>(-0.2*cb_Ltot)+(0.07*cb_Ltot/MAX(cb_Vmax,0.001))*MAX((cb_V1_3-cb_w1_3*2/20*cb_L3),(cb_V2_3-cb_w2_3*2/20*cb_L3),(cb_V3_3-cb_w3_3*2/20*cb_L3))</f>
        <v/>
      </c>
      <c r="CJ47">
        <f>IF(inputs_ok,IF(cb_on3,cb_X3+2/20*Lcb_3,NA()),NA())</f>
        <v/>
      </c>
      <c r="CK47">
        <f>(-0.2*cb_Ltot)+(0.07*cb_Ltot/MAX(cb_Vmax,0.001))*MIN((cb_V1_3-cb_w1_3*2/20*cb_L3),(cb_V2_3-cb_w2_3*2/20*cb_L3),(cb_V3_3-cb_w3_3*2/20*cb_L3))</f>
        <v/>
      </c>
      <c r="CM47">
        <f>IF(inputs_ok,IF(cb_on3,cb_X3+2/20*Lcb_3,NA()),NA())</f>
        <v/>
      </c>
      <c r="CN47">
        <f>(-0.47*cb_Ltot)-(0.11*cb_Ltot/MAX(cb_Msag,cb_Mhog,0.001))*MAX((cb_M1_2+cb_V1_3*(2/20*cb_L3)-cb_w1_3*(2/20*cb_L3)^2/2),(cb_M2_2+cb_V2_3*(2/20*cb_L3)-cb_w2_3*(2/20*cb_L3)^2/2),(cb_M3_2+cb_V3_3*(2/20*cb_L3)-cb_w3_3*(2/20*cb_L3)^2/2))</f>
        <v/>
      </c>
      <c r="CP47">
        <f>IF(inputs_ok,IF(cb_on3,cb_X3+2/20*Lcb_3,NA()),NA())</f>
        <v/>
      </c>
      <c r="CQ47">
        <f>(-0.47*cb_Ltot)-(0.11*cb_Ltot/MAX(cb_Msag,cb_Mhog,0.001))*MIN((cb_M1_2+cb_V1_3*(2/20*cb_L3)-cb_w1_3*(2/20*cb_L3)^2/2),(cb_M2_2+cb_V2_3*(2/20*cb_L3)-cb_w2_3*(2/20*cb_L3)^2/2),(cb_M3_2+cb_V3_3*(2/20*cb_L3)-cb_w3_3*(2/20*cb_L3)^2/2))</f>
        <v/>
      </c>
    </row>
    <row r="48">
      <c r="CG48">
        <f>IF(inputs_ok,IF(cb_on3,cb_X3+3/20*Lcb_3,NA()),NA())</f>
        <v/>
      </c>
      <c r="CH48">
        <f>(-0.2*cb_Ltot)+(0.07*cb_Ltot/MAX(cb_Vmax,0.001))*MAX((cb_V1_3-cb_w1_3*3/20*cb_L3),(cb_V2_3-cb_w2_3*3/20*cb_L3),(cb_V3_3-cb_w3_3*3/20*cb_L3))</f>
        <v/>
      </c>
      <c r="CJ48">
        <f>IF(inputs_ok,IF(cb_on3,cb_X3+3/20*Lcb_3,NA()),NA())</f>
        <v/>
      </c>
      <c r="CK48">
        <f>(-0.2*cb_Ltot)+(0.07*cb_Ltot/MAX(cb_Vmax,0.001))*MIN((cb_V1_3-cb_w1_3*3/20*cb_L3),(cb_V2_3-cb_w2_3*3/20*cb_L3),(cb_V3_3-cb_w3_3*3/20*cb_L3))</f>
        <v/>
      </c>
      <c r="CM48">
        <f>IF(inputs_ok,IF(cb_on3,cb_X3+3/20*Lcb_3,NA()),NA())</f>
        <v/>
      </c>
      <c r="CN48">
        <f>(-0.47*cb_Ltot)-(0.11*cb_Ltot/MAX(cb_Msag,cb_Mhog,0.001))*MAX((cb_M1_2+cb_V1_3*(3/20*cb_L3)-cb_w1_3*(3/20*cb_L3)^2/2),(cb_M2_2+cb_V2_3*(3/20*cb_L3)-cb_w2_3*(3/20*cb_L3)^2/2),(cb_M3_2+cb_V3_3*(3/20*cb_L3)-cb_w3_3*(3/20*cb_L3)^2/2))</f>
        <v/>
      </c>
      <c r="CP48">
        <f>IF(inputs_ok,IF(cb_on3,cb_X3+3/20*Lcb_3,NA()),NA())</f>
        <v/>
      </c>
      <c r="CQ48">
        <f>(-0.47*cb_Ltot)-(0.11*cb_Ltot/MAX(cb_Msag,cb_Mhog,0.001))*MIN((cb_M1_2+cb_V1_3*(3/20*cb_L3)-cb_w1_3*(3/20*cb_L3)^2/2),(cb_M2_2+cb_V2_3*(3/20*cb_L3)-cb_w2_3*(3/20*cb_L3)^2/2),(cb_M3_2+cb_V3_3*(3/20*cb_L3)-cb_w3_3*(3/20*cb_L3)^2/2))</f>
        <v/>
      </c>
    </row>
    <row r="49">
      <c r="CG49">
        <f>IF(inputs_ok,IF(cb_on3,cb_X3+4/20*Lcb_3,NA()),NA())</f>
        <v/>
      </c>
      <c r="CH49">
        <f>(-0.2*cb_Ltot)+(0.07*cb_Ltot/MAX(cb_Vmax,0.001))*MAX((cb_V1_3-cb_w1_3*4/20*cb_L3),(cb_V2_3-cb_w2_3*4/20*cb_L3),(cb_V3_3-cb_w3_3*4/20*cb_L3))</f>
        <v/>
      </c>
      <c r="CJ49">
        <f>IF(inputs_ok,IF(cb_on3,cb_X3+4/20*Lcb_3,NA()),NA())</f>
        <v/>
      </c>
      <c r="CK49">
        <f>(-0.2*cb_Ltot)+(0.07*cb_Ltot/MAX(cb_Vmax,0.001))*MIN((cb_V1_3-cb_w1_3*4/20*cb_L3),(cb_V2_3-cb_w2_3*4/20*cb_L3),(cb_V3_3-cb_w3_3*4/20*cb_L3))</f>
        <v/>
      </c>
      <c r="CM49">
        <f>IF(inputs_ok,IF(cb_on3,cb_X3+4/20*Lcb_3,NA()),NA())</f>
        <v/>
      </c>
      <c r="CN49">
        <f>(-0.47*cb_Ltot)-(0.11*cb_Ltot/MAX(cb_Msag,cb_Mhog,0.001))*MAX((cb_M1_2+cb_V1_3*(4/20*cb_L3)-cb_w1_3*(4/20*cb_L3)^2/2),(cb_M2_2+cb_V2_3*(4/20*cb_L3)-cb_w2_3*(4/20*cb_L3)^2/2),(cb_M3_2+cb_V3_3*(4/20*cb_L3)-cb_w3_3*(4/20*cb_L3)^2/2))</f>
        <v/>
      </c>
      <c r="CP49">
        <f>IF(inputs_ok,IF(cb_on3,cb_X3+4/20*Lcb_3,NA()),NA())</f>
        <v/>
      </c>
      <c r="CQ49">
        <f>(-0.47*cb_Ltot)-(0.11*cb_Ltot/MAX(cb_Msag,cb_Mhog,0.001))*MIN((cb_M1_2+cb_V1_3*(4/20*cb_L3)-cb_w1_3*(4/20*cb_L3)^2/2),(cb_M2_2+cb_V2_3*(4/20*cb_L3)-cb_w2_3*(4/20*cb_L3)^2/2),(cb_M3_2+cb_V3_3*(4/20*cb_L3)-cb_w3_3*(4/20*cb_L3)^2/2))</f>
        <v/>
      </c>
    </row>
    <row r="50">
      <c r="CG50">
        <f>IF(inputs_ok,IF(cb_on3,cb_X3+5/20*Lcb_3,NA()),NA())</f>
        <v/>
      </c>
      <c r="CH50">
        <f>(-0.2*cb_Ltot)+(0.07*cb_Ltot/MAX(cb_Vmax,0.001))*MAX((cb_V1_3-cb_w1_3*5/20*cb_L3),(cb_V2_3-cb_w2_3*5/20*cb_L3),(cb_V3_3-cb_w3_3*5/20*cb_L3))</f>
        <v/>
      </c>
      <c r="CJ50">
        <f>IF(inputs_ok,IF(cb_on3,cb_X3+5/20*Lcb_3,NA()),NA())</f>
        <v/>
      </c>
      <c r="CK50">
        <f>(-0.2*cb_Ltot)+(0.07*cb_Ltot/MAX(cb_Vmax,0.001))*MIN((cb_V1_3-cb_w1_3*5/20*cb_L3),(cb_V2_3-cb_w2_3*5/20*cb_L3),(cb_V3_3-cb_w3_3*5/20*cb_L3))</f>
        <v/>
      </c>
      <c r="CM50">
        <f>IF(inputs_ok,IF(cb_on3,cb_X3+5/20*Lcb_3,NA()),NA())</f>
        <v/>
      </c>
      <c r="CN50">
        <f>(-0.47*cb_Ltot)-(0.11*cb_Ltot/MAX(cb_Msag,cb_Mhog,0.001))*MAX((cb_M1_2+cb_V1_3*(5/20*cb_L3)-cb_w1_3*(5/20*cb_L3)^2/2),(cb_M2_2+cb_V2_3*(5/20*cb_L3)-cb_w2_3*(5/20*cb_L3)^2/2),(cb_M3_2+cb_V3_3*(5/20*cb_L3)-cb_w3_3*(5/20*cb_L3)^2/2))</f>
        <v/>
      </c>
      <c r="CP50">
        <f>IF(inputs_ok,IF(cb_on3,cb_X3+5/20*Lcb_3,NA()),NA())</f>
        <v/>
      </c>
      <c r="CQ50">
        <f>(-0.47*cb_Ltot)-(0.11*cb_Ltot/MAX(cb_Msag,cb_Mhog,0.001))*MIN((cb_M1_2+cb_V1_3*(5/20*cb_L3)-cb_w1_3*(5/20*cb_L3)^2/2),(cb_M2_2+cb_V2_3*(5/20*cb_L3)-cb_w2_3*(5/20*cb_L3)^2/2),(cb_M3_2+cb_V3_3*(5/20*cb_L3)-cb_w3_3*(5/20*cb_L3)^2/2))</f>
        <v/>
      </c>
    </row>
    <row r="51">
      <c r="CG51">
        <f>IF(inputs_ok,IF(cb_on3,cb_X3+6/20*Lcb_3,NA()),NA())</f>
        <v/>
      </c>
      <c r="CH51">
        <f>(-0.2*cb_Ltot)+(0.07*cb_Ltot/MAX(cb_Vmax,0.001))*MAX((cb_V1_3-cb_w1_3*6/20*cb_L3),(cb_V2_3-cb_w2_3*6/20*cb_L3),(cb_V3_3-cb_w3_3*6/20*cb_L3))</f>
        <v/>
      </c>
      <c r="CJ51">
        <f>IF(inputs_ok,IF(cb_on3,cb_X3+6/20*Lcb_3,NA()),NA())</f>
        <v/>
      </c>
      <c r="CK51">
        <f>(-0.2*cb_Ltot)+(0.07*cb_Ltot/MAX(cb_Vmax,0.001))*MIN((cb_V1_3-cb_w1_3*6/20*cb_L3),(cb_V2_3-cb_w2_3*6/20*cb_L3),(cb_V3_3-cb_w3_3*6/20*cb_L3))</f>
        <v/>
      </c>
      <c r="CM51">
        <f>IF(inputs_ok,IF(cb_on3,cb_X3+6/20*Lcb_3,NA()),NA())</f>
        <v/>
      </c>
      <c r="CN51">
        <f>(-0.47*cb_Ltot)-(0.11*cb_Ltot/MAX(cb_Msag,cb_Mhog,0.001))*MAX((cb_M1_2+cb_V1_3*(6/20*cb_L3)-cb_w1_3*(6/20*cb_L3)^2/2),(cb_M2_2+cb_V2_3*(6/20*cb_L3)-cb_w2_3*(6/20*cb_L3)^2/2),(cb_M3_2+cb_V3_3*(6/20*cb_L3)-cb_w3_3*(6/20*cb_L3)^2/2))</f>
        <v/>
      </c>
      <c r="CP51">
        <f>IF(inputs_ok,IF(cb_on3,cb_X3+6/20*Lcb_3,NA()),NA())</f>
        <v/>
      </c>
      <c r="CQ51">
        <f>(-0.47*cb_Ltot)-(0.11*cb_Ltot/MAX(cb_Msag,cb_Mhog,0.001))*MIN((cb_M1_2+cb_V1_3*(6/20*cb_L3)-cb_w1_3*(6/20*cb_L3)^2/2),(cb_M2_2+cb_V2_3*(6/20*cb_L3)-cb_w2_3*(6/20*cb_L3)^2/2),(cb_M3_2+cb_V3_3*(6/20*cb_L3)-cb_w3_3*(6/20*cb_L3)^2/2))</f>
        <v/>
      </c>
    </row>
    <row r="52">
      <c r="CG52">
        <f>IF(inputs_ok,IF(cb_on3,cb_X3+7/20*Lcb_3,NA()),NA())</f>
        <v/>
      </c>
      <c r="CH52">
        <f>(-0.2*cb_Ltot)+(0.07*cb_Ltot/MAX(cb_Vmax,0.001))*MAX((cb_V1_3-cb_w1_3*7/20*cb_L3),(cb_V2_3-cb_w2_3*7/20*cb_L3),(cb_V3_3-cb_w3_3*7/20*cb_L3))</f>
        <v/>
      </c>
      <c r="CJ52">
        <f>IF(inputs_ok,IF(cb_on3,cb_X3+7/20*Lcb_3,NA()),NA())</f>
        <v/>
      </c>
      <c r="CK52">
        <f>(-0.2*cb_Ltot)+(0.07*cb_Ltot/MAX(cb_Vmax,0.001))*MIN((cb_V1_3-cb_w1_3*7/20*cb_L3),(cb_V2_3-cb_w2_3*7/20*cb_L3),(cb_V3_3-cb_w3_3*7/20*cb_L3))</f>
        <v/>
      </c>
      <c r="CM52">
        <f>IF(inputs_ok,IF(cb_on3,cb_X3+7/20*Lcb_3,NA()),NA())</f>
        <v/>
      </c>
      <c r="CN52">
        <f>(-0.47*cb_Ltot)-(0.11*cb_Ltot/MAX(cb_Msag,cb_Mhog,0.001))*MAX((cb_M1_2+cb_V1_3*(7/20*cb_L3)-cb_w1_3*(7/20*cb_L3)^2/2),(cb_M2_2+cb_V2_3*(7/20*cb_L3)-cb_w2_3*(7/20*cb_L3)^2/2),(cb_M3_2+cb_V3_3*(7/20*cb_L3)-cb_w3_3*(7/20*cb_L3)^2/2))</f>
        <v/>
      </c>
      <c r="CP52">
        <f>IF(inputs_ok,IF(cb_on3,cb_X3+7/20*Lcb_3,NA()),NA())</f>
        <v/>
      </c>
      <c r="CQ52">
        <f>(-0.47*cb_Ltot)-(0.11*cb_Ltot/MAX(cb_Msag,cb_Mhog,0.001))*MIN((cb_M1_2+cb_V1_3*(7/20*cb_L3)-cb_w1_3*(7/20*cb_L3)^2/2),(cb_M2_2+cb_V2_3*(7/20*cb_L3)-cb_w2_3*(7/20*cb_L3)^2/2),(cb_M3_2+cb_V3_3*(7/20*cb_L3)-cb_w3_3*(7/20*cb_L3)^2/2))</f>
        <v/>
      </c>
    </row>
    <row r="53">
      <c r="CG53">
        <f>IF(inputs_ok,IF(cb_on3,cb_X3+8/20*Lcb_3,NA()),NA())</f>
        <v/>
      </c>
      <c r="CH53">
        <f>(-0.2*cb_Ltot)+(0.07*cb_Ltot/MAX(cb_Vmax,0.001))*MAX((cb_V1_3-cb_w1_3*8/20*cb_L3),(cb_V2_3-cb_w2_3*8/20*cb_L3),(cb_V3_3-cb_w3_3*8/20*cb_L3))</f>
        <v/>
      </c>
      <c r="CJ53">
        <f>IF(inputs_ok,IF(cb_on3,cb_X3+8/20*Lcb_3,NA()),NA())</f>
        <v/>
      </c>
      <c r="CK53">
        <f>(-0.2*cb_Ltot)+(0.07*cb_Ltot/MAX(cb_Vmax,0.001))*MIN((cb_V1_3-cb_w1_3*8/20*cb_L3),(cb_V2_3-cb_w2_3*8/20*cb_L3),(cb_V3_3-cb_w3_3*8/20*cb_L3))</f>
        <v/>
      </c>
      <c r="CM53">
        <f>IF(inputs_ok,IF(cb_on3,cb_X3+8/20*Lcb_3,NA()),NA())</f>
        <v/>
      </c>
      <c r="CN53">
        <f>(-0.47*cb_Ltot)-(0.11*cb_Ltot/MAX(cb_Msag,cb_Mhog,0.001))*MAX((cb_M1_2+cb_V1_3*(8/20*cb_L3)-cb_w1_3*(8/20*cb_L3)^2/2),(cb_M2_2+cb_V2_3*(8/20*cb_L3)-cb_w2_3*(8/20*cb_L3)^2/2),(cb_M3_2+cb_V3_3*(8/20*cb_L3)-cb_w3_3*(8/20*cb_L3)^2/2))</f>
        <v/>
      </c>
      <c r="CP53">
        <f>IF(inputs_ok,IF(cb_on3,cb_X3+8/20*Lcb_3,NA()),NA())</f>
        <v/>
      </c>
      <c r="CQ53">
        <f>(-0.47*cb_Ltot)-(0.11*cb_Ltot/MAX(cb_Msag,cb_Mhog,0.001))*MIN((cb_M1_2+cb_V1_3*(8/20*cb_L3)-cb_w1_3*(8/20*cb_L3)^2/2),(cb_M2_2+cb_V2_3*(8/20*cb_L3)-cb_w2_3*(8/20*cb_L3)^2/2),(cb_M3_2+cb_V3_3*(8/20*cb_L3)-cb_w3_3*(8/20*cb_L3)^2/2))</f>
        <v/>
      </c>
    </row>
    <row r="54">
      <c r="CG54">
        <f>IF(inputs_ok,IF(cb_on3,cb_X3+9/20*Lcb_3,NA()),NA())</f>
        <v/>
      </c>
      <c r="CH54">
        <f>(-0.2*cb_Ltot)+(0.07*cb_Ltot/MAX(cb_Vmax,0.001))*MAX((cb_V1_3-cb_w1_3*9/20*cb_L3),(cb_V2_3-cb_w2_3*9/20*cb_L3),(cb_V3_3-cb_w3_3*9/20*cb_L3))</f>
        <v/>
      </c>
      <c r="CJ54">
        <f>IF(inputs_ok,IF(cb_on3,cb_X3+9/20*Lcb_3,NA()),NA())</f>
        <v/>
      </c>
      <c r="CK54">
        <f>(-0.2*cb_Ltot)+(0.07*cb_Ltot/MAX(cb_Vmax,0.001))*MIN((cb_V1_3-cb_w1_3*9/20*cb_L3),(cb_V2_3-cb_w2_3*9/20*cb_L3),(cb_V3_3-cb_w3_3*9/20*cb_L3))</f>
        <v/>
      </c>
      <c r="CM54">
        <f>IF(inputs_ok,IF(cb_on3,cb_X3+9/20*Lcb_3,NA()),NA())</f>
        <v/>
      </c>
      <c r="CN54">
        <f>(-0.47*cb_Ltot)-(0.11*cb_Ltot/MAX(cb_Msag,cb_Mhog,0.001))*MAX((cb_M1_2+cb_V1_3*(9/20*cb_L3)-cb_w1_3*(9/20*cb_L3)^2/2),(cb_M2_2+cb_V2_3*(9/20*cb_L3)-cb_w2_3*(9/20*cb_L3)^2/2),(cb_M3_2+cb_V3_3*(9/20*cb_L3)-cb_w3_3*(9/20*cb_L3)^2/2))</f>
        <v/>
      </c>
      <c r="CP54">
        <f>IF(inputs_ok,IF(cb_on3,cb_X3+9/20*Lcb_3,NA()),NA())</f>
        <v/>
      </c>
      <c r="CQ54">
        <f>(-0.47*cb_Ltot)-(0.11*cb_Ltot/MAX(cb_Msag,cb_Mhog,0.001))*MIN((cb_M1_2+cb_V1_3*(9/20*cb_L3)-cb_w1_3*(9/20*cb_L3)^2/2),(cb_M2_2+cb_V2_3*(9/20*cb_L3)-cb_w2_3*(9/20*cb_L3)^2/2),(cb_M3_2+cb_V3_3*(9/20*cb_L3)-cb_w3_3*(9/20*cb_L3)^2/2))</f>
        <v/>
      </c>
    </row>
    <row r="55">
      <c r="CG55">
        <f>IF(inputs_ok,IF(cb_on3,cb_X3+10/20*Lcb_3,NA()),NA())</f>
        <v/>
      </c>
      <c r="CH55">
        <f>(-0.2*cb_Ltot)+(0.07*cb_Ltot/MAX(cb_Vmax,0.001))*MAX((cb_V1_3-cb_w1_3*10/20*cb_L3),(cb_V2_3-cb_w2_3*10/20*cb_L3),(cb_V3_3-cb_w3_3*10/20*cb_L3))</f>
        <v/>
      </c>
      <c r="CJ55">
        <f>IF(inputs_ok,IF(cb_on3,cb_X3+10/20*Lcb_3,NA()),NA())</f>
        <v/>
      </c>
      <c r="CK55">
        <f>(-0.2*cb_Ltot)+(0.07*cb_Ltot/MAX(cb_Vmax,0.001))*MIN((cb_V1_3-cb_w1_3*10/20*cb_L3),(cb_V2_3-cb_w2_3*10/20*cb_L3),(cb_V3_3-cb_w3_3*10/20*cb_L3))</f>
        <v/>
      </c>
      <c r="CM55">
        <f>IF(inputs_ok,IF(cb_on3,cb_X3+10/20*Lcb_3,NA()),NA())</f>
        <v/>
      </c>
      <c r="CN55">
        <f>(-0.47*cb_Ltot)-(0.11*cb_Ltot/MAX(cb_Msag,cb_Mhog,0.001))*MAX((cb_M1_2+cb_V1_3*(10/20*cb_L3)-cb_w1_3*(10/20*cb_L3)^2/2),(cb_M2_2+cb_V2_3*(10/20*cb_L3)-cb_w2_3*(10/20*cb_L3)^2/2),(cb_M3_2+cb_V3_3*(10/20*cb_L3)-cb_w3_3*(10/20*cb_L3)^2/2))</f>
        <v/>
      </c>
      <c r="CP55">
        <f>IF(inputs_ok,IF(cb_on3,cb_X3+10/20*Lcb_3,NA()),NA())</f>
        <v/>
      </c>
      <c r="CQ55">
        <f>(-0.47*cb_Ltot)-(0.11*cb_Ltot/MAX(cb_Msag,cb_Mhog,0.001))*MIN((cb_M1_2+cb_V1_3*(10/20*cb_L3)-cb_w1_3*(10/20*cb_L3)^2/2),(cb_M2_2+cb_V2_3*(10/20*cb_L3)-cb_w2_3*(10/20*cb_L3)^2/2),(cb_M3_2+cb_V3_3*(10/20*cb_L3)-cb_w3_3*(10/20*cb_L3)^2/2))</f>
        <v/>
      </c>
    </row>
    <row r="56">
      <c r="CG56">
        <f>IF(inputs_ok,IF(cb_on3,cb_X3+11/20*Lcb_3,NA()),NA())</f>
        <v/>
      </c>
      <c r="CH56">
        <f>(-0.2*cb_Ltot)+(0.07*cb_Ltot/MAX(cb_Vmax,0.001))*MAX((cb_V1_3-cb_w1_3*11/20*cb_L3),(cb_V2_3-cb_w2_3*11/20*cb_L3),(cb_V3_3-cb_w3_3*11/20*cb_L3))</f>
        <v/>
      </c>
      <c r="CJ56">
        <f>IF(inputs_ok,IF(cb_on3,cb_X3+11/20*Lcb_3,NA()),NA())</f>
        <v/>
      </c>
      <c r="CK56">
        <f>(-0.2*cb_Ltot)+(0.07*cb_Ltot/MAX(cb_Vmax,0.001))*MIN((cb_V1_3-cb_w1_3*11/20*cb_L3),(cb_V2_3-cb_w2_3*11/20*cb_L3),(cb_V3_3-cb_w3_3*11/20*cb_L3))</f>
        <v/>
      </c>
      <c r="CM56">
        <f>IF(inputs_ok,IF(cb_on3,cb_X3+11/20*Lcb_3,NA()),NA())</f>
        <v/>
      </c>
      <c r="CN56">
        <f>(-0.47*cb_Ltot)-(0.11*cb_Ltot/MAX(cb_Msag,cb_Mhog,0.001))*MAX((cb_M1_2+cb_V1_3*(11/20*cb_L3)-cb_w1_3*(11/20*cb_L3)^2/2),(cb_M2_2+cb_V2_3*(11/20*cb_L3)-cb_w2_3*(11/20*cb_L3)^2/2),(cb_M3_2+cb_V3_3*(11/20*cb_L3)-cb_w3_3*(11/20*cb_L3)^2/2))</f>
        <v/>
      </c>
      <c r="CP56">
        <f>IF(inputs_ok,IF(cb_on3,cb_X3+11/20*Lcb_3,NA()),NA())</f>
        <v/>
      </c>
      <c r="CQ56">
        <f>(-0.47*cb_Ltot)-(0.11*cb_Ltot/MAX(cb_Msag,cb_Mhog,0.001))*MIN((cb_M1_2+cb_V1_3*(11/20*cb_L3)-cb_w1_3*(11/20*cb_L3)^2/2),(cb_M2_2+cb_V2_3*(11/20*cb_L3)-cb_w2_3*(11/20*cb_L3)^2/2),(cb_M3_2+cb_V3_3*(11/20*cb_L3)-cb_w3_3*(11/20*cb_L3)^2/2))</f>
        <v/>
      </c>
    </row>
    <row r="57">
      <c r="CG57">
        <f>IF(inputs_ok,IF(cb_on3,cb_X3+12/20*Lcb_3,NA()),NA())</f>
        <v/>
      </c>
      <c r="CH57">
        <f>(-0.2*cb_Ltot)+(0.07*cb_Ltot/MAX(cb_Vmax,0.001))*MAX((cb_V1_3-cb_w1_3*12/20*cb_L3),(cb_V2_3-cb_w2_3*12/20*cb_L3),(cb_V3_3-cb_w3_3*12/20*cb_L3))</f>
        <v/>
      </c>
      <c r="CJ57">
        <f>IF(inputs_ok,IF(cb_on3,cb_X3+12/20*Lcb_3,NA()),NA())</f>
        <v/>
      </c>
      <c r="CK57">
        <f>(-0.2*cb_Ltot)+(0.07*cb_Ltot/MAX(cb_Vmax,0.001))*MIN((cb_V1_3-cb_w1_3*12/20*cb_L3),(cb_V2_3-cb_w2_3*12/20*cb_L3),(cb_V3_3-cb_w3_3*12/20*cb_L3))</f>
        <v/>
      </c>
      <c r="CM57">
        <f>IF(inputs_ok,IF(cb_on3,cb_X3+12/20*Lcb_3,NA()),NA())</f>
        <v/>
      </c>
      <c r="CN57">
        <f>(-0.47*cb_Ltot)-(0.11*cb_Ltot/MAX(cb_Msag,cb_Mhog,0.001))*MAX((cb_M1_2+cb_V1_3*(12/20*cb_L3)-cb_w1_3*(12/20*cb_L3)^2/2),(cb_M2_2+cb_V2_3*(12/20*cb_L3)-cb_w2_3*(12/20*cb_L3)^2/2),(cb_M3_2+cb_V3_3*(12/20*cb_L3)-cb_w3_3*(12/20*cb_L3)^2/2))</f>
        <v/>
      </c>
      <c r="CP57">
        <f>IF(inputs_ok,IF(cb_on3,cb_X3+12/20*Lcb_3,NA()),NA())</f>
        <v/>
      </c>
      <c r="CQ57">
        <f>(-0.47*cb_Ltot)-(0.11*cb_Ltot/MAX(cb_Msag,cb_Mhog,0.001))*MIN((cb_M1_2+cb_V1_3*(12/20*cb_L3)-cb_w1_3*(12/20*cb_L3)^2/2),(cb_M2_2+cb_V2_3*(12/20*cb_L3)-cb_w2_3*(12/20*cb_L3)^2/2),(cb_M3_2+cb_V3_3*(12/20*cb_L3)-cb_w3_3*(12/20*cb_L3)^2/2))</f>
        <v/>
      </c>
    </row>
    <row r="58">
      <c r="CG58">
        <f>IF(inputs_ok,IF(cb_on3,cb_X3+13/20*Lcb_3,NA()),NA())</f>
        <v/>
      </c>
      <c r="CH58">
        <f>(-0.2*cb_Ltot)+(0.07*cb_Ltot/MAX(cb_Vmax,0.001))*MAX((cb_V1_3-cb_w1_3*13/20*cb_L3),(cb_V2_3-cb_w2_3*13/20*cb_L3),(cb_V3_3-cb_w3_3*13/20*cb_L3))</f>
        <v/>
      </c>
      <c r="CJ58">
        <f>IF(inputs_ok,IF(cb_on3,cb_X3+13/20*Lcb_3,NA()),NA())</f>
        <v/>
      </c>
      <c r="CK58">
        <f>(-0.2*cb_Ltot)+(0.07*cb_Ltot/MAX(cb_Vmax,0.001))*MIN((cb_V1_3-cb_w1_3*13/20*cb_L3),(cb_V2_3-cb_w2_3*13/20*cb_L3),(cb_V3_3-cb_w3_3*13/20*cb_L3))</f>
        <v/>
      </c>
      <c r="CM58">
        <f>IF(inputs_ok,IF(cb_on3,cb_X3+13/20*Lcb_3,NA()),NA())</f>
        <v/>
      </c>
      <c r="CN58">
        <f>(-0.47*cb_Ltot)-(0.11*cb_Ltot/MAX(cb_Msag,cb_Mhog,0.001))*MAX((cb_M1_2+cb_V1_3*(13/20*cb_L3)-cb_w1_3*(13/20*cb_L3)^2/2),(cb_M2_2+cb_V2_3*(13/20*cb_L3)-cb_w2_3*(13/20*cb_L3)^2/2),(cb_M3_2+cb_V3_3*(13/20*cb_L3)-cb_w3_3*(13/20*cb_L3)^2/2))</f>
        <v/>
      </c>
      <c r="CP58">
        <f>IF(inputs_ok,IF(cb_on3,cb_X3+13/20*Lcb_3,NA()),NA())</f>
        <v/>
      </c>
      <c r="CQ58">
        <f>(-0.47*cb_Ltot)-(0.11*cb_Ltot/MAX(cb_Msag,cb_Mhog,0.001))*MIN((cb_M1_2+cb_V1_3*(13/20*cb_L3)-cb_w1_3*(13/20*cb_L3)^2/2),(cb_M2_2+cb_V2_3*(13/20*cb_L3)-cb_w2_3*(13/20*cb_L3)^2/2),(cb_M3_2+cb_V3_3*(13/20*cb_L3)-cb_w3_3*(13/20*cb_L3)^2/2))</f>
        <v/>
      </c>
    </row>
    <row r="59">
      <c r="CG59">
        <f>IF(inputs_ok,IF(cb_on3,cb_X3+14/20*Lcb_3,NA()),NA())</f>
        <v/>
      </c>
      <c r="CH59">
        <f>(-0.2*cb_Ltot)+(0.07*cb_Ltot/MAX(cb_Vmax,0.001))*MAX((cb_V1_3-cb_w1_3*14/20*cb_L3),(cb_V2_3-cb_w2_3*14/20*cb_L3),(cb_V3_3-cb_w3_3*14/20*cb_L3))</f>
        <v/>
      </c>
      <c r="CJ59">
        <f>IF(inputs_ok,IF(cb_on3,cb_X3+14/20*Lcb_3,NA()),NA())</f>
        <v/>
      </c>
      <c r="CK59">
        <f>(-0.2*cb_Ltot)+(0.07*cb_Ltot/MAX(cb_Vmax,0.001))*MIN((cb_V1_3-cb_w1_3*14/20*cb_L3),(cb_V2_3-cb_w2_3*14/20*cb_L3),(cb_V3_3-cb_w3_3*14/20*cb_L3))</f>
        <v/>
      </c>
      <c r="CM59">
        <f>IF(inputs_ok,IF(cb_on3,cb_X3+14/20*Lcb_3,NA()),NA())</f>
        <v/>
      </c>
      <c r="CN59">
        <f>(-0.47*cb_Ltot)-(0.11*cb_Ltot/MAX(cb_Msag,cb_Mhog,0.001))*MAX((cb_M1_2+cb_V1_3*(14/20*cb_L3)-cb_w1_3*(14/20*cb_L3)^2/2),(cb_M2_2+cb_V2_3*(14/20*cb_L3)-cb_w2_3*(14/20*cb_L3)^2/2),(cb_M3_2+cb_V3_3*(14/20*cb_L3)-cb_w3_3*(14/20*cb_L3)^2/2))</f>
        <v/>
      </c>
      <c r="CP59">
        <f>IF(inputs_ok,IF(cb_on3,cb_X3+14/20*Lcb_3,NA()),NA())</f>
        <v/>
      </c>
      <c r="CQ59">
        <f>(-0.47*cb_Ltot)-(0.11*cb_Ltot/MAX(cb_Msag,cb_Mhog,0.001))*MIN((cb_M1_2+cb_V1_3*(14/20*cb_L3)-cb_w1_3*(14/20*cb_L3)^2/2),(cb_M2_2+cb_V2_3*(14/20*cb_L3)-cb_w2_3*(14/20*cb_L3)^2/2),(cb_M3_2+cb_V3_3*(14/20*cb_L3)-cb_w3_3*(14/20*cb_L3)^2/2))</f>
        <v/>
      </c>
    </row>
    <row r="60">
      <c r="CG60">
        <f>IF(inputs_ok,IF(cb_on3,cb_X3+15/20*Lcb_3,NA()),NA())</f>
        <v/>
      </c>
      <c r="CH60">
        <f>(-0.2*cb_Ltot)+(0.07*cb_Ltot/MAX(cb_Vmax,0.001))*MAX((cb_V1_3-cb_w1_3*15/20*cb_L3),(cb_V2_3-cb_w2_3*15/20*cb_L3),(cb_V3_3-cb_w3_3*15/20*cb_L3))</f>
        <v/>
      </c>
      <c r="CJ60">
        <f>IF(inputs_ok,IF(cb_on3,cb_X3+15/20*Lcb_3,NA()),NA())</f>
        <v/>
      </c>
      <c r="CK60">
        <f>(-0.2*cb_Ltot)+(0.07*cb_Ltot/MAX(cb_Vmax,0.001))*MIN((cb_V1_3-cb_w1_3*15/20*cb_L3),(cb_V2_3-cb_w2_3*15/20*cb_L3),(cb_V3_3-cb_w3_3*15/20*cb_L3))</f>
        <v/>
      </c>
      <c r="CM60">
        <f>IF(inputs_ok,IF(cb_on3,cb_X3+15/20*Lcb_3,NA()),NA())</f>
        <v/>
      </c>
      <c r="CN60">
        <f>(-0.47*cb_Ltot)-(0.11*cb_Ltot/MAX(cb_Msag,cb_Mhog,0.001))*MAX((cb_M1_2+cb_V1_3*(15/20*cb_L3)-cb_w1_3*(15/20*cb_L3)^2/2),(cb_M2_2+cb_V2_3*(15/20*cb_L3)-cb_w2_3*(15/20*cb_L3)^2/2),(cb_M3_2+cb_V3_3*(15/20*cb_L3)-cb_w3_3*(15/20*cb_L3)^2/2))</f>
        <v/>
      </c>
      <c r="CP60">
        <f>IF(inputs_ok,IF(cb_on3,cb_X3+15/20*Lcb_3,NA()),NA())</f>
        <v/>
      </c>
      <c r="CQ60">
        <f>(-0.47*cb_Ltot)-(0.11*cb_Ltot/MAX(cb_Msag,cb_Mhog,0.001))*MIN((cb_M1_2+cb_V1_3*(15/20*cb_L3)-cb_w1_3*(15/20*cb_L3)^2/2),(cb_M2_2+cb_V2_3*(15/20*cb_L3)-cb_w2_3*(15/20*cb_L3)^2/2),(cb_M3_2+cb_V3_3*(15/20*cb_L3)-cb_w3_3*(15/20*cb_L3)^2/2))</f>
        <v/>
      </c>
    </row>
    <row r="61">
      <c r="CG61">
        <f>IF(inputs_ok,IF(cb_on3,cb_X3+16/20*Lcb_3,NA()),NA())</f>
        <v/>
      </c>
      <c r="CH61">
        <f>(-0.2*cb_Ltot)+(0.07*cb_Ltot/MAX(cb_Vmax,0.001))*MAX((cb_V1_3-cb_w1_3*16/20*cb_L3),(cb_V2_3-cb_w2_3*16/20*cb_L3),(cb_V3_3-cb_w3_3*16/20*cb_L3))</f>
        <v/>
      </c>
      <c r="CJ61">
        <f>IF(inputs_ok,IF(cb_on3,cb_X3+16/20*Lcb_3,NA()),NA())</f>
        <v/>
      </c>
      <c r="CK61">
        <f>(-0.2*cb_Ltot)+(0.07*cb_Ltot/MAX(cb_Vmax,0.001))*MIN((cb_V1_3-cb_w1_3*16/20*cb_L3),(cb_V2_3-cb_w2_3*16/20*cb_L3),(cb_V3_3-cb_w3_3*16/20*cb_L3))</f>
        <v/>
      </c>
      <c r="CM61">
        <f>IF(inputs_ok,IF(cb_on3,cb_X3+16/20*Lcb_3,NA()),NA())</f>
        <v/>
      </c>
      <c r="CN61">
        <f>(-0.47*cb_Ltot)-(0.11*cb_Ltot/MAX(cb_Msag,cb_Mhog,0.001))*MAX((cb_M1_2+cb_V1_3*(16/20*cb_L3)-cb_w1_3*(16/20*cb_L3)^2/2),(cb_M2_2+cb_V2_3*(16/20*cb_L3)-cb_w2_3*(16/20*cb_L3)^2/2),(cb_M3_2+cb_V3_3*(16/20*cb_L3)-cb_w3_3*(16/20*cb_L3)^2/2))</f>
        <v/>
      </c>
      <c r="CP61">
        <f>IF(inputs_ok,IF(cb_on3,cb_X3+16/20*Lcb_3,NA()),NA())</f>
        <v/>
      </c>
      <c r="CQ61">
        <f>(-0.47*cb_Ltot)-(0.11*cb_Ltot/MAX(cb_Msag,cb_Mhog,0.001))*MIN((cb_M1_2+cb_V1_3*(16/20*cb_L3)-cb_w1_3*(16/20*cb_L3)^2/2),(cb_M2_2+cb_V2_3*(16/20*cb_L3)-cb_w2_3*(16/20*cb_L3)^2/2),(cb_M3_2+cb_V3_3*(16/20*cb_L3)-cb_w3_3*(16/20*cb_L3)^2/2))</f>
        <v/>
      </c>
    </row>
    <row r="62">
      <c r="CG62">
        <f>IF(inputs_ok,IF(cb_on3,cb_X3+17/20*Lcb_3,NA()),NA())</f>
        <v/>
      </c>
      <c r="CH62">
        <f>(-0.2*cb_Ltot)+(0.07*cb_Ltot/MAX(cb_Vmax,0.001))*MAX((cb_V1_3-cb_w1_3*17/20*cb_L3),(cb_V2_3-cb_w2_3*17/20*cb_L3),(cb_V3_3-cb_w3_3*17/20*cb_L3))</f>
        <v/>
      </c>
      <c r="CJ62">
        <f>IF(inputs_ok,IF(cb_on3,cb_X3+17/20*Lcb_3,NA()),NA())</f>
        <v/>
      </c>
      <c r="CK62">
        <f>(-0.2*cb_Ltot)+(0.07*cb_Ltot/MAX(cb_Vmax,0.001))*MIN((cb_V1_3-cb_w1_3*17/20*cb_L3),(cb_V2_3-cb_w2_3*17/20*cb_L3),(cb_V3_3-cb_w3_3*17/20*cb_L3))</f>
        <v/>
      </c>
      <c r="CM62">
        <f>IF(inputs_ok,IF(cb_on3,cb_X3+17/20*Lcb_3,NA()),NA())</f>
        <v/>
      </c>
      <c r="CN62">
        <f>(-0.47*cb_Ltot)-(0.11*cb_Ltot/MAX(cb_Msag,cb_Mhog,0.001))*MAX((cb_M1_2+cb_V1_3*(17/20*cb_L3)-cb_w1_3*(17/20*cb_L3)^2/2),(cb_M2_2+cb_V2_3*(17/20*cb_L3)-cb_w2_3*(17/20*cb_L3)^2/2),(cb_M3_2+cb_V3_3*(17/20*cb_L3)-cb_w3_3*(17/20*cb_L3)^2/2))</f>
        <v/>
      </c>
      <c r="CP62">
        <f>IF(inputs_ok,IF(cb_on3,cb_X3+17/20*Lcb_3,NA()),NA())</f>
        <v/>
      </c>
      <c r="CQ62">
        <f>(-0.47*cb_Ltot)-(0.11*cb_Ltot/MAX(cb_Msag,cb_Mhog,0.001))*MIN((cb_M1_2+cb_V1_3*(17/20*cb_L3)-cb_w1_3*(17/20*cb_L3)^2/2),(cb_M2_2+cb_V2_3*(17/20*cb_L3)-cb_w2_3*(17/20*cb_L3)^2/2),(cb_M3_2+cb_V3_3*(17/20*cb_L3)-cb_w3_3*(17/20*cb_L3)^2/2))</f>
        <v/>
      </c>
    </row>
    <row r="63">
      <c r="CG63">
        <f>IF(inputs_ok,IF(cb_on3,cb_X3+18/20*Lcb_3,NA()),NA())</f>
        <v/>
      </c>
      <c r="CH63">
        <f>(-0.2*cb_Ltot)+(0.07*cb_Ltot/MAX(cb_Vmax,0.001))*MAX((cb_V1_3-cb_w1_3*18/20*cb_L3),(cb_V2_3-cb_w2_3*18/20*cb_L3),(cb_V3_3-cb_w3_3*18/20*cb_L3))</f>
        <v/>
      </c>
      <c r="CJ63">
        <f>IF(inputs_ok,IF(cb_on3,cb_X3+18/20*Lcb_3,NA()),NA())</f>
        <v/>
      </c>
      <c r="CK63">
        <f>(-0.2*cb_Ltot)+(0.07*cb_Ltot/MAX(cb_Vmax,0.001))*MIN((cb_V1_3-cb_w1_3*18/20*cb_L3),(cb_V2_3-cb_w2_3*18/20*cb_L3),(cb_V3_3-cb_w3_3*18/20*cb_L3))</f>
        <v/>
      </c>
      <c r="CM63">
        <f>IF(inputs_ok,IF(cb_on3,cb_X3+18/20*Lcb_3,NA()),NA())</f>
        <v/>
      </c>
      <c r="CN63">
        <f>(-0.47*cb_Ltot)-(0.11*cb_Ltot/MAX(cb_Msag,cb_Mhog,0.001))*MAX((cb_M1_2+cb_V1_3*(18/20*cb_L3)-cb_w1_3*(18/20*cb_L3)^2/2),(cb_M2_2+cb_V2_3*(18/20*cb_L3)-cb_w2_3*(18/20*cb_L3)^2/2),(cb_M3_2+cb_V3_3*(18/20*cb_L3)-cb_w3_3*(18/20*cb_L3)^2/2))</f>
        <v/>
      </c>
      <c r="CP63">
        <f>IF(inputs_ok,IF(cb_on3,cb_X3+18/20*Lcb_3,NA()),NA())</f>
        <v/>
      </c>
      <c r="CQ63">
        <f>(-0.47*cb_Ltot)-(0.11*cb_Ltot/MAX(cb_Msag,cb_Mhog,0.001))*MIN((cb_M1_2+cb_V1_3*(18/20*cb_L3)-cb_w1_3*(18/20*cb_L3)^2/2),(cb_M2_2+cb_V2_3*(18/20*cb_L3)-cb_w2_3*(18/20*cb_L3)^2/2),(cb_M3_2+cb_V3_3*(18/20*cb_L3)-cb_w3_3*(18/20*cb_L3)^2/2))</f>
        <v/>
      </c>
    </row>
    <row r="64">
      <c r="CG64">
        <f>IF(inputs_ok,IF(cb_on3,cb_X3+19/20*Lcb_3,NA()),NA())</f>
        <v/>
      </c>
      <c r="CH64">
        <f>(-0.2*cb_Ltot)+(0.07*cb_Ltot/MAX(cb_Vmax,0.001))*MAX((cb_V1_3-cb_w1_3*19/20*cb_L3),(cb_V2_3-cb_w2_3*19/20*cb_L3),(cb_V3_3-cb_w3_3*19/20*cb_L3))</f>
        <v/>
      </c>
      <c r="CJ64">
        <f>IF(inputs_ok,IF(cb_on3,cb_X3+19/20*Lcb_3,NA()),NA())</f>
        <v/>
      </c>
      <c r="CK64">
        <f>(-0.2*cb_Ltot)+(0.07*cb_Ltot/MAX(cb_Vmax,0.001))*MIN((cb_V1_3-cb_w1_3*19/20*cb_L3),(cb_V2_3-cb_w2_3*19/20*cb_L3),(cb_V3_3-cb_w3_3*19/20*cb_L3))</f>
        <v/>
      </c>
      <c r="CM64">
        <f>IF(inputs_ok,IF(cb_on3,cb_X3+19/20*Lcb_3,NA()),NA())</f>
        <v/>
      </c>
      <c r="CN64">
        <f>(-0.47*cb_Ltot)-(0.11*cb_Ltot/MAX(cb_Msag,cb_Mhog,0.001))*MAX((cb_M1_2+cb_V1_3*(19/20*cb_L3)-cb_w1_3*(19/20*cb_L3)^2/2),(cb_M2_2+cb_V2_3*(19/20*cb_L3)-cb_w2_3*(19/20*cb_L3)^2/2),(cb_M3_2+cb_V3_3*(19/20*cb_L3)-cb_w3_3*(19/20*cb_L3)^2/2))</f>
        <v/>
      </c>
      <c r="CP64">
        <f>IF(inputs_ok,IF(cb_on3,cb_X3+19/20*Lcb_3,NA()),NA())</f>
        <v/>
      </c>
      <c r="CQ64">
        <f>(-0.47*cb_Ltot)-(0.11*cb_Ltot/MAX(cb_Msag,cb_Mhog,0.001))*MIN((cb_M1_2+cb_V1_3*(19/20*cb_L3)-cb_w1_3*(19/20*cb_L3)^2/2),(cb_M2_2+cb_V2_3*(19/20*cb_L3)-cb_w2_3*(19/20*cb_L3)^2/2),(cb_M3_2+cb_V3_3*(19/20*cb_L3)-cb_w3_3*(19/20*cb_L3)^2/2))</f>
        <v/>
      </c>
    </row>
    <row r="65">
      <c r="CG65">
        <f>IF(inputs_ok,IF(cb_on3,cb_X3+20/20*Lcb_3,NA()),NA())</f>
        <v/>
      </c>
      <c r="CH65">
        <f>(-0.2*cb_Ltot)+(0.07*cb_Ltot/MAX(cb_Vmax,0.001))*MAX((cb_V1_3-cb_w1_3*20/20*cb_L3),(cb_V2_3-cb_w2_3*20/20*cb_L3),(cb_V3_3-cb_w3_3*20/20*cb_L3))</f>
        <v/>
      </c>
      <c r="CJ65">
        <f>IF(inputs_ok,IF(cb_on3,cb_X3+20/20*Lcb_3,NA()),NA())</f>
        <v/>
      </c>
      <c r="CK65">
        <f>(-0.2*cb_Ltot)+(0.07*cb_Ltot/MAX(cb_Vmax,0.001))*MIN((cb_V1_3-cb_w1_3*20/20*cb_L3),(cb_V2_3-cb_w2_3*20/20*cb_L3),(cb_V3_3-cb_w3_3*20/20*cb_L3))</f>
        <v/>
      </c>
      <c r="CM65">
        <f>IF(inputs_ok,IF(cb_on3,cb_X3+20/20*Lcb_3,NA()),NA())</f>
        <v/>
      </c>
      <c r="CN65">
        <f>(-0.47*cb_Ltot)-(0.11*cb_Ltot/MAX(cb_Msag,cb_Mhog,0.001))*MAX((cb_M1_2+cb_V1_3*(20/20*cb_L3)-cb_w1_3*(20/20*cb_L3)^2/2),(cb_M2_2+cb_V2_3*(20/20*cb_L3)-cb_w2_3*(20/20*cb_L3)^2/2),(cb_M3_2+cb_V3_3*(20/20*cb_L3)-cb_w3_3*(20/20*cb_L3)^2/2))</f>
        <v/>
      </c>
      <c r="CP65">
        <f>IF(inputs_ok,IF(cb_on3,cb_X3+20/20*Lcb_3,NA()),NA())</f>
        <v/>
      </c>
      <c r="CQ65">
        <f>(-0.47*cb_Ltot)-(0.11*cb_Ltot/MAX(cb_Msag,cb_Mhog,0.001))*MIN((cb_M1_2+cb_V1_3*(20/20*cb_L3)-cb_w1_3*(20/20*cb_L3)^2/2),(cb_M2_2+cb_V2_3*(20/20*cb_L3)-cb_w2_3*(20/20*cb_L3)^2/2),(cb_M3_2+cb_V3_3*(20/20*cb_L3)-cb_w3_3*(20/20*cb_L3)^2/2))</f>
        <v/>
      </c>
    </row>
    <row r="66">
      <c r="CG66">
        <f>IF(inputs_ok,IF(cb_on4,cb_X4+0/20*Lcb_4,NA()),NA())</f>
        <v/>
      </c>
      <c r="CH66">
        <f>(-0.2*cb_Ltot)+(0.07*cb_Ltot/MAX(cb_Vmax,0.001))*MAX((cb_V1_4-cb_w1_4*0/20*cb_L4),(cb_V2_4-cb_w2_4*0/20*cb_L4),(cb_V3_4-cb_w3_4*0/20*cb_L4))</f>
        <v/>
      </c>
      <c r="CJ66">
        <f>IF(inputs_ok,IF(cb_on4,cb_X4+0/20*Lcb_4,NA()),NA())</f>
        <v/>
      </c>
      <c r="CK66">
        <f>(-0.2*cb_Ltot)+(0.07*cb_Ltot/MAX(cb_Vmax,0.001))*MIN((cb_V1_4-cb_w1_4*0/20*cb_L4),(cb_V2_4-cb_w2_4*0/20*cb_L4),(cb_V3_4-cb_w3_4*0/20*cb_L4))</f>
        <v/>
      </c>
      <c r="CM66">
        <f>IF(inputs_ok,IF(cb_on4,cb_X4+0/20*Lcb_4,NA()),NA())</f>
        <v/>
      </c>
      <c r="CN66">
        <f>(-0.47*cb_Ltot)-(0.11*cb_Ltot/MAX(cb_Msag,cb_Mhog,0.001))*MAX((cb_M1_3+cb_V1_4*(0/20*cb_L4)-cb_w1_4*(0/20*cb_L4)^2/2),(cb_M2_3+cb_V2_4*(0/20*cb_L4)-cb_w2_4*(0/20*cb_L4)^2/2),(cb_M3_3+cb_V3_4*(0/20*cb_L4)-cb_w3_4*(0/20*cb_L4)^2/2))</f>
        <v/>
      </c>
      <c r="CP66">
        <f>IF(inputs_ok,IF(cb_on4,cb_X4+0/20*Lcb_4,NA()),NA())</f>
        <v/>
      </c>
      <c r="CQ66">
        <f>(-0.47*cb_Ltot)-(0.11*cb_Ltot/MAX(cb_Msag,cb_Mhog,0.001))*MIN((cb_M1_3+cb_V1_4*(0/20*cb_L4)-cb_w1_4*(0/20*cb_L4)^2/2),(cb_M2_3+cb_V2_4*(0/20*cb_L4)-cb_w2_4*(0/20*cb_L4)^2/2),(cb_M3_3+cb_V3_4*(0/20*cb_L4)-cb_w3_4*(0/20*cb_L4)^2/2))</f>
        <v/>
      </c>
    </row>
    <row r="67">
      <c r="CG67">
        <f>IF(inputs_ok,IF(cb_on4,cb_X4+1/20*Lcb_4,NA()),NA())</f>
        <v/>
      </c>
      <c r="CH67">
        <f>(-0.2*cb_Ltot)+(0.07*cb_Ltot/MAX(cb_Vmax,0.001))*MAX((cb_V1_4-cb_w1_4*1/20*cb_L4),(cb_V2_4-cb_w2_4*1/20*cb_L4),(cb_V3_4-cb_w3_4*1/20*cb_L4))</f>
        <v/>
      </c>
      <c r="CJ67">
        <f>IF(inputs_ok,IF(cb_on4,cb_X4+1/20*Lcb_4,NA()),NA())</f>
        <v/>
      </c>
      <c r="CK67">
        <f>(-0.2*cb_Ltot)+(0.07*cb_Ltot/MAX(cb_Vmax,0.001))*MIN((cb_V1_4-cb_w1_4*1/20*cb_L4),(cb_V2_4-cb_w2_4*1/20*cb_L4),(cb_V3_4-cb_w3_4*1/20*cb_L4))</f>
        <v/>
      </c>
      <c r="CM67">
        <f>IF(inputs_ok,IF(cb_on4,cb_X4+1/20*Lcb_4,NA()),NA())</f>
        <v/>
      </c>
      <c r="CN67">
        <f>(-0.47*cb_Ltot)-(0.11*cb_Ltot/MAX(cb_Msag,cb_Mhog,0.001))*MAX((cb_M1_3+cb_V1_4*(1/20*cb_L4)-cb_w1_4*(1/20*cb_L4)^2/2),(cb_M2_3+cb_V2_4*(1/20*cb_L4)-cb_w2_4*(1/20*cb_L4)^2/2),(cb_M3_3+cb_V3_4*(1/20*cb_L4)-cb_w3_4*(1/20*cb_L4)^2/2))</f>
        <v/>
      </c>
      <c r="CP67">
        <f>IF(inputs_ok,IF(cb_on4,cb_X4+1/20*Lcb_4,NA()),NA())</f>
        <v/>
      </c>
      <c r="CQ67">
        <f>(-0.47*cb_Ltot)-(0.11*cb_Ltot/MAX(cb_Msag,cb_Mhog,0.001))*MIN((cb_M1_3+cb_V1_4*(1/20*cb_L4)-cb_w1_4*(1/20*cb_L4)^2/2),(cb_M2_3+cb_V2_4*(1/20*cb_L4)-cb_w2_4*(1/20*cb_L4)^2/2),(cb_M3_3+cb_V3_4*(1/20*cb_L4)-cb_w3_4*(1/20*cb_L4)^2/2))</f>
        <v/>
      </c>
    </row>
    <row r="68">
      <c r="CG68">
        <f>IF(inputs_ok,IF(cb_on4,cb_X4+2/20*Lcb_4,NA()),NA())</f>
        <v/>
      </c>
      <c r="CH68">
        <f>(-0.2*cb_Ltot)+(0.07*cb_Ltot/MAX(cb_Vmax,0.001))*MAX((cb_V1_4-cb_w1_4*2/20*cb_L4),(cb_V2_4-cb_w2_4*2/20*cb_L4),(cb_V3_4-cb_w3_4*2/20*cb_L4))</f>
        <v/>
      </c>
      <c r="CJ68">
        <f>IF(inputs_ok,IF(cb_on4,cb_X4+2/20*Lcb_4,NA()),NA())</f>
        <v/>
      </c>
      <c r="CK68">
        <f>(-0.2*cb_Ltot)+(0.07*cb_Ltot/MAX(cb_Vmax,0.001))*MIN((cb_V1_4-cb_w1_4*2/20*cb_L4),(cb_V2_4-cb_w2_4*2/20*cb_L4),(cb_V3_4-cb_w3_4*2/20*cb_L4))</f>
        <v/>
      </c>
      <c r="CM68">
        <f>IF(inputs_ok,IF(cb_on4,cb_X4+2/20*Lcb_4,NA()),NA())</f>
        <v/>
      </c>
      <c r="CN68">
        <f>(-0.47*cb_Ltot)-(0.11*cb_Ltot/MAX(cb_Msag,cb_Mhog,0.001))*MAX((cb_M1_3+cb_V1_4*(2/20*cb_L4)-cb_w1_4*(2/20*cb_L4)^2/2),(cb_M2_3+cb_V2_4*(2/20*cb_L4)-cb_w2_4*(2/20*cb_L4)^2/2),(cb_M3_3+cb_V3_4*(2/20*cb_L4)-cb_w3_4*(2/20*cb_L4)^2/2))</f>
        <v/>
      </c>
      <c r="CP68">
        <f>IF(inputs_ok,IF(cb_on4,cb_X4+2/20*Lcb_4,NA()),NA())</f>
        <v/>
      </c>
      <c r="CQ68">
        <f>(-0.47*cb_Ltot)-(0.11*cb_Ltot/MAX(cb_Msag,cb_Mhog,0.001))*MIN((cb_M1_3+cb_V1_4*(2/20*cb_L4)-cb_w1_4*(2/20*cb_L4)^2/2),(cb_M2_3+cb_V2_4*(2/20*cb_L4)-cb_w2_4*(2/20*cb_L4)^2/2),(cb_M3_3+cb_V3_4*(2/20*cb_L4)-cb_w3_4*(2/20*cb_L4)^2/2))</f>
        <v/>
      </c>
    </row>
    <row r="69">
      <c r="CG69">
        <f>IF(inputs_ok,IF(cb_on4,cb_X4+3/20*Lcb_4,NA()),NA())</f>
        <v/>
      </c>
      <c r="CH69">
        <f>(-0.2*cb_Ltot)+(0.07*cb_Ltot/MAX(cb_Vmax,0.001))*MAX((cb_V1_4-cb_w1_4*3/20*cb_L4),(cb_V2_4-cb_w2_4*3/20*cb_L4),(cb_V3_4-cb_w3_4*3/20*cb_L4))</f>
        <v/>
      </c>
      <c r="CJ69">
        <f>IF(inputs_ok,IF(cb_on4,cb_X4+3/20*Lcb_4,NA()),NA())</f>
        <v/>
      </c>
      <c r="CK69">
        <f>(-0.2*cb_Ltot)+(0.07*cb_Ltot/MAX(cb_Vmax,0.001))*MIN((cb_V1_4-cb_w1_4*3/20*cb_L4),(cb_V2_4-cb_w2_4*3/20*cb_L4),(cb_V3_4-cb_w3_4*3/20*cb_L4))</f>
        <v/>
      </c>
      <c r="CM69">
        <f>IF(inputs_ok,IF(cb_on4,cb_X4+3/20*Lcb_4,NA()),NA())</f>
        <v/>
      </c>
      <c r="CN69">
        <f>(-0.47*cb_Ltot)-(0.11*cb_Ltot/MAX(cb_Msag,cb_Mhog,0.001))*MAX((cb_M1_3+cb_V1_4*(3/20*cb_L4)-cb_w1_4*(3/20*cb_L4)^2/2),(cb_M2_3+cb_V2_4*(3/20*cb_L4)-cb_w2_4*(3/20*cb_L4)^2/2),(cb_M3_3+cb_V3_4*(3/20*cb_L4)-cb_w3_4*(3/20*cb_L4)^2/2))</f>
        <v/>
      </c>
      <c r="CP69">
        <f>IF(inputs_ok,IF(cb_on4,cb_X4+3/20*Lcb_4,NA()),NA())</f>
        <v/>
      </c>
      <c r="CQ69">
        <f>(-0.47*cb_Ltot)-(0.11*cb_Ltot/MAX(cb_Msag,cb_Mhog,0.001))*MIN((cb_M1_3+cb_V1_4*(3/20*cb_L4)-cb_w1_4*(3/20*cb_L4)^2/2),(cb_M2_3+cb_V2_4*(3/20*cb_L4)-cb_w2_4*(3/20*cb_L4)^2/2),(cb_M3_3+cb_V3_4*(3/20*cb_L4)-cb_w3_4*(3/20*cb_L4)^2/2))</f>
        <v/>
      </c>
    </row>
    <row r="70">
      <c r="CG70">
        <f>IF(inputs_ok,IF(cb_on4,cb_X4+4/20*Lcb_4,NA()),NA())</f>
        <v/>
      </c>
      <c r="CH70">
        <f>(-0.2*cb_Ltot)+(0.07*cb_Ltot/MAX(cb_Vmax,0.001))*MAX((cb_V1_4-cb_w1_4*4/20*cb_L4),(cb_V2_4-cb_w2_4*4/20*cb_L4),(cb_V3_4-cb_w3_4*4/20*cb_L4))</f>
        <v/>
      </c>
      <c r="CJ70">
        <f>IF(inputs_ok,IF(cb_on4,cb_X4+4/20*Lcb_4,NA()),NA())</f>
        <v/>
      </c>
      <c r="CK70">
        <f>(-0.2*cb_Ltot)+(0.07*cb_Ltot/MAX(cb_Vmax,0.001))*MIN((cb_V1_4-cb_w1_4*4/20*cb_L4),(cb_V2_4-cb_w2_4*4/20*cb_L4),(cb_V3_4-cb_w3_4*4/20*cb_L4))</f>
        <v/>
      </c>
      <c r="CM70">
        <f>IF(inputs_ok,IF(cb_on4,cb_X4+4/20*Lcb_4,NA()),NA())</f>
        <v/>
      </c>
      <c r="CN70">
        <f>(-0.47*cb_Ltot)-(0.11*cb_Ltot/MAX(cb_Msag,cb_Mhog,0.001))*MAX((cb_M1_3+cb_V1_4*(4/20*cb_L4)-cb_w1_4*(4/20*cb_L4)^2/2),(cb_M2_3+cb_V2_4*(4/20*cb_L4)-cb_w2_4*(4/20*cb_L4)^2/2),(cb_M3_3+cb_V3_4*(4/20*cb_L4)-cb_w3_4*(4/20*cb_L4)^2/2))</f>
        <v/>
      </c>
      <c r="CP70">
        <f>IF(inputs_ok,IF(cb_on4,cb_X4+4/20*Lcb_4,NA()),NA())</f>
        <v/>
      </c>
      <c r="CQ70">
        <f>(-0.47*cb_Ltot)-(0.11*cb_Ltot/MAX(cb_Msag,cb_Mhog,0.001))*MIN((cb_M1_3+cb_V1_4*(4/20*cb_L4)-cb_w1_4*(4/20*cb_L4)^2/2),(cb_M2_3+cb_V2_4*(4/20*cb_L4)-cb_w2_4*(4/20*cb_L4)^2/2),(cb_M3_3+cb_V3_4*(4/20*cb_L4)-cb_w3_4*(4/20*cb_L4)^2/2))</f>
        <v/>
      </c>
    </row>
    <row r="71">
      <c r="CG71">
        <f>IF(inputs_ok,IF(cb_on4,cb_X4+5/20*Lcb_4,NA()),NA())</f>
        <v/>
      </c>
      <c r="CH71">
        <f>(-0.2*cb_Ltot)+(0.07*cb_Ltot/MAX(cb_Vmax,0.001))*MAX((cb_V1_4-cb_w1_4*5/20*cb_L4),(cb_V2_4-cb_w2_4*5/20*cb_L4),(cb_V3_4-cb_w3_4*5/20*cb_L4))</f>
        <v/>
      </c>
      <c r="CJ71">
        <f>IF(inputs_ok,IF(cb_on4,cb_X4+5/20*Lcb_4,NA()),NA())</f>
        <v/>
      </c>
      <c r="CK71">
        <f>(-0.2*cb_Ltot)+(0.07*cb_Ltot/MAX(cb_Vmax,0.001))*MIN((cb_V1_4-cb_w1_4*5/20*cb_L4),(cb_V2_4-cb_w2_4*5/20*cb_L4),(cb_V3_4-cb_w3_4*5/20*cb_L4))</f>
        <v/>
      </c>
      <c r="CM71">
        <f>IF(inputs_ok,IF(cb_on4,cb_X4+5/20*Lcb_4,NA()),NA())</f>
        <v/>
      </c>
      <c r="CN71">
        <f>(-0.47*cb_Ltot)-(0.11*cb_Ltot/MAX(cb_Msag,cb_Mhog,0.001))*MAX((cb_M1_3+cb_V1_4*(5/20*cb_L4)-cb_w1_4*(5/20*cb_L4)^2/2),(cb_M2_3+cb_V2_4*(5/20*cb_L4)-cb_w2_4*(5/20*cb_L4)^2/2),(cb_M3_3+cb_V3_4*(5/20*cb_L4)-cb_w3_4*(5/20*cb_L4)^2/2))</f>
        <v/>
      </c>
      <c r="CP71">
        <f>IF(inputs_ok,IF(cb_on4,cb_X4+5/20*Lcb_4,NA()),NA())</f>
        <v/>
      </c>
      <c r="CQ71">
        <f>(-0.47*cb_Ltot)-(0.11*cb_Ltot/MAX(cb_Msag,cb_Mhog,0.001))*MIN((cb_M1_3+cb_V1_4*(5/20*cb_L4)-cb_w1_4*(5/20*cb_L4)^2/2),(cb_M2_3+cb_V2_4*(5/20*cb_L4)-cb_w2_4*(5/20*cb_L4)^2/2),(cb_M3_3+cb_V3_4*(5/20*cb_L4)-cb_w3_4*(5/20*cb_L4)^2/2))</f>
        <v/>
      </c>
    </row>
    <row r="72">
      <c r="CG72">
        <f>IF(inputs_ok,IF(cb_on4,cb_X4+6/20*Lcb_4,NA()),NA())</f>
        <v/>
      </c>
      <c r="CH72">
        <f>(-0.2*cb_Ltot)+(0.07*cb_Ltot/MAX(cb_Vmax,0.001))*MAX((cb_V1_4-cb_w1_4*6/20*cb_L4),(cb_V2_4-cb_w2_4*6/20*cb_L4),(cb_V3_4-cb_w3_4*6/20*cb_L4))</f>
        <v/>
      </c>
      <c r="CJ72">
        <f>IF(inputs_ok,IF(cb_on4,cb_X4+6/20*Lcb_4,NA()),NA())</f>
        <v/>
      </c>
      <c r="CK72">
        <f>(-0.2*cb_Ltot)+(0.07*cb_Ltot/MAX(cb_Vmax,0.001))*MIN((cb_V1_4-cb_w1_4*6/20*cb_L4),(cb_V2_4-cb_w2_4*6/20*cb_L4),(cb_V3_4-cb_w3_4*6/20*cb_L4))</f>
        <v/>
      </c>
      <c r="CM72">
        <f>IF(inputs_ok,IF(cb_on4,cb_X4+6/20*Lcb_4,NA()),NA())</f>
        <v/>
      </c>
      <c r="CN72">
        <f>(-0.47*cb_Ltot)-(0.11*cb_Ltot/MAX(cb_Msag,cb_Mhog,0.001))*MAX((cb_M1_3+cb_V1_4*(6/20*cb_L4)-cb_w1_4*(6/20*cb_L4)^2/2),(cb_M2_3+cb_V2_4*(6/20*cb_L4)-cb_w2_4*(6/20*cb_L4)^2/2),(cb_M3_3+cb_V3_4*(6/20*cb_L4)-cb_w3_4*(6/20*cb_L4)^2/2))</f>
        <v/>
      </c>
      <c r="CP72">
        <f>IF(inputs_ok,IF(cb_on4,cb_X4+6/20*Lcb_4,NA()),NA())</f>
        <v/>
      </c>
      <c r="CQ72">
        <f>(-0.47*cb_Ltot)-(0.11*cb_Ltot/MAX(cb_Msag,cb_Mhog,0.001))*MIN((cb_M1_3+cb_V1_4*(6/20*cb_L4)-cb_w1_4*(6/20*cb_L4)^2/2),(cb_M2_3+cb_V2_4*(6/20*cb_L4)-cb_w2_4*(6/20*cb_L4)^2/2),(cb_M3_3+cb_V3_4*(6/20*cb_L4)-cb_w3_4*(6/20*cb_L4)^2/2))</f>
        <v/>
      </c>
    </row>
    <row r="73">
      <c r="CG73">
        <f>IF(inputs_ok,IF(cb_on4,cb_X4+7/20*Lcb_4,NA()),NA())</f>
        <v/>
      </c>
      <c r="CH73">
        <f>(-0.2*cb_Ltot)+(0.07*cb_Ltot/MAX(cb_Vmax,0.001))*MAX((cb_V1_4-cb_w1_4*7/20*cb_L4),(cb_V2_4-cb_w2_4*7/20*cb_L4),(cb_V3_4-cb_w3_4*7/20*cb_L4))</f>
        <v/>
      </c>
      <c r="CJ73">
        <f>IF(inputs_ok,IF(cb_on4,cb_X4+7/20*Lcb_4,NA()),NA())</f>
        <v/>
      </c>
      <c r="CK73">
        <f>(-0.2*cb_Ltot)+(0.07*cb_Ltot/MAX(cb_Vmax,0.001))*MIN((cb_V1_4-cb_w1_4*7/20*cb_L4),(cb_V2_4-cb_w2_4*7/20*cb_L4),(cb_V3_4-cb_w3_4*7/20*cb_L4))</f>
        <v/>
      </c>
      <c r="CM73">
        <f>IF(inputs_ok,IF(cb_on4,cb_X4+7/20*Lcb_4,NA()),NA())</f>
        <v/>
      </c>
      <c r="CN73">
        <f>(-0.47*cb_Ltot)-(0.11*cb_Ltot/MAX(cb_Msag,cb_Mhog,0.001))*MAX((cb_M1_3+cb_V1_4*(7/20*cb_L4)-cb_w1_4*(7/20*cb_L4)^2/2),(cb_M2_3+cb_V2_4*(7/20*cb_L4)-cb_w2_4*(7/20*cb_L4)^2/2),(cb_M3_3+cb_V3_4*(7/20*cb_L4)-cb_w3_4*(7/20*cb_L4)^2/2))</f>
        <v/>
      </c>
      <c r="CP73">
        <f>IF(inputs_ok,IF(cb_on4,cb_X4+7/20*Lcb_4,NA()),NA())</f>
        <v/>
      </c>
      <c r="CQ73">
        <f>(-0.47*cb_Ltot)-(0.11*cb_Ltot/MAX(cb_Msag,cb_Mhog,0.001))*MIN((cb_M1_3+cb_V1_4*(7/20*cb_L4)-cb_w1_4*(7/20*cb_L4)^2/2),(cb_M2_3+cb_V2_4*(7/20*cb_L4)-cb_w2_4*(7/20*cb_L4)^2/2),(cb_M3_3+cb_V3_4*(7/20*cb_L4)-cb_w3_4*(7/20*cb_L4)^2/2))</f>
        <v/>
      </c>
    </row>
    <row r="74">
      <c r="CG74">
        <f>IF(inputs_ok,IF(cb_on4,cb_X4+8/20*Lcb_4,NA()),NA())</f>
        <v/>
      </c>
      <c r="CH74">
        <f>(-0.2*cb_Ltot)+(0.07*cb_Ltot/MAX(cb_Vmax,0.001))*MAX((cb_V1_4-cb_w1_4*8/20*cb_L4),(cb_V2_4-cb_w2_4*8/20*cb_L4),(cb_V3_4-cb_w3_4*8/20*cb_L4))</f>
        <v/>
      </c>
      <c r="CJ74">
        <f>IF(inputs_ok,IF(cb_on4,cb_X4+8/20*Lcb_4,NA()),NA())</f>
        <v/>
      </c>
      <c r="CK74">
        <f>(-0.2*cb_Ltot)+(0.07*cb_Ltot/MAX(cb_Vmax,0.001))*MIN((cb_V1_4-cb_w1_4*8/20*cb_L4),(cb_V2_4-cb_w2_4*8/20*cb_L4),(cb_V3_4-cb_w3_4*8/20*cb_L4))</f>
        <v/>
      </c>
      <c r="CM74">
        <f>IF(inputs_ok,IF(cb_on4,cb_X4+8/20*Lcb_4,NA()),NA())</f>
        <v/>
      </c>
      <c r="CN74">
        <f>(-0.47*cb_Ltot)-(0.11*cb_Ltot/MAX(cb_Msag,cb_Mhog,0.001))*MAX((cb_M1_3+cb_V1_4*(8/20*cb_L4)-cb_w1_4*(8/20*cb_L4)^2/2),(cb_M2_3+cb_V2_4*(8/20*cb_L4)-cb_w2_4*(8/20*cb_L4)^2/2),(cb_M3_3+cb_V3_4*(8/20*cb_L4)-cb_w3_4*(8/20*cb_L4)^2/2))</f>
        <v/>
      </c>
      <c r="CP74">
        <f>IF(inputs_ok,IF(cb_on4,cb_X4+8/20*Lcb_4,NA()),NA())</f>
        <v/>
      </c>
      <c r="CQ74">
        <f>(-0.47*cb_Ltot)-(0.11*cb_Ltot/MAX(cb_Msag,cb_Mhog,0.001))*MIN((cb_M1_3+cb_V1_4*(8/20*cb_L4)-cb_w1_4*(8/20*cb_L4)^2/2),(cb_M2_3+cb_V2_4*(8/20*cb_L4)-cb_w2_4*(8/20*cb_L4)^2/2),(cb_M3_3+cb_V3_4*(8/20*cb_L4)-cb_w3_4*(8/20*cb_L4)^2/2))</f>
        <v/>
      </c>
    </row>
    <row r="75">
      <c r="CG75">
        <f>IF(inputs_ok,IF(cb_on4,cb_X4+9/20*Lcb_4,NA()),NA())</f>
        <v/>
      </c>
      <c r="CH75">
        <f>(-0.2*cb_Ltot)+(0.07*cb_Ltot/MAX(cb_Vmax,0.001))*MAX((cb_V1_4-cb_w1_4*9/20*cb_L4),(cb_V2_4-cb_w2_4*9/20*cb_L4),(cb_V3_4-cb_w3_4*9/20*cb_L4))</f>
        <v/>
      </c>
      <c r="CJ75">
        <f>IF(inputs_ok,IF(cb_on4,cb_X4+9/20*Lcb_4,NA()),NA())</f>
        <v/>
      </c>
      <c r="CK75">
        <f>(-0.2*cb_Ltot)+(0.07*cb_Ltot/MAX(cb_Vmax,0.001))*MIN((cb_V1_4-cb_w1_4*9/20*cb_L4),(cb_V2_4-cb_w2_4*9/20*cb_L4),(cb_V3_4-cb_w3_4*9/20*cb_L4))</f>
        <v/>
      </c>
      <c r="CM75">
        <f>IF(inputs_ok,IF(cb_on4,cb_X4+9/20*Lcb_4,NA()),NA())</f>
        <v/>
      </c>
      <c r="CN75">
        <f>(-0.47*cb_Ltot)-(0.11*cb_Ltot/MAX(cb_Msag,cb_Mhog,0.001))*MAX((cb_M1_3+cb_V1_4*(9/20*cb_L4)-cb_w1_4*(9/20*cb_L4)^2/2),(cb_M2_3+cb_V2_4*(9/20*cb_L4)-cb_w2_4*(9/20*cb_L4)^2/2),(cb_M3_3+cb_V3_4*(9/20*cb_L4)-cb_w3_4*(9/20*cb_L4)^2/2))</f>
        <v/>
      </c>
      <c r="CP75">
        <f>IF(inputs_ok,IF(cb_on4,cb_X4+9/20*Lcb_4,NA()),NA())</f>
        <v/>
      </c>
      <c r="CQ75">
        <f>(-0.47*cb_Ltot)-(0.11*cb_Ltot/MAX(cb_Msag,cb_Mhog,0.001))*MIN((cb_M1_3+cb_V1_4*(9/20*cb_L4)-cb_w1_4*(9/20*cb_L4)^2/2),(cb_M2_3+cb_V2_4*(9/20*cb_L4)-cb_w2_4*(9/20*cb_L4)^2/2),(cb_M3_3+cb_V3_4*(9/20*cb_L4)-cb_w3_4*(9/20*cb_L4)^2/2))</f>
        <v/>
      </c>
    </row>
    <row r="76">
      <c r="CG76">
        <f>IF(inputs_ok,IF(cb_on4,cb_X4+10/20*Lcb_4,NA()),NA())</f>
        <v/>
      </c>
      <c r="CH76">
        <f>(-0.2*cb_Ltot)+(0.07*cb_Ltot/MAX(cb_Vmax,0.001))*MAX((cb_V1_4-cb_w1_4*10/20*cb_L4),(cb_V2_4-cb_w2_4*10/20*cb_L4),(cb_V3_4-cb_w3_4*10/20*cb_L4))</f>
        <v/>
      </c>
      <c r="CJ76">
        <f>IF(inputs_ok,IF(cb_on4,cb_X4+10/20*Lcb_4,NA()),NA())</f>
        <v/>
      </c>
      <c r="CK76">
        <f>(-0.2*cb_Ltot)+(0.07*cb_Ltot/MAX(cb_Vmax,0.001))*MIN((cb_V1_4-cb_w1_4*10/20*cb_L4),(cb_V2_4-cb_w2_4*10/20*cb_L4),(cb_V3_4-cb_w3_4*10/20*cb_L4))</f>
        <v/>
      </c>
      <c r="CM76">
        <f>IF(inputs_ok,IF(cb_on4,cb_X4+10/20*Lcb_4,NA()),NA())</f>
        <v/>
      </c>
      <c r="CN76">
        <f>(-0.47*cb_Ltot)-(0.11*cb_Ltot/MAX(cb_Msag,cb_Mhog,0.001))*MAX((cb_M1_3+cb_V1_4*(10/20*cb_L4)-cb_w1_4*(10/20*cb_L4)^2/2),(cb_M2_3+cb_V2_4*(10/20*cb_L4)-cb_w2_4*(10/20*cb_L4)^2/2),(cb_M3_3+cb_V3_4*(10/20*cb_L4)-cb_w3_4*(10/20*cb_L4)^2/2))</f>
        <v/>
      </c>
      <c r="CP76">
        <f>IF(inputs_ok,IF(cb_on4,cb_X4+10/20*Lcb_4,NA()),NA())</f>
        <v/>
      </c>
      <c r="CQ76">
        <f>(-0.47*cb_Ltot)-(0.11*cb_Ltot/MAX(cb_Msag,cb_Mhog,0.001))*MIN((cb_M1_3+cb_V1_4*(10/20*cb_L4)-cb_w1_4*(10/20*cb_L4)^2/2),(cb_M2_3+cb_V2_4*(10/20*cb_L4)-cb_w2_4*(10/20*cb_L4)^2/2),(cb_M3_3+cb_V3_4*(10/20*cb_L4)-cb_w3_4*(10/20*cb_L4)^2/2))</f>
        <v/>
      </c>
    </row>
    <row r="77">
      <c r="CG77">
        <f>IF(inputs_ok,IF(cb_on4,cb_X4+11/20*Lcb_4,NA()),NA())</f>
        <v/>
      </c>
      <c r="CH77">
        <f>(-0.2*cb_Ltot)+(0.07*cb_Ltot/MAX(cb_Vmax,0.001))*MAX((cb_V1_4-cb_w1_4*11/20*cb_L4),(cb_V2_4-cb_w2_4*11/20*cb_L4),(cb_V3_4-cb_w3_4*11/20*cb_L4))</f>
        <v/>
      </c>
      <c r="CJ77">
        <f>IF(inputs_ok,IF(cb_on4,cb_X4+11/20*Lcb_4,NA()),NA())</f>
        <v/>
      </c>
      <c r="CK77">
        <f>(-0.2*cb_Ltot)+(0.07*cb_Ltot/MAX(cb_Vmax,0.001))*MIN((cb_V1_4-cb_w1_4*11/20*cb_L4),(cb_V2_4-cb_w2_4*11/20*cb_L4),(cb_V3_4-cb_w3_4*11/20*cb_L4))</f>
        <v/>
      </c>
      <c r="CM77">
        <f>IF(inputs_ok,IF(cb_on4,cb_X4+11/20*Lcb_4,NA()),NA())</f>
        <v/>
      </c>
      <c r="CN77">
        <f>(-0.47*cb_Ltot)-(0.11*cb_Ltot/MAX(cb_Msag,cb_Mhog,0.001))*MAX((cb_M1_3+cb_V1_4*(11/20*cb_L4)-cb_w1_4*(11/20*cb_L4)^2/2),(cb_M2_3+cb_V2_4*(11/20*cb_L4)-cb_w2_4*(11/20*cb_L4)^2/2),(cb_M3_3+cb_V3_4*(11/20*cb_L4)-cb_w3_4*(11/20*cb_L4)^2/2))</f>
        <v/>
      </c>
      <c r="CP77">
        <f>IF(inputs_ok,IF(cb_on4,cb_X4+11/20*Lcb_4,NA()),NA())</f>
        <v/>
      </c>
      <c r="CQ77">
        <f>(-0.47*cb_Ltot)-(0.11*cb_Ltot/MAX(cb_Msag,cb_Mhog,0.001))*MIN((cb_M1_3+cb_V1_4*(11/20*cb_L4)-cb_w1_4*(11/20*cb_L4)^2/2),(cb_M2_3+cb_V2_4*(11/20*cb_L4)-cb_w2_4*(11/20*cb_L4)^2/2),(cb_M3_3+cb_V3_4*(11/20*cb_L4)-cb_w3_4*(11/20*cb_L4)^2/2))</f>
        <v/>
      </c>
    </row>
    <row r="78">
      <c r="CG78">
        <f>IF(inputs_ok,IF(cb_on4,cb_X4+12/20*Lcb_4,NA()),NA())</f>
        <v/>
      </c>
      <c r="CH78">
        <f>(-0.2*cb_Ltot)+(0.07*cb_Ltot/MAX(cb_Vmax,0.001))*MAX((cb_V1_4-cb_w1_4*12/20*cb_L4),(cb_V2_4-cb_w2_4*12/20*cb_L4),(cb_V3_4-cb_w3_4*12/20*cb_L4))</f>
        <v/>
      </c>
      <c r="CJ78">
        <f>IF(inputs_ok,IF(cb_on4,cb_X4+12/20*Lcb_4,NA()),NA())</f>
        <v/>
      </c>
      <c r="CK78">
        <f>(-0.2*cb_Ltot)+(0.07*cb_Ltot/MAX(cb_Vmax,0.001))*MIN((cb_V1_4-cb_w1_4*12/20*cb_L4),(cb_V2_4-cb_w2_4*12/20*cb_L4),(cb_V3_4-cb_w3_4*12/20*cb_L4))</f>
        <v/>
      </c>
      <c r="CM78">
        <f>IF(inputs_ok,IF(cb_on4,cb_X4+12/20*Lcb_4,NA()),NA())</f>
        <v/>
      </c>
      <c r="CN78">
        <f>(-0.47*cb_Ltot)-(0.11*cb_Ltot/MAX(cb_Msag,cb_Mhog,0.001))*MAX((cb_M1_3+cb_V1_4*(12/20*cb_L4)-cb_w1_4*(12/20*cb_L4)^2/2),(cb_M2_3+cb_V2_4*(12/20*cb_L4)-cb_w2_4*(12/20*cb_L4)^2/2),(cb_M3_3+cb_V3_4*(12/20*cb_L4)-cb_w3_4*(12/20*cb_L4)^2/2))</f>
        <v/>
      </c>
      <c r="CP78">
        <f>IF(inputs_ok,IF(cb_on4,cb_X4+12/20*Lcb_4,NA()),NA())</f>
        <v/>
      </c>
      <c r="CQ78">
        <f>(-0.47*cb_Ltot)-(0.11*cb_Ltot/MAX(cb_Msag,cb_Mhog,0.001))*MIN((cb_M1_3+cb_V1_4*(12/20*cb_L4)-cb_w1_4*(12/20*cb_L4)^2/2),(cb_M2_3+cb_V2_4*(12/20*cb_L4)-cb_w2_4*(12/20*cb_L4)^2/2),(cb_M3_3+cb_V3_4*(12/20*cb_L4)-cb_w3_4*(12/20*cb_L4)^2/2))</f>
        <v/>
      </c>
    </row>
    <row r="79">
      <c r="CG79">
        <f>IF(inputs_ok,IF(cb_on4,cb_X4+13/20*Lcb_4,NA()),NA())</f>
        <v/>
      </c>
      <c r="CH79">
        <f>(-0.2*cb_Ltot)+(0.07*cb_Ltot/MAX(cb_Vmax,0.001))*MAX((cb_V1_4-cb_w1_4*13/20*cb_L4),(cb_V2_4-cb_w2_4*13/20*cb_L4),(cb_V3_4-cb_w3_4*13/20*cb_L4))</f>
        <v/>
      </c>
      <c r="CJ79">
        <f>IF(inputs_ok,IF(cb_on4,cb_X4+13/20*Lcb_4,NA()),NA())</f>
        <v/>
      </c>
      <c r="CK79">
        <f>(-0.2*cb_Ltot)+(0.07*cb_Ltot/MAX(cb_Vmax,0.001))*MIN((cb_V1_4-cb_w1_4*13/20*cb_L4),(cb_V2_4-cb_w2_4*13/20*cb_L4),(cb_V3_4-cb_w3_4*13/20*cb_L4))</f>
        <v/>
      </c>
      <c r="CM79">
        <f>IF(inputs_ok,IF(cb_on4,cb_X4+13/20*Lcb_4,NA()),NA())</f>
        <v/>
      </c>
      <c r="CN79">
        <f>(-0.47*cb_Ltot)-(0.11*cb_Ltot/MAX(cb_Msag,cb_Mhog,0.001))*MAX((cb_M1_3+cb_V1_4*(13/20*cb_L4)-cb_w1_4*(13/20*cb_L4)^2/2),(cb_M2_3+cb_V2_4*(13/20*cb_L4)-cb_w2_4*(13/20*cb_L4)^2/2),(cb_M3_3+cb_V3_4*(13/20*cb_L4)-cb_w3_4*(13/20*cb_L4)^2/2))</f>
        <v/>
      </c>
      <c r="CP79">
        <f>IF(inputs_ok,IF(cb_on4,cb_X4+13/20*Lcb_4,NA()),NA())</f>
        <v/>
      </c>
      <c r="CQ79">
        <f>(-0.47*cb_Ltot)-(0.11*cb_Ltot/MAX(cb_Msag,cb_Mhog,0.001))*MIN((cb_M1_3+cb_V1_4*(13/20*cb_L4)-cb_w1_4*(13/20*cb_L4)^2/2),(cb_M2_3+cb_V2_4*(13/20*cb_L4)-cb_w2_4*(13/20*cb_L4)^2/2),(cb_M3_3+cb_V3_4*(13/20*cb_L4)-cb_w3_4*(13/20*cb_L4)^2/2))</f>
        <v/>
      </c>
    </row>
    <row r="80">
      <c r="CG80">
        <f>IF(inputs_ok,IF(cb_on4,cb_X4+14/20*Lcb_4,NA()),NA())</f>
        <v/>
      </c>
      <c r="CH80">
        <f>(-0.2*cb_Ltot)+(0.07*cb_Ltot/MAX(cb_Vmax,0.001))*MAX((cb_V1_4-cb_w1_4*14/20*cb_L4),(cb_V2_4-cb_w2_4*14/20*cb_L4),(cb_V3_4-cb_w3_4*14/20*cb_L4))</f>
        <v/>
      </c>
      <c r="CJ80">
        <f>IF(inputs_ok,IF(cb_on4,cb_X4+14/20*Lcb_4,NA()),NA())</f>
        <v/>
      </c>
      <c r="CK80">
        <f>(-0.2*cb_Ltot)+(0.07*cb_Ltot/MAX(cb_Vmax,0.001))*MIN((cb_V1_4-cb_w1_4*14/20*cb_L4),(cb_V2_4-cb_w2_4*14/20*cb_L4),(cb_V3_4-cb_w3_4*14/20*cb_L4))</f>
        <v/>
      </c>
      <c r="CM80">
        <f>IF(inputs_ok,IF(cb_on4,cb_X4+14/20*Lcb_4,NA()),NA())</f>
        <v/>
      </c>
      <c r="CN80">
        <f>(-0.47*cb_Ltot)-(0.11*cb_Ltot/MAX(cb_Msag,cb_Mhog,0.001))*MAX((cb_M1_3+cb_V1_4*(14/20*cb_L4)-cb_w1_4*(14/20*cb_L4)^2/2),(cb_M2_3+cb_V2_4*(14/20*cb_L4)-cb_w2_4*(14/20*cb_L4)^2/2),(cb_M3_3+cb_V3_4*(14/20*cb_L4)-cb_w3_4*(14/20*cb_L4)^2/2))</f>
        <v/>
      </c>
      <c r="CP80">
        <f>IF(inputs_ok,IF(cb_on4,cb_X4+14/20*Lcb_4,NA()),NA())</f>
        <v/>
      </c>
      <c r="CQ80">
        <f>(-0.47*cb_Ltot)-(0.11*cb_Ltot/MAX(cb_Msag,cb_Mhog,0.001))*MIN((cb_M1_3+cb_V1_4*(14/20*cb_L4)-cb_w1_4*(14/20*cb_L4)^2/2),(cb_M2_3+cb_V2_4*(14/20*cb_L4)-cb_w2_4*(14/20*cb_L4)^2/2),(cb_M3_3+cb_V3_4*(14/20*cb_L4)-cb_w3_4*(14/20*cb_L4)^2/2))</f>
        <v/>
      </c>
    </row>
    <row r="81">
      <c r="CG81">
        <f>IF(inputs_ok,IF(cb_on4,cb_X4+15/20*Lcb_4,NA()),NA())</f>
        <v/>
      </c>
      <c r="CH81">
        <f>(-0.2*cb_Ltot)+(0.07*cb_Ltot/MAX(cb_Vmax,0.001))*MAX((cb_V1_4-cb_w1_4*15/20*cb_L4),(cb_V2_4-cb_w2_4*15/20*cb_L4),(cb_V3_4-cb_w3_4*15/20*cb_L4))</f>
        <v/>
      </c>
      <c r="CJ81">
        <f>IF(inputs_ok,IF(cb_on4,cb_X4+15/20*Lcb_4,NA()),NA())</f>
        <v/>
      </c>
      <c r="CK81">
        <f>(-0.2*cb_Ltot)+(0.07*cb_Ltot/MAX(cb_Vmax,0.001))*MIN((cb_V1_4-cb_w1_4*15/20*cb_L4),(cb_V2_4-cb_w2_4*15/20*cb_L4),(cb_V3_4-cb_w3_4*15/20*cb_L4))</f>
        <v/>
      </c>
      <c r="CM81">
        <f>IF(inputs_ok,IF(cb_on4,cb_X4+15/20*Lcb_4,NA()),NA())</f>
        <v/>
      </c>
      <c r="CN81">
        <f>(-0.47*cb_Ltot)-(0.11*cb_Ltot/MAX(cb_Msag,cb_Mhog,0.001))*MAX((cb_M1_3+cb_V1_4*(15/20*cb_L4)-cb_w1_4*(15/20*cb_L4)^2/2),(cb_M2_3+cb_V2_4*(15/20*cb_L4)-cb_w2_4*(15/20*cb_L4)^2/2),(cb_M3_3+cb_V3_4*(15/20*cb_L4)-cb_w3_4*(15/20*cb_L4)^2/2))</f>
        <v/>
      </c>
      <c r="CP81">
        <f>IF(inputs_ok,IF(cb_on4,cb_X4+15/20*Lcb_4,NA()),NA())</f>
        <v/>
      </c>
      <c r="CQ81">
        <f>(-0.47*cb_Ltot)-(0.11*cb_Ltot/MAX(cb_Msag,cb_Mhog,0.001))*MIN((cb_M1_3+cb_V1_4*(15/20*cb_L4)-cb_w1_4*(15/20*cb_L4)^2/2),(cb_M2_3+cb_V2_4*(15/20*cb_L4)-cb_w2_4*(15/20*cb_L4)^2/2),(cb_M3_3+cb_V3_4*(15/20*cb_L4)-cb_w3_4*(15/20*cb_L4)^2/2))</f>
        <v/>
      </c>
    </row>
    <row r="82">
      <c r="CG82">
        <f>IF(inputs_ok,IF(cb_on4,cb_X4+16/20*Lcb_4,NA()),NA())</f>
        <v/>
      </c>
      <c r="CH82">
        <f>(-0.2*cb_Ltot)+(0.07*cb_Ltot/MAX(cb_Vmax,0.001))*MAX((cb_V1_4-cb_w1_4*16/20*cb_L4),(cb_V2_4-cb_w2_4*16/20*cb_L4),(cb_V3_4-cb_w3_4*16/20*cb_L4))</f>
        <v/>
      </c>
      <c r="CJ82">
        <f>IF(inputs_ok,IF(cb_on4,cb_X4+16/20*Lcb_4,NA()),NA())</f>
        <v/>
      </c>
      <c r="CK82">
        <f>(-0.2*cb_Ltot)+(0.07*cb_Ltot/MAX(cb_Vmax,0.001))*MIN((cb_V1_4-cb_w1_4*16/20*cb_L4),(cb_V2_4-cb_w2_4*16/20*cb_L4),(cb_V3_4-cb_w3_4*16/20*cb_L4))</f>
        <v/>
      </c>
      <c r="CM82">
        <f>IF(inputs_ok,IF(cb_on4,cb_X4+16/20*Lcb_4,NA()),NA())</f>
        <v/>
      </c>
      <c r="CN82">
        <f>(-0.47*cb_Ltot)-(0.11*cb_Ltot/MAX(cb_Msag,cb_Mhog,0.001))*MAX((cb_M1_3+cb_V1_4*(16/20*cb_L4)-cb_w1_4*(16/20*cb_L4)^2/2),(cb_M2_3+cb_V2_4*(16/20*cb_L4)-cb_w2_4*(16/20*cb_L4)^2/2),(cb_M3_3+cb_V3_4*(16/20*cb_L4)-cb_w3_4*(16/20*cb_L4)^2/2))</f>
        <v/>
      </c>
      <c r="CP82">
        <f>IF(inputs_ok,IF(cb_on4,cb_X4+16/20*Lcb_4,NA()),NA())</f>
        <v/>
      </c>
      <c r="CQ82">
        <f>(-0.47*cb_Ltot)-(0.11*cb_Ltot/MAX(cb_Msag,cb_Mhog,0.001))*MIN((cb_M1_3+cb_V1_4*(16/20*cb_L4)-cb_w1_4*(16/20*cb_L4)^2/2),(cb_M2_3+cb_V2_4*(16/20*cb_L4)-cb_w2_4*(16/20*cb_L4)^2/2),(cb_M3_3+cb_V3_4*(16/20*cb_L4)-cb_w3_4*(16/20*cb_L4)^2/2))</f>
        <v/>
      </c>
    </row>
    <row r="83">
      <c r="CG83">
        <f>IF(inputs_ok,IF(cb_on4,cb_X4+17/20*Lcb_4,NA()),NA())</f>
        <v/>
      </c>
      <c r="CH83">
        <f>(-0.2*cb_Ltot)+(0.07*cb_Ltot/MAX(cb_Vmax,0.001))*MAX((cb_V1_4-cb_w1_4*17/20*cb_L4),(cb_V2_4-cb_w2_4*17/20*cb_L4),(cb_V3_4-cb_w3_4*17/20*cb_L4))</f>
        <v/>
      </c>
      <c r="CJ83">
        <f>IF(inputs_ok,IF(cb_on4,cb_X4+17/20*Lcb_4,NA()),NA())</f>
        <v/>
      </c>
      <c r="CK83">
        <f>(-0.2*cb_Ltot)+(0.07*cb_Ltot/MAX(cb_Vmax,0.001))*MIN((cb_V1_4-cb_w1_4*17/20*cb_L4),(cb_V2_4-cb_w2_4*17/20*cb_L4),(cb_V3_4-cb_w3_4*17/20*cb_L4))</f>
        <v/>
      </c>
      <c r="CM83">
        <f>IF(inputs_ok,IF(cb_on4,cb_X4+17/20*Lcb_4,NA()),NA())</f>
        <v/>
      </c>
      <c r="CN83">
        <f>(-0.47*cb_Ltot)-(0.11*cb_Ltot/MAX(cb_Msag,cb_Mhog,0.001))*MAX((cb_M1_3+cb_V1_4*(17/20*cb_L4)-cb_w1_4*(17/20*cb_L4)^2/2),(cb_M2_3+cb_V2_4*(17/20*cb_L4)-cb_w2_4*(17/20*cb_L4)^2/2),(cb_M3_3+cb_V3_4*(17/20*cb_L4)-cb_w3_4*(17/20*cb_L4)^2/2))</f>
        <v/>
      </c>
      <c r="CP83">
        <f>IF(inputs_ok,IF(cb_on4,cb_X4+17/20*Lcb_4,NA()),NA())</f>
        <v/>
      </c>
      <c r="CQ83">
        <f>(-0.47*cb_Ltot)-(0.11*cb_Ltot/MAX(cb_Msag,cb_Mhog,0.001))*MIN((cb_M1_3+cb_V1_4*(17/20*cb_L4)-cb_w1_4*(17/20*cb_L4)^2/2),(cb_M2_3+cb_V2_4*(17/20*cb_L4)-cb_w2_4*(17/20*cb_L4)^2/2),(cb_M3_3+cb_V3_4*(17/20*cb_L4)-cb_w3_4*(17/20*cb_L4)^2/2))</f>
        <v/>
      </c>
    </row>
    <row r="84">
      <c r="CG84">
        <f>IF(inputs_ok,IF(cb_on4,cb_X4+18/20*Lcb_4,NA()),NA())</f>
        <v/>
      </c>
      <c r="CH84">
        <f>(-0.2*cb_Ltot)+(0.07*cb_Ltot/MAX(cb_Vmax,0.001))*MAX((cb_V1_4-cb_w1_4*18/20*cb_L4),(cb_V2_4-cb_w2_4*18/20*cb_L4),(cb_V3_4-cb_w3_4*18/20*cb_L4))</f>
        <v/>
      </c>
      <c r="CJ84">
        <f>IF(inputs_ok,IF(cb_on4,cb_X4+18/20*Lcb_4,NA()),NA())</f>
        <v/>
      </c>
      <c r="CK84">
        <f>(-0.2*cb_Ltot)+(0.07*cb_Ltot/MAX(cb_Vmax,0.001))*MIN((cb_V1_4-cb_w1_4*18/20*cb_L4),(cb_V2_4-cb_w2_4*18/20*cb_L4),(cb_V3_4-cb_w3_4*18/20*cb_L4))</f>
        <v/>
      </c>
      <c r="CM84">
        <f>IF(inputs_ok,IF(cb_on4,cb_X4+18/20*Lcb_4,NA()),NA())</f>
        <v/>
      </c>
      <c r="CN84">
        <f>(-0.47*cb_Ltot)-(0.11*cb_Ltot/MAX(cb_Msag,cb_Mhog,0.001))*MAX((cb_M1_3+cb_V1_4*(18/20*cb_L4)-cb_w1_4*(18/20*cb_L4)^2/2),(cb_M2_3+cb_V2_4*(18/20*cb_L4)-cb_w2_4*(18/20*cb_L4)^2/2),(cb_M3_3+cb_V3_4*(18/20*cb_L4)-cb_w3_4*(18/20*cb_L4)^2/2))</f>
        <v/>
      </c>
      <c r="CP84">
        <f>IF(inputs_ok,IF(cb_on4,cb_X4+18/20*Lcb_4,NA()),NA())</f>
        <v/>
      </c>
      <c r="CQ84">
        <f>(-0.47*cb_Ltot)-(0.11*cb_Ltot/MAX(cb_Msag,cb_Mhog,0.001))*MIN((cb_M1_3+cb_V1_4*(18/20*cb_L4)-cb_w1_4*(18/20*cb_L4)^2/2),(cb_M2_3+cb_V2_4*(18/20*cb_L4)-cb_w2_4*(18/20*cb_L4)^2/2),(cb_M3_3+cb_V3_4*(18/20*cb_L4)-cb_w3_4*(18/20*cb_L4)^2/2))</f>
        <v/>
      </c>
    </row>
    <row r="85">
      <c r="CG85">
        <f>IF(inputs_ok,IF(cb_on4,cb_X4+19/20*Lcb_4,NA()),NA())</f>
        <v/>
      </c>
      <c r="CH85">
        <f>(-0.2*cb_Ltot)+(0.07*cb_Ltot/MAX(cb_Vmax,0.001))*MAX((cb_V1_4-cb_w1_4*19/20*cb_L4),(cb_V2_4-cb_w2_4*19/20*cb_L4),(cb_V3_4-cb_w3_4*19/20*cb_L4))</f>
        <v/>
      </c>
      <c r="CJ85">
        <f>IF(inputs_ok,IF(cb_on4,cb_X4+19/20*Lcb_4,NA()),NA())</f>
        <v/>
      </c>
      <c r="CK85">
        <f>(-0.2*cb_Ltot)+(0.07*cb_Ltot/MAX(cb_Vmax,0.001))*MIN((cb_V1_4-cb_w1_4*19/20*cb_L4),(cb_V2_4-cb_w2_4*19/20*cb_L4),(cb_V3_4-cb_w3_4*19/20*cb_L4))</f>
        <v/>
      </c>
      <c r="CM85">
        <f>IF(inputs_ok,IF(cb_on4,cb_X4+19/20*Lcb_4,NA()),NA())</f>
        <v/>
      </c>
      <c r="CN85">
        <f>(-0.47*cb_Ltot)-(0.11*cb_Ltot/MAX(cb_Msag,cb_Mhog,0.001))*MAX((cb_M1_3+cb_V1_4*(19/20*cb_L4)-cb_w1_4*(19/20*cb_L4)^2/2),(cb_M2_3+cb_V2_4*(19/20*cb_L4)-cb_w2_4*(19/20*cb_L4)^2/2),(cb_M3_3+cb_V3_4*(19/20*cb_L4)-cb_w3_4*(19/20*cb_L4)^2/2))</f>
        <v/>
      </c>
      <c r="CP85">
        <f>IF(inputs_ok,IF(cb_on4,cb_X4+19/20*Lcb_4,NA()),NA())</f>
        <v/>
      </c>
      <c r="CQ85">
        <f>(-0.47*cb_Ltot)-(0.11*cb_Ltot/MAX(cb_Msag,cb_Mhog,0.001))*MIN((cb_M1_3+cb_V1_4*(19/20*cb_L4)-cb_w1_4*(19/20*cb_L4)^2/2),(cb_M2_3+cb_V2_4*(19/20*cb_L4)-cb_w2_4*(19/20*cb_L4)^2/2),(cb_M3_3+cb_V3_4*(19/20*cb_L4)-cb_w3_4*(19/20*cb_L4)^2/2))</f>
        <v/>
      </c>
    </row>
    <row r="86">
      <c r="CG86">
        <f>IF(inputs_ok,IF(cb_on4,cb_X4+20/20*Lcb_4,NA()),NA())</f>
        <v/>
      </c>
      <c r="CH86">
        <f>(-0.2*cb_Ltot)+(0.07*cb_Ltot/MAX(cb_Vmax,0.001))*MAX((cb_V1_4-cb_w1_4*20/20*cb_L4),(cb_V2_4-cb_w2_4*20/20*cb_L4),(cb_V3_4-cb_w3_4*20/20*cb_L4))</f>
        <v/>
      </c>
      <c r="CJ86">
        <f>IF(inputs_ok,IF(cb_on4,cb_X4+20/20*Lcb_4,NA()),NA())</f>
        <v/>
      </c>
      <c r="CK86">
        <f>(-0.2*cb_Ltot)+(0.07*cb_Ltot/MAX(cb_Vmax,0.001))*MIN((cb_V1_4-cb_w1_4*20/20*cb_L4),(cb_V2_4-cb_w2_4*20/20*cb_L4),(cb_V3_4-cb_w3_4*20/20*cb_L4))</f>
        <v/>
      </c>
      <c r="CM86">
        <f>IF(inputs_ok,IF(cb_on4,cb_X4+20/20*Lcb_4,NA()),NA())</f>
        <v/>
      </c>
      <c r="CN86">
        <f>(-0.47*cb_Ltot)-(0.11*cb_Ltot/MAX(cb_Msag,cb_Mhog,0.001))*MAX((cb_M1_3+cb_V1_4*(20/20*cb_L4)-cb_w1_4*(20/20*cb_L4)^2/2),(cb_M2_3+cb_V2_4*(20/20*cb_L4)-cb_w2_4*(20/20*cb_L4)^2/2),(cb_M3_3+cb_V3_4*(20/20*cb_L4)-cb_w3_4*(20/20*cb_L4)^2/2))</f>
        <v/>
      </c>
      <c r="CP86">
        <f>IF(inputs_ok,IF(cb_on4,cb_X4+20/20*Lcb_4,NA()),NA())</f>
        <v/>
      </c>
      <c r="CQ86">
        <f>(-0.47*cb_Ltot)-(0.11*cb_Ltot/MAX(cb_Msag,cb_Mhog,0.001))*MIN((cb_M1_3+cb_V1_4*(20/20*cb_L4)-cb_w1_4*(20/20*cb_L4)^2/2),(cb_M2_3+cb_V2_4*(20/20*cb_L4)-cb_w2_4*(20/20*cb_L4)^2/2),(cb_M3_3+cb_V3_4*(20/20*cb_L4)-cb_w3_4*(20/20*cb_L4)^2/2))</f>
        <v/>
      </c>
    </row>
    <row r="87">
      <c r="CG87">
        <f>IF(inputs_ok,IF(cb_on5,cb_X5+0/20*Lcb_5,NA()),NA())</f>
        <v/>
      </c>
      <c r="CH87">
        <f>(-0.2*cb_Ltot)+(0.07*cb_Ltot/MAX(cb_Vmax,0.001))*MAX((cb_V1_5-cb_w1_5*0/20*cb_L5),(cb_V2_5-cb_w2_5*0/20*cb_L5),(cb_V3_5-cb_w3_5*0/20*cb_L5))</f>
        <v/>
      </c>
      <c r="CJ87">
        <f>IF(inputs_ok,IF(cb_on5,cb_X5+0/20*Lcb_5,NA()),NA())</f>
        <v/>
      </c>
      <c r="CK87">
        <f>(-0.2*cb_Ltot)+(0.07*cb_Ltot/MAX(cb_Vmax,0.001))*MIN((cb_V1_5-cb_w1_5*0/20*cb_L5),(cb_V2_5-cb_w2_5*0/20*cb_L5),(cb_V3_5-cb_w3_5*0/20*cb_L5))</f>
        <v/>
      </c>
      <c r="CM87">
        <f>IF(inputs_ok,IF(cb_on5,cb_X5+0/20*Lcb_5,NA()),NA())</f>
        <v/>
      </c>
      <c r="CN87">
        <f>(-0.47*cb_Ltot)-(0.11*cb_Ltot/MAX(cb_Msag,cb_Mhog,0.001))*MAX((cb_M1_4+cb_V1_5*(0/20*cb_L5)-cb_w1_5*(0/20*cb_L5)^2/2),(cb_M2_4+cb_V2_5*(0/20*cb_L5)-cb_w2_5*(0/20*cb_L5)^2/2),(cb_M3_4+cb_V3_5*(0/20*cb_L5)-cb_w3_5*(0/20*cb_L5)^2/2))</f>
        <v/>
      </c>
      <c r="CP87">
        <f>IF(inputs_ok,IF(cb_on5,cb_X5+0/20*Lcb_5,NA()),NA())</f>
        <v/>
      </c>
      <c r="CQ87">
        <f>(-0.47*cb_Ltot)-(0.11*cb_Ltot/MAX(cb_Msag,cb_Mhog,0.001))*MIN((cb_M1_4+cb_V1_5*(0/20*cb_L5)-cb_w1_5*(0/20*cb_L5)^2/2),(cb_M2_4+cb_V2_5*(0/20*cb_L5)-cb_w2_5*(0/20*cb_L5)^2/2),(cb_M3_4+cb_V3_5*(0/20*cb_L5)-cb_w3_5*(0/20*cb_L5)^2/2))</f>
        <v/>
      </c>
    </row>
    <row r="88">
      <c r="CG88">
        <f>IF(inputs_ok,IF(cb_on5,cb_X5+1/20*Lcb_5,NA()),NA())</f>
        <v/>
      </c>
      <c r="CH88">
        <f>(-0.2*cb_Ltot)+(0.07*cb_Ltot/MAX(cb_Vmax,0.001))*MAX((cb_V1_5-cb_w1_5*1/20*cb_L5),(cb_V2_5-cb_w2_5*1/20*cb_L5),(cb_V3_5-cb_w3_5*1/20*cb_L5))</f>
        <v/>
      </c>
      <c r="CJ88">
        <f>IF(inputs_ok,IF(cb_on5,cb_X5+1/20*Lcb_5,NA()),NA())</f>
        <v/>
      </c>
      <c r="CK88">
        <f>(-0.2*cb_Ltot)+(0.07*cb_Ltot/MAX(cb_Vmax,0.001))*MIN((cb_V1_5-cb_w1_5*1/20*cb_L5),(cb_V2_5-cb_w2_5*1/20*cb_L5),(cb_V3_5-cb_w3_5*1/20*cb_L5))</f>
        <v/>
      </c>
      <c r="CM88">
        <f>IF(inputs_ok,IF(cb_on5,cb_X5+1/20*Lcb_5,NA()),NA())</f>
        <v/>
      </c>
      <c r="CN88">
        <f>(-0.47*cb_Ltot)-(0.11*cb_Ltot/MAX(cb_Msag,cb_Mhog,0.001))*MAX((cb_M1_4+cb_V1_5*(1/20*cb_L5)-cb_w1_5*(1/20*cb_L5)^2/2),(cb_M2_4+cb_V2_5*(1/20*cb_L5)-cb_w2_5*(1/20*cb_L5)^2/2),(cb_M3_4+cb_V3_5*(1/20*cb_L5)-cb_w3_5*(1/20*cb_L5)^2/2))</f>
        <v/>
      </c>
      <c r="CP88">
        <f>IF(inputs_ok,IF(cb_on5,cb_X5+1/20*Lcb_5,NA()),NA())</f>
        <v/>
      </c>
      <c r="CQ88">
        <f>(-0.47*cb_Ltot)-(0.11*cb_Ltot/MAX(cb_Msag,cb_Mhog,0.001))*MIN((cb_M1_4+cb_V1_5*(1/20*cb_L5)-cb_w1_5*(1/20*cb_L5)^2/2),(cb_M2_4+cb_V2_5*(1/20*cb_L5)-cb_w2_5*(1/20*cb_L5)^2/2),(cb_M3_4+cb_V3_5*(1/20*cb_L5)-cb_w3_5*(1/20*cb_L5)^2/2))</f>
        <v/>
      </c>
    </row>
    <row r="89">
      <c r="CG89">
        <f>IF(inputs_ok,IF(cb_on5,cb_X5+2/20*Lcb_5,NA()),NA())</f>
        <v/>
      </c>
      <c r="CH89">
        <f>(-0.2*cb_Ltot)+(0.07*cb_Ltot/MAX(cb_Vmax,0.001))*MAX((cb_V1_5-cb_w1_5*2/20*cb_L5),(cb_V2_5-cb_w2_5*2/20*cb_L5),(cb_V3_5-cb_w3_5*2/20*cb_L5))</f>
        <v/>
      </c>
      <c r="CJ89">
        <f>IF(inputs_ok,IF(cb_on5,cb_X5+2/20*Lcb_5,NA()),NA())</f>
        <v/>
      </c>
      <c r="CK89">
        <f>(-0.2*cb_Ltot)+(0.07*cb_Ltot/MAX(cb_Vmax,0.001))*MIN((cb_V1_5-cb_w1_5*2/20*cb_L5),(cb_V2_5-cb_w2_5*2/20*cb_L5),(cb_V3_5-cb_w3_5*2/20*cb_L5))</f>
        <v/>
      </c>
      <c r="CM89">
        <f>IF(inputs_ok,IF(cb_on5,cb_X5+2/20*Lcb_5,NA()),NA())</f>
        <v/>
      </c>
      <c r="CN89">
        <f>(-0.47*cb_Ltot)-(0.11*cb_Ltot/MAX(cb_Msag,cb_Mhog,0.001))*MAX((cb_M1_4+cb_V1_5*(2/20*cb_L5)-cb_w1_5*(2/20*cb_L5)^2/2),(cb_M2_4+cb_V2_5*(2/20*cb_L5)-cb_w2_5*(2/20*cb_L5)^2/2),(cb_M3_4+cb_V3_5*(2/20*cb_L5)-cb_w3_5*(2/20*cb_L5)^2/2))</f>
        <v/>
      </c>
      <c r="CP89">
        <f>IF(inputs_ok,IF(cb_on5,cb_X5+2/20*Lcb_5,NA()),NA())</f>
        <v/>
      </c>
      <c r="CQ89">
        <f>(-0.47*cb_Ltot)-(0.11*cb_Ltot/MAX(cb_Msag,cb_Mhog,0.001))*MIN((cb_M1_4+cb_V1_5*(2/20*cb_L5)-cb_w1_5*(2/20*cb_L5)^2/2),(cb_M2_4+cb_V2_5*(2/20*cb_L5)-cb_w2_5*(2/20*cb_L5)^2/2),(cb_M3_4+cb_V3_5*(2/20*cb_L5)-cb_w3_5*(2/20*cb_L5)^2/2))</f>
        <v/>
      </c>
    </row>
    <row r="90">
      <c r="CG90">
        <f>IF(inputs_ok,IF(cb_on5,cb_X5+3/20*Lcb_5,NA()),NA())</f>
        <v/>
      </c>
      <c r="CH90">
        <f>(-0.2*cb_Ltot)+(0.07*cb_Ltot/MAX(cb_Vmax,0.001))*MAX((cb_V1_5-cb_w1_5*3/20*cb_L5),(cb_V2_5-cb_w2_5*3/20*cb_L5),(cb_V3_5-cb_w3_5*3/20*cb_L5))</f>
        <v/>
      </c>
      <c r="CJ90">
        <f>IF(inputs_ok,IF(cb_on5,cb_X5+3/20*Lcb_5,NA()),NA())</f>
        <v/>
      </c>
      <c r="CK90">
        <f>(-0.2*cb_Ltot)+(0.07*cb_Ltot/MAX(cb_Vmax,0.001))*MIN((cb_V1_5-cb_w1_5*3/20*cb_L5),(cb_V2_5-cb_w2_5*3/20*cb_L5),(cb_V3_5-cb_w3_5*3/20*cb_L5))</f>
        <v/>
      </c>
      <c r="CM90">
        <f>IF(inputs_ok,IF(cb_on5,cb_X5+3/20*Lcb_5,NA()),NA())</f>
        <v/>
      </c>
      <c r="CN90">
        <f>(-0.47*cb_Ltot)-(0.11*cb_Ltot/MAX(cb_Msag,cb_Mhog,0.001))*MAX((cb_M1_4+cb_V1_5*(3/20*cb_L5)-cb_w1_5*(3/20*cb_L5)^2/2),(cb_M2_4+cb_V2_5*(3/20*cb_L5)-cb_w2_5*(3/20*cb_L5)^2/2),(cb_M3_4+cb_V3_5*(3/20*cb_L5)-cb_w3_5*(3/20*cb_L5)^2/2))</f>
        <v/>
      </c>
      <c r="CP90">
        <f>IF(inputs_ok,IF(cb_on5,cb_X5+3/20*Lcb_5,NA()),NA())</f>
        <v/>
      </c>
      <c r="CQ90">
        <f>(-0.47*cb_Ltot)-(0.11*cb_Ltot/MAX(cb_Msag,cb_Mhog,0.001))*MIN((cb_M1_4+cb_V1_5*(3/20*cb_L5)-cb_w1_5*(3/20*cb_L5)^2/2),(cb_M2_4+cb_V2_5*(3/20*cb_L5)-cb_w2_5*(3/20*cb_L5)^2/2),(cb_M3_4+cb_V3_5*(3/20*cb_L5)-cb_w3_5*(3/20*cb_L5)^2/2))</f>
        <v/>
      </c>
    </row>
    <row r="91">
      <c r="CG91">
        <f>IF(inputs_ok,IF(cb_on5,cb_X5+4/20*Lcb_5,NA()),NA())</f>
        <v/>
      </c>
      <c r="CH91">
        <f>(-0.2*cb_Ltot)+(0.07*cb_Ltot/MAX(cb_Vmax,0.001))*MAX((cb_V1_5-cb_w1_5*4/20*cb_L5),(cb_V2_5-cb_w2_5*4/20*cb_L5),(cb_V3_5-cb_w3_5*4/20*cb_L5))</f>
        <v/>
      </c>
      <c r="CJ91">
        <f>IF(inputs_ok,IF(cb_on5,cb_X5+4/20*Lcb_5,NA()),NA())</f>
        <v/>
      </c>
      <c r="CK91">
        <f>(-0.2*cb_Ltot)+(0.07*cb_Ltot/MAX(cb_Vmax,0.001))*MIN((cb_V1_5-cb_w1_5*4/20*cb_L5),(cb_V2_5-cb_w2_5*4/20*cb_L5),(cb_V3_5-cb_w3_5*4/20*cb_L5))</f>
        <v/>
      </c>
      <c r="CM91">
        <f>IF(inputs_ok,IF(cb_on5,cb_X5+4/20*Lcb_5,NA()),NA())</f>
        <v/>
      </c>
      <c r="CN91">
        <f>(-0.47*cb_Ltot)-(0.11*cb_Ltot/MAX(cb_Msag,cb_Mhog,0.001))*MAX((cb_M1_4+cb_V1_5*(4/20*cb_L5)-cb_w1_5*(4/20*cb_L5)^2/2),(cb_M2_4+cb_V2_5*(4/20*cb_L5)-cb_w2_5*(4/20*cb_L5)^2/2),(cb_M3_4+cb_V3_5*(4/20*cb_L5)-cb_w3_5*(4/20*cb_L5)^2/2))</f>
        <v/>
      </c>
      <c r="CP91">
        <f>IF(inputs_ok,IF(cb_on5,cb_X5+4/20*Lcb_5,NA()),NA())</f>
        <v/>
      </c>
      <c r="CQ91">
        <f>(-0.47*cb_Ltot)-(0.11*cb_Ltot/MAX(cb_Msag,cb_Mhog,0.001))*MIN((cb_M1_4+cb_V1_5*(4/20*cb_L5)-cb_w1_5*(4/20*cb_L5)^2/2),(cb_M2_4+cb_V2_5*(4/20*cb_L5)-cb_w2_5*(4/20*cb_L5)^2/2),(cb_M3_4+cb_V3_5*(4/20*cb_L5)-cb_w3_5*(4/20*cb_L5)^2/2))</f>
        <v/>
      </c>
    </row>
    <row r="92">
      <c r="CG92">
        <f>IF(inputs_ok,IF(cb_on5,cb_X5+5/20*Lcb_5,NA()),NA())</f>
        <v/>
      </c>
      <c r="CH92">
        <f>(-0.2*cb_Ltot)+(0.07*cb_Ltot/MAX(cb_Vmax,0.001))*MAX((cb_V1_5-cb_w1_5*5/20*cb_L5),(cb_V2_5-cb_w2_5*5/20*cb_L5),(cb_V3_5-cb_w3_5*5/20*cb_L5))</f>
        <v/>
      </c>
      <c r="CJ92">
        <f>IF(inputs_ok,IF(cb_on5,cb_X5+5/20*Lcb_5,NA()),NA())</f>
        <v/>
      </c>
      <c r="CK92">
        <f>(-0.2*cb_Ltot)+(0.07*cb_Ltot/MAX(cb_Vmax,0.001))*MIN((cb_V1_5-cb_w1_5*5/20*cb_L5),(cb_V2_5-cb_w2_5*5/20*cb_L5),(cb_V3_5-cb_w3_5*5/20*cb_L5))</f>
        <v/>
      </c>
      <c r="CM92">
        <f>IF(inputs_ok,IF(cb_on5,cb_X5+5/20*Lcb_5,NA()),NA())</f>
        <v/>
      </c>
      <c r="CN92">
        <f>(-0.47*cb_Ltot)-(0.11*cb_Ltot/MAX(cb_Msag,cb_Mhog,0.001))*MAX((cb_M1_4+cb_V1_5*(5/20*cb_L5)-cb_w1_5*(5/20*cb_L5)^2/2),(cb_M2_4+cb_V2_5*(5/20*cb_L5)-cb_w2_5*(5/20*cb_L5)^2/2),(cb_M3_4+cb_V3_5*(5/20*cb_L5)-cb_w3_5*(5/20*cb_L5)^2/2))</f>
        <v/>
      </c>
      <c r="CP92">
        <f>IF(inputs_ok,IF(cb_on5,cb_X5+5/20*Lcb_5,NA()),NA())</f>
        <v/>
      </c>
      <c r="CQ92">
        <f>(-0.47*cb_Ltot)-(0.11*cb_Ltot/MAX(cb_Msag,cb_Mhog,0.001))*MIN((cb_M1_4+cb_V1_5*(5/20*cb_L5)-cb_w1_5*(5/20*cb_L5)^2/2),(cb_M2_4+cb_V2_5*(5/20*cb_L5)-cb_w2_5*(5/20*cb_L5)^2/2),(cb_M3_4+cb_V3_5*(5/20*cb_L5)-cb_w3_5*(5/20*cb_L5)^2/2))</f>
        <v/>
      </c>
    </row>
    <row r="93">
      <c r="CG93">
        <f>IF(inputs_ok,IF(cb_on5,cb_X5+6/20*Lcb_5,NA()),NA())</f>
        <v/>
      </c>
      <c r="CH93">
        <f>(-0.2*cb_Ltot)+(0.07*cb_Ltot/MAX(cb_Vmax,0.001))*MAX((cb_V1_5-cb_w1_5*6/20*cb_L5),(cb_V2_5-cb_w2_5*6/20*cb_L5),(cb_V3_5-cb_w3_5*6/20*cb_L5))</f>
        <v/>
      </c>
      <c r="CJ93">
        <f>IF(inputs_ok,IF(cb_on5,cb_X5+6/20*Lcb_5,NA()),NA())</f>
        <v/>
      </c>
      <c r="CK93">
        <f>(-0.2*cb_Ltot)+(0.07*cb_Ltot/MAX(cb_Vmax,0.001))*MIN((cb_V1_5-cb_w1_5*6/20*cb_L5),(cb_V2_5-cb_w2_5*6/20*cb_L5),(cb_V3_5-cb_w3_5*6/20*cb_L5))</f>
        <v/>
      </c>
      <c r="CM93">
        <f>IF(inputs_ok,IF(cb_on5,cb_X5+6/20*Lcb_5,NA()),NA())</f>
        <v/>
      </c>
      <c r="CN93">
        <f>(-0.47*cb_Ltot)-(0.11*cb_Ltot/MAX(cb_Msag,cb_Mhog,0.001))*MAX((cb_M1_4+cb_V1_5*(6/20*cb_L5)-cb_w1_5*(6/20*cb_L5)^2/2),(cb_M2_4+cb_V2_5*(6/20*cb_L5)-cb_w2_5*(6/20*cb_L5)^2/2),(cb_M3_4+cb_V3_5*(6/20*cb_L5)-cb_w3_5*(6/20*cb_L5)^2/2))</f>
        <v/>
      </c>
      <c r="CP93">
        <f>IF(inputs_ok,IF(cb_on5,cb_X5+6/20*Lcb_5,NA()),NA())</f>
        <v/>
      </c>
      <c r="CQ93">
        <f>(-0.47*cb_Ltot)-(0.11*cb_Ltot/MAX(cb_Msag,cb_Mhog,0.001))*MIN((cb_M1_4+cb_V1_5*(6/20*cb_L5)-cb_w1_5*(6/20*cb_L5)^2/2),(cb_M2_4+cb_V2_5*(6/20*cb_L5)-cb_w2_5*(6/20*cb_L5)^2/2),(cb_M3_4+cb_V3_5*(6/20*cb_L5)-cb_w3_5*(6/20*cb_L5)^2/2))</f>
        <v/>
      </c>
    </row>
    <row r="94">
      <c r="CG94">
        <f>IF(inputs_ok,IF(cb_on5,cb_X5+7/20*Lcb_5,NA()),NA())</f>
        <v/>
      </c>
      <c r="CH94">
        <f>(-0.2*cb_Ltot)+(0.07*cb_Ltot/MAX(cb_Vmax,0.001))*MAX((cb_V1_5-cb_w1_5*7/20*cb_L5),(cb_V2_5-cb_w2_5*7/20*cb_L5),(cb_V3_5-cb_w3_5*7/20*cb_L5))</f>
        <v/>
      </c>
      <c r="CJ94">
        <f>IF(inputs_ok,IF(cb_on5,cb_X5+7/20*Lcb_5,NA()),NA())</f>
        <v/>
      </c>
      <c r="CK94">
        <f>(-0.2*cb_Ltot)+(0.07*cb_Ltot/MAX(cb_Vmax,0.001))*MIN((cb_V1_5-cb_w1_5*7/20*cb_L5),(cb_V2_5-cb_w2_5*7/20*cb_L5),(cb_V3_5-cb_w3_5*7/20*cb_L5))</f>
        <v/>
      </c>
      <c r="CM94">
        <f>IF(inputs_ok,IF(cb_on5,cb_X5+7/20*Lcb_5,NA()),NA())</f>
        <v/>
      </c>
      <c r="CN94">
        <f>(-0.47*cb_Ltot)-(0.11*cb_Ltot/MAX(cb_Msag,cb_Mhog,0.001))*MAX((cb_M1_4+cb_V1_5*(7/20*cb_L5)-cb_w1_5*(7/20*cb_L5)^2/2),(cb_M2_4+cb_V2_5*(7/20*cb_L5)-cb_w2_5*(7/20*cb_L5)^2/2),(cb_M3_4+cb_V3_5*(7/20*cb_L5)-cb_w3_5*(7/20*cb_L5)^2/2))</f>
        <v/>
      </c>
      <c r="CP94">
        <f>IF(inputs_ok,IF(cb_on5,cb_X5+7/20*Lcb_5,NA()),NA())</f>
        <v/>
      </c>
      <c r="CQ94">
        <f>(-0.47*cb_Ltot)-(0.11*cb_Ltot/MAX(cb_Msag,cb_Mhog,0.001))*MIN((cb_M1_4+cb_V1_5*(7/20*cb_L5)-cb_w1_5*(7/20*cb_L5)^2/2),(cb_M2_4+cb_V2_5*(7/20*cb_L5)-cb_w2_5*(7/20*cb_L5)^2/2),(cb_M3_4+cb_V3_5*(7/20*cb_L5)-cb_w3_5*(7/20*cb_L5)^2/2))</f>
        <v/>
      </c>
    </row>
    <row r="95">
      <c r="CG95">
        <f>IF(inputs_ok,IF(cb_on5,cb_X5+8/20*Lcb_5,NA()),NA())</f>
        <v/>
      </c>
      <c r="CH95">
        <f>(-0.2*cb_Ltot)+(0.07*cb_Ltot/MAX(cb_Vmax,0.001))*MAX((cb_V1_5-cb_w1_5*8/20*cb_L5),(cb_V2_5-cb_w2_5*8/20*cb_L5),(cb_V3_5-cb_w3_5*8/20*cb_L5))</f>
        <v/>
      </c>
      <c r="CJ95">
        <f>IF(inputs_ok,IF(cb_on5,cb_X5+8/20*Lcb_5,NA()),NA())</f>
        <v/>
      </c>
      <c r="CK95">
        <f>(-0.2*cb_Ltot)+(0.07*cb_Ltot/MAX(cb_Vmax,0.001))*MIN((cb_V1_5-cb_w1_5*8/20*cb_L5),(cb_V2_5-cb_w2_5*8/20*cb_L5),(cb_V3_5-cb_w3_5*8/20*cb_L5))</f>
        <v/>
      </c>
      <c r="CM95">
        <f>IF(inputs_ok,IF(cb_on5,cb_X5+8/20*Lcb_5,NA()),NA())</f>
        <v/>
      </c>
      <c r="CN95">
        <f>(-0.47*cb_Ltot)-(0.11*cb_Ltot/MAX(cb_Msag,cb_Mhog,0.001))*MAX((cb_M1_4+cb_V1_5*(8/20*cb_L5)-cb_w1_5*(8/20*cb_L5)^2/2),(cb_M2_4+cb_V2_5*(8/20*cb_L5)-cb_w2_5*(8/20*cb_L5)^2/2),(cb_M3_4+cb_V3_5*(8/20*cb_L5)-cb_w3_5*(8/20*cb_L5)^2/2))</f>
        <v/>
      </c>
      <c r="CP95">
        <f>IF(inputs_ok,IF(cb_on5,cb_X5+8/20*Lcb_5,NA()),NA())</f>
        <v/>
      </c>
      <c r="CQ95">
        <f>(-0.47*cb_Ltot)-(0.11*cb_Ltot/MAX(cb_Msag,cb_Mhog,0.001))*MIN((cb_M1_4+cb_V1_5*(8/20*cb_L5)-cb_w1_5*(8/20*cb_L5)^2/2),(cb_M2_4+cb_V2_5*(8/20*cb_L5)-cb_w2_5*(8/20*cb_L5)^2/2),(cb_M3_4+cb_V3_5*(8/20*cb_L5)-cb_w3_5*(8/20*cb_L5)^2/2))</f>
        <v/>
      </c>
    </row>
    <row r="96">
      <c r="CG96">
        <f>IF(inputs_ok,IF(cb_on5,cb_X5+9/20*Lcb_5,NA()),NA())</f>
        <v/>
      </c>
      <c r="CH96">
        <f>(-0.2*cb_Ltot)+(0.07*cb_Ltot/MAX(cb_Vmax,0.001))*MAX((cb_V1_5-cb_w1_5*9/20*cb_L5),(cb_V2_5-cb_w2_5*9/20*cb_L5),(cb_V3_5-cb_w3_5*9/20*cb_L5))</f>
        <v/>
      </c>
      <c r="CJ96">
        <f>IF(inputs_ok,IF(cb_on5,cb_X5+9/20*Lcb_5,NA()),NA())</f>
        <v/>
      </c>
      <c r="CK96">
        <f>(-0.2*cb_Ltot)+(0.07*cb_Ltot/MAX(cb_Vmax,0.001))*MIN((cb_V1_5-cb_w1_5*9/20*cb_L5),(cb_V2_5-cb_w2_5*9/20*cb_L5),(cb_V3_5-cb_w3_5*9/20*cb_L5))</f>
        <v/>
      </c>
      <c r="CM96">
        <f>IF(inputs_ok,IF(cb_on5,cb_X5+9/20*Lcb_5,NA()),NA())</f>
        <v/>
      </c>
      <c r="CN96">
        <f>(-0.47*cb_Ltot)-(0.11*cb_Ltot/MAX(cb_Msag,cb_Mhog,0.001))*MAX((cb_M1_4+cb_V1_5*(9/20*cb_L5)-cb_w1_5*(9/20*cb_L5)^2/2),(cb_M2_4+cb_V2_5*(9/20*cb_L5)-cb_w2_5*(9/20*cb_L5)^2/2),(cb_M3_4+cb_V3_5*(9/20*cb_L5)-cb_w3_5*(9/20*cb_L5)^2/2))</f>
        <v/>
      </c>
      <c r="CP96">
        <f>IF(inputs_ok,IF(cb_on5,cb_X5+9/20*Lcb_5,NA()),NA())</f>
        <v/>
      </c>
      <c r="CQ96">
        <f>(-0.47*cb_Ltot)-(0.11*cb_Ltot/MAX(cb_Msag,cb_Mhog,0.001))*MIN((cb_M1_4+cb_V1_5*(9/20*cb_L5)-cb_w1_5*(9/20*cb_L5)^2/2),(cb_M2_4+cb_V2_5*(9/20*cb_L5)-cb_w2_5*(9/20*cb_L5)^2/2),(cb_M3_4+cb_V3_5*(9/20*cb_L5)-cb_w3_5*(9/20*cb_L5)^2/2))</f>
        <v/>
      </c>
    </row>
    <row r="97">
      <c r="CG97">
        <f>IF(inputs_ok,IF(cb_on5,cb_X5+10/20*Lcb_5,NA()),NA())</f>
        <v/>
      </c>
      <c r="CH97">
        <f>(-0.2*cb_Ltot)+(0.07*cb_Ltot/MAX(cb_Vmax,0.001))*MAX((cb_V1_5-cb_w1_5*10/20*cb_L5),(cb_V2_5-cb_w2_5*10/20*cb_L5),(cb_V3_5-cb_w3_5*10/20*cb_L5))</f>
        <v/>
      </c>
      <c r="CJ97">
        <f>IF(inputs_ok,IF(cb_on5,cb_X5+10/20*Lcb_5,NA()),NA())</f>
        <v/>
      </c>
      <c r="CK97">
        <f>(-0.2*cb_Ltot)+(0.07*cb_Ltot/MAX(cb_Vmax,0.001))*MIN((cb_V1_5-cb_w1_5*10/20*cb_L5),(cb_V2_5-cb_w2_5*10/20*cb_L5),(cb_V3_5-cb_w3_5*10/20*cb_L5))</f>
        <v/>
      </c>
      <c r="CM97">
        <f>IF(inputs_ok,IF(cb_on5,cb_X5+10/20*Lcb_5,NA()),NA())</f>
        <v/>
      </c>
      <c r="CN97">
        <f>(-0.47*cb_Ltot)-(0.11*cb_Ltot/MAX(cb_Msag,cb_Mhog,0.001))*MAX((cb_M1_4+cb_V1_5*(10/20*cb_L5)-cb_w1_5*(10/20*cb_L5)^2/2),(cb_M2_4+cb_V2_5*(10/20*cb_L5)-cb_w2_5*(10/20*cb_L5)^2/2),(cb_M3_4+cb_V3_5*(10/20*cb_L5)-cb_w3_5*(10/20*cb_L5)^2/2))</f>
        <v/>
      </c>
      <c r="CP97">
        <f>IF(inputs_ok,IF(cb_on5,cb_X5+10/20*Lcb_5,NA()),NA())</f>
        <v/>
      </c>
      <c r="CQ97">
        <f>(-0.47*cb_Ltot)-(0.11*cb_Ltot/MAX(cb_Msag,cb_Mhog,0.001))*MIN((cb_M1_4+cb_V1_5*(10/20*cb_L5)-cb_w1_5*(10/20*cb_L5)^2/2),(cb_M2_4+cb_V2_5*(10/20*cb_L5)-cb_w2_5*(10/20*cb_L5)^2/2),(cb_M3_4+cb_V3_5*(10/20*cb_L5)-cb_w3_5*(10/20*cb_L5)^2/2))</f>
        <v/>
      </c>
    </row>
    <row r="98">
      <c r="CG98">
        <f>IF(inputs_ok,IF(cb_on5,cb_X5+11/20*Lcb_5,NA()),NA())</f>
        <v/>
      </c>
      <c r="CH98">
        <f>(-0.2*cb_Ltot)+(0.07*cb_Ltot/MAX(cb_Vmax,0.001))*MAX((cb_V1_5-cb_w1_5*11/20*cb_L5),(cb_V2_5-cb_w2_5*11/20*cb_L5),(cb_V3_5-cb_w3_5*11/20*cb_L5))</f>
        <v/>
      </c>
      <c r="CJ98">
        <f>IF(inputs_ok,IF(cb_on5,cb_X5+11/20*Lcb_5,NA()),NA())</f>
        <v/>
      </c>
      <c r="CK98">
        <f>(-0.2*cb_Ltot)+(0.07*cb_Ltot/MAX(cb_Vmax,0.001))*MIN((cb_V1_5-cb_w1_5*11/20*cb_L5),(cb_V2_5-cb_w2_5*11/20*cb_L5),(cb_V3_5-cb_w3_5*11/20*cb_L5))</f>
        <v/>
      </c>
      <c r="CM98">
        <f>IF(inputs_ok,IF(cb_on5,cb_X5+11/20*Lcb_5,NA()),NA())</f>
        <v/>
      </c>
      <c r="CN98">
        <f>(-0.47*cb_Ltot)-(0.11*cb_Ltot/MAX(cb_Msag,cb_Mhog,0.001))*MAX((cb_M1_4+cb_V1_5*(11/20*cb_L5)-cb_w1_5*(11/20*cb_L5)^2/2),(cb_M2_4+cb_V2_5*(11/20*cb_L5)-cb_w2_5*(11/20*cb_L5)^2/2),(cb_M3_4+cb_V3_5*(11/20*cb_L5)-cb_w3_5*(11/20*cb_L5)^2/2))</f>
        <v/>
      </c>
      <c r="CP98">
        <f>IF(inputs_ok,IF(cb_on5,cb_X5+11/20*Lcb_5,NA()),NA())</f>
        <v/>
      </c>
      <c r="CQ98">
        <f>(-0.47*cb_Ltot)-(0.11*cb_Ltot/MAX(cb_Msag,cb_Mhog,0.001))*MIN((cb_M1_4+cb_V1_5*(11/20*cb_L5)-cb_w1_5*(11/20*cb_L5)^2/2),(cb_M2_4+cb_V2_5*(11/20*cb_L5)-cb_w2_5*(11/20*cb_L5)^2/2),(cb_M3_4+cb_V3_5*(11/20*cb_L5)-cb_w3_5*(11/20*cb_L5)^2/2))</f>
        <v/>
      </c>
    </row>
    <row r="99">
      <c r="CG99">
        <f>IF(inputs_ok,IF(cb_on5,cb_X5+12/20*Lcb_5,NA()),NA())</f>
        <v/>
      </c>
      <c r="CH99">
        <f>(-0.2*cb_Ltot)+(0.07*cb_Ltot/MAX(cb_Vmax,0.001))*MAX((cb_V1_5-cb_w1_5*12/20*cb_L5),(cb_V2_5-cb_w2_5*12/20*cb_L5),(cb_V3_5-cb_w3_5*12/20*cb_L5))</f>
        <v/>
      </c>
      <c r="CJ99">
        <f>IF(inputs_ok,IF(cb_on5,cb_X5+12/20*Lcb_5,NA()),NA())</f>
        <v/>
      </c>
      <c r="CK99">
        <f>(-0.2*cb_Ltot)+(0.07*cb_Ltot/MAX(cb_Vmax,0.001))*MIN((cb_V1_5-cb_w1_5*12/20*cb_L5),(cb_V2_5-cb_w2_5*12/20*cb_L5),(cb_V3_5-cb_w3_5*12/20*cb_L5))</f>
        <v/>
      </c>
      <c r="CM99">
        <f>IF(inputs_ok,IF(cb_on5,cb_X5+12/20*Lcb_5,NA()),NA())</f>
        <v/>
      </c>
      <c r="CN99">
        <f>(-0.47*cb_Ltot)-(0.11*cb_Ltot/MAX(cb_Msag,cb_Mhog,0.001))*MAX((cb_M1_4+cb_V1_5*(12/20*cb_L5)-cb_w1_5*(12/20*cb_L5)^2/2),(cb_M2_4+cb_V2_5*(12/20*cb_L5)-cb_w2_5*(12/20*cb_L5)^2/2),(cb_M3_4+cb_V3_5*(12/20*cb_L5)-cb_w3_5*(12/20*cb_L5)^2/2))</f>
        <v/>
      </c>
      <c r="CP99">
        <f>IF(inputs_ok,IF(cb_on5,cb_X5+12/20*Lcb_5,NA()),NA())</f>
        <v/>
      </c>
      <c r="CQ99">
        <f>(-0.47*cb_Ltot)-(0.11*cb_Ltot/MAX(cb_Msag,cb_Mhog,0.001))*MIN((cb_M1_4+cb_V1_5*(12/20*cb_L5)-cb_w1_5*(12/20*cb_L5)^2/2),(cb_M2_4+cb_V2_5*(12/20*cb_L5)-cb_w2_5*(12/20*cb_L5)^2/2),(cb_M3_4+cb_V3_5*(12/20*cb_L5)-cb_w3_5*(12/20*cb_L5)^2/2))</f>
        <v/>
      </c>
    </row>
    <row r="100">
      <c r="CG100">
        <f>IF(inputs_ok,IF(cb_on5,cb_X5+13/20*Lcb_5,NA()),NA())</f>
        <v/>
      </c>
      <c r="CH100">
        <f>(-0.2*cb_Ltot)+(0.07*cb_Ltot/MAX(cb_Vmax,0.001))*MAX((cb_V1_5-cb_w1_5*13/20*cb_L5),(cb_V2_5-cb_w2_5*13/20*cb_L5),(cb_V3_5-cb_w3_5*13/20*cb_L5))</f>
        <v/>
      </c>
      <c r="CJ100">
        <f>IF(inputs_ok,IF(cb_on5,cb_X5+13/20*Lcb_5,NA()),NA())</f>
        <v/>
      </c>
      <c r="CK100">
        <f>(-0.2*cb_Ltot)+(0.07*cb_Ltot/MAX(cb_Vmax,0.001))*MIN((cb_V1_5-cb_w1_5*13/20*cb_L5),(cb_V2_5-cb_w2_5*13/20*cb_L5),(cb_V3_5-cb_w3_5*13/20*cb_L5))</f>
        <v/>
      </c>
      <c r="CM100">
        <f>IF(inputs_ok,IF(cb_on5,cb_X5+13/20*Lcb_5,NA()),NA())</f>
        <v/>
      </c>
      <c r="CN100">
        <f>(-0.47*cb_Ltot)-(0.11*cb_Ltot/MAX(cb_Msag,cb_Mhog,0.001))*MAX((cb_M1_4+cb_V1_5*(13/20*cb_L5)-cb_w1_5*(13/20*cb_L5)^2/2),(cb_M2_4+cb_V2_5*(13/20*cb_L5)-cb_w2_5*(13/20*cb_L5)^2/2),(cb_M3_4+cb_V3_5*(13/20*cb_L5)-cb_w3_5*(13/20*cb_L5)^2/2))</f>
        <v/>
      </c>
      <c r="CP100">
        <f>IF(inputs_ok,IF(cb_on5,cb_X5+13/20*Lcb_5,NA()),NA())</f>
        <v/>
      </c>
      <c r="CQ100">
        <f>(-0.47*cb_Ltot)-(0.11*cb_Ltot/MAX(cb_Msag,cb_Mhog,0.001))*MIN((cb_M1_4+cb_V1_5*(13/20*cb_L5)-cb_w1_5*(13/20*cb_L5)^2/2),(cb_M2_4+cb_V2_5*(13/20*cb_L5)-cb_w2_5*(13/20*cb_L5)^2/2),(cb_M3_4+cb_V3_5*(13/20*cb_L5)-cb_w3_5*(13/20*cb_L5)^2/2))</f>
        <v/>
      </c>
    </row>
    <row r="101">
      <c r="CG101">
        <f>IF(inputs_ok,IF(cb_on5,cb_X5+14/20*Lcb_5,NA()),NA())</f>
        <v/>
      </c>
      <c r="CH101">
        <f>(-0.2*cb_Ltot)+(0.07*cb_Ltot/MAX(cb_Vmax,0.001))*MAX((cb_V1_5-cb_w1_5*14/20*cb_L5),(cb_V2_5-cb_w2_5*14/20*cb_L5),(cb_V3_5-cb_w3_5*14/20*cb_L5))</f>
        <v/>
      </c>
      <c r="CJ101">
        <f>IF(inputs_ok,IF(cb_on5,cb_X5+14/20*Lcb_5,NA()),NA())</f>
        <v/>
      </c>
      <c r="CK101">
        <f>(-0.2*cb_Ltot)+(0.07*cb_Ltot/MAX(cb_Vmax,0.001))*MIN((cb_V1_5-cb_w1_5*14/20*cb_L5),(cb_V2_5-cb_w2_5*14/20*cb_L5),(cb_V3_5-cb_w3_5*14/20*cb_L5))</f>
        <v/>
      </c>
      <c r="CM101">
        <f>IF(inputs_ok,IF(cb_on5,cb_X5+14/20*Lcb_5,NA()),NA())</f>
        <v/>
      </c>
      <c r="CN101">
        <f>(-0.47*cb_Ltot)-(0.11*cb_Ltot/MAX(cb_Msag,cb_Mhog,0.001))*MAX((cb_M1_4+cb_V1_5*(14/20*cb_L5)-cb_w1_5*(14/20*cb_L5)^2/2),(cb_M2_4+cb_V2_5*(14/20*cb_L5)-cb_w2_5*(14/20*cb_L5)^2/2),(cb_M3_4+cb_V3_5*(14/20*cb_L5)-cb_w3_5*(14/20*cb_L5)^2/2))</f>
        <v/>
      </c>
      <c r="CP101">
        <f>IF(inputs_ok,IF(cb_on5,cb_X5+14/20*Lcb_5,NA()),NA())</f>
        <v/>
      </c>
      <c r="CQ101">
        <f>(-0.47*cb_Ltot)-(0.11*cb_Ltot/MAX(cb_Msag,cb_Mhog,0.001))*MIN((cb_M1_4+cb_V1_5*(14/20*cb_L5)-cb_w1_5*(14/20*cb_L5)^2/2),(cb_M2_4+cb_V2_5*(14/20*cb_L5)-cb_w2_5*(14/20*cb_L5)^2/2),(cb_M3_4+cb_V3_5*(14/20*cb_L5)-cb_w3_5*(14/20*cb_L5)^2/2))</f>
        <v/>
      </c>
    </row>
    <row r="102">
      <c r="CG102">
        <f>IF(inputs_ok,IF(cb_on5,cb_X5+15/20*Lcb_5,NA()),NA())</f>
        <v/>
      </c>
      <c r="CH102">
        <f>(-0.2*cb_Ltot)+(0.07*cb_Ltot/MAX(cb_Vmax,0.001))*MAX((cb_V1_5-cb_w1_5*15/20*cb_L5),(cb_V2_5-cb_w2_5*15/20*cb_L5),(cb_V3_5-cb_w3_5*15/20*cb_L5))</f>
        <v/>
      </c>
      <c r="CJ102">
        <f>IF(inputs_ok,IF(cb_on5,cb_X5+15/20*Lcb_5,NA()),NA())</f>
        <v/>
      </c>
      <c r="CK102">
        <f>(-0.2*cb_Ltot)+(0.07*cb_Ltot/MAX(cb_Vmax,0.001))*MIN((cb_V1_5-cb_w1_5*15/20*cb_L5),(cb_V2_5-cb_w2_5*15/20*cb_L5),(cb_V3_5-cb_w3_5*15/20*cb_L5))</f>
        <v/>
      </c>
      <c r="CM102">
        <f>IF(inputs_ok,IF(cb_on5,cb_X5+15/20*Lcb_5,NA()),NA())</f>
        <v/>
      </c>
      <c r="CN102">
        <f>(-0.47*cb_Ltot)-(0.11*cb_Ltot/MAX(cb_Msag,cb_Mhog,0.001))*MAX((cb_M1_4+cb_V1_5*(15/20*cb_L5)-cb_w1_5*(15/20*cb_L5)^2/2),(cb_M2_4+cb_V2_5*(15/20*cb_L5)-cb_w2_5*(15/20*cb_L5)^2/2),(cb_M3_4+cb_V3_5*(15/20*cb_L5)-cb_w3_5*(15/20*cb_L5)^2/2))</f>
        <v/>
      </c>
      <c r="CP102">
        <f>IF(inputs_ok,IF(cb_on5,cb_X5+15/20*Lcb_5,NA()),NA())</f>
        <v/>
      </c>
      <c r="CQ102">
        <f>(-0.47*cb_Ltot)-(0.11*cb_Ltot/MAX(cb_Msag,cb_Mhog,0.001))*MIN((cb_M1_4+cb_V1_5*(15/20*cb_L5)-cb_w1_5*(15/20*cb_L5)^2/2),(cb_M2_4+cb_V2_5*(15/20*cb_L5)-cb_w2_5*(15/20*cb_L5)^2/2),(cb_M3_4+cb_V3_5*(15/20*cb_L5)-cb_w3_5*(15/20*cb_L5)^2/2))</f>
        <v/>
      </c>
    </row>
    <row r="103">
      <c r="CG103">
        <f>IF(inputs_ok,IF(cb_on5,cb_X5+16/20*Lcb_5,NA()),NA())</f>
        <v/>
      </c>
      <c r="CH103">
        <f>(-0.2*cb_Ltot)+(0.07*cb_Ltot/MAX(cb_Vmax,0.001))*MAX((cb_V1_5-cb_w1_5*16/20*cb_L5),(cb_V2_5-cb_w2_5*16/20*cb_L5),(cb_V3_5-cb_w3_5*16/20*cb_L5))</f>
        <v/>
      </c>
      <c r="CJ103">
        <f>IF(inputs_ok,IF(cb_on5,cb_X5+16/20*Lcb_5,NA()),NA())</f>
        <v/>
      </c>
      <c r="CK103">
        <f>(-0.2*cb_Ltot)+(0.07*cb_Ltot/MAX(cb_Vmax,0.001))*MIN((cb_V1_5-cb_w1_5*16/20*cb_L5),(cb_V2_5-cb_w2_5*16/20*cb_L5),(cb_V3_5-cb_w3_5*16/20*cb_L5))</f>
        <v/>
      </c>
      <c r="CM103">
        <f>IF(inputs_ok,IF(cb_on5,cb_X5+16/20*Lcb_5,NA()),NA())</f>
        <v/>
      </c>
      <c r="CN103">
        <f>(-0.47*cb_Ltot)-(0.11*cb_Ltot/MAX(cb_Msag,cb_Mhog,0.001))*MAX((cb_M1_4+cb_V1_5*(16/20*cb_L5)-cb_w1_5*(16/20*cb_L5)^2/2),(cb_M2_4+cb_V2_5*(16/20*cb_L5)-cb_w2_5*(16/20*cb_L5)^2/2),(cb_M3_4+cb_V3_5*(16/20*cb_L5)-cb_w3_5*(16/20*cb_L5)^2/2))</f>
        <v/>
      </c>
      <c r="CP103">
        <f>IF(inputs_ok,IF(cb_on5,cb_X5+16/20*Lcb_5,NA()),NA())</f>
        <v/>
      </c>
      <c r="CQ103">
        <f>(-0.47*cb_Ltot)-(0.11*cb_Ltot/MAX(cb_Msag,cb_Mhog,0.001))*MIN((cb_M1_4+cb_V1_5*(16/20*cb_L5)-cb_w1_5*(16/20*cb_L5)^2/2),(cb_M2_4+cb_V2_5*(16/20*cb_L5)-cb_w2_5*(16/20*cb_L5)^2/2),(cb_M3_4+cb_V3_5*(16/20*cb_L5)-cb_w3_5*(16/20*cb_L5)^2/2))</f>
        <v/>
      </c>
    </row>
    <row r="104">
      <c r="CG104">
        <f>IF(inputs_ok,IF(cb_on5,cb_X5+17/20*Lcb_5,NA()),NA())</f>
        <v/>
      </c>
      <c r="CH104">
        <f>(-0.2*cb_Ltot)+(0.07*cb_Ltot/MAX(cb_Vmax,0.001))*MAX((cb_V1_5-cb_w1_5*17/20*cb_L5),(cb_V2_5-cb_w2_5*17/20*cb_L5),(cb_V3_5-cb_w3_5*17/20*cb_L5))</f>
        <v/>
      </c>
      <c r="CJ104">
        <f>IF(inputs_ok,IF(cb_on5,cb_X5+17/20*Lcb_5,NA()),NA())</f>
        <v/>
      </c>
      <c r="CK104">
        <f>(-0.2*cb_Ltot)+(0.07*cb_Ltot/MAX(cb_Vmax,0.001))*MIN((cb_V1_5-cb_w1_5*17/20*cb_L5),(cb_V2_5-cb_w2_5*17/20*cb_L5),(cb_V3_5-cb_w3_5*17/20*cb_L5))</f>
        <v/>
      </c>
      <c r="CM104">
        <f>IF(inputs_ok,IF(cb_on5,cb_X5+17/20*Lcb_5,NA()),NA())</f>
        <v/>
      </c>
      <c r="CN104">
        <f>(-0.47*cb_Ltot)-(0.11*cb_Ltot/MAX(cb_Msag,cb_Mhog,0.001))*MAX((cb_M1_4+cb_V1_5*(17/20*cb_L5)-cb_w1_5*(17/20*cb_L5)^2/2),(cb_M2_4+cb_V2_5*(17/20*cb_L5)-cb_w2_5*(17/20*cb_L5)^2/2),(cb_M3_4+cb_V3_5*(17/20*cb_L5)-cb_w3_5*(17/20*cb_L5)^2/2))</f>
        <v/>
      </c>
      <c r="CP104">
        <f>IF(inputs_ok,IF(cb_on5,cb_X5+17/20*Lcb_5,NA()),NA())</f>
        <v/>
      </c>
      <c r="CQ104">
        <f>(-0.47*cb_Ltot)-(0.11*cb_Ltot/MAX(cb_Msag,cb_Mhog,0.001))*MIN((cb_M1_4+cb_V1_5*(17/20*cb_L5)-cb_w1_5*(17/20*cb_L5)^2/2),(cb_M2_4+cb_V2_5*(17/20*cb_L5)-cb_w2_5*(17/20*cb_L5)^2/2),(cb_M3_4+cb_V3_5*(17/20*cb_L5)-cb_w3_5*(17/20*cb_L5)^2/2))</f>
        <v/>
      </c>
    </row>
    <row r="105">
      <c r="CG105">
        <f>IF(inputs_ok,IF(cb_on5,cb_X5+18/20*Lcb_5,NA()),NA())</f>
        <v/>
      </c>
      <c r="CH105">
        <f>(-0.2*cb_Ltot)+(0.07*cb_Ltot/MAX(cb_Vmax,0.001))*MAX((cb_V1_5-cb_w1_5*18/20*cb_L5),(cb_V2_5-cb_w2_5*18/20*cb_L5),(cb_V3_5-cb_w3_5*18/20*cb_L5))</f>
        <v/>
      </c>
      <c r="CJ105">
        <f>IF(inputs_ok,IF(cb_on5,cb_X5+18/20*Lcb_5,NA()),NA())</f>
        <v/>
      </c>
      <c r="CK105">
        <f>(-0.2*cb_Ltot)+(0.07*cb_Ltot/MAX(cb_Vmax,0.001))*MIN((cb_V1_5-cb_w1_5*18/20*cb_L5),(cb_V2_5-cb_w2_5*18/20*cb_L5),(cb_V3_5-cb_w3_5*18/20*cb_L5))</f>
        <v/>
      </c>
      <c r="CM105">
        <f>IF(inputs_ok,IF(cb_on5,cb_X5+18/20*Lcb_5,NA()),NA())</f>
        <v/>
      </c>
      <c r="CN105">
        <f>(-0.47*cb_Ltot)-(0.11*cb_Ltot/MAX(cb_Msag,cb_Mhog,0.001))*MAX((cb_M1_4+cb_V1_5*(18/20*cb_L5)-cb_w1_5*(18/20*cb_L5)^2/2),(cb_M2_4+cb_V2_5*(18/20*cb_L5)-cb_w2_5*(18/20*cb_L5)^2/2),(cb_M3_4+cb_V3_5*(18/20*cb_L5)-cb_w3_5*(18/20*cb_L5)^2/2))</f>
        <v/>
      </c>
      <c r="CP105">
        <f>IF(inputs_ok,IF(cb_on5,cb_X5+18/20*Lcb_5,NA()),NA())</f>
        <v/>
      </c>
      <c r="CQ105">
        <f>(-0.47*cb_Ltot)-(0.11*cb_Ltot/MAX(cb_Msag,cb_Mhog,0.001))*MIN((cb_M1_4+cb_V1_5*(18/20*cb_L5)-cb_w1_5*(18/20*cb_L5)^2/2),(cb_M2_4+cb_V2_5*(18/20*cb_L5)-cb_w2_5*(18/20*cb_L5)^2/2),(cb_M3_4+cb_V3_5*(18/20*cb_L5)-cb_w3_5*(18/20*cb_L5)^2/2))</f>
        <v/>
      </c>
    </row>
    <row r="106">
      <c r="CG106">
        <f>IF(inputs_ok,IF(cb_on5,cb_X5+19/20*Lcb_5,NA()),NA())</f>
        <v/>
      </c>
      <c r="CH106">
        <f>(-0.2*cb_Ltot)+(0.07*cb_Ltot/MAX(cb_Vmax,0.001))*MAX((cb_V1_5-cb_w1_5*19/20*cb_L5),(cb_V2_5-cb_w2_5*19/20*cb_L5),(cb_V3_5-cb_w3_5*19/20*cb_L5))</f>
        <v/>
      </c>
      <c r="CJ106">
        <f>IF(inputs_ok,IF(cb_on5,cb_X5+19/20*Lcb_5,NA()),NA())</f>
        <v/>
      </c>
      <c r="CK106">
        <f>(-0.2*cb_Ltot)+(0.07*cb_Ltot/MAX(cb_Vmax,0.001))*MIN((cb_V1_5-cb_w1_5*19/20*cb_L5),(cb_V2_5-cb_w2_5*19/20*cb_L5),(cb_V3_5-cb_w3_5*19/20*cb_L5))</f>
        <v/>
      </c>
      <c r="CM106">
        <f>IF(inputs_ok,IF(cb_on5,cb_X5+19/20*Lcb_5,NA()),NA())</f>
        <v/>
      </c>
      <c r="CN106">
        <f>(-0.47*cb_Ltot)-(0.11*cb_Ltot/MAX(cb_Msag,cb_Mhog,0.001))*MAX((cb_M1_4+cb_V1_5*(19/20*cb_L5)-cb_w1_5*(19/20*cb_L5)^2/2),(cb_M2_4+cb_V2_5*(19/20*cb_L5)-cb_w2_5*(19/20*cb_L5)^2/2),(cb_M3_4+cb_V3_5*(19/20*cb_L5)-cb_w3_5*(19/20*cb_L5)^2/2))</f>
        <v/>
      </c>
      <c r="CP106">
        <f>IF(inputs_ok,IF(cb_on5,cb_X5+19/20*Lcb_5,NA()),NA())</f>
        <v/>
      </c>
      <c r="CQ106">
        <f>(-0.47*cb_Ltot)-(0.11*cb_Ltot/MAX(cb_Msag,cb_Mhog,0.001))*MIN((cb_M1_4+cb_V1_5*(19/20*cb_L5)-cb_w1_5*(19/20*cb_L5)^2/2),(cb_M2_4+cb_V2_5*(19/20*cb_L5)-cb_w2_5*(19/20*cb_L5)^2/2),(cb_M3_4+cb_V3_5*(19/20*cb_L5)-cb_w3_5*(19/20*cb_L5)^2/2))</f>
        <v/>
      </c>
    </row>
    <row r="107">
      <c r="CG107">
        <f>IF(inputs_ok,IF(cb_on5,cb_X5+20/20*Lcb_5,NA()),NA())</f>
        <v/>
      </c>
      <c r="CH107">
        <f>(-0.2*cb_Ltot)+(0.07*cb_Ltot/MAX(cb_Vmax,0.001))*MAX((cb_V1_5-cb_w1_5*20/20*cb_L5),(cb_V2_5-cb_w2_5*20/20*cb_L5),(cb_V3_5-cb_w3_5*20/20*cb_L5))</f>
        <v/>
      </c>
      <c r="CJ107">
        <f>IF(inputs_ok,IF(cb_on5,cb_X5+20/20*Lcb_5,NA()),NA())</f>
        <v/>
      </c>
      <c r="CK107">
        <f>(-0.2*cb_Ltot)+(0.07*cb_Ltot/MAX(cb_Vmax,0.001))*MIN((cb_V1_5-cb_w1_5*20/20*cb_L5),(cb_V2_5-cb_w2_5*20/20*cb_L5),(cb_V3_5-cb_w3_5*20/20*cb_L5))</f>
        <v/>
      </c>
      <c r="CM107">
        <f>IF(inputs_ok,IF(cb_on5,cb_X5+20/20*Lcb_5,NA()),NA())</f>
        <v/>
      </c>
      <c r="CN107">
        <f>(-0.47*cb_Ltot)-(0.11*cb_Ltot/MAX(cb_Msag,cb_Mhog,0.001))*MAX((cb_M1_4+cb_V1_5*(20/20*cb_L5)-cb_w1_5*(20/20*cb_L5)^2/2),(cb_M2_4+cb_V2_5*(20/20*cb_L5)-cb_w2_5*(20/20*cb_L5)^2/2),(cb_M3_4+cb_V3_5*(20/20*cb_L5)-cb_w3_5*(20/20*cb_L5)^2/2))</f>
        <v/>
      </c>
      <c r="CP107">
        <f>IF(inputs_ok,IF(cb_on5,cb_X5+20/20*Lcb_5,NA()),NA())</f>
        <v/>
      </c>
      <c r="CQ107">
        <f>(-0.47*cb_Ltot)-(0.11*cb_Ltot/MAX(cb_Msag,cb_Mhog,0.001))*MIN((cb_M1_4+cb_V1_5*(20/20*cb_L5)-cb_w1_5*(20/20*cb_L5)^2/2),(cb_M2_4+cb_V2_5*(20/20*cb_L5)-cb_w2_5*(20/20*cb_L5)^2/2),(cb_M3_4+cb_V3_5*(20/20*cb_L5)-cb_w3_5*(20/20*cb_L5)^2/2))</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NAE-RC-018 Continuous beam</dc:title>
  <dc:subject xmlns:dc="http://purl.org/dc/elements/1.1/">Two to five spans  ·  pattern loading to the UK NA  ·  moment and shear envelopes, reactions</dc:subject>
  <dcterms:created xmlns:dcterms="http://purl.org/dc/terms/" xmlns:xsi="http://www.w3.org/2001/XMLSchema-instance" xsi:type="dcterms:W3CDTF">2026-10-30T10:58:37Z</dcterms:created>
  <dcterms:modified xmlns:dcterms="http://purl.org/dc/terms/" xmlns:xsi="http://www.w3.org/2001/XMLSchema-instance" xsi:type="dcterms:W3CDTF">2026-10-30T10:58:38Z</dcterms:modified>
  <cp:lastModifiedBy>NA Engineering sp. z o.o.</cp:lastModifiedBy>
  <cp:keywords>NA Engineering; Eurocode 2; EN 1992-1-1</cp:keywords>
</cp:coreProperties>
</file>