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Override PartName="/xl/worksheets/sheet3.xml" ContentType="application/vnd.openxmlformats-officedocument.spreadsheetml.worksheet+xml"/>
  <Override PartName="/xl/charts/chart1.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workbookPassword="AA0A" lockStructure="1"/>
  <bookViews>
    <workbookView visibility="visible" minimized="0" showHorizontalScroll="1" showVerticalScroll="1" showSheetTabs="1" tabRatio="600" firstSheet="0" activeTab="1" autoFilterDateGrouping="1"/>
  </bookViews>
  <sheets>
    <sheet xmlns:r="http://schemas.openxmlformats.org/officeDocument/2006/relationships" name="About" sheetId="1" state="visible" r:id="rId1"/>
    <sheet xmlns:r="http://schemas.openxmlformats.org/officeDocument/2006/relationships" name="Calculation" sheetId="2" state="visible" r:id="rId2"/>
    <sheet xmlns:r="http://schemas.openxmlformats.org/officeDocument/2006/relationships" name="Geometry" sheetId="3" state="hidden" r:id="rId3"/>
  </sheets>
  <definedNames>
    <definedName name="L_ba">'Calculation'!$E$11</definedName>
    <definedName name="gk_ba">'Calculation'!$E$12</definedName>
    <definedName name="qk_ba">'Calculation'!$E$13</definedName>
    <definedName name="G_1">'Calculation'!$E$14</definedName>
    <definedName name="Q_1">'Calculation'!$E$15</definedName>
    <definedName name="a_1">'Calculation'!$E$16</definedName>
    <definedName name="G_2">'Calculation'!$E$17</definedName>
    <definedName name="Q_2">'Calculation'!$E$18</definedName>
    <definedName name="a_2">'Calculation'!$E$19</definedName>
    <definedName name="G_3">'Calculation'!$E$20</definedName>
    <definedName name="Q_3">'Calculation'!$E$21</definedName>
    <definedName name="a_3">'Calculation'!$E$22</definedName>
    <definedName name="gamma_G">'Calculation'!$E$23</definedName>
    <definedName name="gamma_Q">'Calculation'!$E$24</definedName>
    <definedName name="inputs_ok">IFERROR(AND(ISNUMBER(L_ba),L_ba&gt;0,ISNUMBER(gk_ba),gk_ba&gt;=0,ISNUMBER(qk_ba),qk_ba&gt;=0,ISNUMBER(G_1),G_1&gt;=0,ISNUMBER(Q_1),Q_1&gt;=0,ISNUMBER(a_1),a_1&gt;=0,ISNUMBER(G_2),G_2&gt;=0,ISNUMBER(Q_2),Q_2&gt;=0,ISNUMBER(a_2),a_2&gt;=0,ISNUMBER(G_3),G_3&gt;=0,ISNUMBER(Q_3),Q_3&gt;=0,ISNUMBER(a_3),a_3&gt;=0,ISNUMBER(gamma_G),gamma_G&gt;0,ISNUMBER(gamma_Q),gamma_Q&gt;0,AND(a_1&lt;=L_ba,a_2&lt;=L_ba,a_3&lt;=L_ba)),FALSE)</definedName>
    <definedName name="input_status">'Calculation'!$G$25</definedName>
    <definedName name="w_ba">'Calculation'!$E$62</definedName>
    <definedName name="P_1">'Calculation'!$E$63</definedName>
    <definedName name="P_2">'Calculation'!$E$64</definedName>
    <definedName name="P_3">'Calculation'!$E$65</definedName>
    <definedName name="R_B">'Calculation'!$E$66</definedName>
    <definedName name="R_A">'Calculation'!$E$67</definedName>
    <definedName name="V_max">'Calculation'!$E$68</definedName>
    <definedName name="x_k0">0</definedName>
    <definedName name="x_k1">SMALL(CHOOSE({1,2,3},a_1,a_2,a_3)/1000,1)</definedName>
    <definedName name="x_k2">SMALL(CHOOSE({1,2,3},a_1,a_2,a_3)/1000,2)</definedName>
    <definedName name="x_k3">SMALL(CHOOSE({1,2,3},a_1,a_2,a_3)/1000,3)</definedName>
    <definedName name="xc_0">a_1/1000</definedName>
    <definedName name="mc_0">(R_A*xc_0-w_ba*xc_0^2/2-(P_1*MAX(0,xc_0-a_1/1000)+P_2*MAX(0,xc_0-a_2/1000)+P_3*MAX(0,xc_0-a_3/1000)))</definedName>
    <definedName name="xc_1">a_2/1000</definedName>
    <definedName name="mc_1">(R_A*xc_1-w_ba*xc_1^2/2-(P_1*MAX(0,xc_1-a_1/1000)+P_2*MAX(0,xc_1-a_2/1000)+P_3*MAX(0,xc_1-a_3/1000)))</definedName>
    <definedName name="xc_2">a_3/1000</definedName>
    <definedName name="mc_2">(R_A*xc_2-w_ba*xc_2^2/2-(P_1*MAX(0,xc_2-a_1/1000)+P_2*MAX(0,xc_2-a_2/1000)+P_3*MAX(0,xc_2-a_3/1000)))</definedName>
    <definedName name="xc_3">MIN((L_ba/1000),MAX(0,IF(w_ba&gt;0,(R_A-(IF(a_1/1000&lt;=x_k0,P_1,0)+IF(a_2/1000&lt;=x_k0,P_2,0)+IF(a_3/1000&lt;=x_k0,P_3,0)))/w_ba,0)))</definedName>
    <definedName name="mc_3">(R_A*xc_3-w_ba*xc_3^2/2-(P_1*MAX(0,xc_3-a_1/1000)+P_2*MAX(0,xc_3-a_2/1000)+P_3*MAX(0,xc_3-a_3/1000)))</definedName>
    <definedName name="xc_4">MIN((L_ba/1000),MAX(0,IF(w_ba&gt;0,(R_A-(IF(a_1/1000&lt;=x_k1,P_1,0)+IF(a_2/1000&lt;=x_k1,P_2,0)+IF(a_3/1000&lt;=x_k1,P_3,0)))/w_ba,0)))</definedName>
    <definedName name="mc_4">(R_A*xc_4-w_ba*xc_4^2/2-(P_1*MAX(0,xc_4-a_1/1000)+P_2*MAX(0,xc_4-a_2/1000)+P_3*MAX(0,xc_4-a_3/1000)))</definedName>
    <definedName name="xc_5">MIN((L_ba/1000),MAX(0,IF(w_ba&gt;0,(R_A-(IF(a_1/1000&lt;=x_k2,P_1,0)+IF(a_2/1000&lt;=x_k2,P_2,0)+IF(a_3/1000&lt;=x_k2,P_3,0)))/w_ba,0)))</definedName>
    <definedName name="mc_5">(R_A*xc_5-w_ba*xc_5^2/2-(P_1*MAX(0,xc_5-a_1/1000)+P_2*MAX(0,xc_5-a_2/1000)+P_3*MAX(0,xc_5-a_3/1000)))</definedName>
    <definedName name="xc_6">MIN((L_ba/1000),MAX(0,IF(w_ba&gt;0,(R_A-(IF(a_1/1000&lt;=x_k3,P_1,0)+IF(a_2/1000&lt;=x_k3,P_2,0)+IF(a_3/1000&lt;=x_k3,P_3,0)))/w_ba,0)))</definedName>
    <definedName name="mc_6">(R_A*xc_6-w_ba*xc_6^2/2-(P_1*MAX(0,xc_6-a_1/1000)+P_2*MAX(0,xc_6-a_2/1000)+P_3*MAX(0,xc_6-a_3/1000)))</definedName>
    <definedName name="M_max">'Calculation'!$E$69</definedName>
    <definedName name="x_Mmax">'Calculation'!$E$70</definedName>
    <definedName name="ba_xall">CHOOSE({1,2,3,4,5,6,7,8,9,10,11,12,13,14,15,16,17,18,19,20,21,22,23,24,25,26,27,28,29,30,31,32,33,34,35,36,37,38,39,40,41,42,43,44,45,46,47,48,49,50,51,52,53,54,55,56,57,58,59,60,61,62,63,64,65,66,67,68},0/60*L_ba/1000,1/60*L_ba/1000,2/60*L_ba/1000,3/60*L_ba/1000,4/60*L_ba/1000,5/60*L_ba/1000,6/60*L_ba/1000,7/60*L_ba/1000,8/60*L_ba/1000,9/60*L_ba/1000,10/60*L_ba/1000,11/60*L_ba/1000,12/60*L_ba/1000,13/60*L_ba/1000,14/60*L_ba/1000,15/60*L_ba/1000,16/60*L_ba/1000,17/60*L_ba/1000,18/60*L_ba/1000,19/60*L_ba/1000,20/60*L_ba/1000,21/60*L_ba/1000,22/60*L_ba/1000,23/60*L_ba/1000,24/60*L_ba/1000,25/60*L_ba/1000,26/60*L_ba/1000,27/60*L_ba/1000,28/60*L_ba/1000,29/60*L_ba/1000,30/60*L_ba/1000,31/60*L_ba/1000,32/60*L_ba/1000,33/60*L_ba/1000,34/60*L_ba/1000,35/60*L_ba/1000,36/60*L_ba/1000,37/60*L_ba/1000,38/60*L_ba/1000,39/60*L_ba/1000,40/60*L_ba/1000,41/60*L_ba/1000,42/60*L_ba/1000,43/60*L_ba/1000,44/60*L_ba/1000,45/60*L_ba/1000,46/60*L_ba/1000,47/60*L_ba/1000,48/60*L_ba/1000,49/60*L_ba/1000,50/60*L_ba/1000,51/60*L_ba/1000,52/60*L_ba/1000,53/60*L_ba/1000,54/60*L_ba/1000,55/60*L_ba/1000,56/60*L_ba/1000,57/60*L_ba/1000,58/60*L_ba/1000,59/60*L_ba/1000,60/60*L_ba/1000,a_1/1000,a_1/1000,a_2/1000,a_2/1000,a_3/1000,a_3/1000,x_Mmax)</definedName>
    <definedName name="_xlnm.Print_Area" localSheetId="0">'About'!$A$1:$D$39</definedName>
    <definedName name="_xlnm.Print_Area" localSheetId="1">'Calculation'!$A$1:$H$74</definedName>
  </definedNames>
  <calcPr calcId="124519" fullCalcOnLoad="1"/>
</workbook>
</file>

<file path=xl/styles.xml><?xml version="1.0" encoding="utf-8"?>
<styleSheet xmlns="http://schemas.openxmlformats.org/spreadsheetml/2006/main">
  <numFmts count="3">
    <numFmt numFmtId="164" formatCode="dd mmm yyyy"/>
    <numFmt numFmtId="165" formatCode="0.0"/>
    <numFmt numFmtId="166" formatCode="0.000"/>
  </numFmts>
  <fonts count="19">
    <font>
      <name val="Calibri"/>
      <family val="2"/>
      <color theme="1"/>
      <sz val="11"/>
      <scheme val="minor"/>
    </font>
    <font>
      <name val="Calibri"/>
      <color rgb="00BDBDBD"/>
      <sz val="9"/>
    </font>
    <font>
      <name val="Calibri"/>
      <b val="1"/>
      <color rgb="002B2B2B"/>
      <sz val="24"/>
    </font>
    <font>
      <name val="Calibri"/>
      <color rgb="008A8A8A"/>
      <sz val="12"/>
    </font>
    <font>
      <name val="Calibri"/>
      <color rgb="008A8A8A"/>
      <sz val="10"/>
    </font>
    <font>
      <name val="Calibri"/>
      <color rgb="002B2B2B"/>
      <sz val="10"/>
    </font>
    <font>
      <name val="Calibri"/>
      <b val="1"/>
      <color rgb="005B7F8A"/>
      <sz val="11"/>
    </font>
    <font>
      <name val="Calibri"/>
      <color rgb="005B7F8A"/>
      <sz val="10"/>
    </font>
    <font>
      <name val="Calibri"/>
      <color rgb="008A8A8A"/>
      <sz val="9"/>
    </font>
    <font>
      <name val="Calibri"/>
      <b val="1"/>
      <color rgb="00FFFFFF"/>
      <sz val="14"/>
    </font>
    <font>
      <name val="Calibri"/>
      <b val="1"/>
      <color rgb="005B7F8A"/>
      <sz val="12"/>
    </font>
    <font>
      <name val="Calibri"/>
      <i val="1"/>
      <color rgb="008A8A8A"/>
      <sz val="8"/>
    </font>
    <font>
      <name val="Calibri"/>
      <b val="1"/>
      <color rgb="002B2B2B"/>
      <sz val="10"/>
    </font>
    <font>
      <name val="Calibri"/>
      <color rgb="008A8A8A"/>
      <sz val="8"/>
    </font>
    <font>
      <name val="Calibri"/>
      <b val="1"/>
      <color rgb="002B2B2B"/>
      <sz val="9"/>
    </font>
    <font>
      <name val="Calibri"/>
      <family val="2"/>
      <i val="1"/>
      <color rgb="008A8A8A"/>
      <sz val="9"/>
      <scheme val="minor"/>
    </font>
    <font>
      <name val="Calibri"/>
      <color rgb="002B2B2B"/>
      <sz val="11"/>
    </font>
    <font>
      <name val="Calibri"/>
      <b val="1"/>
      <color rgb="002B2B2B"/>
      <sz val="15"/>
    </font>
    <font>
      <name val="Calibri"/>
      <i val="1"/>
      <color rgb="008A8A8A"/>
      <sz val="8.5"/>
    </font>
  </fonts>
  <fills count="5">
    <fill>
      <patternFill/>
    </fill>
    <fill>
      <patternFill patternType="gray125"/>
    </fill>
    <fill>
      <patternFill patternType="solid">
        <fgColor rgb="001F1F1F"/>
        <bgColor rgb="001F1F1F"/>
      </patternFill>
    </fill>
    <fill>
      <patternFill patternType="solid">
        <fgColor rgb="00FFF4D6"/>
        <bgColor rgb="00FFF4D6"/>
      </patternFill>
    </fill>
    <fill>
      <patternFill patternType="solid">
        <fgColor rgb="00EEF4F6"/>
        <bgColor rgb="00EEF4F6"/>
      </patternFill>
    </fill>
  </fills>
  <borders count="3">
    <border>
      <left/>
      <right/>
      <top/>
      <bottom/>
      <diagonal/>
    </border>
    <border>
      <bottom style="thin">
        <color rgb="00E3E3E3"/>
      </bottom>
    </border>
    <border>
      <bottom style="thin">
        <color rgb="005B7F8A"/>
      </bottom>
    </border>
  </borders>
  <cellStyleXfs count="1">
    <xf numFmtId="0" fontId="0" fillId="0" borderId="0"/>
  </cellStyleXfs>
  <cellXfs count="44">
    <xf numFmtId="0" fontId="0" fillId="0" borderId="0" pivotButton="0" quotePrefix="0" xfId="0"/>
    <xf numFmtId="0" fontId="0" fillId="2" borderId="0" pivotButton="0" quotePrefix="0" xfId="0"/>
    <xf numFmtId="0" fontId="1" fillId="2" borderId="0" applyAlignment="1" pivotButton="0" quotePrefix="0" xfId="0">
      <alignment horizontal="right" vertical="center"/>
    </xf>
    <xf numFmtId="0" fontId="2" fillId="0" borderId="0" pivotButton="0" quotePrefix="0" xfId="0"/>
    <xf numFmtId="0" fontId="3" fillId="0" borderId="0" pivotButton="0" quotePrefix="0" xfId="0"/>
    <xf numFmtId="0" fontId="4" fillId="0" borderId="0" applyAlignment="1" pivotButton="0" quotePrefix="0" xfId="0">
      <alignment vertical="top"/>
    </xf>
    <xf numFmtId="0" fontId="5" fillId="0" borderId="0" pivotButton="0" quotePrefix="0" xfId="0"/>
    <xf numFmtId="0" fontId="6" fillId="0" borderId="1" pivotButton="0" quotePrefix="0" xfId="0"/>
    <xf numFmtId="0" fontId="0" fillId="0" borderId="1" pivotButton="0" quotePrefix="0" xfId="0"/>
    <xf numFmtId="0" fontId="5" fillId="0" borderId="0" applyAlignment="1" pivotButton="0" quotePrefix="0" xfId="0">
      <alignment vertical="top" wrapText="1"/>
    </xf>
    <xf numFmtId="0" fontId="4" fillId="0" borderId="0" applyAlignment="1" pivotButton="0" quotePrefix="0" xfId="0">
      <alignment vertical="top" wrapText="1"/>
    </xf>
    <xf numFmtId="0" fontId="4" fillId="0" borderId="0" pivotButton="0" quotePrefix="0" xfId="0"/>
    <xf numFmtId="0" fontId="7" fillId="0" borderId="0" pivotButton="0" quotePrefix="0" xfId="0"/>
    <xf numFmtId="0" fontId="8" fillId="0" borderId="0" applyAlignment="1" pivotButton="0" quotePrefix="0" xfId="0">
      <alignment vertical="top" wrapText="1"/>
    </xf>
    <xf numFmtId="0" fontId="9" fillId="2" borderId="0" applyAlignment="1" pivotButton="0" quotePrefix="0" xfId="0">
      <alignment horizontal="right" vertical="center"/>
    </xf>
    <xf numFmtId="0" fontId="1" fillId="2" borderId="0" applyAlignment="1" pivotButton="0" quotePrefix="0" xfId="0">
      <alignment horizontal="right" vertical="top"/>
    </xf>
    <xf numFmtId="0" fontId="8" fillId="0" borderId="0" pivotButton="0" quotePrefix="0" xfId="0"/>
    <xf numFmtId="0" fontId="5" fillId="3" borderId="0" applyProtection="1" pivotButton="0" quotePrefix="0" xfId="0">
      <protection locked="0" hidden="0"/>
    </xf>
    <xf numFmtId="0" fontId="8" fillId="0" borderId="0" applyAlignment="1" pivotButton="0" quotePrefix="0" xfId="0">
      <alignment horizontal="right"/>
    </xf>
    <xf numFmtId="164" fontId="5" fillId="3" borderId="0" applyProtection="1" pivotButton="0" quotePrefix="0" xfId="0">
      <protection locked="0" hidden="0"/>
    </xf>
    <xf numFmtId="0" fontId="10" fillId="0" borderId="2" pivotButton="0" quotePrefix="0" xfId="0"/>
    <xf numFmtId="0" fontId="0" fillId="0" borderId="2" pivotButton="0" quotePrefix="0" xfId="0"/>
    <xf numFmtId="0" fontId="11" fillId="0" borderId="2" applyAlignment="1" pivotButton="0" quotePrefix="0" xfId="0">
      <alignment horizontal="right"/>
    </xf>
    <xf numFmtId="0" fontId="0" fillId="0" borderId="1" applyAlignment="1" pivotButton="0" quotePrefix="0" xfId="0">
      <alignment vertical="center"/>
    </xf>
    <xf numFmtId="0" fontId="5" fillId="0" borderId="1" applyAlignment="1" pivotButton="0" quotePrefix="0" xfId="0">
      <alignment vertical="center"/>
    </xf>
    <xf numFmtId="0" fontId="0" fillId="0" borderId="1" applyAlignment="1" pivotButton="0" quotePrefix="0" xfId="0">
      <alignment horizontal="center" vertical="center"/>
    </xf>
    <xf numFmtId="0" fontId="12" fillId="3" borderId="1" applyAlignment="1" applyProtection="1" pivotButton="0" quotePrefix="0" xfId="0">
      <alignment horizontal="center" vertical="center"/>
      <protection locked="0" hidden="0"/>
    </xf>
    <xf numFmtId="0" fontId="8" fillId="0" borderId="1" applyAlignment="1" pivotButton="0" quotePrefix="0" xfId="0">
      <alignment vertical="center"/>
    </xf>
    <xf numFmtId="2" fontId="12" fillId="3" borderId="1" applyAlignment="1" applyProtection="1" pivotButton="0" quotePrefix="0" xfId="0">
      <alignment horizontal="center" vertical="center"/>
      <protection locked="0" hidden="0"/>
    </xf>
    <xf numFmtId="165" fontId="12" fillId="3" borderId="1" applyAlignment="1" applyProtection="1" pivotButton="0" quotePrefix="0" xfId="0">
      <alignment horizontal="center" vertical="center"/>
      <protection locked="0" hidden="0"/>
    </xf>
    <xf numFmtId="0" fontId="13" fillId="0" borderId="1" applyAlignment="1" pivotButton="0" quotePrefix="0" xfId="0">
      <alignment vertical="center"/>
    </xf>
    <xf numFmtId="0" fontId="14" fillId="0" borderId="1" applyAlignment="1" pivotButton="0" quotePrefix="0" xfId="0">
      <alignment horizontal="center" vertical="center"/>
    </xf>
    <xf numFmtId="0" fontId="15" fillId="0" borderId="0" pivotButton="0" quotePrefix="0" xfId="0"/>
    <xf numFmtId="0" fontId="0" fillId="4" borderId="0" pivotButton="0" quotePrefix="0" xfId="0"/>
    <xf numFmtId="0" fontId="16" fillId="4" borderId="0" applyAlignment="1" pivotButton="0" quotePrefix="0" xfId="0">
      <alignment vertical="center"/>
    </xf>
    <xf numFmtId="0" fontId="0" fillId="4" borderId="0" applyAlignment="1" pivotButton="0" quotePrefix="0" xfId="0">
      <alignment horizontal="center" vertical="center"/>
    </xf>
    <xf numFmtId="165" fontId="17" fillId="4" borderId="0" applyAlignment="1" pivotButton="0" quotePrefix="0" xfId="0">
      <alignment horizontal="center" vertical="center"/>
    </xf>
    <xf numFmtId="0" fontId="4" fillId="4" borderId="0" applyAlignment="1" pivotButton="0" quotePrefix="0" xfId="0">
      <alignment vertical="center"/>
    </xf>
    <xf numFmtId="2" fontId="17" fillId="4" borderId="0" applyAlignment="1" pivotButton="0" quotePrefix="0" xfId="0">
      <alignment horizontal="center" vertical="center"/>
    </xf>
    <xf numFmtId="0" fontId="18" fillId="0" borderId="0" applyAlignment="1" pivotButton="0" quotePrefix="0" xfId="0">
      <alignment vertical="top" wrapText="1"/>
    </xf>
    <xf numFmtId="2" fontId="5" fillId="0" borderId="1" applyAlignment="1" pivotButton="0" quotePrefix="0" xfId="0">
      <alignment horizontal="center" vertical="center"/>
    </xf>
    <xf numFmtId="165" fontId="5" fillId="0" borderId="1" applyAlignment="1" pivotButton="0" quotePrefix="0" xfId="0">
      <alignment horizontal="center" vertical="center"/>
    </xf>
    <xf numFmtId="2" fontId="12" fillId="0" borderId="1" applyAlignment="1" pivotButton="0" quotePrefix="0" xfId="0">
      <alignment horizontal="center" vertical="center"/>
    </xf>
    <xf numFmtId="166" fontId="5" fillId="0" borderId="1" applyAlignment="1" pivotButton="0" quotePrefix="0" xfId="0">
      <alignment horizontal="center" vertical="center"/>
    </xf>
  </cellXfs>
  <cellStyles count="1">
    <cellStyle name="Normal" xfId="0" builtinId="0" hidden="0"/>
  </cellStyles>
  <dxfs count="3">
    <dxf>
      <font>
        <name val="Calibri"/>
        <b val="1"/>
        <color rgb="001E7F4F"/>
      </font>
      <fill>
        <patternFill patternType="solid">
          <fgColor rgb="00E6F4EC"/>
          <bgColor rgb="00E6F4EC"/>
        </patternFill>
      </fill>
    </dxf>
    <dxf>
      <font>
        <name val="Calibri"/>
        <b val="1"/>
        <color rgb="00B3261E"/>
      </font>
      <fill>
        <patternFill patternType="solid">
          <fgColor rgb="00FBE9E7"/>
          <bgColor rgb="00FBE9E7"/>
        </patternFill>
      </fill>
    </dxf>
    <dxf>
      <font>
        <name val="Calibri"/>
        <b val="1"/>
        <color rgb="008A5A00"/>
      </font>
      <fill>
        <patternFill patternType="solid">
          <fgColor rgb="00FFF1D6"/>
          <bgColor rgb="00FFF1D6"/>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charts/chart1.xml><?xml version="1.0" encoding="utf-8"?>
<chartSpace xmlns="http://schemas.openxmlformats.org/drawingml/2006/chart">
  <style val="1"/>
  <chart>
    <plotArea>
      <scatterChart>
        <scatterStyle val="lineMarker"/>
        <ser>
          <idx val="0"/>
          <order val="0"/>
          <tx>
            <strRef>
              <f>'Geometry'!$A$2</f>
            </strRef>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900">
                    <a:solidFill>
                      <a:srgbClr val="B3261E"/>
                    </a:solidFill>
                  </a:defRPr>
                </a:pPr>
                <a:r>
                  <a:t/>
                </a:r>
                <a:endParaRPr sz="900">
                  <a:solidFill>
                    <a:srgbClr val="B3261E"/>
                  </a:solidFill>
                </a:endParaRPr>
              </a:p>
            </txPr>
            <dLblPos val="r"/>
            <showLegendKey val="0"/>
            <showVal val="0"/>
            <showCatName val="0"/>
            <showSerName val="1"/>
            <showPercent val="0"/>
          </dLbls>
          <xVal>
            <numRef>
              <f>'Geometry'!$A$3</f>
            </numRef>
          </xVal>
          <yVal>
            <numRef>
              <f>'Geometry'!$B$3</f>
            </numRef>
          </yVal>
          <smooth val="0"/>
        </ser>
        <ser>
          <idx val="1"/>
          <order val="1"/>
          <tx>
            <v>beam</v>
          </tx>
          <spPr>
            <a:ln xmlns:a="http://schemas.openxmlformats.org/drawingml/2006/main" w="38100">
              <a:solidFill>
                <a:srgbClr val="2B2B2B"/>
              </a:solidFill>
              <a:prstDash val="solid"/>
            </a:ln>
          </spPr>
          <marker>
            <symbol val="none"/>
            <spPr>
              <a:ln xmlns:a="http://schemas.openxmlformats.org/drawingml/2006/main">
                <a:prstDash val="solid"/>
              </a:ln>
            </spPr>
          </marker>
          <xVal>
            <numRef>
              <f>'Geometry'!$D$3:$D$4</f>
            </numRef>
          </xVal>
          <yVal>
            <numRef>
              <f>'Geometry'!$E$3:$E$4</f>
            </numRef>
          </yVal>
          <smooth val="0"/>
        </ser>
        <ser>
          <idx val="2"/>
          <order val="2"/>
          <tx>
            <v>left support</v>
          </tx>
          <spPr>
            <a:ln xmlns:a="http://schemas.openxmlformats.org/drawingml/2006/main" w="15875">
              <a:solidFill>
                <a:srgbClr val="2B2B2B"/>
              </a:solidFill>
              <a:prstDash val="solid"/>
            </a:ln>
          </spPr>
          <marker>
            <symbol val="none"/>
            <spPr>
              <a:ln xmlns:a="http://schemas.openxmlformats.org/drawingml/2006/main">
                <a:prstDash val="solid"/>
              </a:ln>
            </spPr>
          </marker>
          <xVal>
            <numRef>
              <f>'Geometry'!$G$3:$G$6</f>
            </numRef>
          </xVal>
          <yVal>
            <numRef>
              <f>'Geometry'!$H$3:$H$6</f>
            </numRef>
          </yVal>
          <smooth val="0"/>
        </ser>
        <ser>
          <idx val="3"/>
          <order val="3"/>
          <tx>
            <v>right support</v>
          </tx>
          <spPr>
            <a:ln xmlns:a="http://schemas.openxmlformats.org/drawingml/2006/main" w="15875">
              <a:solidFill>
                <a:srgbClr val="2B2B2B"/>
              </a:solidFill>
              <a:prstDash val="solid"/>
            </a:ln>
          </spPr>
          <marker>
            <symbol val="none"/>
            <spPr>
              <a:ln xmlns:a="http://schemas.openxmlformats.org/drawingml/2006/main">
                <a:prstDash val="solid"/>
              </a:ln>
            </spPr>
          </marker>
          <xVal>
            <numRef>
              <f>'Geometry'!$J$3:$J$6</f>
            </numRef>
          </xVal>
          <yVal>
            <numRef>
              <f>'Geometry'!$K$3:$K$6</f>
            </numRef>
          </yVal>
          <smooth val="0"/>
        </ser>
        <ser>
          <idx val="4"/>
          <order val="4"/>
          <tx>
            <v>udl</v>
          </tx>
          <spPr>
            <a:ln xmlns:a="http://schemas.openxmlformats.org/drawingml/2006/main" w="12700">
              <a:solidFill>
                <a:srgbClr val="B3261E"/>
              </a:solidFill>
              <a:prstDash val="solid"/>
            </a:ln>
          </spPr>
          <marker>
            <symbol val="none"/>
            <spPr>
              <a:ln xmlns:a="http://schemas.openxmlformats.org/drawingml/2006/main">
                <a:prstDash val="solid"/>
              </a:ln>
            </spPr>
          </marker>
          <xVal>
            <numRef>
              <f>'Geometry'!$M$3:$M$6</f>
            </numRef>
          </xVal>
          <yVal>
            <numRef>
              <f>'Geometry'!$N$3:$N$6</f>
            </numRef>
          </yVal>
          <smooth val="0"/>
        </ser>
        <ser>
          <idx val="5"/>
          <order val="5"/>
          <tx>
            <v>P1</v>
          </tx>
          <spPr>
            <a:ln xmlns:a="http://schemas.openxmlformats.org/drawingml/2006/main" w="25400">
              <a:solidFill>
                <a:srgbClr val="B3261E"/>
              </a:solidFill>
              <a:prstDash val="solid"/>
            </a:ln>
          </spPr>
          <marker>
            <symbol val="none"/>
            <spPr>
              <a:ln xmlns:a="http://schemas.openxmlformats.org/drawingml/2006/main">
                <a:prstDash val="solid"/>
              </a:ln>
            </spPr>
          </marker>
          <xVal>
            <numRef>
              <f>'Geometry'!$P$3:$P$4</f>
            </numRef>
          </xVal>
          <yVal>
            <numRef>
              <f>'Geometry'!$Q$3:$Q$4</f>
            </numRef>
          </yVal>
          <smooth val="0"/>
        </ser>
        <ser>
          <idx val="6"/>
          <order val="6"/>
          <tx>
            <strRef>
              <f>'Geometry'!$S$2</f>
            </strRef>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800">
                    <a:solidFill>
                      <a:srgbClr val="B3261E"/>
                    </a:solidFill>
                  </a:defRPr>
                </a:pPr>
                <a:r>
                  <a:t/>
                </a:r>
                <a:endParaRPr sz="800">
                  <a:solidFill>
                    <a:srgbClr val="B3261E"/>
                  </a:solidFill>
                </a:endParaRPr>
              </a:p>
            </txPr>
            <dLblPos val="t"/>
            <showLegendKey val="0"/>
            <showVal val="0"/>
            <showCatName val="0"/>
            <showSerName val="1"/>
            <showPercent val="0"/>
          </dLbls>
          <xVal>
            <numRef>
              <f>'Geometry'!$S$3</f>
            </numRef>
          </xVal>
          <yVal>
            <numRef>
              <f>'Geometry'!$T$3</f>
            </numRef>
          </yVal>
          <smooth val="0"/>
        </ser>
        <ser>
          <idx val="7"/>
          <order val="7"/>
          <tx>
            <v>P2</v>
          </tx>
          <spPr>
            <a:ln xmlns:a="http://schemas.openxmlformats.org/drawingml/2006/main" w="25400">
              <a:solidFill>
                <a:srgbClr val="B3261E"/>
              </a:solidFill>
              <a:prstDash val="solid"/>
            </a:ln>
          </spPr>
          <marker>
            <symbol val="none"/>
            <spPr>
              <a:ln xmlns:a="http://schemas.openxmlformats.org/drawingml/2006/main">
                <a:prstDash val="solid"/>
              </a:ln>
            </spPr>
          </marker>
          <xVal>
            <numRef>
              <f>'Geometry'!$V$3:$V$4</f>
            </numRef>
          </xVal>
          <yVal>
            <numRef>
              <f>'Geometry'!$W$3:$W$4</f>
            </numRef>
          </yVal>
          <smooth val="0"/>
        </ser>
        <ser>
          <idx val="8"/>
          <order val="8"/>
          <tx>
            <strRef>
              <f>'Geometry'!$Y$2</f>
            </strRef>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800">
                    <a:solidFill>
                      <a:srgbClr val="B3261E"/>
                    </a:solidFill>
                  </a:defRPr>
                </a:pPr>
                <a:r>
                  <a:t/>
                </a:r>
                <a:endParaRPr sz="800">
                  <a:solidFill>
                    <a:srgbClr val="B3261E"/>
                  </a:solidFill>
                </a:endParaRPr>
              </a:p>
            </txPr>
            <dLblPos val="t"/>
            <showLegendKey val="0"/>
            <showVal val="0"/>
            <showCatName val="0"/>
            <showSerName val="1"/>
            <showPercent val="0"/>
          </dLbls>
          <xVal>
            <numRef>
              <f>'Geometry'!$Y$3</f>
            </numRef>
          </xVal>
          <yVal>
            <numRef>
              <f>'Geometry'!$Z$3</f>
            </numRef>
          </yVal>
          <smooth val="0"/>
        </ser>
        <ser>
          <idx val="9"/>
          <order val="9"/>
          <tx>
            <v>P3</v>
          </tx>
          <spPr>
            <a:ln xmlns:a="http://schemas.openxmlformats.org/drawingml/2006/main" w="25400">
              <a:solidFill>
                <a:srgbClr val="B3261E"/>
              </a:solidFill>
              <a:prstDash val="solid"/>
            </a:ln>
          </spPr>
          <marker>
            <symbol val="none"/>
            <spPr>
              <a:ln xmlns:a="http://schemas.openxmlformats.org/drawingml/2006/main">
                <a:prstDash val="solid"/>
              </a:ln>
            </spPr>
          </marker>
          <xVal>
            <numRef>
              <f>'Geometry'!$AB$3:$AB$4</f>
            </numRef>
          </xVal>
          <yVal>
            <numRef>
              <f>'Geometry'!$AC$3:$AC$4</f>
            </numRef>
          </yVal>
          <smooth val="0"/>
        </ser>
        <ser>
          <idx val="10"/>
          <order val="10"/>
          <tx>
            <strRef>
              <f>'Geometry'!$AE$2</f>
            </strRef>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800">
                    <a:solidFill>
                      <a:srgbClr val="B3261E"/>
                    </a:solidFill>
                  </a:defRPr>
                </a:pPr>
                <a:r>
                  <a:t/>
                </a:r>
                <a:endParaRPr sz="800">
                  <a:solidFill>
                    <a:srgbClr val="B3261E"/>
                  </a:solidFill>
                </a:endParaRPr>
              </a:p>
            </txPr>
            <dLblPos val="t"/>
            <showLegendKey val="0"/>
            <showVal val="0"/>
            <showCatName val="0"/>
            <showSerName val="1"/>
            <showPercent val="0"/>
          </dLbls>
          <xVal>
            <numRef>
              <f>'Geometry'!$AE$3</f>
            </numRef>
          </xVal>
          <yVal>
            <numRef>
              <f>'Geometry'!$AF$3</f>
            </numRef>
          </yVal>
          <smooth val="0"/>
        </ser>
        <ser>
          <idx val="11"/>
          <order val="11"/>
          <tx>
            <strRef>
              <f>'Geometry'!$AH$2</f>
            </strRef>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800">
                    <a:solidFill>
                      <a:srgbClr val="B3261E"/>
                    </a:solidFill>
                  </a:defRPr>
                </a:pPr>
                <a:r>
                  <a:t/>
                </a:r>
                <a:endParaRPr sz="800">
                  <a:solidFill>
                    <a:srgbClr val="B3261E"/>
                  </a:solidFill>
                </a:endParaRPr>
              </a:p>
            </txPr>
            <dLblPos val="t"/>
            <showLegendKey val="0"/>
            <showVal val="0"/>
            <showCatName val="0"/>
            <showSerName val="1"/>
            <showPercent val="0"/>
          </dLbls>
          <xVal>
            <numRef>
              <f>'Geometry'!$AH$3</f>
            </numRef>
          </xVal>
          <yVal>
            <numRef>
              <f>'Geometry'!$AI$3</f>
            </numRef>
          </yVal>
          <smooth val="0"/>
        </ser>
        <ser>
          <idx val="12"/>
          <order val="12"/>
          <tx>
            <v>SFD axis</v>
          </tx>
          <spPr>
            <a:ln xmlns:a="http://schemas.openxmlformats.org/drawingml/2006/main" w="9525">
              <a:solidFill>
                <a:srgbClr val="9A9A9A"/>
              </a:solidFill>
              <a:prstDash val="solid"/>
            </a:ln>
          </spPr>
          <marker>
            <symbol val="none"/>
            <spPr>
              <a:ln xmlns:a="http://schemas.openxmlformats.org/drawingml/2006/main">
                <a:prstDash val="solid"/>
              </a:ln>
            </spPr>
          </marker>
          <xVal>
            <numRef>
              <f>'Geometry'!$AK$3:$AK$4</f>
            </numRef>
          </xVal>
          <yVal>
            <numRef>
              <f>'Geometry'!$AL$3:$AL$4</f>
            </numRef>
          </yVal>
          <smooth val="0"/>
        </ser>
        <ser>
          <idx val="13"/>
          <order val="13"/>
          <tx>
            <v>BMD axis</v>
          </tx>
          <spPr>
            <a:ln xmlns:a="http://schemas.openxmlformats.org/drawingml/2006/main" w="9525">
              <a:solidFill>
                <a:srgbClr val="9A9A9A"/>
              </a:solidFill>
              <a:prstDash val="solid"/>
            </a:ln>
          </spPr>
          <marker>
            <symbol val="none"/>
            <spPr>
              <a:ln xmlns:a="http://schemas.openxmlformats.org/drawingml/2006/main">
                <a:prstDash val="solid"/>
              </a:ln>
            </spPr>
          </marker>
          <xVal>
            <numRef>
              <f>'Geometry'!$AN$3:$AN$4</f>
            </numRef>
          </xVal>
          <yVal>
            <numRef>
              <f>'Geometry'!$AO$3:$AO$4</f>
            </numRef>
          </yVal>
          <smooth val="0"/>
        </ser>
        <ser>
          <idx val="14"/>
          <order val="14"/>
          <tx>
            <v>SFD</v>
          </tx>
          <spPr>
            <a:ln xmlns:a="http://schemas.openxmlformats.org/drawingml/2006/main" w="19050">
              <a:solidFill>
                <a:srgbClr val="5B7F8A"/>
              </a:solidFill>
              <a:prstDash val="solid"/>
            </a:ln>
          </spPr>
          <marker>
            <symbol val="none"/>
            <spPr>
              <a:ln xmlns:a="http://schemas.openxmlformats.org/drawingml/2006/main">
                <a:prstDash val="solid"/>
              </a:ln>
            </spPr>
          </marker>
          <xVal>
            <numRef>
              <f>'Geometry'!$AQ$3:$AQ$72</f>
            </numRef>
          </xVal>
          <yVal>
            <numRef>
              <f>'Geometry'!$AR$3:$AR$72</f>
            </numRef>
          </yVal>
          <smooth val="0"/>
        </ser>
        <ser>
          <idx val="15"/>
          <order val="15"/>
          <tx>
            <v>BMD</v>
          </tx>
          <spPr>
            <a:ln xmlns:a="http://schemas.openxmlformats.org/drawingml/2006/main" w="19050">
              <a:solidFill>
                <a:srgbClr val="2B2B2B"/>
              </a:solidFill>
              <a:prstDash val="solid"/>
            </a:ln>
          </spPr>
          <marker>
            <symbol val="none"/>
            <spPr>
              <a:ln xmlns:a="http://schemas.openxmlformats.org/drawingml/2006/main">
                <a:prstDash val="solid"/>
              </a:ln>
            </spPr>
          </marker>
          <xVal>
            <numRef>
              <f>'Geometry'!$AT$3:$AT$72</f>
            </numRef>
          </xVal>
          <yVal>
            <numRef>
              <f>'Geometry'!$AU$3:$AU$72</f>
            </numRef>
          </yVal>
          <smooth val="0"/>
        </ser>
        <ser>
          <idx val="16"/>
          <order val="16"/>
          <tx>
            <v>Mmax</v>
          </tx>
          <spPr>
            <a:ln xmlns:a="http://schemas.openxmlformats.org/drawingml/2006/main">
              <a:noFill/>
              <a:prstDash val="solid"/>
            </a:ln>
          </spPr>
          <marker>
            <symbol val="circle"/>
            <size val="6"/>
            <spPr>
              <a:solidFill xmlns:a="http://schemas.openxmlformats.org/drawingml/2006/main">
                <a:srgbClr val="B3261E"/>
              </a:solidFill>
              <a:ln xmlns:a="http://schemas.openxmlformats.org/drawingml/2006/main">
                <a:solidFill>
                  <a:srgbClr val="B3261E"/>
                </a:solidFill>
                <a:prstDash val="solid"/>
              </a:ln>
            </spPr>
          </marker>
          <xVal>
            <numRef>
              <f>'Geometry'!$AW$3</f>
            </numRef>
          </xVal>
          <yVal>
            <numRef>
              <f>'Geometry'!$AX$3</f>
            </numRef>
          </yVal>
          <smooth val="0"/>
        </ser>
        <ser>
          <idx val="17"/>
          <order val="17"/>
          <tx>
            <strRef>
              <f>'Geometry'!$AZ$2</f>
            </strRef>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800">
                    <a:solidFill>
                      <a:srgbClr val="B3261E"/>
                    </a:solidFill>
                  </a:defRPr>
                </a:pPr>
                <a:r>
                  <a:t/>
                </a:r>
                <a:endParaRPr sz="800">
                  <a:solidFill>
                    <a:srgbClr val="B3261E"/>
                  </a:solidFill>
                </a:endParaRPr>
              </a:p>
            </txPr>
            <dLblPos val="b"/>
            <showLegendKey val="0"/>
            <showVal val="0"/>
            <showCatName val="0"/>
            <showSerName val="1"/>
            <showPercent val="0"/>
          </dLbls>
          <xVal>
            <numRef>
              <f>'Geometry'!$AZ$3</f>
            </numRef>
          </xVal>
          <yVal>
            <numRef>
              <f>'Geometry'!$BA$3</f>
            </numRef>
          </yVal>
          <smooth val="0"/>
        </ser>
        <ser>
          <idx val="18"/>
          <order val="18"/>
          <tx>
            <strRef>
              <f>'Geometry'!$BC$2</f>
            </strRef>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800">
                    <a:solidFill>
                      <a:srgbClr val="5B7F8A"/>
                    </a:solidFill>
                  </a:defRPr>
                </a:pPr>
                <a:r>
                  <a:t/>
                </a:r>
                <a:endParaRPr sz="800">
                  <a:solidFill>
                    <a:srgbClr val="5B7F8A"/>
                  </a:solidFill>
                </a:endParaRPr>
              </a:p>
            </txPr>
            <dLblPos val="r"/>
            <showLegendKey val="0"/>
            <showVal val="0"/>
            <showCatName val="0"/>
            <showSerName val="1"/>
            <showPercent val="0"/>
          </dLbls>
          <xVal>
            <numRef>
              <f>'Geometry'!$BC$3</f>
            </numRef>
          </xVal>
          <yVal>
            <numRef>
              <f>'Geometry'!$BD$3</f>
            </numRef>
          </yVal>
          <smooth val="0"/>
        </ser>
        <ser>
          <idx val="19"/>
          <order val="19"/>
          <tx>
            <strRef>
              <f>'Geometry'!$BF$2</f>
            </strRef>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800">
                    <a:solidFill>
                      <a:srgbClr val="5B7F8A"/>
                    </a:solidFill>
                  </a:defRPr>
                </a:pPr>
                <a:r>
                  <a:t/>
                </a:r>
                <a:endParaRPr sz="800">
                  <a:solidFill>
                    <a:srgbClr val="5B7F8A"/>
                  </a:solidFill>
                </a:endParaRPr>
              </a:p>
            </txPr>
            <dLblPos val="l"/>
            <showLegendKey val="0"/>
            <showVal val="0"/>
            <showCatName val="0"/>
            <showSerName val="1"/>
            <showPercent val="0"/>
          </dLbls>
          <xVal>
            <numRef>
              <f>'Geometry'!$BF$3</f>
            </numRef>
          </xVal>
          <yVal>
            <numRef>
              <f>'Geometry'!$BG$3</f>
            </numRef>
          </yVal>
          <smooth val="0"/>
        </ser>
        <ser>
          <idx val="20"/>
          <order val="20"/>
          <tx>
            <v>dim</v>
          </tx>
          <spPr>
            <a:ln xmlns:a="http://schemas.openxmlformats.org/drawingml/2006/main" w="9525">
              <a:solidFill>
                <a:srgbClr val="2B2B2B"/>
              </a:solidFill>
              <a:prstDash val="solid"/>
              <a:headEnd type="triangle" w="sm" len="sm"/>
              <a:tailEnd type="triangle" w="sm" len="sm"/>
            </a:ln>
          </spPr>
          <marker>
            <symbol val="none"/>
            <spPr>
              <a:ln xmlns:a="http://schemas.openxmlformats.org/drawingml/2006/main">
                <a:prstDash val="solid"/>
              </a:ln>
            </spPr>
          </marker>
          <xVal>
            <numRef>
              <f>'Geometry'!$BI$3:$BI$4</f>
            </numRef>
          </xVal>
          <yVal>
            <numRef>
              <f>'Geometry'!$BJ$3:$BJ$4</f>
            </numRef>
          </yVal>
          <smooth val="0"/>
        </ser>
        <ser>
          <idx val="21"/>
          <order val="21"/>
          <tx>
            <strRef>
              <f>'Geometry'!$BL$2</f>
            </strRef>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900">
                    <a:solidFill>
                      <a:srgbClr val="2B2B2B"/>
                    </a:solidFill>
                  </a:defRPr>
                </a:pPr>
                <a:r>
                  <a:t/>
                </a:r>
                <a:endParaRPr sz="900">
                  <a:solidFill>
                    <a:srgbClr val="2B2B2B"/>
                  </a:solidFill>
                </a:endParaRPr>
              </a:p>
            </txPr>
            <dLblPos val="b"/>
            <showLegendKey val="0"/>
            <showVal val="0"/>
            <showCatName val="0"/>
            <showSerName val="1"/>
            <showPercent val="0"/>
          </dLbls>
          <xVal>
            <numRef>
              <f>'Geometry'!$BL$3</f>
            </numRef>
          </xVal>
          <yVal>
            <numRef>
              <f>'Geometry'!$BM$3</f>
            </numRef>
          </yVal>
          <smooth val="0"/>
        </ser>
        <ser>
          <idx val="22"/>
          <order val="22"/>
          <tx>
            <v>frame</v>
          </tx>
          <spPr>
            <a:ln xmlns:a="http://schemas.openxmlformats.org/drawingml/2006/main">
              <a:noFill/>
              <a:prstDash val="solid"/>
            </a:ln>
          </spPr>
          <marker>
            <symbol val="none"/>
            <spPr>
              <a:ln xmlns:a="http://schemas.openxmlformats.org/drawingml/2006/main">
                <a:prstDash val="solid"/>
              </a:ln>
            </spPr>
          </marker>
          <xVal>
            <numRef>
              <f>'Geometry'!$BO$3:$BO$4</f>
            </numRef>
          </xVal>
          <yVal>
            <numRef>
              <f>'Geometry'!$BP$3:$BP$4</f>
            </numRef>
          </yVal>
          <smooth val="0"/>
        </ser>
        <axId val="10"/>
        <axId val="20"/>
      </scatterChart>
      <valAx>
        <axId val="10"/>
        <scaling>
          <orientation val="minMax"/>
        </scaling>
        <delete val="1"/>
        <axPos val="l"/>
        <majorTickMark val="none"/>
        <minorTickMark val="none"/>
        <crossAx val="20"/>
      </valAx>
      <valAx>
        <axId val="20"/>
        <scaling>
          <orientation val="minMax"/>
        </scaling>
        <delete val="1"/>
        <axPos val="l"/>
        <majorTickMark val="none"/>
        <minorTickMark val="none"/>
        <crossAx val="10"/>
      </valAx>
    </plotArea>
    <plotVisOnly val="1"/>
    <dispBlanksAs val="gap"/>
  </chart>
  <spPr>
    <a:ln xmlns:a="http://schemas.openxmlformats.org/drawingml/2006/main">
      <a:noFill/>
      <a:prstDash val="solid"/>
    </a:ln>
  </spPr>
</chartSpace>
</file>

<file path=xl/drawings/_rels/drawing1.xml.rels><Relationships xmlns="http://schemas.openxmlformats.org/package/2006/relationships"><Relationship Type="http://schemas.openxmlformats.org/officeDocument/2006/relationships/image" Target="/xl/media/image1.png" Id="rId1"/></Relationships>
</file>

<file path=xl/drawings/_rels/drawing2.xml.rels><Relationships xmlns="http://schemas.openxmlformats.org/package/2006/relationships"><Relationship Type="http://schemas.openxmlformats.org/officeDocument/2006/relationships/chart" Target="/xl/charts/chart1.xml" Id="rId1"/><Relationship Type="http://schemas.openxmlformats.org/officeDocument/2006/relationships/image" Target="/xl/media/image2.png" Id="rId2"/></Relationships>
</file>

<file path=xl/drawings/drawing1.xml><?xml version="1.0" encoding="utf-8"?>
<wsDr xmlns="http://schemas.openxmlformats.org/drawingml/2006/spreadsheetDrawing">
  <oneCellAnchor>
    <from>
      <col>1</col>
      <colOff>0</colOff>
      <row>1</row>
      <rowOff>0</rowOff>
    </from>
    <ext cx="2847975" cy="60960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drawings/drawing2.xml><?xml version="1.0" encoding="utf-8"?>
<wsDr xmlns="http://schemas.openxmlformats.org/drawingml/2006/spreadsheetDrawing">
  <oneCellAnchor>
    <from>
      <col>2</col>
      <colOff>0</colOff>
      <row>27</row>
      <rowOff>0</rowOff>
    </from>
    <ext cx="6696000" cy="4320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oneCellAnchor>
    <from>
      <col>1</col>
      <colOff>0</colOff>
      <row>1</row>
      <rowOff>0</rowOff>
    </from>
    <ext cx="1514475" cy="323850"/>
    <pic>
      <nvPicPr>
        <cNvPr id="2" name="Image 2" descr="Picture"/>
        <cNvPicPr/>
      </nvPicPr>
      <blipFill>
        <a:blip xmlns:a="http://schemas.openxmlformats.org/drawingml/2006/main" xmlns:r="http://schemas.openxmlformats.org/officeDocument/2006/relationships" cstate="print" r:embed="rId2"/>
        <a:stretch xmlns:a="http://schemas.openxmlformats.org/drawingml/2006/main">
          <a:fillRect/>
        </a:stretch>
      </blipFill>
      <spPr>
        <a:prstGeom xmlns:a="http://schemas.openxmlformats.org/drawingml/2006/main"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naengineering.uk" TargetMode="External" Id="rId1"/><Relationship Type="http://schemas.openxmlformats.org/officeDocument/2006/relationships/hyperlink" Target="mailto:adrian@naengineering.uk" TargetMode="External" Id="rId2"/><Relationship Type="http://schemas.openxmlformats.org/officeDocument/2006/relationships/hyperlink" Target="https://www.linkedin.com/company/naengineering" TargetMode="External" Id="rId3"/><Relationship Type="http://schemas.openxmlformats.org/officeDocument/2006/relationships/drawing" Target="/xl/drawings/drawing1.xml" Id="rId4"/></Relationships>
</file>

<file path=xl/worksheets/_rels/sheet2.xml.rels><Relationships xmlns="http://schemas.openxmlformats.org/package/2006/relationships"><Relationship Type="http://schemas.openxmlformats.org/officeDocument/2006/relationships/drawing" Target="/xl/drawings/drawing2.xml" Id="rId1"/></Relationships>
</file>

<file path=xl/worksheets/sheet1.xml><?xml version="1.0" encoding="utf-8"?>
<worksheet xmlns="http://schemas.openxmlformats.org/spreadsheetml/2006/main">
  <sheetPr>
    <outlinePr summaryBelow="1" summaryRight="1"/>
    <pageSetUpPr fitToPage="1"/>
  </sheetPr>
  <dimension ref="A1:D38"/>
  <sheetViews>
    <sheetView showGridLines="0" tabSelected="0" workbookViewId="0">
      <selection activeCell="A1" sqref="A1"/>
    </sheetView>
  </sheetViews>
  <sheetFormatPr baseColWidth="8" defaultRowHeight="15"/>
  <cols>
    <col width="4" customWidth="1" min="1" max="1"/>
    <col width="24" customWidth="1" min="2" max="2"/>
    <col width="78" customWidth="1" min="3" max="3"/>
    <col width="4" customWidth="1" min="4" max="4"/>
  </cols>
  <sheetData>
    <row r="1" ht="14" customHeight="1">
      <c r="A1" s="1" t="n"/>
      <c r="B1" s="1" t="n"/>
      <c r="C1" s="1" t="n"/>
      <c r="D1" s="1" t="n"/>
    </row>
    <row r="2" ht="50" customHeight="1">
      <c r="A2" s="1" t="n"/>
      <c r="B2" s="1" t="n"/>
      <c r="C2" s="1" t="n"/>
      <c r="D2" s="1" t="n"/>
    </row>
    <row r="3" ht="14" customHeight="1">
      <c r="A3" s="1" t="n"/>
      <c r="B3" s="1" t="n"/>
      <c r="C3" s="1" t="n"/>
      <c r="D3" s="1" t="n"/>
    </row>
    <row r="4" ht="18" customHeight="1">
      <c r="A4" s="1" t="n"/>
      <c r="B4" s="1" t="n"/>
      <c r="C4" s="2" t="inlineStr">
        <is>
          <t>Structural design  ·  RC modelling &amp; detailing  ·  Steel detailing</t>
        </is>
      </c>
      <c r="D4" s="1" t="n"/>
    </row>
    <row r="5" ht="10" customHeight="1">
      <c r="A5" s="1" t="n"/>
      <c r="B5" s="1" t="n"/>
      <c r="C5" s="1" t="n"/>
      <c r="D5" s="1" t="n"/>
    </row>
    <row r="7" ht="36" customHeight="1">
      <c r="B7" s="3" t="inlineStr">
        <is>
          <t>Beam actions</t>
        </is>
      </c>
    </row>
    <row r="8" ht="20" customHeight="1">
      <c r="B8" s="4" t="inlineStr">
        <is>
          <t>Simply supported beam  ·  reactions, shear and bending moment diagrams  ·  EN 1990 (6.10)</t>
        </is>
      </c>
    </row>
    <row r="10">
      <c r="B10" s="5" t="inlineStr">
        <is>
          <t>Reference</t>
        </is>
      </c>
      <c r="C10" s="6" t="inlineStr">
        <is>
          <t>NAE-RC-017  ·  version 1.0</t>
        </is>
      </c>
    </row>
    <row r="11">
      <c r="B11" s="5" t="inlineStr">
        <is>
          <t>Standards</t>
        </is>
      </c>
      <c r="C11" s="6" t="inlineStr">
        <is>
          <t>EN 1990 (6.10) with the partial factors entered  ·  statics</t>
        </is>
      </c>
    </row>
    <row r="12">
      <c r="B12" s="5" t="inlineStr">
        <is>
          <t>National Annex</t>
        </is>
      </c>
      <c r="C12" s="6" t="inlineStr">
        <is>
          <t>Not applicable</t>
        </is>
      </c>
    </row>
    <row r="13">
      <c r="B13" s="5" t="inlineStr">
        <is>
          <t>Issued</t>
        </is>
      </c>
      <c r="C13" s="6" t="inlineStr">
        <is>
          <t>30 October 2026</t>
        </is>
      </c>
    </row>
    <row r="15" ht="20" customHeight="1">
      <c r="B15" s="7" t="inlineStr">
        <is>
          <t>What it does</t>
        </is>
      </c>
      <c r="C15" s="8" t="n"/>
    </row>
    <row r="16" ht="47.5" customHeight="1">
      <c r="B16" s="9" t="inlineStr">
        <is>
          <t>Design actions in a simply supported beam under a uniformly distributed load and up to three point loads: reactions, the shear force and bending moment diagrams, the largest moment and where it occurs, and the largest shear, ready to use in NAE-RC-004 Beam bending and shear.</t>
        </is>
      </c>
    </row>
    <row r="18" ht="20" customHeight="1">
      <c r="B18" s="7" t="inlineStr">
        <is>
          <t>How to use</t>
        </is>
      </c>
      <c r="C18" s="8" t="n"/>
    </row>
    <row r="19" ht="47.5" customHeight="1">
      <c r="B19" s="9" t="inlineStr">
        <is>
          <t>1.  Open the Calculation sheet and select the National Annex.
2.  Fill in the shaded input cells. Everything else is calculated.
3.  Read the Results block; every step below it quotes its clause. Print or save as PDF for your calculation package.</t>
        </is>
      </c>
    </row>
    <row r="21" ht="20" customHeight="1">
      <c r="B21" s="7" t="inlineStr">
        <is>
          <t>Scope and limitations</t>
        </is>
      </c>
      <c r="C21" s="8" t="n"/>
    </row>
    <row r="22" ht="91" customHeight="1">
      <c r="B22" s="9" t="inlineStr">
        <is>
          <t>Statically determinate beam on two simple supports, loads acting downwards: one full-length UDL (permanent and variable) and up to three point loads (permanent and variable) anywhere on the span. Each load is factored by EN 1990 (6.10) with the γG and γQ entered (all permanent loads unfavourable, all variable loads present: one load case). Pattern loading, other combinations, self weight unless included in gk, and deflections are for the user. The diagrams are evaluated at 60 stations, on both sides of every point load and at Mmax; Mmax is exact. VEd,max is the shear in the span: a load standing on a support goes straight into it.</t>
        </is>
      </c>
    </row>
    <row r="24" ht="20" customHeight="1">
      <c r="B24" s="7" t="inlineStr">
        <is>
          <t>Further reading and independent cross-check</t>
        </is>
      </c>
      <c r="C24" s="8" t="n"/>
    </row>
    <row r="25" ht="47.5" customHeight="1">
      <c r="B25" s="10" t="inlineStr">
        <is>
          <t>•  EN 1990, 6.4.3.2 (6.10).
NA Engineering is not affiliated with The Concrete Centre or CIRIA; their publications are referenced for information only.</t>
        </is>
      </c>
    </row>
    <row r="27" ht="20" customHeight="1">
      <c r="B27" s="7" t="inlineStr">
        <is>
          <t>About NA Engineering</t>
        </is>
      </c>
      <c r="C27" s="8" t="n"/>
    </row>
    <row r="28" ht="62" customHeight="1">
      <c r="B28" s="9" t="inlineStr">
        <is>
          <t>NA Engineering is a structural engineering consultancy delivering structural design, reinforced concrete modelling and detailing, and steel detailing for residential, commercial, infrastructure, energy and refurbishment projects. We share tools like this one because good engineering should be transparent: every formula here is visible and referenced. If you need a design, a check or a full detailing package, talk to us.</t>
        </is>
      </c>
    </row>
    <row r="29">
      <c r="B29" s="11" t="inlineStr">
        <is>
          <t>Website</t>
        </is>
      </c>
      <c r="C29" s="12" t="inlineStr">
        <is>
          <t>naengineering.uk</t>
        </is>
      </c>
    </row>
    <row r="30">
      <c r="B30" s="11" t="inlineStr">
        <is>
          <t>Email</t>
        </is>
      </c>
      <c r="C30" s="12" t="inlineStr">
        <is>
          <t>adrian@naengineering.uk</t>
        </is>
      </c>
    </row>
    <row r="31">
      <c r="B31" s="11" t="inlineStr">
        <is>
          <t>Phone</t>
        </is>
      </c>
      <c r="C31" s="6" t="inlineStr">
        <is>
          <t>+48 505 844 422</t>
        </is>
      </c>
    </row>
    <row r="32">
      <c r="B32" s="11" t="inlineStr">
        <is>
          <t>LinkedIn</t>
        </is>
      </c>
      <c r="C32" s="12" t="inlineStr">
        <is>
          <t>linkedin.com/company/naengineering</t>
        </is>
      </c>
    </row>
    <row r="34" ht="20" customHeight="1">
      <c r="B34" s="7" t="inlineStr">
        <is>
          <t>Disclaimer</t>
        </is>
      </c>
      <c r="C34" s="8" t="n"/>
    </row>
    <row r="35" ht="76.5" customHeight="1">
      <c r="B35" s="13" t="inlineStr">
        <is>
          <t>This spreadsheet is provided free of charge, as is, for use by competent engineers. It does not replace engineering judgement. The user is responsible for the input, for checking that the method suits the element being designed and for verifying the results. NA Engineering accepts no liability for any loss arising from its use. Sheets are password-protected and the workbook structure is locked so that the formulas and the NA Engineering details cannot be changed; only the shaded input cells can be edited.</t>
        </is>
      </c>
    </row>
    <row r="37" ht="20" customHeight="1">
      <c r="B37" s="7" t="inlineStr">
        <is>
          <t>Revision history</t>
        </is>
      </c>
      <c r="C37" s="8" t="n"/>
    </row>
    <row r="38">
      <c r="B38" s="5" t="inlineStr">
        <is>
          <t>v1.0</t>
        </is>
      </c>
      <c r="C38" s="6" t="inlineStr">
        <is>
          <t>30 Oct 2026  ·  First issue</t>
        </is>
      </c>
    </row>
  </sheetData>
  <sheetProtection selectLockedCells="0" selectUnlockedCells="0" sheet="1" objects="1" insertRows="1" insertHyperlinks="1" autoFilter="1" scenarios="0" formatColumns="1" deleteColumns="1" insertColumns="1" pivotTables="1" deleteRows="1" formatCells="1" formatRows="1" sort="1" password="AA0A"/>
  <mergeCells count="6">
    <mergeCell ref="B16:C16"/>
    <mergeCell ref="B25:C25"/>
    <mergeCell ref="B19:C19"/>
    <mergeCell ref="B28:C28"/>
    <mergeCell ref="B22:C22"/>
    <mergeCell ref="B35:C35"/>
  </mergeCells>
  <hyperlinks>
    <hyperlink xmlns:r="http://schemas.openxmlformats.org/officeDocument/2006/relationships" ref="C29" r:id="rId1"/>
    <hyperlink xmlns:r="http://schemas.openxmlformats.org/officeDocument/2006/relationships" ref="C30" r:id="rId2"/>
    <hyperlink xmlns:r="http://schemas.openxmlformats.org/officeDocument/2006/relationships" ref="C32" r:id="rId3"/>
  </hyperlinks>
  <printOptions horizontalCentered="1"/>
  <pageMargins left="0.4" right="0.4" top="0.4" bottom="0.6" header="0.5" footer="0.5"/>
  <pageSetup orientation="portrait" paperSize="9" fitToHeight="1" fitToWidth="1"/>
  <headerFooter>
    <oddHeader/>
    <oddFooter>&amp;L&amp;7 &amp;K8A8A8ANA Engineering sp. z o.o.  ·  naengineering.uk  ·  adrian@naengineering.uk  ·  +48 505 844 422&amp;C&amp;7 &amp;K8A8A8A&amp;P / &amp;N&amp;R&amp;7 &amp;K8A8A8ANAE-RC-017  v1.0</oddFooter>
    <evenHeader/>
    <evenFooter/>
    <firstHeader/>
    <firstFooter/>
  </headerFooter>
  <drawing xmlns:r="http://schemas.openxmlformats.org/officeDocument/2006/relationships" r:id="rId4"/>
</worksheet>
</file>

<file path=xl/worksheets/sheet2.xml><?xml version="1.0" encoding="utf-8"?>
<worksheet xmlns="http://schemas.openxmlformats.org/spreadsheetml/2006/main">
  <sheetPr>
    <outlinePr summaryBelow="1" summaryRight="1"/>
    <pageSetUpPr fitToPage="1"/>
  </sheetPr>
  <dimension ref="A1:H73"/>
  <sheetViews>
    <sheetView showGridLines="0" tabSelected="1" workbookViewId="0">
      <selection activeCell="A1" sqref="A1"/>
    </sheetView>
  </sheetViews>
  <sheetFormatPr baseColWidth="8" defaultRowHeight="15"/>
  <cols>
    <col width="2.5" customWidth="1" min="1" max="1"/>
    <col width="11" customWidth="1" min="2" max="2"/>
    <col width="46" customWidth="1" min="3" max="3"/>
    <col width="10" customWidth="1" min="4" max="4"/>
    <col width="13" customWidth="1" min="5" max="5"/>
    <col width="8" customWidth="1" min="6" max="6"/>
    <col width="22" customWidth="1" min="7" max="7"/>
    <col width="2.5" customWidth="1" min="8" max="8"/>
  </cols>
  <sheetData>
    <row r="1" ht="8" customHeight="1">
      <c r="A1" s="1" t="n"/>
      <c r="B1" s="1" t="n"/>
      <c r="C1" s="1" t="n"/>
      <c r="D1" s="1" t="n"/>
      <c r="E1" s="1" t="n"/>
      <c r="F1" s="1" t="n"/>
      <c r="G1" s="1" t="n"/>
      <c r="H1" s="1" t="n"/>
    </row>
    <row r="2" ht="30" customHeight="1">
      <c r="A2" s="1" t="n"/>
      <c r="B2" s="1" t="n"/>
      <c r="C2" s="1" t="n"/>
      <c r="D2" s="14" t="inlineStr">
        <is>
          <t>Beam actions</t>
        </is>
      </c>
      <c r="H2" s="1" t="n"/>
    </row>
    <row r="3" ht="16" customHeight="1">
      <c r="A3" s="1" t="n"/>
      <c r="B3" s="1" t="n"/>
      <c r="C3" s="15" t="inlineStr">
        <is>
          <t>NAE-RC-017 v1.0  ·  naengineering.uk  ·  adrian@naengineering.uk  ·  +48 505 844 422</t>
        </is>
      </c>
      <c r="H3" s="1" t="n"/>
    </row>
    <row r="5">
      <c r="B5" s="16" t="inlineStr">
        <is>
          <t>Project</t>
        </is>
      </c>
      <c r="C5" s="17" t="n"/>
      <c r="D5" s="18" t="inlineStr">
        <is>
          <t>Job no.</t>
        </is>
      </c>
      <c r="E5" s="17" t="n"/>
    </row>
    <row r="6">
      <c r="B6" s="16" t="inlineStr">
        <is>
          <t>Element</t>
        </is>
      </c>
      <c r="C6" s="17" t="n"/>
      <c r="D6" s="18" t="inlineStr">
        <is>
          <t>Made by</t>
        </is>
      </c>
      <c r="E6" s="17" t="n"/>
    </row>
    <row r="7">
      <c r="B7" s="16" t="inlineStr">
        <is>
          <t>Date</t>
        </is>
      </c>
      <c r="C7" s="19" t="n"/>
      <c r="D7" s="18" t="inlineStr">
        <is>
          <t>Checked</t>
        </is>
      </c>
      <c r="E7" s="17" t="n"/>
    </row>
    <row r="10" ht="22" customHeight="1">
      <c r="B10" s="20" t="inlineStr">
        <is>
          <t>Inputs  ·  span and loads</t>
        </is>
      </c>
      <c r="C10" s="21" t="n"/>
      <c r="D10" s="21" t="n"/>
      <c r="E10" s="21" t="n"/>
      <c r="F10" s="21" t="n"/>
      <c r="G10" s="22" t="inlineStr">
        <is>
          <t>Characteristic values</t>
        </is>
      </c>
    </row>
    <row r="11" ht="17" customHeight="1">
      <c r="B11" s="23" t="n"/>
      <c r="C11" s="24" t="inlineStr">
        <is>
          <t>Span</t>
        </is>
      </c>
      <c r="D11" s="25" t="inlineStr">
        <is>
          <r>
            <rPr>
              <rFont val="Calibri"/>
              <i val="1"/>
              <color rgb="002B2B2B"/>
              <sz val="10"/>
            </rPr>
            <t>L</t>
          </r>
        </is>
      </c>
      <c r="E11" s="26" t="n">
        <v>6000</v>
      </c>
      <c r="F11" s="27" t="inlineStr">
        <is>
          <t>mm</t>
        </is>
      </c>
      <c r="G11" s="23" t="n"/>
    </row>
    <row r="12" ht="17" customHeight="1">
      <c r="B12" s="23" t="n"/>
      <c r="C12" s="24" t="inlineStr">
        <is>
          <t>UDL, permanent  (include the self weight)</t>
        </is>
      </c>
      <c r="D12" s="25" t="inlineStr">
        <is>
          <r>
            <rPr>
              <rFont val="Calibri"/>
              <i val="1"/>
              <color rgb="002B2B2B"/>
              <sz val="10"/>
            </rPr>
            <t>g</t>
          </r>
          <r>
            <rPr>
              <rFont val="Calibri"/>
              <i val="1"/>
              <color rgb="002B2B2B"/>
              <sz val="10"/>
              <vertAlign val="subscript"/>
            </rPr>
            <t>k</t>
          </r>
        </is>
      </c>
      <c r="E12" s="28" t="n">
        <v>15</v>
      </c>
      <c r="F12" s="27" t="inlineStr">
        <is>
          <t>kN/m</t>
        </is>
      </c>
      <c r="G12" s="23" t="n"/>
    </row>
    <row r="13" ht="17" customHeight="1">
      <c r="B13" s="23" t="n"/>
      <c r="C13" s="24" t="inlineStr">
        <is>
          <t>UDL, variable</t>
        </is>
      </c>
      <c r="D13" s="25" t="inlineStr">
        <is>
          <r>
            <rPr>
              <rFont val="Calibri"/>
              <i val="1"/>
              <color rgb="002B2B2B"/>
              <sz val="10"/>
            </rPr>
            <t>q</t>
          </r>
          <r>
            <rPr>
              <rFont val="Calibri"/>
              <i val="1"/>
              <color rgb="002B2B2B"/>
              <sz val="10"/>
              <vertAlign val="subscript"/>
            </rPr>
            <t>k</t>
          </r>
        </is>
      </c>
      <c r="E13" s="28" t="n">
        <v>8</v>
      </c>
      <c r="F13" s="27" t="inlineStr">
        <is>
          <t>kN/m</t>
        </is>
      </c>
      <c r="G13" s="23" t="n"/>
    </row>
    <row r="14" ht="17" customHeight="1">
      <c r="B14" s="23" t="n"/>
      <c r="C14" s="24" t="inlineStr">
        <is>
          <t>Point load 1: permanent</t>
        </is>
      </c>
      <c r="D14" s="25" t="inlineStr">
        <is>
          <r>
            <rPr>
              <rFont val="Calibri"/>
              <i val="1"/>
              <color rgb="002B2B2B"/>
              <sz val="10"/>
            </rPr>
            <t>G</t>
          </r>
          <r>
            <rPr>
              <rFont val="Calibri"/>
              <i val="1"/>
              <color rgb="002B2B2B"/>
              <sz val="10"/>
              <vertAlign val="subscript"/>
            </rPr>
            <t>1</t>
          </r>
        </is>
      </c>
      <c r="E14" s="29" t="n">
        <v>40</v>
      </c>
      <c r="F14" s="27" t="inlineStr">
        <is>
          <t>kN</t>
        </is>
      </c>
      <c r="G14" s="23" t="n"/>
    </row>
    <row r="15" ht="17" customHeight="1">
      <c r="B15" s="23" t="n"/>
      <c r="C15" s="24" t="inlineStr">
        <is>
          <t>Point load 1: variable</t>
        </is>
      </c>
      <c r="D15" s="25" t="inlineStr">
        <is>
          <r>
            <rPr>
              <rFont val="Calibri"/>
              <i val="1"/>
              <color rgb="002B2B2B"/>
              <sz val="10"/>
            </rPr>
            <t>Q</t>
          </r>
          <r>
            <rPr>
              <rFont val="Calibri"/>
              <i val="1"/>
              <color rgb="002B2B2B"/>
              <sz val="10"/>
              <vertAlign val="subscript"/>
            </rPr>
            <t>1</t>
          </r>
        </is>
      </c>
      <c r="E15" s="29" t="n">
        <v>20</v>
      </c>
      <c r="F15" s="27" t="inlineStr">
        <is>
          <t>kN</t>
        </is>
      </c>
      <c r="G15" s="23" t="n"/>
    </row>
    <row r="16" ht="17" customHeight="1">
      <c r="B16" s="23" t="n"/>
      <c r="C16" s="24" t="inlineStr">
        <is>
          <t>Point load 1: distance from the left support</t>
        </is>
      </c>
      <c r="D16" s="25" t="inlineStr">
        <is>
          <r>
            <rPr>
              <rFont val="Calibri"/>
              <i val="1"/>
              <color rgb="002B2B2B"/>
              <sz val="10"/>
            </rPr>
            <t>a</t>
          </r>
          <r>
            <rPr>
              <rFont val="Calibri"/>
              <i val="1"/>
              <color rgb="002B2B2B"/>
              <sz val="10"/>
              <vertAlign val="subscript"/>
            </rPr>
            <t>1</t>
          </r>
        </is>
      </c>
      <c r="E16" s="26" t="n">
        <v>2000</v>
      </c>
      <c r="F16" s="27" t="inlineStr">
        <is>
          <t>mm</t>
        </is>
      </c>
      <c r="G16" s="23" t="n"/>
    </row>
    <row r="17" ht="17" customHeight="1">
      <c r="B17" s="23" t="n"/>
      <c r="C17" s="24" t="inlineStr">
        <is>
          <t>Point load 2: permanent</t>
        </is>
      </c>
      <c r="D17" s="25" t="inlineStr">
        <is>
          <r>
            <rPr>
              <rFont val="Calibri"/>
              <i val="1"/>
              <color rgb="002B2B2B"/>
              <sz val="10"/>
            </rPr>
            <t>G</t>
          </r>
          <r>
            <rPr>
              <rFont val="Calibri"/>
              <i val="1"/>
              <color rgb="002B2B2B"/>
              <sz val="10"/>
              <vertAlign val="subscript"/>
            </rPr>
            <t>2</t>
          </r>
        </is>
      </c>
      <c r="E17" s="29" t="n">
        <v>0</v>
      </c>
      <c r="F17" s="27" t="inlineStr">
        <is>
          <t>kN</t>
        </is>
      </c>
      <c r="G17" s="23" t="n"/>
    </row>
    <row r="18" ht="17" customHeight="1">
      <c r="B18" s="23" t="n"/>
      <c r="C18" s="24" t="inlineStr">
        <is>
          <t>Point load 2: variable</t>
        </is>
      </c>
      <c r="D18" s="25" t="inlineStr">
        <is>
          <r>
            <rPr>
              <rFont val="Calibri"/>
              <i val="1"/>
              <color rgb="002B2B2B"/>
              <sz val="10"/>
            </rPr>
            <t>Q</t>
          </r>
          <r>
            <rPr>
              <rFont val="Calibri"/>
              <i val="1"/>
              <color rgb="002B2B2B"/>
              <sz val="10"/>
              <vertAlign val="subscript"/>
            </rPr>
            <t>2</t>
          </r>
        </is>
      </c>
      <c r="E18" s="29" t="n">
        <v>0</v>
      </c>
      <c r="F18" s="27" t="inlineStr">
        <is>
          <t>kN</t>
        </is>
      </c>
      <c r="G18" s="23" t="n"/>
    </row>
    <row r="19" ht="17" customHeight="1">
      <c r="B19" s="23" t="n"/>
      <c r="C19" s="24" t="inlineStr">
        <is>
          <t>Point load 2: distance from the left support</t>
        </is>
      </c>
      <c r="D19" s="25" t="inlineStr">
        <is>
          <r>
            <rPr>
              <rFont val="Calibri"/>
              <i val="1"/>
              <color rgb="002B2B2B"/>
              <sz val="10"/>
            </rPr>
            <t>a</t>
          </r>
          <r>
            <rPr>
              <rFont val="Calibri"/>
              <i val="1"/>
              <color rgb="002B2B2B"/>
              <sz val="10"/>
              <vertAlign val="subscript"/>
            </rPr>
            <t>2</t>
          </r>
        </is>
      </c>
      <c r="E19" s="26" t="n">
        <v>4000</v>
      </c>
      <c r="F19" s="27" t="inlineStr">
        <is>
          <t>mm</t>
        </is>
      </c>
      <c r="G19" s="23" t="n"/>
    </row>
    <row r="20" ht="17" customHeight="1">
      <c r="B20" s="23" t="n"/>
      <c r="C20" s="24" t="inlineStr">
        <is>
          <t>Point load 3: permanent</t>
        </is>
      </c>
      <c r="D20" s="25" t="inlineStr">
        <is>
          <r>
            <rPr>
              <rFont val="Calibri"/>
              <i val="1"/>
              <color rgb="002B2B2B"/>
              <sz val="10"/>
            </rPr>
            <t>G</t>
          </r>
          <r>
            <rPr>
              <rFont val="Calibri"/>
              <i val="1"/>
              <color rgb="002B2B2B"/>
              <sz val="10"/>
              <vertAlign val="subscript"/>
            </rPr>
            <t>3</t>
          </r>
        </is>
      </c>
      <c r="E20" s="29" t="n">
        <v>0</v>
      </c>
      <c r="F20" s="27" t="inlineStr">
        <is>
          <t>kN</t>
        </is>
      </c>
      <c r="G20" s="23" t="n"/>
    </row>
    <row r="21" ht="17" customHeight="1">
      <c r="B21" s="23" t="n"/>
      <c r="C21" s="24" t="inlineStr">
        <is>
          <t>Point load 3: variable</t>
        </is>
      </c>
      <c r="D21" s="25" t="inlineStr">
        <is>
          <r>
            <rPr>
              <rFont val="Calibri"/>
              <i val="1"/>
              <color rgb="002B2B2B"/>
              <sz val="10"/>
            </rPr>
            <t>Q</t>
          </r>
          <r>
            <rPr>
              <rFont val="Calibri"/>
              <i val="1"/>
              <color rgb="002B2B2B"/>
              <sz val="10"/>
              <vertAlign val="subscript"/>
            </rPr>
            <t>3</t>
          </r>
        </is>
      </c>
      <c r="E21" s="29" t="n">
        <v>0</v>
      </c>
      <c r="F21" s="27" t="inlineStr">
        <is>
          <t>kN</t>
        </is>
      </c>
      <c r="G21" s="23" t="n"/>
    </row>
    <row r="22" ht="17" customHeight="1">
      <c r="B22" s="23" t="n"/>
      <c r="C22" s="24" t="inlineStr">
        <is>
          <t>Point load 3: distance from the left support</t>
        </is>
      </c>
      <c r="D22" s="25" t="inlineStr">
        <is>
          <r>
            <rPr>
              <rFont val="Calibri"/>
              <i val="1"/>
              <color rgb="002B2B2B"/>
              <sz val="10"/>
            </rPr>
            <t>a</t>
          </r>
          <r>
            <rPr>
              <rFont val="Calibri"/>
              <i val="1"/>
              <color rgb="002B2B2B"/>
              <sz val="10"/>
              <vertAlign val="subscript"/>
            </rPr>
            <t>3</t>
          </r>
        </is>
      </c>
      <c r="E22" s="26" t="n">
        <v>5000</v>
      </c>
      <c r="F22" s="27" t="inlineStr">
        <is>
          <t>mm</t>
        </is>
      </c>
      <c r="G22" s="23" t="n"/>
    </row>
    <row r="23" ht="17" customHeight="1">
      <c r="B23" s="30" t="inlineStr">
        <is>
          <t>EN 1990 A1.2(B)</t>
        </is>
      </c>
      <c r="C23" s="24" t="inlineStr">
        <is>
          <t>Partial factor, permanent</t>
        </is>
      </c>
      <c r="D23" s="25" t="inlineStr">
        <is>
          <r>
            <rPr>
              <rFont val="Calibri"/>
              <i val="1"/>
              <color rgb="002B2B2B"/>
              <sz val="10"/>
            </rPr>
            <t>γ</t>
          </r>
          <r>
            <rPr>
              <rFont val="Calibri"/>
              <i val="1"/>
              <color rgb="002B2B2B"/>
              <sz val="10"/>
              <vertAlign val="subscript"/>
            </rPr>
            <t>G</t>
          </r>
        </is>
      </c>
      <c r="E23" s="28" t="n">
        <v>1.35</v>
      </c>
      <c r="F23" s="23" t="n"/>
      <c r="G23" s="23" t="n"/>
    </row>
    <row r="24" ht="17" customHeight="1">
      <c r="B24" s="30" t="inlineStr">
        <is>
          <t>EN 1990 A1.2(B)</t>
        </is>
      </c>
      <c r="C24" s="24" t="inlineStr">
        <is>
          <t>Partial factor, variable</t>
        </is>
      </c>
      <c r="D24" s="25" t="inlineStr">
        <is>
          <r>
            <rPr>
              <rFont val="Calibri"/>
              <i val="1"/>
              <color rgb="002B2B2B"/>
              <sz val="10"/>
            </rPr>
            <t>γ</t>
          </r>
          <r>
            <rPr>
              <rFont val="Calibri"/>
              <i val="1"/>
              <color rgb="002B2B2B"/>
              <sz val="10"/>
              <vertAlign val="subscript"/>
            </rPr>
            <t>Q</t>
          </r>
        </is>
      </c>
      <c r="E24" s="28" t="n">
        <v>1.5</v>
      </c>
      <c r="F24" s="23" t="n"/>
      <c r="G24" s="23" t="n"/>
    </row>
    <row r="25" ht="17" customHeight="1">
      <c r="B25" s="23" t="n"/>
      <c r="C25" s="24" t="inlineStr">
        <is>
          <t>Inputs valid and consistent</t>
        </is>
      </c>
      <c r="D25" s="23" t="n"/>
      <c r="E25" s="8" t="n"/>
      <c r="F25" s="23" t="n"/>
      <c r="G25" s="31">
        <f>IF(inputs_ok,"OK","FAIL")</f>
        <v/>
      </c>
    </row>
    <row r="27">
      <c r="B27" s="32" t="inlineStr">
        <is>
          <t>Your beam  ·  loads (red), shear force (blue) and bending moment (dark, sagging below)  ·  scaled to fit</t>
        </is>
      </c>
    </row>
    <row r="53" ht="22" customHeight="1">
      <c r="B53" s="20" t="inlineStr">
        <is>
          <t>Results</t>
        </is>
      </c>
      <c r="C53" s="21" t="n"/>
      <c r="D53" s="21" t="n"/>
      <c r="E53" s="21" t="n"/>
      <c r="F53" s="21" t="n"/>
      <c r="G53" s="21" t="n"/>
    </row>
    <row r="54" ht="26" customHeight="1">
      <c r="B54" s="33" t="n"/>
      <c r="C54" s="34" t="inlineStr">
        <is>
          <t>Largest bending moment</t>
        </is>
      </c>
      <c r="D54" s="35" t="inlineStr">
        <is>
          <r>
            <rPr>
              <rFont val="Calibri"/>
              <i val="1"/>
              <color rgb="002B2B2B"/>
              <sz val="11"/>
            </rPr>
            <t>M</t>
          </r>
          <r>
            <rPr>
              <rFont val="Calibri"/>
              <i val="1"/>
              <color rgb="002B2B2B"/>
              <sz val="11"/>
              <vertAlign val="subscript"/>
            </rPr>
            <t>Ed,max</t>
          </r>
        </is>
      </c>
      <c r="E54" s="36">
        <f>IF(inputs_ok,M_max,"–")</f>
        <v/>
      </c>
      <c r="F54" s="37" t="inlineStr">
        <is>
          <t>kNm</t>
        </is>
      </c>
      <c r="G54" s="33" t="n"/>
    </row>
    <row r="55" ht="26" customHeight="1">
      <c r="B55" s="33" t="n"/>
      <c r="C55" s="34" t="inlineStr">
        <is>
          <t>Position of the largest moment from the left support</t>
        </is>
      </c>
      <c r="D55" s="35" t="inlineStr">
        <is>
          <r>
            <rPr>
              <rFont val="Calibri"/>
              <i val="1"/>
              <color rgb="002B2B2B"/>
              <sz val="11"/>
            </rPr>
            <t>x</t>
          </r>
        </is>
      </c>
      <c r="E55" s="38">
        <f>IF(inputs_ok,x_Mmax,"–")</f>
        <v/>
      </c>
      <c r="F55" s="37" t="inlineStr">
        <is>
          <t>m</t>
        </is>
      </c>
      <c r="G55" s="33" t="n"/>
    </row>
    <row r="56" ht="26" customHeight="1">
      <c r="B56" s="33" t="n"/>
      <c r="C56" s="34" t="inlineStr">
        <is>
          <t>Largest shear force</t>
        </is>
      </c>
      <c r="D56" s="35" t="inlineStr">
        <is>
          <r>
            <rPr>
              <rFont val="Calibri"/>
              <i val="1"/>
              <color rgb="002B2B2B"/>
              <sz val="11"/>
            </rPr>
            <t>V</t>
          </r>
          <r>
            <rPr>
              <rFont val="Calibri"/>
              <i val="1"/>
              <color rgb="002B2B2B"/>
              <sz val="11"/>
              <vertAlign val="subscript"/>
            </rPr>
            <t>Ed,max</t>
          </r>
        </is>
      </c>
      <c r="E56" s="36">
        <f>IF(inputs_ok,V_max,"–")</f>
        <v/>
      </c>
      <c r="F56" s="37" t="inlineStr">
        <is>
          <t>kN</t>
        </is>
      </c>
      <c r="G56" s="33" t="n"/>
    </row>
    <row r="57" ht="26" customHeight="1">
      <c r="B57" s="33" t="n"/>
      <c r="C57" s="34" t="inlineStr">
        <is>
          <t>Reaction at the left support</t>
        </is>
      </c>
      <c r="D57" s="35" t="inlineStr">
        <is>
          <r>
            <rPr>
              <rFont val="Calibri"/>
              <i val="1"/>
              <color rgb="002B2B2B"/>
              <sz val="11"/>
            </rPr>
            <t>R</t>
          </r>
          <r>
            <rPr>
              <rFont val="Calibri"/>
              <i val="1"/>
              <color rgb="002B2B2B"/>
              <sz val="11"/>
              <vertAlign val="subscript"/>
            </rPr>
            <t>A</t>
          </r>
        </is>
      </c>
      <c r="E57" s="36">
        <f>IF(inputs_ok,R_A,"–")</f>
        <v/>
      </c>
      <c r="F57" s="37" t="inlineStr">
        <is>
          <t>kN</t>
        </is>
      </c>
      <c r="G57" s="33" t="n"/>
    </row>
    <row r="58" ht="26" customHeight="1">
      <c r="B58" s="33" t="n"/>
      <c r="C58" s="34" t="inlineStr">
        <is>
          <t>Reaction at the right support</t>
        </is>
      </c>
      <c r="D58" s="35" t="inlineStr">
        <is>
          <r>
            <rPr>
              <rFont val="Calibri"/>
              <i val="1"/>
              <color rgb="002B2B2B"/>
              <sz val="11"/>
            </rPr>
            <t>R</t>
          </r>
          <r>
            <rPr>
              <rFont val="Calibri"/>
              <i val="1"/>
              <color rgb="002B2B2B"/>
              <sz val="11"/>
              <vertAlign val="subscript"/>
            </rPr>
            <t>B</t>
          </r>
        </is>
      </c>
      <c r="E58" s="36">
        <f>IF(inputs_ok,R_B,"–")</f>
        <v/>
      </c>
      <c r="F58" s="37" t="inlineStr">
        <is>
          <t>kN</t>
        </is>
      </c>
      <c r="G58" s="33" t="n"/>
    </row>
    <row r="59" ht="16.5" customHeight="1">
      <c r="B59" s="39" t="inlineStr">
        <is>
          <t>Use MEd,max and VEd,max (at the support face, 6.2.1(8)) in NAE-RC-004 Beam bending and shear.</t>
        </is>
      </c>
    </row>
    <row r="61" ht="22" customHeight="1">
      <c r="B61" s="20" t="inlineStr">
        <is>
          <t>Calculation</t>
        </is>
      </c>
      <c r="C61" s="21" t="n"/>
      <c r="D61" s="21" t="n"/>
      <c r="E61" s="21" t="n"/>
      <c r="F61" s="21" t="n"/>
      <c r="G61" s="21" t="n"/>
    </row>
    <row r="62" ht="17" customHeight="1">
      <c r="B62" s="30" t="inlineStr">
        <is>
          <t>(6.10)</t>
        </is>
      </c>
      <c r="C62" s="24" t="inlineStr">
        <is>
          <t>Design UDL  γG gk + γQ qk</t>
        </is>
      </c>
      <c r="D62" s="25" t="inlineStr">
        <is>
          <r>
            <rPr>
              <rFont val="Calibri"/>
              <i val="1"/>
              <color rgb="002B2B2B"/>
              <sz val="10"/>
            </rPr>
            <t>w</t>
          </r>
        </is>
      </c>
      <c r="E62" s="40">
        <f>IF(inputs_ok,gamma_G*gk_ba+gamma_Q*qk_ba,NA())</f>
        <v/>
      </c>
      <c r="F62" s="27" t="inlineStr">
        <is>
          <t>kN/m</t>
        </is>
      </c>
      <c r="G62" s="23" t="n"/>
    </row>
    <row r="63" ht="17" customHeight="1">
      <c r="B63" s="30" t="inlineStr">
        <is>
          <t>(6.10)</t>
        </is>
      </c>
      <c r="C63" s="24" t="inlineStr">
        <is>
          <t>Design point load 1  γG G + γQ Q</t>
        </is>
      </c>
      <c r="D63" s="25" t="inlineStr">
        <is>
          <r>
            <rPr>
              <rFont val="Calibri"/>
              <i val="1"/>
              <color rgb="002B2B2B"/>
              <sz val="10"/>
            </rPr>
            <t>P</t>
          </r>
          <r>
            <rPr>
              <rFont val="Calibri"/>
              <i val="1"/>
              <color rgb="002B2B2B"/>
              <sz val="10"/>
              <vertAlign val="subscript"/>
            </rPr>
            <t>1</t>
          </r>
        </is>
      </c>
      <c r="E63" s="41">
        <f>IF(inputs_ok,gamma_G*G_1+gamma_Q*Q_1,NA())</f>
        <v/>
      </c>
      <c r="F63" s="27" t="inlineStr">
        <is>
          <t>kN</t>
        </is>
      </c>
      <c r="G63" s="23" t="n"/>
    </row>
    <row r="64" ht="17" customHeight="1">
      <c r="B64" s="30" t="inlineStr">
        <is>
          <t>(6.10)</t>
        </is>
      </c>
      <c r="C64" s="24" t="inlineStr">
        <is>
          <t>Design point load 2  γG G + γQ Q</t>
        </is>
      </c>
      <c r="D64" s="25" t="inlineStr">
        <is>
          <r>
            <rPr>
              <rFont val="Calibri"/>
              <i val="1"/>
              <color rgb="002B2B2B"/>
              <sz val="10"/>
            </rPr>
            <t>P</t>
          </r>
          <r>
            <rPr>
              <rFont val="Calibri"/>
              <i val="1"/>
              <color rgb="002B2B2B"/>
              <sz val="10"/>
              <vertAlign val="subscript"/>
            </rPr>
            <t>2</t>
          </r>
        </is>
      </c>
      <c r="E64" s="41">
        <f>IF(inputs_ok,gamma_G*G_2+gamma_Q*Q_2,NA())</f>
        <v/>
      </c>
      <c r="F64" s="27" t="inlineStr">
        <is>
          <t>kN</t>
        </is>
      </c>
      <c r="G64" s="23" t="n"/>
    </row>
    <row r="65" ht="17" customHeight="1">
      <c r="B65" s="30" t="inlineStr">
        <is>
          <t>(6.10)</t>
        </is>
      </c>
      <c r="C65" s="24" t="inlineStr">
        <is>
          <t>Design point load 3  γG G + γQ Q</t>
        </is>
      </c>
      <c r="D65" s="25" t="inlineStr">
        <is>
          <r>
            <rPr>
              <rFont val="Calibri"/>
              <i val="1"/>
              <color rgb="002B2B2B"/>
              <sz val="10"/>
            </rPr>
            <t>P</t>
          </r>
          <r>
            <rPr>
              <rFont val="Calibri"/>
              <i val="1"/>
              <color rgb="002B2B2B"/>
              <sz val="10"/>
              <vertAlign val="subscript"/>
            </rPr>
            <t>3</t>
          </r>
        </is>
      </c>
      <c r="E65" s="41">
        <f>IF(inputs_ok,gamma_G*G_3+gamma_Q*Q_3,NA())</f>
        <v/>
      </c>
      <c r="F65" s="27" t="inlineStr">
        <is>
          <t>kN</t>
        </is>
      </c>
      <c r="G65" s="23" t="n"/>
    </row>
    <row r="66" ht="17" customHeight="1">
      <c r="B66" s="23" t="n"/>
      <c r="C66" s="24" t="inlineStr">
        <is>
          <t>Reaction  RB = (w L²/2 + Σ P a) / L</t>
        </is>
      </c>
      <c r="D66" s="25" t="inlineStr">
        <is>
          <r>
            <rPr>
              <rFont val="Calibri"/>
              <i val="1"/>
              <color rgb="002B2B2B"/>
              <sz val="10"/>
            </rPr>
            <t>R</t>
          </r>
          <r>
            <rPr>
              <rFont val="Calibri"/>
              <i val="1"/>
              <color rgb="002B2B2B"/>
              <sz val="10"/>
              <vertAlign val="subscript"/>
            </rPr>
            <t>B</t>
          </r>
        </is>
      </c>
      <c r="E66" s="40">
        <f>(w_ba*(L_ba/1000)^2/2+P_1*a_1/1000+P_2*a_2/1000+P_3*a_3/1000)/(L_ba/1000)</f>
        <v/>
      </c>
      <c r="F66" s="27" t="inlineStr">
        <is>
          <t>kN</t>
        </is>
      </c>
      <c r="G66" s="23" t="n"/>
    </row>
    <row r="67" ht="17" customHeight="1">
      <c r="B67" s="23" t="n"/>
      <c r="C67" s="24" t="inlineStr">
        <is>
          <t>Reaction  RA = w L + Σ P − RB</t>
        </is>
      </c>
      <c r="D67" s="25" t="inlineStr">
        <is>
          <r>
            <rPr>
              <rFont val="Calibri"/>
              <i val="1"/>
              <color rgb="002B2B2B"/>
              <sz val="10"/>
            </rPr>
            <t>R</t>
          </r>
          <r>
            <rPr>
              <rFont val="Calibri"/>
              <i val="1"/>
              <color rgb="002B2B2B"/>
              <sz val="10"/>
              <vertAlign val="subscript"/>
            </rPr>
            <t>A</t>
          </r>
        </is>
      </c>
      <c r="E67" s="40">
        <f>w_ba*(L_ba/1000)+P_1+P_2+P_3-R_B</f>
        <v/>
      </c>
      <c r="F67" s="27" t="inlineStr">
        <is>
          <t>kN</t>
        </is>
      </c>
      <c r="G67" s="23" t="n"/>
    </row>
    <row r="68" ht="17" customHeight="1">
      <c r="B68" s="23" t="n"/>
      <c r="C68" s="24" t="inlineStr">
        <is>
          <t>Largest shear in the span  max(RA − P at A; RB − P at B)</t>
        </is>
      </c>
      <c r="D68" s="25" t="inlineStr">
        <is>
          <r>
            <rPr>
              <rFont val="Calibri"/>
              <i val="1"/>
              <color rgb="002B2B2B"/>
              <sz val="10"/>
            </rPr>
            <t>V</t>
          </r>
          <r>
            <rPr>
              <rFont val="Calibri"/>
              <i val="1"/>
              <color rgb="002B2B2B"/>
              <sz val="10"/>
              <vertAlign val="subscript"/>
            </rPr>
            <t>max</t>
          </r>
        </is>
      </c>
      <c r="E68" s="42">
        <f>MAX(ABS(R_A-(IF(a_1=0,P_1,0)+IF(a_2=0,P_2,0)+IF(a_3=0,P_3,0))),ABS(R_B-(IF(a_1=L_ba,P_1,0)+IF(a_2=L_ba,P_2,0)+IF(a_3=L_ba,P_3,0))))</f>
        <v/>
      </c>
      <c r="F68" s="27" t="inlineStr">
        <is>
          <t>kN</t>
        </is>
      </c>
      <c r="G68" s="23" t="n"/>
    </row>
    <row r="69" ht="17" customHeight="1">
      <c r="B69" s="23" t="n"/>
      <c r="C69" s="24" t="inlineStr">
        <is>
          <t>Largest moment  (at a point load or where V = 0)</t>
        </is>
      </c>
      <c r="D69" s="25" t="inlineStr">
        <is>
          <r>
            <rPr>
              <rFont val="Calibri"/>
              <i val="1"/>
              <color rgb="002B2B2B"/>
              <sz val="10"/>
            </rPr>
            <t>M</t>
          </r>
          <r>
            <rPr>
              <rFont val="Calibri"/>
              <i val="1"/>
              <color rgb="002B2B2B"/>
              <sz val="10"/>
              <vertAlign val="subscript"/>
            </rPr>
            <t>max</t>
          </r>
        </is>
      </c>
      <c r="E69" s="42">
        <f>MAX(mc_0,mc_1,mc_2,mc_3,mc_4,mc_5,mc_6)</f>
        <v/>
      </c>
      <c r="F69" s="27" t="inlineStr">
        <is>
          <t>kNm</t>
        </is>
      </c>
      <c r="G69" s="23" t="n"/>
    </row>
    <row r="70" ht="17" customHeight="1">
      <c r="B70" s="23" t="n"/>
      <c r="C70" s="24" t="inlineStr">
        <is>
          <t>Its position</t>
        </is>
      </c>
      <c r="D70" s="25" t="inlineStr">
        <is>
          <r>
            <rPr>
              <rFont val="Calibri"/>
              <i val="1"/>
              <color rgb="002B2B2B"/>
              <sz val="10"/>
            </rPr>
            <t>x</t>
          </r>
        </is>
      </c>
      <c r="E70" s="43">
        <f>CHOOSE(MATCH(M_max,CHOOSE({1,2,3,4,5,6,7},mc_0,mc_1,mc_2,mc_3,mc_4,mc_5,mc_6),0),xc_0,xc_1,xc_2,xc_3,xc_4,xc_5,xc_6)</f>
        <v/>
      </c>
      <c r="F70" s="27" t="inlineStr">
        <is>
          <t>m</t>
        </is>
      </c>
      <c r="G70" s="23" t="n"/>
    </row>
    <row r="71" ht="29" customHeight="1">
      <c r="B71" s="39" t="inlineStr">
        <is>
          <t>Candidates for Mmax: every point load and, between them, the point where the shear from the UDL reaches zero. The diagrams on the drawing use 60 stations plus the load positions and Mmax.</t>
        </is>
      </c>
    </row>
    <row r="73" ht="29" customHeight="1">
      <c r="B73" s="39" t="inlineStr">
        <is>
          <t>Prepared with NA Engineering calculation tools  ·  naengineering.uk  ·  adrian@naengineering.uk. Free for use by competent engineers; see the About sheet for scope and disclaimer.</t>
        </is>
      </c>
    </row>
  </sheetData>
  <sheetProtection selectLockedCells="0" selectUnlockedCells="0" sheet="1" objects="1" insertRows="1" insertHyperlinks="1" autoFilter="1" scenarios="0" formatColumns="0" deleteColumns="1" insertColumns="1" pivotTables="1" deleteRows="1" formatCells="1" formatRows="0" sort="1" password="AA0A"/>
  <mergeCells count="8">
    <mergeCell ref="B59:G59"/>
    <mergeCell ref="E5:G5"/>
    <mergeCell ref="B71:G71"/>
    <mergeCell ref="B73:G73"/>
    <mergeCell ref="D2:G2"/>
    <mergeCell ref="E7:G7"/>
    <mergeCell ref="E6:G6"/>
    <mergeCell ref="C3:G3"/>
  </mergeCells>
  <conditionalFormatting sqref="G9:G74">
    <cfRule type="expression" priority="1" dxfId="0">
      <formula>G9="OK"</formula>
    </cfRule>
    <cfRule type="expression" priority="2" dxfId="1">
      <formula>G9="FAIL"</formula>
    </cfRule>
    <cfRule type="expression" priority="3" dxfId="2">
      <formula>LEFT(G9,1)="!"</formula>
    </cfRule>
  </conditionalFormatting>
  <dataValidations count="14">
    <dataValidation sqref="E11" showDropDown="0" showInputMessage="0" showErrorMessage="1" allowBlank="0" errorTitle="NA Engineering" error="Enter a number greater than 0." type="decimal" errorStyle="stop" operator="greaterThan">
      <formula1>0</formula1>
    </dataValidation>
    <dataValidation sqref="E12" showDropDown="0" showInputMessage="0" showErrorMessage="1" allowBlank="0" errorTitle="NA Engineering" error="Enter a number ≥ 0." type="decimal" errorStyle="stop" operator="greaterThanOrEqual">
      <formula1>0</formula1>
    </dataValidation>
    <dataValidation sqref="E13" showDropDown="0" showInputMessage="0" showErrorMessage="1" allowBlank="0" errorTitle="NA Engineering" error="Enter a number ≥ 0." type="decimal" errorStyle="stop" operator="greaterThanOrEqual">
      <formula1>0</formula1>
    </dataValidation>
    <dataValidation sqref="E14" showDropDown="0" showInputMessage="0" showErrorMessage="1" allowBlank="0" errorTitle="NA Engineering" error="Enter a number ≥ 0." type="decimal" errorStyle="stop" operator="greaterThanOrEqual">
      <formula1>0</formula1>
    </dataValidation>
    <dataValidation sqref="E15" showDropDown="0" showInputMessage="0" showErrorMessage="1" allowBlank="0" errorTitle="NA Engineering" error="Enter a number ≥ 0." type="decimal" errorStyle="stop" operator="greaterThanOrEqual">
      <formula1>0</formula1>
    </dataValidation>
    <dataValidation sqref="E16" showDropDown="0" showInputMessage="0" showErrorMessage="1" allowBlank="0" errorTitle="NA Engineering" error="Enter a number ≥ 0." type="decimal" errorStyle="stop" operator="greaterThanOrEqual">
      <formula1>0</formula1>
    </dataValidation>
    <dataValidation sqref="E17" showDropDown="0" showInputMessage="0" showErrorMessage="1" allowBlank="0" errorTitle="NA Engineering" error="Enter a number ≥ 0." type="decimal" errorStyle="stop" operator="greaterThanOrEqual">
      <formula1>0</formula1>
    </dataValidation>
    <dataValidation sqref="E18" showDropDown="0" showInputMessage="0" showErrorMessage="1" allowBlank="0" errorTitle="NA Engineering" error="Enter a number ≥ 0." type="decimal" errorStyle="stop" operator="greaterThanOrEqual">
      <formula1>0</formula1>
    </dataValidation>
    <dataValidation sqref="E19" showDropDown="0" showInputMessage="0" showErrorMessage="1" allowBlank="0" errorTitle="NA Engineering" error="Enter a number ≥ 0." type="decimal" errorStyle="stop" operator="greaterThanOrEqual">
      <formula1>0</formula1>
    </dataValidation>
    <dataValidation sqref="E20" showDropDown="0" showInputMessage="0" showErrorMessage="1" allowBlank="0" errorTitle="NA Engineering" error="Enter a number ≥ 0." type="decimal" errorStyle="stop" operator="greaterThanOrEqual">
      <formula1>0</formula1>
    </dataValidation>
    <dataValidation sqref="E21" showDropDown="0" showInputMessage="0" showErrorMessage="1" allowBlank="0" errorTitle="NA Engineering" error="Enter a number ≥ 0." type="decimal" errorStyle="stop" operator="greaterThanOrEqual">
      <formula1>0</formula1>
    </dataValidation>
    <dataValidation sqref="E22" showDropDown="0" showInputMessage="0" showErrorMessage="1" allowBlank="0" errorTitle="NA Engineering" error="Enter a number ≥ 0." type="decimal" errorStyle="stop" operator="greaterThanOrEqual">
      <formula1>0</formula1>
    </dataValidation>
    <dataValidation sqref="E23" showDropDown="0" showInputMessage="0" showErrorMessage="1" allowBlank="0" errorTitle="NA Engineering" error="Enter a number greater than 0." type="decimal" errorStyle="stop" operator="greaterThan">
      <formula1>0</formula1>
    </dataValidation>
    <dataValidation sqref="E24" showDropDown="0" showInputMessage="0" showErrorMessage="1" allowBlank="0" errorTitle="NA Engineering" error="Enter a number greater than 0." type="decimal" errorStyle="stop" operator="greaterThan">
      <formula1>0</formula1>
    </dataValidation>
  </dataValidations>
  <printOptions horizontalCentered="1"/>
  <pageMargins left="0.4" right="0.4" top="0.4" bottom="0.6" header="0.5" footer="0.5"/>
  <pageSetup orientation="portrait" paperSize="9" fitToHeight="0" fitToWidth="1"/>
  <headerFooter>
    <oddHeader/>
    <oddFooter>&amp;L&amp;7 &amp;K8A8A8ANA Engineering sp. z o.o.  ·  naengineering.uk  ·  adrian@naengineering.uk  ·  +48 505 844 422&amp;C&amp;7 &amp;K8A8A8A&amp;P / &amp;N&amp;R&amp;7 &amp;K8A8A8ANAE-RC-017  v1.0</oddFooter>
    <evenHeader/>
    <evenFooter/>
    <firstHeader/>
    <firstFooter/>
  </headerFooter>
  <drawing xmlns:r="http://schemas.openxmlformats.org/officeDocument/2006/relationships" r:id="rId1"/>
</worksheet>
</file>

<file path=xl/worksheets/sheet3.xml><?xml version="1.0" encoding="utf-8"?>
<worksheet xmlns="http://schemas.openxmlformats.org/spreadsheetml/2006/main">
  <sheetPr>
    <outlinePr summaryBelow="1" summaryRight="1"/>
    <pageSetUpPr/>
  </sheetPr>
  <dimension ref="A1:BP72"/>
  <sheetViews>
    <sheetView tabSelected="0" workbookViewId="0">
      <selection activeCell="A1" sqref="A1"/>
    </sheetView>
  </sheetViews>
  <sheetFormatPr baseColWidth="8" defaultRowHeight="15"/>
  <sheetData>
    <row r="1">
      <c r="A1" t="inlineStr">
        <is>
          <t>Coordinates for the live drawings (mm). Generated - do not edit.</t>
        </is>
      </c>
    </row>
    <row r="2">
      <c r="A2">
        <f>IF(inputs_ok,"","check the inputs")</f>
        <v/>
      </c>
      <c r="D2" t="inlineStr">
        <is>
          <t>beam</t>
        </is>
      </c>
      <c r="G2" t="inlineStr">
        <is>
          <t>left support</t>
        </is>
      </c>
      <c r="J2" t="inlineStr">
        <is>
          <t>right support</t>
        </is>
      </c>
      <c r="M2" t="inlineStr">
        <is>
          <t>udl</t>
        </is>
      </c>
      <c r="P2" t="inlineStr">
        <is>
          <t>P1</t>
        </is>
      </c>
      <c r="S2">
        <f>IF(inputs_ok,IF(P_1&gt;0,"P1 = "&amp;TEXT(P_1,"0"),""),"")</f>
        <v/>
      </c>
      <c r="V2" t="inlineStr">
        <is>
          <t>P2</t>
        </is>
      </c>
      <c r="Y2">
        <f>IF(inputs_ok,IF(P_2&gt;0,"P2 = "&amp;TEXT(P_2,"0"),""),"")</f>
        <v/>
      </c>
      <c r="AB2" t="inlineStr">
        <is>
          <t>P3</t>
        </is>
      </c>
      <c r="AE2">
        <f>IF(inputs_ok,IF(P_3&gt;0,"P3 = "&amp;TEXT(P_3,"0"),""),"")</f>
        <v/>
      </c>
      <c r="AH2">
        <f>IF(inputs_ok,IFERROR(IF(w_ba&gt;0,"w = "&amp;TEXT(w_ba,"0.0")&amp;" kN/m",""),""),"")</f>
        <v/>
      </c>
      <c r="AK2" t="inlineStr">
        <is>
          <t>SFD axis</t>
        </is>
      </c>
      <c r="AN2" t="inlineStr">
        <is>
          <t>BMD axis</t>
        </is>
      </c>
      <c r="AQ2" t="inlineStr">
        <is>
          <t>SFD</t>
        </is>
      </c>
      <c r="AT2" t="inlineStr">
        <is>
          <t>BMD</t>
        </is>
      </c>
      <c r="AW2" t="inlineStr">
        <is>
          <t>Mmax</t>
        </is>
      </c>
      <c r="AZ2">
        <f>IF(inputs_ok,"Mmax = "&amp;TEXT(M_max,"0.0")&amp;" kNm at "&amp;TEXT(x_Mmax,"0.00")&amp;" m","")</f>
        <v/>
      </c>
      <c r="BC2">
        <f>IF(inputs_ok,"RA = "&amp;TEXT(R_A,"0.0"),"")</f>
        <v/>
      </c>
      <c r="BF2">
        <f>IF(inputs_ok,"RB = "&amp;TEXT(R_B,"0.0"),"")</f>
        <v/>
      </c>
      <c r="BI2" t="inlineStr">
        <is>
          <t>dim</t>
        </is>
      </c>
      <c r="BL2">
        <f>IF(inputs_ok,"L = "&amp;TEXT(L_ba,"0"),"")</f>
        <v/>
      </c>
      <c r="BO2" t="inlineStr">
        <is>
          <t>frame</t>
        </is>
      </c>
    </row>
    <row r="3">
      <c r="A3">
        <f>0</f>
        <v/>
      </c>
      <c r="B3">
        <f>0</f>
        <v/>
      </c>
      <c r="D3">
        <f>IF(inputs_ok,0,NA())</f>
        <v/>
      </c>
      <c r="E3">
        <f>0</f>
        <v/>
      </c>
      <c r="G3">
        <f>IF(inputs_ok,0-0.025*L_ba,NA())</f>
        <v/>
      </c>
      <c r="H3">
        <f>-2*0.025*L_ba</f>
        <v/>
      </c>
      <c r="J3">
        <f>IF(inputs_ok,L_ba-0.025*L_ba,NA())</f>
        <v/>
      </c>
      <c r="K3">
        <f>-2*0.025*L_ba</f>
        <v/>
      </c>
      <c r="M3">
        <f>IF(inputs_ok,IF(w_ba&gt;0,0,NA()),NA())</f>
        <v/>
      </c>
      <c r="N3">
        <f>0.02*L_ba</f>
        <v/>
      </c>
      <c r="P3">
        <f>IF(inputs_ok,IF(P_1&gt;0,a_1,NA()),NA())</f>
        <v/>
      </c>
      <c r="Q3">
        <f>0.02*L_ba+((0.18*L_ba)/MAX(w_ba*L_ba/1000,P_1,P_2,P_3,0.001))*P_1+0.05*L_ba</f>
        <v/>
      </c>
      <c r="S3">
        <f>IF(inputs_ok,IF(P_1&gt;0,a_1,NA()),NA())</f>
        <v/>
      </c>
      <c r="T3">
        <f>0.02*L_ba+((0.18*L_ba)/MAX(w_ba*L_ba/1000,P_1,P_2,P_3,0.001))*P_1+0.05*L_ba</f>
        <v/>
      </c>
      <c r="V3">
        <f>IF(inputs_ok,IF(P_2&gt;0,a_2,NA()),NA())</f>
        <v/>
      </c>
      <c r="W3">
        <f>0.02*L_ba+((0.18*L_ba)/MAX(w_ba*L_ba/1000,P_1,P_2,P_3,0.001))*P_2+0.05*L_ba</f>
        <v/>
      </c>
      <c r="Y3">
        <f>IF(inputs_ok,IF(P_2&gt;0,a_2,NA()),NA())</f>
        <v/>
      </c>
      <c r="Z3">
        <f>0.02*L_ba+((0.18*L_ba)/MAX(w_ba*L_ba/1000,P_1,P_2,P_3,0.001))*P_2+0.05*L_ba</f>
        <v/>
      </c>
      <c r="AB3">
        <f>IF(inputs_ok,IF(P_3&gt;0,a_3,NA()),NA())</f>
        <v/>
      </c>
      <c r="AC3">
        <f>0.02*L_ba+((0.18*L_ba)/MAX(w_ba*L_ba/1000,P_1,P_2,P_3,0.001))*P_3+0.05*L_ba</f>
        <v/>
      </c>
      <c r="AE3">
        <f>IF(inputs_ok,IF(P_3&gt;0,a_3,NA()),NA())</f>
        <v/>
      </c>
      <c r="AF3">
        <f>0.02*L_ba+((0.18*L_ba)/MAX(w_ba*L_ba/1000,P_1,P_2,P_3,0.001))*P_3+0.05*L_ba</f>
        <v/>
      </c>
      <c r="AH3">
        <f>IF(inputs_ok,L_ba/2,NA())</f>
        <v/>
      </c>
      <c r="AI3">
        <f>0.02*L_ba+(0.18*L_ba)*0.35</f>
        <v/>
      </c>
      <c r="AK3">
        <f>IF(inputs_ok,0,NA())</f>
        <v/>
      </c>
      <c r="AL3">
        <f>(-0.35*L_ba)</f>
        <v/>
      </c>
      <c r="AN3">
        <f>IF(inputs_ok,0,NA())</f>
        <v/>
      </c>
      <c r="AO3">
        <f>(-0.65*L_ba)</f>
        <v/>
      </c>
      <c r="AQ3">
        <f>IF(inputs_ok,0,NA())</f>
        <v/>
      </c>
      <c r="AR3">
        <f>(-0.35*L_ba)</f>
        <v/>
      </c>
      <c r="AT3">
        <f>IF(inputs_ok,0,NA())</f>
        <v/>
      </c>
      <c r="AU3">
        <f>(-0.65*L_ba)</f>
        <v/>
      </c>
      <c r="AW3">
        <f>IF(inputs_ok,x_Mmax*1000,NA())</f>
        <v/>
      </c>
      <c r="AX3">
        <f>(-0.65*L_ba)-(0.2*L_ba/MAX(M_max,0.001))*M_max</f>
        <v/>
      </c>
      <c r="AZ3">
        <f>IF(inputs_ok,x_Mmax*1000,NA())</f>
        <v/>
      </c>
      <c r="BA3">
        <f>(-0.65*L_ba)-(0.2*L_ba/MAX(M_max,0.001))*M_max</f>
        <v/>
      </c>
      <c r="BC3">
        <f>IF(inputs_ok,0,NA())</f>
        <v/>
      </c>
      <c r="BD3">
        <f>(-0.35*L_ba)+(0.12*L_ba/MAX(V_max,0.001))*(R_A-w_ba*0-(IF(0&gt;=a_1/1000,P_1,0)+IF(0&gt;=a_2/1000,P_2,0)+IF(0&gt;=a_3/1000,P_3,0)))</f>
        <v/>
      </c>
      <c r="BF3">
        <f>IF(inputs_ok,L_ba,NA())</f>
        <v/>
      </c>
      <c r="BG3">
        <f>(-0.35*L_ba)+(0.12*L_ba/MAX(V_max,0.001))*(R_A-w_ba*L_ba/1000-(IF(L_ba/1000&gt;a_1/1000,P_1,0)+IF(L_ba/1000&gt;a_2/1000,P_2,0)+IF(L_ba/1000&gt;a_3/1000,P_3,0)))</f>
        <v/>
      </c>
      <c r="BI3">
        <f>IF(inputs_ok,IF(TRUE,0,NA()),NA())</f>
        <v/>
      </c>
      <c r="BJ3">
        <f>IF(TRUE,-0.1*L_ba,NA())</f>
        <v/>
      </c>
      <c r="BL3">
        <f>IF(inputs_ok,IF(TRUE,((0)+(L_ba))/2,NA()),NA())</f>
        <v/>
      </c>
      <c r="BM3">
        <f>IF(TRUE,((-0.1*L_ba)+(-0.1*L_ba))/2,NA())</f>
        <v/>
      </c>
      <c r="BO3">
        <f>((-0.08*L_ba)+(1.08*L_ba))/2-MAX((0.3*L_ba)-(-0.95*L_ba),((1.08*L_ba)-(-0.08*L_ba))/1.55)*0.58*1.55</f>
        <v/>
      </c>
      <c r="BP3">
        <f>((-0.95*L_ba)+(0.3*L_ba))/2-MAX((0.3*L_ba)-(-0.95*L_ba),((1.08*L_ba)-(-0.08*L_ba))/1.55)*0.58</f>
        <v/>
      </c>
    </row>
    <row r="4">
      <c r="D4">
        <f>IF(inputs_ok,L_ba,NA())</f>
        <v/>
      </c>
      <c r="E4">
        <f>0</f>
        <v/>
      </c>
      <c r="G4">
        <f>IF(inputs_ok,0,NA())</f>
        <v/>
      </c>
      <c r="H4">
        <f>0</f>
        <v/>
      </c>
      <c r="J4">
        <f>IF(inputs_ok,L_ba,NA())</f>
        <v/>
      </c>
      <c r="K4">
        <f>0</f>
        <v/>
      </c>
      <c r="M4">
        <f>IF(inputs_ok,IF(w_ba&gt;0,0,NA()),NA())</f>
        <v/>
      </c>
      <c r="N4">
        <f>0.02*L_ba+(0.18*L_ba)*0.35</f>
        <v/>
      </c>
      <c r="P4">
        <f>IF(inputs_ok,IF(P_1&gt;0,a_1,NA()),NA())</f>
        <v/>
      </c>
      <c r="Q4">
        <f>0.02*L_ba</f>
        <v/>
      </c>
      <c r="V4">
        <f>IF(inputs_ok,IF(P_2&gt;0,a_2,NA()),NA())</f>
        <v/>
      </c>
      <c r="W4">
        <f>0.02*L_ba</f>
        <v/>
      </c>
      <c r="AB4">
        <f>IF(inputs_ok,IF(P_3&gt;0,a_3,NA()),NA())</f>
        <v/>
      </c>
      <c r="AC4">
        <f>0.02*L_ba</f>
        <v/>
      </c>
      <c r="AK4">
        <f>IF(inputs_ok,L_ba,NA())</f>
        <v/>
      </c>
      <c r="AL4">
        <f>(-0.35*L_ba)</f>
        <v/>
      </c>
      <c r="AN4">
        <f>IF(inputs_ok,L_ba,NA())</f>
        <v/>
      </c>
      <c r="AO4">
        <f>(-0.65*L_ba)</f>
        <v/>
      </c>
      <c r="AQ4">
        <f>IF(inputs_ok,1000*SMALL(ba_xall,1),NA())</f>
        <v/>
      </c>
      <c r="AR4">
        <f>(-0.35*L_ba)+(0.12*L_ba/MAX(V_max,0.001))*IF(OR(SMALL(ba_xall,1)&gt;=L_ba/1000,AND(SMALL(ba_xall,1)&gt;0,SMALL(ba_xall,2)=SMALL(ba_xall,1))),(R_A-w_ba*SMALL(ba_xall,1)-(IF(SMALL(ba_xall,1)&gt;a_1/1000,P_1,0)+IF(SMALL(ba_xall,1)&gt;a_2/1000,P_2,0)+IF(SMALL(ba_xall,1)&gt;a_3/1000,P_3,0))),(R_A-w_ba*SMALL(ba_xall,1)-(IF(SMALL(ba_xall,1)&gt;=a_1/1000,P_1,0)+IF(SMALL(ba_xall,1)&gt;=a_2/1000,P_2,0)+IF(SMALL(ba_xall,1)&gt;=a_3/1000,P_3,0))))</f>
        <v/>
      </c>
      <c r="AT4">
        <f>IF(inputs_ok,1000*SMALL(ba_xall,1),NA())</f>
        <v/>
      </c>
      <c r="AU4">
        <f>(-0.65*L_ba)-(0.2*L_ba/MAX(M_max,0.001))*(R_A*SMALL(ba_xall,1)-w_ba*SMALL(ba_xall,1)^2/2-(P_1*MAX(0,SMALL(ba_xall,1)-a_1/1000)+P_2*MAX(0,SMALL(ba_xall,1)-a_2/1000)+P_3*MAX(0,SMALL(ba_xall,1)-a_3/1000)))</f>
        <v/>
      </c>
      <c r="BI4">
        <f>IF(inputs_ok,IF(TRUE,L_ba,NA()),NA())</f>
        <v/>
      </c>
      <c r="BJ4">
        <f>IF(TRUE,-0.1*L_ba,NA())</f>
        <v/>
      </c>
      <c r="BO4">
        <f>((-0.08*L_ba)+(1.08*L_ba))/2+MAX((0.3*L_ba)-(-0.95*L_ba),((1.08*L_ba)-(-0.08*L_ba))/1.55)*0.58*1.55</f>
        <v/>
      </c>
      <c r="BP4">
        <f>((-0.95*L_ba)+(0.3*L_ba))/2+MAX((0.3*L_ba)-(-0.95*L_ba),((1.08*L_ba)-(-0.08*L_ba))/1.55)*0.58</f>
        <v/>
      </c>
    </row>
    <row r="5">
      <c r="G5">
        <f>IF(inputs_ok,0+0.025*L_ba,NA())</f>
        <v/>
      </c>
      <c r="H5">
        <f>-2*0.025*L_ba</f>
        <v/>
      </c>
      <c r="J5">
        <f>IF(inputs_ok,L_ba+0.025*L_ba,NA())</f>
        <v/>
      </c>
      <c r="K5">
        <f>-2*0.025*L_ba</f>
        <v/>
      </c>
      <c r="M5">
        <f>IF(inputs_ok,IF(w_ba&gt;0,L_ba,NA()),NA())</f>
        <v/>
      </c>
      <c r="N5">
        <f>0.02*L_ba+(0.18*L_ba)*0.35</f>
        <v/>
      </c>
      <c r="AQ5">
        <f>IF(inputs_ok,1000*SMALL(ba_xall,2),NA())</f>
        <v/>
      </c>
      <c r="AR5">
        <f>(-0.35*L_ba)+(0.12*L_ba/MAX(V_max,0.001))*IF(OR(SMALL(ba_xall,2)&gt;=L_ba/1000,AND(SMALL(ba_xall,2)&gt;0,SMALL(ba_xall,3)=SMALL(ba_xall,2))),(R_A-w_ba*SMALL(ba_xall,2)-(IF(SMALL(ba_xall,2)&gt;a_1/1000,P_1,0)+IF(SMALL(ba_xall,2)&gt;a_2/1000,P_2,0)+IF(SMALL(ba_xall,2)&gt;a_3/1000,P_3,0))),(R_A-w_ba*SMALL(ba_xall,2)-(IF(SMALL(ba_xall,2)&gt;=a_1/1000,P_1,0)+IF(SMALL(ba_xall,2)&gt;=a_2/1000,P_2,0)+IF(SMALL(ba_xall,2)&gt;=a_3/1000,P_3,0))))</f>
        <v/>
      </c>
      <c r="AT5">
        <f>IF(inputs_ok,1000*SMALL(ba_xall,2),NA())</f>
        <v/>
      </c>
      <c r="AU5">
        <f>(-0.65*L_ba)-(0.2*L_ba/MAX(M_max,0.001))*(R_A*SMALL(ba_xall,2)-w_ba*SMALL(ba_xall,2)^2/2-(P_1*MAX(0,SMALL(ba_xall,2)-a_1/1000)+P_2*MAX(0,SMALL(ba_xall,2)-a_2/1000)+P_3*MAX(0,SMALL(ba_xall,2)-a_3/1000)))</f>
        <v/>
      </c>
    </row>
    <row r="6">
      <c r="G6">
        <f>IF(inputs_ok,0-0.025*L_ba,NA())</f>
        <v/>
      </c>
      <c r="H6">
        <f>-2*0.025*L_ba</f>
        <v/>
      </c>
      <c r="J6">
        <f>IF(inputs_ok,L_ba-0.025*L_ba,NA())</f>
        <v/>
      </c>
      <c r="K6">
        <f>-2*0.025*L_ba</f>
        <v/>
      </c>
      <c r="M6">
        <f>IF(inputs_ok,IF(w_ba&gt;0,L_ba,NA()),NA())</f>
        <v/>
      </c>
      <c r="N6">
        <f>0.02*L_ba</f>
        <v/>
      </c>
      <c r="AQ6">
        <f>IF(inputs_ok,1000*SMALL(ba_xall,3),NA())</f>
        <v/>
      </c>
      <c r="AR6">
        <f>(-0.35*L_ba)+(0.12*L_ba/MAX(V_max,0.001))*IF(OR(SMALL(ba_xall,3)&gt;=L_ba/1000,AND(SMALL(ba_xall,3)&gt;0,SMALL(ba_xall,4)=SMALL(ba_xall,3))),(R_A-w_ba*SMALL(ba_xall,3)-(IF(SMALL(ba_xall,3)&gt;a_1/1000,P_1,0)+IF(SMALL(ba_xall,3)&gt;a_2/1000,P_2,0)+IF(SMALL(ba_xall,3)&gt;a_3/1000,P_3,0))),(R_A-w_ba*SMALL(ba_xall,3)-(IF(SMALL(ba_xall,3)&gt;=a_1/1000,P_1,0)+IF(SMALL(ba_xall,3)&gt;=a_2/1000,P_2,0)+IF(SMALL(ba_xall,3)&gt;=a_3/1000,P_3,0))))</f>
        <v/>
      </c>
      <c r="AT6">
        <f>IF(inputs_ok,1000*SMALL(ba_xall,3),NA())</f>
        <v/>
      </c>
      <c r="AU6">
        <f>(-0.65*L_ba)-(0.2*L_ba/MAX(M_max,0.001))*(R_A*SMALL(ba_xall,3)-w_ba*SMALL(ba_xall,3)^2/2-(P_1*MAX(0,SMALL(ba_xall,3)-a_1/1000)+P_2*MAX(0,SMALL(ba_xall,3)-a_2/1000)+P_3*MAX(0,SMALL(ba_xall,3)-a_3/1000)))</f>
        <v/>
      </c>
    </row>
    <row r="7">
      <c r="AQ7">
        <f>IF(inputs_ok,1000*SMALL(ba_xall,4),NA())</f>
        <v/>
      </c>
      <c r="AR7">
        <f>(-0.35*L_ba)+(0.12*L_ba/MAX(V_max,0.001))*IF(OR(SMALL(ba_xall,4)&gt;=L_ba/1000,AND(SMALL(ba_xall,4)&gt;0,SMALL(ba_xall,5)=SMALL(ba_xall,4))),(R_A-w_ba*SMALL(ba_xall,4)-(IF(SMALL(ba_xall,4)&gt;a_1/1000,P_1,0)+IF(SMALL(ba_xall,4)&gt;a_2/1000,P_2,0)+IF(SMALL(ba_xall,4)&gt;a_3/1000,P_3,0))),(R_A-w_ba*SMALL(ba_xall,4)-(IF(SMALL(ba_xall,4)&gt;=a_1/1000,P_1,0)+IF(SMALL(ba_xall,4)&gt;=a_2/1000,P_2,0)+IF(SMALL(ba_xall,4)&gt;=a_3/1000,P_3,0))))</f>
        <v/>
      </c>
      <c r="AT7">
        <f>IF(inputs_ok,1000*SMALL(ba_xall,4),NA())</f>
        <v/>
      </c>
      <c r="AU7">
        <f>(-0.65*L_ba)-(0.2*L_ba/MAX(M_max,0.001))*(R_A*SMALL(ba_xall,4)-w_ba*SMALL(ba_xall,4)^2/2-(P_1*MAX(0,SMALL(ba_xall,4)-a_1/1000)+P_2*MAX(0,SMALL(ba_xall,4)-a_2/1000)+P_3*MAX(0,SMALL(ba_xall,4)-a_3/1000)))</f>
        <v/>
      </c>
    </row>
    <row r="8">
      <c r="AQ8">
        <f>IF(inputs_ok,1000*SMALL(ba_xall,5),NA())</f>
        <v/>
      </c>
      <c r="AR8">
        <f>(-0.35*L_ba)+(0.12*L_ba/MAX(V_max,0.001))*IF(OR(SMALL(ba_xall,5)&gt;=L_ba/1000,AND(SMALL(ba_xall,5)&gt;0,SMALL(ba_xall,6)=SMALL(ba_xall,5))),(R_A-w_ba*SMALL(ba_xall,5)-(IF(SMALL(ba_xall,5)&gt;a_1/1000,P_1,0)+IF(SMALL(ba_xall,5)&gt;a_2/1000,P_2,0)+IF(SMALL(ba_xall,5)&gt;a_3/1000,P_3,0))),(R_A-w_ba*SMALL(ba_xall,5)-(IF(SMALL(ba_xall,5)&gt;=a_1/1000,P_1,0)+IF(SMALL(ba_xall,5)&gt;=a_2/1000,P_2,0)+IF(SMALL(ba_xall,5)&gt;=a_3/1000,P_3,0))))</f>
        <v/>
      </c>
      <c r="AT8">
        <f>IF(inputs_ok,1000*SMALL(ba_xall,5),NA())</f>
        <v/>
      </c>
      <c r="AU8">
        <f>(-0.65*L_ba)-(0.2*L_ba/MAX(M_max,0.001))*(R_A*SMALL(ba_xall,5)-w_ba*SMALL(ba_xall,5)^2/2-(P_1*MAX(0,SMALL(ba_xall,5)-a_1/1000)+P_2*MAX(0,SMALL(ba_xall,5)-a_2/1000)+P_3*MAX(0,SMALL(ba_xall,5)-a_3/1000)))</f>
        <v/>
      </c>
    </row>
    <row r="9">
      <c r="AQ9">
        <f>IF(inputs_ok,1000*SMALL(ba_xall,6),NA())</f>
        <v/>
      </c>
      <c r="AR9">
        <f>(-0.35*L_ba)+(0.12*L_ba/MAX(V_max,0.001))*IF(OR(SMALL(ba_xall,6)&gt;=L_ba/1000,AND(SMALL(ba_xall,6)&gt;0,SMALL(ba_xall,7)=SMALL(ba_xall,6))),(R_A-w_ba*SMALL(ba_xall,6)-(IF(SMALL(ba_xall,6)&gt;a_1/1000,P_1,0)+IF(SMALL(ba_xall,6)&gt;a_2/1000,P_2,0)+IF(SMALL(ba_xall,6)&gt;a_3/1000,P_3,0))),(R_A-w_ba*SMALL(ba_xall,6)-(IF(SMALL(ba_xall,6)&gt;=a_1/1000,P_1,0)+IF(SMALL(ba_xall,6)&gt;=a_2/1000,P_2,0)+IF(SMALL(ba_xall,6)&gt;=a_3/1000,P_3,0))))</f>
        <v/>
      </c>
      <c r="AT9">
        <f>IF(inputs_ok,1000*SMALL(ba_xall,6),NA())</f>
        <v/>
      </c>
      <c r="AU9">
        <f>(-0.65*L_ba)-(0.2*L_ba/MAX(M_max,0.001))*(R_A*SMALL(ba_xall,6)-w_ba*SMALL(ba_xall,6)^2/2-(P_1*MAX(0,SMALL(ba_xall,6)-a_1/1000)+P_2*MAX(0,SMALL(ba_xall,6)-a_2/1000)+P_3*MAX(0,SMALL(ba_xall,6)-a_3/1000)))</f>
        <v/>
      </c>
    </row>
    <row r="10">
      <c r="AQ10">
        <f>IF(inputs_ok,1000*SMALL(ba_xall,7),NA())</f>
        <v/>
      </c>
      <c r="AR10">
        <f>(-0.35*L_ba)+(0.12*L_ba/MAX(V_max,0.001))*IF(OR(SMALL(ba_xall,7)&gt;=L_ba/1000,AND(SMALL(ba_xall,7)&gt;0,SMALL(ba_xall,8)=SMALL(ba_xall,7))),(R_A-w_ba*SMALL(ba_xall,7)-(IF(SMALL(ba_xall,7)&gt;a_1/1000,P_1,0)+IF(SMALL(ba_xall,7)&gt;a_2/1000,P_2,0)+IF(SMALL(ba_xall,7)&gt;a_3/1000,P_3,0))),(R_A-w_ba*SMALL(ba_xall,7)-(IF(SMALL(ba_xall,7)&gt;=a_1/1000,P_1,0)+IF(SMALL(ba_xall,7)&gt;=a_2/1000,P_2,0)+IF(SMALL(ba_xall,7)&gt;=a_3/1000,P_3,0))))</f>
        <v/>
      </c>
      <c r="AT10">
        <f>IF(inputs_ok,1000*SMALL(ba_xall,7),NA())</f>
        <v/>
      </c>
      <c r="AU10">
        <f>(-0.65*L_ba)-(0.2*L_ba/MAX(M_max,0.001))*(R_A*SMALL(ba_xall,7)-w_ba*SMALL(ba_xall,7)^2/2-(P_1*MAX(0,SMALL(ba_xall,7)-a_1/1000)+P_2*MAX(0,SMALL(ba_xall,7)-a_2/1000)+P_3*MAX(0,SMALL(ba_xall,7)-a_3/1000)))</f>
        <v/>
      </c>
    </row>
    <row r="11">
      <c r="AQ11">
        <f>IF(inputs_ok,1000*SMALL(ba_xall,8),NA())</f>
        <v/>
      </c>
      <c r="AR11">
        <f>(-0.35*L_ba)+(0.12*L_ba/MAX(V_max,0.001))*IF(OR(SMALL(ba_xall,8)&gt;=L_ba/1000,AND(SMALL(ba_xall,8)&gt;0,SMALL(ba_xall,9)=SMALL(ba_xall,8))),(R_A-w_ba*SMALL(ba_xall,8)-(IF(SMALL(ba_xall,8)&gt;a_1/1000,P_1,0)+IF(SMALL(ba_xall,8)&gt;a_2/1000,P_2,0)+IF(SMALL(ba_xall,8)&gt;a_3/1000,P_3,0))),(R_A-w_ba*SMALL(ba_xall,8)-(IF(SMALL(ba_xall,8)&gt;=a_1/1000,P_1,0)+IF(SMALL(ba_xall,8)&gt;=a_2/1000,P_2,0)+IF(SMALL(ba_xall,8)&gt;=a_3/1000,P_3,0))))</f>
        <v/>
      </c>
      <c r="AT11">
        <f>IF(inputs_ok,1000*SMALL(ba_xall,8),NA())</f>
        <v/>
      </c>
      <c r="AU11">
        <f>(-0.65*L_ba)-(0.2*L_ba/MAX(M_max,0.001))*(R_A*SMALL(ba_xall,8)-w_ba*SMALL(ba_xall,8)^2/2-(P_1*MAX(0,SMALL(ba_xall,8)-a_1/1000)+P_2*MAX(0,SMALL(ba_xall,8)-a_2/1000)+P_3*MAX(0,SMALL(ba_xall,8)-a_3/1000)))</f>
        <v/>
      </c>
    </row>
    <row r="12">
      <c r="AQ12">
        <f>IF(inputs_ok,1000*SMALL(ba_xall,9),NA())</f>
        <v/>
      </c>
      <c r="AR12">
        <f>(-0.35*L_ba)+(0.12*L_ba/MAX(V_max,0.001))*IF(OR(SMALL(ba_xall,9)&gt;=L_ba/1000,AND(SMALL(ba_xall,9)&gt;0,SMALL(ba_xall,10)=SMALL(ba_xall,9))),(R_A-w_ba*SMALL(ba_xall,9)-(IF(SMALL(ba_xall,9)&gt;a_1/1000,P_1,0)+IF(SMALL(ba_xall,9)&gt;a_2/1000,P_2,0)+IF(SMALL(ba_xall,9)&gt;a_3/1000,P_3,0))),(R_A-w_ba*SMALL(ba_xall,9)-(IF(SMALL(ba_xall,9)&gt;=a_1/1000,P_1,0)+IF(SMALL(ba_xall,9)&gt;=a_2/1000,P_2,0)+IF(SMALL(ba_xall,9)&gt;=a_3/1000,P_3,0))))</f>
        <v/>
      </c>
      <c r="AT12">
        <f>IF(inputs_ok,1000*SMALL(ba_xall,9),NA())</f>
        <v/>
      </c>
      <c r="AU12">
        <f>(-0.65*L_ba)-(0.2*L_ba/MAX(M_max,0.001))*(R_A*SMALL(ba_xall,9)-w_ba*SMALL(ba_xall,9)^2/2-(P_1*MAX(0,SMALL(ba_xall,9)-a_1/1000)+P_2*MAX(0,SMALL(ba_xall,9)-a_2/1000)+P_3*MAX(0,SMALL(ba_xall,9)-a_3/1000)))</f>
        <v/>
      </c>
    </row>
    <row r="13">
      <c r="AQ13">
        <f>IF(inputs_ok,1000*SMALL(ba_xall,10),NA())</f>
        <v/>
      </c>
      <c r="AR13">
        <f>(-0.35*L_ba)+(0.12*L_ba/MAX(V_max,0.001))*IF(OR(SMALL(ba_xall,10)&gt;=L_ba/1000,AND(SMALL(ba_xall,10)&gt;0,SMALL(ba_xall,11)=SMALL(ba_xall,10))),(R_A-w_ba*SMALL(ba_xall,10)-(IF(SMALL(ba_xall,10)&gt;a_1/1000,P_1,0)+IF(SMALL(ba_xall,10)&gt;a_2/1000,P_2,0)+IF(SMALL(ba_xall,10)&gt;a_3/1000,P_3,0))),(R_A-w_ba*SMALL(ba_xall,10)-(IF(SMALL(ba_xall,10)&gt;=a_1/1000,P_1,0)+IF(SMALL(ba_xall,10)&gt;=a_2/1000,P_2,0)+IF(SMALL(ba_xall,10)&gt;=a_3/1000,P_3,0))))</f>
        <v/>
      </c>
      <c r="AT13">
        <f>IF(inputs_ok,1000*SMALL(ba_xall,10),NA())</f>
        <v/>
      </c>
      <c r="AU13">
        <f>(-0.65*L_ba)-(0.2*L_ba/MAX(M_max,0.001))*(R_A*SMALL(ba_xall,10)-w_ba*SMALL(ba_xall,10)^2/2-(P_1*MAX(0,SMALL(ba_xall,10)-a_1/1000)+P_2*MAX(0,SMALL(ba_xall,10)-a_2/1000)+P_3*MAX(0,SMALL(ba_xall,10)-a_3/1000)))</f>
        <v/>
      </c>
    </row>
    <row r="14">
      <c r="AQ14">
        <f>IF(inputs_ok,1000*SMALL(ba_xall,11),NA())</f>
        <v/>
      </c>
      <c r="AR14">
        <f>(-0.35*L_ba)+(0.12*L_ba/MAX(V_max,0.001))*IF(OR(SMALL(ba_xall,11)&gt;=L_ba/1000,AND(SMALL(ba_xall,11)&gt;0,SMALL(ba_xall,12)=SMALL(ba_xall,11))),(R_A-w_ba*SMALL(ba_xall,11)-(IF(SMALL(ba_xall,11)&gt;a_1/1000,P_1,0)+IF(SMALL(ba_xall,11)&gt;a_2/1000,P_2,0)+IF(SMALL(ba_xall,11)&gt;a_3/1000,P_3,0))),(R_A-w_ba*SMALL(ba_xall,11)-(IF(SMALL(ba_xall,11)&gt;=a_1/1000,P_1,0)+IF(SMALL(ba_xall,11)&gt;=a_2/1000,P_2,0)+IF(SMALL(ba_xall,11)&gt;=a_3/1000,P_3,0))))</f>
        <v/>
      </c>
      <c r="AT14">
        <f>IF(inputs_ok,1000*SMALL(ba_xall,11),NA())</f>
        <v/>
      </c>
      <c r="AU14">
        <f>(-0.65*L_ba)-(0.2*L_ba/MAX(M_max,0.001))*(R_A*SMALL(ba_xall,11)-w_ba*SMALL(ba_xall,11)^2/2-(P_1*MAX(0,SMALL(ba_xall,11)-a_1/1000)+P_2*MAX(0,SMALL(ba_xall,11)-a_2/1000)+P_3*MAX(0,SMALL(ba_xall,11)-a_3/1000)))</f>
        <v/>
      </c>
    </row>
    <row r="15">
      <c r="AQ15">
        <f>IF(inputs_ok,1000*SMALL(ba_xall,12),NA())</f>
        <v/>
      </c>
      <c r="AR15">
        <f>(-0.35*L_ba)+(0.12*L_ba/MAX(V_max,0.001))*IF(OR(SMALL(ba_xall,12)&gt;=L_ba/1000,AND(SMALL(ba_xall,12)&gt;0,SMALL(ba_xall,13)=SMALL(ba_xall,12))),(R_A-w_ba*SMALL(ba_xall,12)-(IF(SMALL(ba_xall,12)&gt;a_1/1000,P_1,0)+IF(SMALL(ba_xall,12)&gt;a_2/1000,P_2,0)+IF(SMALL(ba_xall,12)&gt;a_3/1000,P_3,0))),(R_A-w_ba*SMALL(ba_xall,12)-(IF(SMALL(ba_xall,12)&gt;=a_1/1000,P_1,0)+IF(SMALL(ba_xall,12)&gt;=a_2/1000,P_2,0)+IF(SMALL(ba_xall,12)&gt;=a_3/1000,P_3,0))))</f>
        <v/>
      </c>
      <c r="AT15">
        <f>IF(inputs_ok,1000*SMALL(ba_xall,12),NA())</f>
        <v/>
      </c>
      <c r="AU15">
        <f>(-0.65*L_ba)-(0.2*L_ba/MAX(M_max,0.001))*(R_A*SMALL(ba_xall,12)-w_ba*SMALL(ba_xall,12)^2/2-(P_1*MAX(0,SMALL(ba_xall,12)-a_1/1000)+P_2*MAX(0,SMALL(ba_xall,12)-a_2/1000)+P_3*MAX(0,SMALL(ba_xall,12)-a_3/1000)))</f>
        <v/>
      </c>
    </row>
    <row r="16">
      <c r="AQ16">
        <f>IF(inputs_ok,1000*SMALL(ba_xall,13),NA())</f>
        <v/>
      </c>
      <c r="AR16">
        <f>(-0.35*L_ba)+(0.12*L_ba/MAX(V_max,0.001))*IF(OR(SMALL(ba_xall,13)&gt;=L_ba/1000,AND(SMALL(ba_xall,13)&gt;0,SMALL(ba_xall,14)=SMALL(ba_xall,13))),(R_A-w_ba*SMALL(ba_xall,13)-(IF(SMALL(ba_xall,13)&gt;a_1/1000,P_1,0)+IF(SMALL(ba_xall,13)&gt;a_2/1000,P_2,0)+IF(SMALL(ba_xall,13)&gt;a_3/1000,P_3,0))),(R_A-w_ba*SMALL(ba_xall,13)-(IF(SMALL(ba_xall,13)&gt;=a_1/1000,P_1,0)+IF(SMALL(ba_xall,13)&gt;=a_2/1000,P_2,0)+IF(SMALL(ba_xall,13)&gt;=a_3/1000,P_3,0))))</f>
        <v/>
      </c>
      <c r="AT16">
        <f>IF(inputs_ok,1000*SMALL(ba_xall,13),NA())</f>
        <v/>
      </c>
      <c r="AU16">
        <f>(-0.65*L_ba)-(0.2*L_ba/MAX(M_max,0.001))*(R_A*SMALL(ba_xall,13)-w_ba*SMALL(ba_xall,13)^2/2-(P_1*MAX(0,SMALL(ba_xall,13)-a_1/1000)+P_2*MAX(0,SMALL(ba_xall,13)-a_2/1000)+P_3*MAX(0,SMALL(ba_xall,13)-a_3/1000)))</f>
        <v/>
      </c>
    </row>
    <row r="17">
      <c r="AQ17">
        <f>IF(inputs_ok,1000*SMALL(ba_xall,14),NA())</f>
        <v/>
      </c>
      <c r="AR17">
        <f>(-0.35*L_ba)+(0.12*L_ba/MAX(V_max,0.001))*IF(OR(SMALL(ba_xall,14)&gt;=L_ba/1000,AND(SMALL(ba_xall,14)&gt;0,SMALL(ba_xall,15)=SMALL(ba_xall,14))),(R_A-w_ba*SMALL(ba_xall,14)-(IF(SMALL(ba_xall,14)&gt;a_1/1000,P_1,0)+IF(SMALL(ba_xall,14)&gt;a_2/1000,P_2,0)+IF(SMALL(ba_xall,14)&gt;a_3/1000,P_3,0))),(R_A-w_ba*SMALL(ba_xall,14)-(IF(SMALL(ba_xall,14)&gt;=a_1/1000,P_1,0)+IF(SMALL(ba_xall,14)&gt;=a_2/1000,P_2,0)+IF(SMALL(ba_xall,14)&gt;=a_3/1000,P_3,0))))</f>
        <v/>
      </c>
      <c r="AT17">
        <f>IF(inputs_ok,1000*SMALL(ba_xall,14),NA())</f>
        <v/>
      </c>
      <c r="AU17">
        <f>(-0.65*L_ba)-(0.2*L_ba/MAX(M_max,0.001))*(R_A*SMALL(ba_xall,14)-w_ba*SMALL(ba_xall,14)^2/2-(P_1*MAX(0,SMALL(ba_xall,14)-a_1/1000)+P_2*MAX(0,SMALL(ba_xall,14)-a_2/1000)+P_3*MAX(0,SMALL(ba_xall,14)-a_3/1000)))</f>
        <v/>
      </c>
    </row>
    <row r="18">
      <c r="AQ18">
        <f>IF(inputs_ok,1000*SMALL(ba_xall,15),NA())</f>
        <v/>
      </c>
      <c r="AR18">
        <f>(-0.35*L_ba)+(0.12*L_ba/MAX(V_max,0.001))*IF(OR(SMALL(ba_xall,15)&gt;=L_ba/1000,AND(SMALL(ba_xall,15)&gt;0,SMALL(ba_xall,16)=SMALL(ba_xall,15))),(R_A-w_ba*SMALL(ba_xall,15)-(IF(SMALL(ba_xall,15)&gt;a_1/1000,P_1,0)+IF(SMALL(ba_xall,15)&gt;a_2/1000,P_2,0)+IF(SMALL(ba_xall,15)&gt;a_3/1000,P_3,0))),(R_A-w_ba*SMALL(ba_xall,15)-(IF(SMALL(ba_xall,15)&gt;=a_1/1000,P_1,0)+IF(SMALL(ba_xall,15)&gt;=a_2/1000,P_2,0)+IF(SMALL(ba_xall,15)&gt;=a_3/1000,P_3,0))))</f>
        <v/>
      </c>
      <c r="AT18">
        <f>IF(inputs_ok,1000*SMALL(ba_xall,15),NA())</f>
        <v/>
      </c>
      <c r="AU18">
        <f>(-0.65*L_ba)-(0.2*L_ba/MAX(M_max,0.001))*(R_A*SMALL(ba_xall,15)-w_ba*SMALL(ba_xall,15)^2/2-(P_1*MAX(0,SMALL(ba_xall,15)-a_1/1000)+P_2*MAX(0,SMALL(ba_xall,15)-a_2/1000)+P_3*MAX(0,SMALL(ba_xall,15)-a_3/1000)))</f>
        <v/>
      </c>
    </row>
    <row r="19">
      <c r="AQ19">
        <f>IF(inputs_ok,1000*SMALL(ba_xall,16),NA())</f>
        <v/>
      </c>
      <c r="AR19">
        <f>(-0.35*L_ba)+(0.12*L_ba/MAX(V_max,0.001))*IF(OR(SMALL(ba_xall,16)&gt;=L_ba/1000,AND(SMALL(ba_xall,16)&gt;0,SMALL(ba_xall,17)=SMALL(ba_xall,16))),(R_A-w_ba*SMALL(ba_xall,16)-(IF(SMALL(ba_xall,16)&gt;a_1/1000,P_1,0)+IF(SMALL(ba_xall,16)&gt;a_2/1000,P_2,0)+IF(SMALL(ba_xall,16)&gt;a_3/1000,P_3,0))),(R_A-w_ba*SMALL(ba_xall,16)-(IF(SMALL(ba_xall,16)&gt;=a_1/1000,P_1,0)+IF(SMALL(ba_xall,16)&gt;=a_2/1000,P_2,0)+IF(SMALL(ba_xall,16)&gt;=a_3/1000,P_3,0))))</f>
        <v/>
      </c>
      <c r="AT19">
        <f>IF(inputs_ok,1000*SMALL(ba_xall,16),NA())</f>
        <v/>
      </c>
      <c r="AU19">
        <f>(-0.65*L_ba)-(0.2*L_ba/MAX(M_max,0.001))*(R_A*SMALL(ba_xall,16)-w_ba*SMALL(ba_xall,16)^2/2-(P_1*MAX(0,SMALL(ba_xall,16)-a_1/1000)+P_2*MAX(0,SMALL(ba_xall,16)-a_2/1000)+P_3*MAX(0,SMALL(ba_xall,16)-a_3/1000)))</f>
        <v/>
      </c>
    </row>
    <row r="20">
      <c r="AQ20">
        <f>IF(inputs_ok,1000*SMALL(ba_xall,17),NA())</f>
        <v/>
      </c>
      <c r="AR20">
        <f>(-0.35*L_ba)+(0.12*L_ba/MAX(V_max,0.001))*IF(OR(SMALL(ba_xall,17)&gt;=L_ba/1000,AND(SMALL(ba_xall,17)&gt;0,SMALL(ba_xall,18)=SMALL(ba_xall,17))),(R_A-w_ba*SMALL(ba_xall,17)-(IF(SMALL(ba_xall,17)&gt;a_1/1000,P_1,0)+IF(SMALL(ba_xall,17)&gt;a_2/1000,P_2,0)+IF(SMALL(ba_xall,17)&gt;a_3/1000,P_3,0))),(R_A-w_ba*SMALL(ba_xall,17)-(IF(SMALL(ba_xall,17)&gt;=a_1/1000,P_1,0)+IF(SMALL(ba_xall,17)&gt;=a_2/1000,P_2,0)+IF(SMALL(ba_xall,17)&gt;=a_3/1000,P_3,0))))</f>
        <v/>
      </c>
      <c r="AT20">
        <f>IF(inputs_ok,1000*SMALL(ba_xall,17),NA())</f>
        <v/>
      </c>
      <c r="AU20">
        <f>(-0.65*L_ba)-(0.2*L_ba/MAX(M_max,0.001))*(R_A*SMALL(ba_xall,17)-w_ba*SMALL(ba_xall,17)^2/2-(P_1*MAX(0,SMALL(ba_xall,17)-a_1/1000)+P_2*MAX(0,SMALL(ba_xall,17)-a_2/1000)+P_3*MAX(0,SMALL(ba_xall,17)-a_3/1000)))</f>
        <v/>
      </c>
    </row>
    <row r="21">
      <c r="AQ21">
        <f>IF(inputs_ok,1000*SMALL(ba_xall,18),NA())</f>
        <v/>
      </c>
      <c r="AR21">
        <f>(-0.35*L_ba)+(0.12*L_ba/MAX(V_max,0.001))*IF(OR(SMALL(ba_xall,18)&gt;=L_ba/1000,AND(SMALL(ba_xall,18)&gt;0,SMALL(ba_xall,19)=SMALL(ba_xall,18))),(R_A-w_ba*SMALL(ba_xall,18)-(IF(SMALL(ba_xall,18)&gt;a_1/1000,P_1,0)+IF(SMALL(ba_xall,18)&gt;a_2/1000,P_2,0)+IF(SMALL(ba_xall,18)&gt;a_3/1000,P_3,0))),(R_A-w_ba*SMALL(ba_xall,18)-(IF(SMALL(ba_xall,18)&gt;=a_1/1000,P_1,0)+IF(SMALL(ba_xall,18)&gt;=a_2/1000,P_2,0)+IF(SMALL(ba_xall,18)&gt;=a_3/1000,P_3,0))))</f>
        <v/>
      </c>
      <c r="AT21">
        <f>IF(inputs_ok,1000*SMALL(ba_xall,18),NA())</f>
        <v/>
      </c>
      <c r="AU21">
        <f>(-0.65*L_ba)-(0.2*L_ba/MAX(M_max,0.001))*(R_A*SMALL(ba_xall,18)-w_ba*SMALL(ba_xall,18)^2/2-(P_1*MAX(0,SMALL(ba_xall,18)-a_1/1000)+P_2*MAX(0,SMALL(ba_xall,18)-a_2/1000)+P_3*MAX(0,SMALL(ba_xall,18)-a_3/1000)))</f>
        <v/>
      </c>
    </row>
    <row r="22">
      <c r="AQ22">
        <f>IF(inputs_ok,1000*SMALL(ba_xall,19),NA())</f>
        <v/>
      </c>
      <c r="AR22">
        <f>(-0.35*L_ba)+(0.12*L_ba/MAX(V_max,0.001))*IF(OR(SMALL(ba_xall,19)&gt;=L_ba/1000,AND(SMALL(ba_xall,19)&gt;0,SMALL(ba_xall,20)=SMALL(ba_xall,19))),(R_A-w_ba*SMALL(ba_xall,19)-(IF(SMALL(ba_xall,19)&gt;a_1/1000,P_1,0)+IF(SMALL(ba_xall,19)&gt;a_2/1000,P_2,0)+IF(SMALL(ba_xall,19)&gt;a_3/1000,P_3,0))),(R_A-w_ba*SMALL(ba_xall,19)-(IF(SMALL(ba_xall,19)&gt;=a_1/1000,P_1,0)+IF(SMALL(ba_xall,19)&gt;=a_2/1000,P_2,0)+IF(SMALL(ba_xall,19)&gt;=a_3/1000,P_3,0))))</f>
        <v/>
      </c>
      <c r="AT22">
        <f>IF(inputs_ok,1000*SMALL(ba_xall,19),NA())</f>
        <v/>
      </c>
      <c r="AU22">
        <f>(-0.65*L_ba)-(0.2*L_ba/MAX(M_max,0.001))*(R_A*SMALL(ba_xall,19)-w_ba*SMALL(ba_xall,19)^2/2-(P_1*MAX(0,SMALL(ba_xall,19)-a_1/1000)+P_2*MAX(0,SMALL(ba_xall,19)-a_2/1000)+P_3*MAX(0,SMALL(ba_xall,19)-a_3/1000)))</f>
        <v/>
      </c>
    </row>
    <row r="23">
      <c r="AQ23">
        <f>IF(inputs_ok,1000*SMALL(ba_xall,20),NA())</f>
        <v/>
      </c>
      <c r="AR23">
        <f>(-0.35*L_ba)+(0.12*L_ba/MAX(V_max,0.001))*IF(OR(SMALL(ba_xall,20)&gt;=L_ba/1000,AND(SMALL(ba_xall,20)&gt;0,SMALL(ba_xall,21)=SMALL(ba_xall,20))),(R_A-w_ba*SMALL(ba_xall,20)-(IF(SMALL(ba_xall,20)&gt;a_1/1000,P_1,0)+IF(SMALL(ba_xall,20)&gt;a_2/1000,P_2,0)+IF(SMALL(ba_xall,20)&gt;a_3/1000,P_3,0))),(R_A-w_ba*SMALL(ba_xall,20)-(IF(SMALL(ba_xall,20)&gt;=a_1/1000,P_1,0)+IF(SMALL(ba_xall,20)&gt;=a_2/1000,P_2,0)+IF(SMALL(ba_xall,20)&gt;=a_3/1000,P_3,0))))</f>
        <v/>
      </c>
      <c r="AT23">
        <f>IF(inputs_ok,1000*SMALL(ba_xall,20),NA())</f>
        <v/>
      </c>
      <c r="AU23">
        <f>(-0.65*L_ba)-(0.2*L_ba/MAX(M_max,0.001))*(R_A*SMALL(ba_xall,20)-w_ba*SMALL(ba_xall,20)^2/2-(P_1*MAX(0,SMALL(ba_xall,20)-a_1/1000)+P_2*MAX(0,SMALL(ba_xall,20)-a_2/1000)+P_3*MAX(0,SMALL(ba_xall,20)-a_3/1000)))</f>
        <v/>
      </c>
    </row>
    <row r="24">
      <c r="AQ24">
        <f>IF(inputs_ok,1000*SMALL(ba_xall,21),NA())</f>
        <v/>
      </c>
      <c r="AR24">
        <f>(-0.35*L_ba)+(0.12*L_ba/MAX(V_max,0.001))*IF(OR(SMALL(ba_xall,21)&gt;=L_ba/1000,AND(SMALL(ba_xall,21)&gt;0,SMALL(ba_xall,22)=SMALL(ba_xall,21))),(R_A-w_ba*SMALL(ba_xall,21)-(IF(SMALL(ba_xall,21)&gt;a_1/1000,P_1,0)+IF(SMALL(ba_xall,21)&gt;a_2/1000,P_2,0)+IF(SMALL(ba_xall,21)&gt;a_3/1000,P_3,0))),(R_A-w_ba*SMALL(ba_xall,21)-(IF(SMALL(ba_xall,21)&gt;=a_1/1000,P_1,0)+IF(SMALL(ba_xall,21)&gt;=a_2/1000,P_2,0)+IF(SMALL(ba_xall,21)&gt;=a_3/1000,P_3,0))))</f>
        <v/>
      </c>
      <c r="AT24">
        <f>IF(inputs_ok,1000*SMALL(ba_xall,21),NA())</f>
        <v/>
      </c>
      <c r="AU24">
        <f>(-0.65*L_ba)-(0.2*L_ba/MAX(M_max,0.001))*(R_A*SMALL(ba_xall,21)-w_ba*SMALL(ba_xall,21)^2/2-(P_1*MAX(0,SMALL(ba_xall,21)-a_1/1000)+P_2*MAX(0,SMALL(ba_xall,21)-a_2/1000)+P_3*MAX(0,SMALL(ba_xall,21)-a_3/1000)))</f>
        <v/>
      </c>
    </row>
    <row r="25">
      <c r="AQ25">
        <f>IF(inputs_ok,1000*SMALL(ba_xall,22),NA())</f>
        <v/>
      </c>
      <c r="AR25">
        <f>(-0.35*L_ba)+(0.12*L_ba/MAX(V_max,0.001))*IF(OR(SMALL(ba_xall,22)&gt;=L_ba/1000,AND(SMALL(ba_xall,22)&gt;0,SMALL(ba_xall,23)=SMALL(ba_xall,22))),(R_A-w_ba*SMALL(ba_xall,22)-(IF(SMALL(ba_xall,22)&gt;a_1/1000,P_1,0)+IF(SMALL(ba_xall,22)&gt;a_2/1000,P_2,0)+IF(SMALL(ba_xall,22)&gt;a_3/1000,P_3,0))),(R_A-w_ba*SMALL(ba_xall,22)-(IF(SMALL(ba_xall,22)&gt;=a_1/1000,P_1,0)+IF(SMALL(ba_xall,22)&gt;=a_2/1000,P_2,0)+IF(SMALL(ba_xall,22)&gt;=a_3/1000,P_3,0))))</f>
        <v/>
      </c>
      <c r="AT25">
        <f>IF(inputs_ok,1000*SMALL(ba_xall,22),NA())</f>
        <v/>
      </c>
      <c r="AU25">
        <f>(-0.65*L_ba)-(0.2*L_ba/MAX(M_max,0.001))*(R_A*SMALL(ba_xall,22)-w_ba*SMALL(ba_xall,22)^2/2-(P_1*MAX(0,SMALL(ba_xall,22)-a_1/1000)+P_2*MAX(0,SMALL(ba_xall,22)-a_2/1000)+P_3*MAX(0,SMALL(ba_xall,22)-a_3/1000)))</f>
        <v/>
      </c>
    </row>
    <row r="26">
      <c r="AQ26">
        <f>IF(inputs_ok,1000*SMALL(ba_xall,23),NA())</f>
        <v/>
      </c>
      <c r="AR26">
        <f>(-0.35*L_ba)+(0.12*L_ba/MAX(V_max,0.001))*IF(OR(SMALL(ba_xall,23)&gt;=L_ba/1000,AND(SMALL(ba_xall,23)&gt;0,SMALL(ba_xall,24)=SMALL(ba_xall,23))),(R_A-w_ba*SMALL(ba_xall,23)-(IF(SMALL(ba_xall,23)&gt;a_1/1000,P_1,0)+IF(SMALL(ba_xall,23)&gt;a_2/1000,P_2,0)+IF(SMALL(ba_xall,23)&gt;a_3/1000,P_3,0))),(R_A-w_ba*SMALL(ba_xall,23)-(IF(SMALL(ba_xall,23)&gt;=a_1/1000,P_1,0)+IF(SMALL(ba_xall,23)&gt;=a_2/1000,P_2,0)+IF(SMALL(ba_xall,23)&gt;=a_3/1000,P_3,0))))</f>
        <v/>
      </c>
      <c r="AT26">
        <f>IF(inputs_ok,1000*SMALL(ba_xall,23),NA())</f>
        <v/>
      </c>
      <c r="AU26">
        <f>(-0.65*L_ba)-(0.2*L_ba/MAX(M_max,0.001))*(R_A*SMALL(ba_xall,23)-w_ba*SMALL(ba_xall,23)^2/2-(P_1*MAX(0,SMALL(ba_xall,23)-a_1/1000)+P_2*MAX(0,SMALL(ba_xall,23)-a_2/1000)+P_3*MAX(0,SMALL(ba_xall,23)-a_3/1000)))</f>
        <v/>
      </c>
    </row>
    <row r="27">
      <c r="AQ27">
        <f>IF(inputs_ok,1000*SMALL(ba_xall,24),NA())</f>
        <v/>
      </c>
      <c r="AR27">
        <f>(-0.35*L_ba)+(0.12*L_ba/MAX(V_max,0.001))*IF(OR(SMALL(ba_xall,24)&gt;=L_ba/1000,AND(SMALL(ba_xall,24)&gt;0,SMALL(ba_xall,25)=SMALL(ba_xall,24))),(R_A-w_ba*SMALL(ba_xall,24)-(IF(SMALL(ba_xall,24)&gt;a_1/1000,P_1,0)+IF(SMALL(ba_xall,24)&gt;a_2/1000,P_2,0)+IF(SMALL(ba_xall,24)&gt;a_3/1000,P_3,0))),(R_A-w_ba*SMALL(ba_xall,24)-(IF(SMALL(ba_xall,24)&gt;=a_1/1000,P_1,0)+IF(SMALL(ba_xall,24)&gt;=a_2/1000,P_2,0)+IF(SMALL(ba_xall,24)&gt;=a_3/1000,P_3,0))))</f>
        <v/>
      </c>
      <c r="AT27">
        <f>IF(inputs_ok,1000*SMALL(ba_xall,24),NA())</f>
        <v/>
      </c>
      <c r="AU27">
        <f>(-0.65*L_ba)-(0.2*L_ba/MAX(M_max,0.001))*(R_A*SMALL(ba_xall,24)-w_ba*SMALL(ba_xall,24)^2/2-(P_1*MAX(0,SMALL(ba_xall,24)-a_1/1000)+P_2*MAX(0,SMALL(ba_xall,24)-a_2/1000)+P_3*MAX(0,SMALL(ba_xall,24)-a_3/1000)))</f>
        <v/>
      </c>
    </row>
    <row r="28">
      <c r="AQ28">
        <f>IF(inputs_ok,1000*SMALL(ba_xall,25),NA())</f>
        <v/>
      </c>
      <c r="AR28">
        <f>(-0.35*L_ba)+(0.12*L_ba/MAX(V_max,0.001))*IF(OR(SMALL(ba_xall,25)&gt;=L_ba/1000,AND(SMALL(ba_xall,25)&gt;0,SMALL(ba_xall,26)=SMALL(ba_xall,25))),(R_A-w_ba*SMALL(ba_xall,25)-(IF(SMALL(ba_xall,25)&gt;a_1/1000,P_1,0)+IF(SMALL(ba_xall,25)&gt;a_2/1000,P_2,0)+IF(SMALL(ba_xall,25)&gt;a_3/1000,P_3,0))),(R_A-w_ba*SMALL(ba_xall,25)-(IF(SMALL(ba_xall,25)&gt;=a_1/1000,P_1,0)+IF(SMALL(ba_xall,25)&gt;=a_2/1000,P_2,0)+IF(SMALL(ba_xall,25)&gt;=a_3/1000,P_3,0))))</f>
        <v/>
      </c>
      <c r="AT28">
        <f>IF(inputs_ok,1000*SMALL(ba_xall,25),NA())</f>
        <v/>
      </c>
      <c r="AU28">
        <f>(-0.65*L_ba)-(0.2*L_ba/MAX(M_max,0.001))*(R_A*SMALL(ba_xall,25)-w_ba*SMALL(ba_xall,25)^2/2-(P_1*MAX(0,SMALL(ba_xall,25)-a_1/1000)+P_2*MAX(0,SMALL(ba_xall,25)-a_2/1000)+P_3*MAX(0,SMALL(ba_xall,25)-a_3/1000)))</f>
        <v/>
      </c>
    </row>
    <row r="29">
      <c r="AQ29">
        <f>IF(inputs_ok,1000*SMALL(ba_xall,26),NA())</f>
        <v/>
      </c>
      <c r="AR29">
        <f>(-0.35*L_ba)+(0.12*L_ba/MAX(V_max,0.001))*IF(OR(SMALL(ba_xall,26)&gt;=L_ba/1000,AND(SMALL(ba_xall,26)&gt;0,SMALL(ba_xall,27)=SMALL(ba_xall,26))),(R_A-w_ba*SMALL(ba_xall,26)-(IF(SMALL(ba_xall,26)&gt;a_1/1000,P_1,0)+IF(SMALL(ba_xall,26)&gt;a_2/1000,P_2,0)+IF(SMALL(ba_xall,26)&gt;a_3/1000,P_3,0))),(R_A-w_ba*SMALL(ba_xall,26)-(IF(SMALL(ba_xall,26)&gt;=a_1/1000,P_1,0)+IF(SMALL(ba_xall,26)&gt;=a_2/1000,P_2,0)+IF(SMALL(ba_xall,26)&gt;=a_3/1000,P_3,0))))</f>
        <v/>
      </c>
      <c r="AT29">
        <f>IF(inputs_ok,1000*SMALL(ba_xall,26),NA())</f>
        <v/>
      </c>
      <c r="AU29">
        <f>(-0.65*L_ba)-(0.2*L_ba/MAX(M_max,0.001))*(R_A*SMALL(ba_xall,26)-w_ba*SMALL(ba_xall,26)^2/2-(P_1*MAX(0,SMALL(ba_xall,26)-a_1/1000)+P_2*MAX(0,SMALL(ba_xall,26)-a_2/1000)+P_3*MAX(0,SMALL(ba_xall,26)-a_3/1000)))</f>
        <v/>
      </c>
    </row>
    <row r="30">
      <c r="AQ30">
        <f>IF(inputs_ok,1000*SMALL(ba_xall,27),NA())</f>
        <v/>
      </c>
      <c r="AR30">
        <f>(-0.35*L_ba)+(0.12*L_ba/MAX(V_max,0.001))*IF(OR(SMALL(ba_xall,27)&gt;=L_ba/1000,AND(SMALL(ba_xall,27)&gt;0,SMALL(ba_xall,28)=SMALL(ba_xall,27))),(R_A-w_ba*SMALL(ba_xall,27)-(IF(SMALL(ba_xall,27)&gt;a_1/1000,P_1,0)+IF(SMALL(ba_xall,27)&gt;a_2/1000,P_2,0)+IF(SMALL(ba_xall,27)&gt;a_3/1000,P_3,0))),(R_A-w_ba*SMALL(ba_xall,27)-(IF(SMALL(ba_xall,27)&gt;=a_1/1000,P_1,0)+IF(SMALL(ba_xall,27)&gt;=a_2/1000,P_2,0)+IF(SMALL(ba_xall,27)&gt;=a_3/1000,P_3,0))))</f>
        <v/>
      </c>
      <c r="AT30">
        <f>IF(inputs_ok,1000*SMALL(ba_xall,27),NA())</f>
        <v/>
      </c>
      <c r="AU30">
        <f>(-0.65*L_ba)-(0.2*L_ba/MAX(M_max,0.001))*(R_A*SMALL(ba_xall,27)-w_ba*SMALL(ba_xall,27)^2/2-(P_1*MAX(0,SMALL(ba_xall,27)-a_1/1000)+P_2*MAX(0,SMALL(ba_xall,27)-a_2/1000)+P_3*MAX(0,SMALL(ba_xall,27)-a_3/1000)))</f>
        <v/>
      </c>
    </row>
    <row r="31">
      <c r="AQ31">
        <f>IF(inputs_ok,1000*SMALL(ba_xall,28),NA())</f>
        <v/>
      </c>
      <c r="AR31">
        <f>(-0.35*L_ba)+(0.12*L_ba/MAX(V_max,0.001))*IF(OR(SMALL(ba_xall,28)&gt;=L_ba/1000,AND(SMALL(ba_xall,28)&gt;0,SMALL(ba_xall,29)=SMALL(ba_xall,28))),(R_A-w_ba*SMALL(ba_xall,28)-(IF(SMALL(ba_xall,28)&gt;a_1/1000,P_1,0)+IF(SMALL(ba_xall,28)&gt;a_2/1000,P_2,0)+IF(SMALL(ba_xall,28)&gt;a_3/1000,P_3,0))),(R_A-w_ba*SMALL(ba_xall,28)-(IF(SMALL(ba_xall,28)&gt;=a_1/1000,P_1,0)+IF(SMALL(ba_xall,28)&gt;=a_2/1000,P_2,0)+IF(SMALL(ba_xall,28)&gt;=a_3/1000,P_3,0))))</f>
        <v/>
      </c>
      <c r="AT31">
        <f>IF(inputs_ok,1000*SMALL(ba_xall,28),NA())</f>
        <v/>
      </c>
      <c r="AU31">
        <f>(-0.65*L_ba)-(0.2*L_ba/MAX(M_max,0.001))*(R_A*SMALL(ba_xall,28)-w_ba*SMALL(ba_xall,28)^2/2-(P_1*MAX(0,SMALL(ba_xall,28)-a_1/1000)+P_2*MAX(0,SMALL(ba_xall,28)-a_2/1000)+P_3*MAX(0,SMALL(ba_xall,28)-a_3/1000)))</f>
        <v/>
      </c>
    </row>
    <row r="32">
      <c r="AQ32">
        <f>IF(inputs_ok,1000*SMALL(ba_xall,29),NA())</f>
        <v/>
      </c>
      <c r="AR32">
        <f>(-0.35*L_ba)+(0.12*L_ba/MAX(V_max,0.001))*IF(OR(SMALL(ba_xall,29)&gt;=L_ba/1000,AND(SMALL(ba_xall,29)&gt;0,SMALL(ba_xall,30)=SMALL(ba_xall,29))),(R_A-w_ba*SMALL(ba_xall,29)-(IF(SMALL(ba_xall,29)&gt;a_1/1000,P_1,0)+IF(SMALL(ba_xall,29)&gt;a_2/1000,P_2,0)+IF(SMALL(ba_xall,29)&gt;a_3/1000,P_3,0))),(R_A-w_ba*SMALL(ba_xall,29)-(IF(SMALL(ba_xall,29)&gt;=a_1/1000,P_1,0)+IF(SMALL(ba_xall,29)&gt;=a_2/1000,P_2,0)+IF(SMALL(ba_xall,29)&gt;=a_3/1000,P_3,0))))</f>
        <v/>
      </c>
      <c r="AT32">
        <f>IF(inputs_ok,1000*SMALL(ba_xall,29),NA())</f>
        <v/>
      </c>
      <c r="AU32">
        <f>(-0.65*L_ba)-(0.2*L_ba/MAX(M_max,0.001))*(R_A*SMALL(ba_xall,29)-w_ba*SMALL(ba_xall,29)^2/2-(P_1*MAX(0,SMALL(ba_xall,29)-a_1/1000)+P_2*MAX(0,SMALL(ba_xall,29)-a_2/1000)+P_3*MAX(0,SMALL(ba_xall,29)-a_3/1000)))</f>
        <v/>
      </c>
    </row>
    <row r="33">
      <c r="AQ33">
        <f>IF(inputs_ok,1000*SMALL(ba_xall,30),NA())</f>
        <v/>
      </c>
      <c r="AR33">
        <f>(-0.35*L_ba)+(0.12*L_ba/MAX(V_max,0.001))*IF(OR(SMALL(ba_xall,30)&gt;=L_ba/1000,AND(SMALL(ba_xall,30)&gt;0,SMALL(ba_xall,31)=SMALL(ba_xall,30))),(R_A-w_ba*SMALL(ba_xall,30)-(IF(SMALL(ba_xall,30)&gt;a_1/1000,P_1,0)+IF(SMALL(ba_xall,30)&gt;a_2/1000,P_2,0)+IF(SMALL(ba_xall,30)&gt;a_3/1000,P_3,0))),(R_A-w_ba*SMALL(ba_xall,30)-(IF(SMALL(ba_xall,30)&gt;=a_1/1000,P_1,0)+IF(SMALL(ba_xall,30)&gt;=a_2/1000,P_2,0)+IF(SMALL(ba_xall,30)&gt;=a_3/1000,P_3,0))))</f>
        <v/>
      </c>
      <c r="AT33">
        <f>IF(inputs_ok,1000*SMALL(ba_xall,30),NA())</f>
        <v/>
      </c>
      <c r="AU33">
        <f>(-0.65*L_ba)-(0.2*L_ba/MAX(M_max,0.001))*(R_A*SMALL(ba_xall,30)-w_ba*SMALL(ba_xall,30)^2/2-(P_1*MAX(0,SMALL(ba_xall,30)-a_1/1000)+P_2*MAX(0,SMALL(ba_xall,30)-a_2/1000)+P_3*MAX(0,SMALL(ba_xall,30)-a_3/1000)))</f>
        <v/>
      </c>
    </row>
    <row r="34">
      <c r="AQ34">
        <f>IF(inputs_ok,1000*SMALL(ba_xall,31),NA())</f>
        <v/>
      </c>
      <c r="AR34">
        <f>(-0.35*L_ba)+(0.12*L_ba/MAX(V_max,0.001))*IF(OR(SMALL(ba_xall,31)&gt;=L_ba/1000,AND(SMALL(ba_xall,31)&gt;0,SMALL(ba_xall,32)=SMALL(ba_xall,31))),(R_A-w_ba*SMALL(ba_xall,31)-(IF(SMALL(ba_xall,31)&gt;a_1/1000,P_1,0)+IF(SMALL(ba_xall,31)&gt;a_2/1000,P_2,0)+IF(SMALL(ba_xall,31)&gt;a_3/1000,P_3,0))),(R_A-w_ba*SMALL(ba_xall,31)-(IF(SMALL(ba_xall,31)&gt;=a_1/1000,P_1,0)+IF(SMALL(ba_xall,31)&gt;=a_2/1000,P_2,0)+IF(SMALL(ba_xall,31)&gt;=a_3/1000,P_3,0))))</f>
        <v/>
      </c>
      <c r="AT34">
        <f>IF(inputs_ok,1000*SMALL(ba_xall,31),NA())</f>
        <v/>
      </c>
      <c r="AU34">
        <f>(-0.65*L_ba)-(0.2*L_ba/MAX(M_max,0.001))*(R_A*SMALL(ba_xall,31)-w_ba*SMALL(ba_xall,31)^2/2-(P_1*MAX(0,SMALL(ba_xall,31)-a_1/1000)+P_2*MAX(0,SMALL(ba_xall,31)-a_2/1000)+P_3*MAX(0,SMALL(ba_xall,31)-a_3/1000)))</f>
        <v/>
      </c>
    </row>
    <row r="35">
      <c r="AQ35">
        <f>IF(inputs_ok,1000*SMALL(ba_xall,32),NA())</f>
        <v/>
      </c>
      <c r="AR35">
        <f>(-0.35*L_ba)+(0.12*L_ba/MAX(V_max,0.001))*IF(OR(SMALL(ba_xall,32)&gt;=L_ba/1000,AND(SMALL(ba_xall,32)&gt;0,SMALL(ba_xall,33)=SMALL(ba_xall,32))),(R_A-w_ba*SMALL(ba_xall,32)-(IF(SMALL(ba_xall,32)&gt;a_1/1000,P_1,0)+IF(SMALL(ba_xall,32)&gt;a_2/1000,P_2,0)+IF(SMALL(ba_xall,32)&gt;a_3/1000,P_3,0))),(R_A-w_ba*SMALL(ba_xall,32)-(IF(SMALL(ba_xall,32)&gt;=a_1/1000,P_1,0)+IF(SMALL(ba_xall,32)&gt;=a_2/1000,P_2,0)+IF(SMALL(ba_xall,32)&gt;=a_3/1000,P_3,0))))</f>
        <v/>
      </c>
      <c r="AT35">
        <f>IF(inputs_ok,1000*SMALL(ba_xall,32),NA())</f>
        <v/>
      </c>
      <c r="AU35">
        <f>(-0.65*L_ba)-(0.2*L_ba/MAX(M_max,0.001))*(R_A*SMALL(ba_xall,32)-w_ba*SMALL(ba_xall,32)^2/2-(P_1*MAX(0,SMALL(ba_xall,32)-a_1/1000)+P_2*MAX(0,SMALL(ba_xall,32)-a_2/1000)+P_3*MAX(0,SMALL(ba_xall,32)-a_3/1000)))</f>
        <v/>
      </c>
    </row>
    <row r="36">
      <c r="AQ36">
        <f>IF(inputs_ok,1000*SMALL(ba_xall,33),NA())</f>
        <v/>
      </c>
      <c r="AR36">
        <f>(-0.35*L_ba)+(0.12*L_ba/MAX(V_max,0.001))*IF(OR(SMALL(ba_xall,33)&gt;=L_ba/1000,AND(SMALL(ba_xall,33)&gt;0,SMALL(ba_xall,34)=SMALL(ba_xall,33))),(R_A-w_ba*SMALL(ba_xall,33)-(IF(SMALL(ba_xall,33)&gt;a_1/1000,P_1,0)+IF(SMALL(ba_xall,33)&gt;a_2/1000,P_2,0)+IF(SMALL(ba_xall,33)&gt;a_3/1000,P_3,0))),(R_A-w_ba*SMALL(ba_xall,33)-(IF(SMALL(ba_xall,33)&gt;=a_1/1000,P_1,0)+IF(SMALL(ba_xall,33)&gt;=a_2/1000,P_2,0)+IF(SMALL(ba_xall,33)&gt;=a_3/1000,P_3,0))))</f>
        <v/>
      </c>
      <c r="AT36">
        <f>IF(inputs_ok,1000*SMALL(ba_xall,33),NA())</f>
        <v/>
      </c>
      <c r="AU36">
        <f>(-0.65*L_ba)-(0.2*L_ba/MAX(M_max,0.001))*(R_A*SMALL(ba_xall,33)-w_ba*SMALL(ba_xall,33)^2/2-(P_1*MAX(0,SMALL(ba_xall,33)-a_1/1000)+P_2*MAX(0,SMALL(ba_xall,33)-a_2/1000)+P_3*MAX(0,SMALL(ba_xall,33)-a_3/1000)))</f>
        <v/>
      </c>
    </row>
    <row r="37">
      <c r="AQ37">
        <f>IF(inputs_ok,1000*SMALL(ba_xall,34),NA())</f>
        <v/>
      </c>
      <c r="AR37">
        <f>(-0.35*L_ba)+(0.12*L_ba/MAX(V_max,0.001))*IF(OR(SMALL(ba_xall,34)&gt;=L_ba/1000,AND(SMALL(ba_xall,34)&gt;0,SMALL(ba_xall,35)=SMALL(ba_xall,34))),(R_A-w_ba*SMALL(ba_xall,34)-(IF(SMALL(ba_xall,34)&gt;a_1/1000,P_1,0)+IF(SMALL(ba_xall,34)&gt;a_2/1000,P_2,0)+IF(SMALL(ba_xall,34)&gt;a_3/1000,P_3,0))),(R_A-w_ba*SMALL(ba_xall,34)-(IF(SMALL(ba_xall,34)&gt;=a_1/1000,P_1,0)+IF(SMALL(ba_xall,34)&gt;=a_2/1000,P_2,0)+IF(SMALL(ba_xall,34)&gt;=a_3/1000,P_3,0))))</f>
        <v/>
      </c>
      <c r="AT37">
        <f>IF(inputs_ok,1000*SMALL(ba_xall,34),NA())</f>
        <v/>
      </c>
      <c r="AU37">
        <f>(-0.65*L_ba)-(0.2*L_ba/MAX(M_max,0.001))*(R_A*SMALL(ba_xall,34)-w_ba*SMALL(ba_xall,34)^2/2-(P_1*MAX(0,SMALL(ba_xall,34)-a_1/1000)+P_2*MAX(0,SMALL(ba_xall,34)-a_2/1000)+P_3*MAX(0,SMALL(ba_xall,34)-a_3/1000)))</f>
        <v/>
      </c>
    </row>
    <row r="38">
      <c r="AQ38">
        <f>IF(inputs_ok,1000*SMALL(ba_xall,35),NA())</f>
        <v/>
      </c>
      <c r="AR38">
        <f>(-0.35*L_ba)+(0.12*L_ba/MAX(V_max,0.001))*IF(OR(SMALL(ba_xall,35)&gt;=L_ba/1000,AND(SMALL(ba_xall,35)&gt;0,SMALL(ba_xall,36)=SMALL(ba_xall,35))),(R_A-w_ba*SMALL(ba_xall,35)-(IF(SMALL(ba_xall,35)&gt;a_1/1000,P_1,0)+IF(SMALL(ba_xall,35)&gt;a_2/1000,P_2,0)+IF(SMALL(ba_xall,35)&gt;a_3/1000,P_3,0))),(R_A-w_ba*SMALL(ba_xall,35)-(IF(SMALL(ba_xall,35)&gt;=a_1/1000,P_1,0)+IF(SMALL(ba_xall,35)&gt;=a_2/1000,P_2,0)+IF(SMALL(ba_xall,35)&gt;=a_3/1000,P_3,0))))</f>
        <v/>
      </c>
      <c r="AT38">
        <f>IF(inputs_ok,1000*SMALL(ba_xall,35),NA())</f>
        <v/>
      </c>
      <c r="AU38">
        <f>(-0.65*L_ba)-(0.2*L_ba/MAX(M_max,0.001))*(R_A*SMALL(ba_xall,35)-w_ba*SMALL(ba_xall,35)^2/2-(P_1*MAX(0,SMALL(ba_xall,35)-a_1/1000)+P_2*MAX(0,SMALL(ba_xall,35)-a_2/1000)+P_3*MAX(0,SMALL(ba_xall,35)-a_3/1000)))</f>
        <v/>
      </c>
    </row>
    <row r="39">
      <c r="AQ39">
        <f>IF(inputs_ok,1000*SMALL(ba_xall,36),NA())</f>
        <v/>
      </c>
      <c r="AR39">
        <f>(-0.35*L_ba)+(0.12*L_ba/MAX(V_max,0.001))*IF(OR(SMALL(ba_xall,36)&gt;=L_ba/1000,AND(SMALL(ba_xall,36)&gt;0,SMALL(ba_xall,37)=SMALL(ba_xall,36))),(R_A-w_ba*SMALL(ba_xall,36)-(IF(SMALL(ba_xall,36)&gt;a_1/1000,P_1,0)+IF(SMALL(ba_xall,36)&gt;a_2/1000,P_2,0)+IF(SMALL(ba_xall,36)&gt;a_3/1000,P_3,0))),(R_A-w_ba*SMALL(ba_xall,36)-(IF(SMALL(ba_xall,36)&gt;=a_1/1000,P_1,0)+IF(SMALL(ba_xall,36)&gt;=a_2/1000,P_2,0)+IF(SMALL(ba_xall,36)&gt;=a_3/1000,P_3,0))))</f>
        <v/>
      </c>
      <c r="AT39">
        <f>IF(inputs_ok,1000*SMALL(ba_xall,36),NA())</f>
        <v/>
      </c>
      <c r="AU39">
        <f>(-0.65*L_ba)-(0.2*L_ba/MAX(M_max,0.001))*(R_A*SMALL(ba_xall,36)-w_ba*SMALL(ba_xall,36)^2/2-(P_1*MAX(0,SMALL(ba_xall,36)-a_1/1000)+P_2*MAX(0,SMALL(ba_xall,36)-a_2/1000)+P_3*MAX(0,SMALL(ba_xall,36)-a_3/1000)))</f>
        <v/>
      </c>
    </row>
    <row r="40">
      <c r="AQ40">
        <f>IF(inputs_ok,1000*SMALL(ba_xall,37),NA())</f>
        <v/>
      </c>
      <c r="AR40">
        <f>(-0.35*L_ba)+(0.12*L_ba/MAX(V_max,0.001))*IF(OR(SMALL(ba_xall,37)&gt;=L_ba/1000,AND(SMALL(ba_xall,37)&gt;0,SMALL(ba_xall,38)=SMALL(ba_xall,37))),(R_A-w_ba*SMALL(ba_xall,37)-(IF(SMALL(ba_xall,37)&gt;a_1/1000,P_1,0)+IF(SMALL(ba_xall,37)&gt;a_2/1000,P_2,0)+IF(SMALL(ba_xall,37)&gt;a_3/1000,P_3,0))),(R_A-w_ba*SMALL(ba_xall,37)-(IF(SMALL(ba_xall,37)&gt;=a_1/1000,P_1,0)+IF(SMALL(ba_xall,37)&gt;=a_2/1000,P_2,0)+IF(SMALL(ba_xall,37)&gt;=a_3/1000,P_3,0))))</f>
        <v/>
      </c>
      <c r="AT40">
        <f>IF(inputs_ok,1000*SMALL(ba_xall,37),NA())</f>
        <v/>
      </c>
      <c r="AU40">
        <f>(-0.65*L_ba)-(0.2*L_ba/MAX(M_max,0.001))*(R_A*SMALL(ba_xall,37)-w_ba*SMALL(ba_xall,37)^2/2-(P_1*MAX(0,SMALL(ba_xall,37)-a_1/1000)+P_2*MAX(0,SMALL(ba_xall,37)-a_2/1000)+P_3*MAX(0,SMALL(ba_xall,37)-a_3/1000)))</f>
        <v/>
      </c>
    </row>
    <row r="41">
      <c r="AQ41">
        <f>IF(inputs_ok,1000*SMALL(ba_xall,38),NA())</f>
        <v/>
      </c>
      <c r="AR41">
        <f>(-0.35*L_ba)+(0.12*L_ba/MAX(V_max,0.001))*IF(OR(SMALL(ba_xall,38)&gt;=L_ba/1000,AND(SMALL(ba_xall,38)&gt;0,SMALL(ba_xall,39)=SMALL(ba_xall,38))),(R_A-w_ba*SMALL(ba_xall,38)-(IF(SMALL(ba_xall,38)&gt;a_1/1000,P_1,0)+IF(SMALL(ba_xall,38)&gt;a_2/1000,P_2,0)+IF(SMALL(ba_xall,38)&gt;a_3/1000,P_3,0))),(R_A-w_ba*SMALL(ba_xall,38)-(IF(SMALL(ba_xall,38)&gt;=a_1/1000,P_1,0)+IF(SMALL(ba_xall,38)&gt;=a_2/1000,P_2,0)+IF(SMALL(ba_xall,38)&gt;=a_3/1000,P_3,0))))</f>
        <v/>
      </c>
      <c r="AT41">
        <f>IF(inputs_ok,1000*SMALL(ba_xall,38),NA())</f>
        <v/>
      </c>
      <c r="AU41">
        <f>(-0.65*L_ba)-(0.2*L_ba/MAX(M_max,0.001))*(R_A*SMALL(ba_xall,38)-w_ba*SMALL(ba_xall,38)^2/2-(P_1*MAX(0,SMALL(ba_xall,38)-a_1/1000)+P_2*MAX(0,SMALL(ba_xall,38)-a_2/1000)+P_3*MAX(0,SMALL(ba_xall,38)-a_3/1000)))</f>
        <v/>
      </c>
    </row>
    <row r="42">
      <c r="AQ42">
        <f>IF(inputs_ok,1000*SMALL(ba_xall,39),NA())</f>
        <v/>
      </c>
      <c r="AR42">
        <f>(-0.35*L_ba)+(0.12*L_ba/MAX(V_max,0.001))*IF(OR(SMALL(ba_xall,39)&gt;=L_ba/1000,AND(SMALL(ba_xall,39)&gt;0,SMALL(ba_xall,40)=SMALL(ba_xall,39))),(R_A-w_ba*SMALL(ba_xall,39)-(IF(SMALL(ba_xall,39)&gt;a_1/1000,P_1,0)+IF(SMALL(ba_xall,39)&gt;a_2/1000,P_2,0)+IF(SMALL(ba_xall,39)&gt;a_3/1000,P_3,0))),(R_A-w_ba*SMALL(ba_xall,39)-(IF(SMALL(ba_xall,39)&gt;=a_1/1000,P_1,0)+IF(SMALL(ba_xall,39)&gt;=a_2/1000,P_2,0)+IF(SMALL(ba_xall,39)&gt;=a_3/1000,P_3,0))))</f>
        <v/>
      </c>
      <c r="AT42">
        <f>IF(inputs_ok,1000*SMALL(ba_xall,39),NA())</f>
        <v/>
      </c>
      <c r="AU42">
        <f>(-0.65*L_ba)-(0.2*L_ba/MAX(M_max,0.001))*(R_A*SMALL(ba_xall,39)-w_ba*SMALL(ba_xall,39)^2/2-(P_1*MAX(0,SMALL(ba_xall,39)-a_1/1000)+P_2*MAX(0,SMALL(ba_xall,39)-a_2/1000)+P_3*MAX(0,SMALL(ba_xall,39)-a_3/1000)))</f>
        <v/>
      </c>
    </row>
    <row r="43">
      <c r="AQ43">
        <f>IF(inputs_ok,1000*SMALL(ba_xall,40),NA())</f>
        <v/>
      </c>
      <c r="AR43">
        <f>(-0.35*L_ba)+(0.12*L_ba/MAX(V_max,0.001))*IF(OR(SMALL(ba_xall,40)&gt;=L_ba/1000,AND(SMALL(ba_xall,40)&gt;0,SMALL(ba_xall,41)=SMALL(ba_xall,40))),(R_A-w_ba*SMALL(ba_xall,40)-(IF(SMALL(ba_xall,40)&gt;a_1/1000,P_1,0)+IF(SMALL(ba_xall,40)&gt;a_2/1000,P_2,0)+IF(SMALL(ba_xall,40)&gt;a_3/1000,P_3,0))),(R_A-w_ba*SMALL(ba_xall,40)-(IF(SMALL(ba_xall,40)&gt;=a_1/1000,P_1,0)+IF(SMALL(ba_xall,40)&gt;=a_2/1000,P_2,0)+IF(SMALL(ba_xall,40)&gt;=a_3/1000,P_3,0))))</f>
        <v/>
      </c>
      <c r="AT43">
        <f>IF(inputs_ok,1000*SMALL(ba_xall,40),NA())</f>
        <v/>
      </c>
      <c r="AU43">
        <f>(-0.65*L_ba)-(0.2*L_ba/MAX(M_max,0.001))*(R_A*SMALL(ba_xall,40)-w_ba*SMALL(ba_xall,40)^2/2-(P_1*MAX(0,SMALL(ba_xall,40)-a_1/1000)+P_2*MAX(0,SMALL(ba_xall,40)-a_2/1000)+P_3*MAX(0,SMALL(ba_xall,40)-a_3/1000)))</f>
        <v/>
      </c>
    </row>
    <row r="44">
      <c r="AQ44">
        <f>IF(inputs_ok,1000*SMALL(ba_xall,41),NA())</f>
        <v/>
      </c>
      <c r="AR44">
        <f>(-0.35*L_ba)+(0.12*L_ba/MAX(V_max,0.001))*IF(OR(SMALL(ba_xall,41)&gt;=L_ba/1000,AND(SMALL(ba_xall,41)&gt;0,SMALL(ba_xall,42)=SMALL(ba_xall,41))),(R_A-w_ba*SMALL(ba_xall,41)-(IF(SMALL(ba_xall,41)&gt;a_1/1000,P_1,0)+IF(SMALL(ba_xall,41)&gt;a_2/1000,P_2,0)+IF(SMALL(ba_xall,41)&gt;a_3/1000,P_3,0))),(R_A-w_ba*SMALL(ba_xall,41)-(IF(SMALL(ba_xall,41)&gt;=a_1/1000,P_1,0)+IF(SMALL(ba_xall,41)&gt;=a_2/1000,P_2,0)+IF(SMALL(ba_xall,41)&gt;=a_3/1000,P_3,0))))</f>
        <v/>
      </c>
      <c r="AT44">
        <f>IF(inputs_ok,1000*SMALL(ba_xall,41),NA())</f>
        <v/>
      </c>
      <c r="AU44">
        <f>(-0.65*L_ba)-(0.2*L_ba/MAX(M_max,0.001))*(R_A*SMALL(ba_xall,41)-w_ba*SMALL(ba_xall,41)^2/2-(P_1*MAX(0,SMALL(ba_xall,41)-a_1/1000)+P_2*MAX(0,SMALL(ba_xall,41)-a_2/1000)+P_3*MAX(0,SMALL(ba_xall,41)-a_3/1000)))</f>
        <v/>
      </c>
    </row>
    <row r="45">
      <c r="AQ45">
        <f>IF(inputs_ok,1000*SMALL(ba_xall,42),NA())</f>
        <v/>
      </c>
      <c r="AR45">
        <f>(-0.35*L_ba)+(0.12*L_ba/MAX(V_max,0.001))*IF(OR(SMALL(ba_xall,42)&gt;=L_ba/1000,AND(SMALL(ba_xall,42)&gt;0,SMALL(ba_xall,43)=SMALL(ba_xall,42))),(R_A-w_ba*SMALL(ba_xall,42)-(IF(SMALL(ba_xall,42)&gt;a_1/1000,P_1,0)+IF(SMALL(ba_xall,42)&gt;a_2/1000,P_2,0)+IF(SMALL(ba_xall,42)&gt;a_3/1000,P_3,0))),(R_A-w_ba*SMALL(ba_xall,42)-(IF(SMALL(ba_xall,42)&gt;=a_1/1000,P_1,0)+IF(SMALL(ba_xall,42)&gt;=a_2/1000,P_2,0)+IF(SMALL(ba_xall,42)&gt;=a_3/1000,P_3,0))))</f>
        <v/>
      </c>
      <c r="AT45">
        <f>IF(inputs_ok,1000*SMALL(ba_xall,42),NA())</f>
        <v/>
      </c>
      <c r="AU45">
        <f>(-0.65*L_ba)-(0.2*L_ba/MAX(M_max,0.001))*(R_A*SMALL(ba_xall,42)-w_ba*SMALL(ba_xall,42)^2/2-(P_1*MAX(0,SMALL(ba_xall,42)-a_1/1000)+P_2*MAX(0,SMALL(ba_xall,42)-a_2/1000)+P_3*MAX(0,SMALL(ba_xall,42)-a_3/1000)))</f>
        <v/>
      </c>
    </row>
    <row r="46">
      <c r="AQ46">
        <f>IF(inputs_ok,1000*SMALL(ba_xall,43),NA())</f>
        <v/>
      </c>
      <c r="AR46">
        <f>(-0.35*L_ba)+(0.12*L_ba/MAX(V_max,0.001))*IF(OR(SMALL(ba_xall,43)&gt;=L_ba/1000,AND(SMALL(ba_xall,43)&gt;0,SMALL(ba_xall,44)=SMALL(ba_xall,43))),(R_A-w_ba*SMALL(ba_xall,43)-(IF(SMALL(ba_xall,43)&gt;a_1/1000,P_1,0)+IF(SMALL(ba_xall,43)&gt;a_2/1000,P_2,0)+IF(SMALL(ba_xall,43)&gt;a_3/1000,P_3,0))),(R_A-w_ba*SMALL(ba_xall,43)-(IF(SMALL(ba_xall,43)&gt;=a_1/1000,P_1,0)+IF(SMALL(ba_xall,43)&gt;=a_2/1000,P_2,0)+IF(SMALL(ba_xall,43)&gt;=a_3/1000,P_3,0))))</f>
        <v/>
      </c>
      <c r="AT46">
        <f>IF(inputs_ok,1000*SMALL(ba_xall,43),NA())</f>
        <v/>
      </c>
      <c r="AU46">
        <f>(-0.65*L_ba)-(0.2*L_ba/MAX(M_max,0.001))*(R_A*SMALL(ba_xall,43)-w_ba*SMALL(ba_xall,43)^2/2-(P_1*MAX(0,SMALL(ba_xall,43)-a_1/1000)+P_2*MAX(0,SMALL(ba_xall,43)-a_2/1000)+P_3*MAX(0,SMALL(ba_xall,43)-a_3/1000)))</f>
        <v/>
      </c>
    </row>
    <row r="47">
      <c r="AQ47">
        <f>IF(inputs_ok,1000*SMALL(ba_xall,44),NA())</f>
        <v/>
      </c>
      <c r="AR47">
        <f>(-0.35*L_ba)+(0.12*L_ba/MAX(V_max,0.001))*IF(OR(SMALL(ba_xall,44)&gt;=L_ba/1000,AND(SMALL(ba_xall,44)&gt;0,SMALL(ba_xall,45)=SMALL(ba_xall,44))),(R_A-w_ba*SMALL(ba_xall,44)-(IF(SMALL(ba_xall,44)&gt;a_1/1000,P_1,0)+IF(SMALL(ba_xall,44)&gt;a_2/1000,P_2,0)+IF(SMALL(ba_xall,44)&gt;a_3/1000,P_3,0))),(R_A-w_ba*SMALL(ba_xall,44)-(IF(SMALL(ba_xall,44)&gt;=a_1/1000,P_1,0)+IF(SMALL(ba_xall,44)&gt;=a_2/1000,P_2,0)+IF(SMALL(ba_xall,44)&gt;=a_3/1000,P_3,0))))</f>
        <v/>
      </c>
      <c r="AT47">
        <f>IF(inputs_ok,1000*SMALL(ba_xall,44),NA())</f>
        <v/>
      </c>
      <c r="AU47">
        <f>(-0.65*L_ba)-(0.2*L_ba/MAX(M_max,0.001))*(R_A*SMALL(ba_xall,44)-w_ba*SMALL(ba_xall,44)^2/2-(P_1*MAX(0,SMALL(ba_xall,44)-a_1/1000)+P_2*MAX(0,SMALL(ba_xall,44)-a_2/1000)+P_3*MAX(0,SMALL(ba_xall,44)-a_3/1000)))</f>
        <v/>
      </c>
    </row>
    <row r="48">
      <c r="AQ48">
        <f>IF(inputs_ok,1000*SMALL(ba_xall,45),NA())</f>
        <v/>
      </c>
      <c r="AR48">
        <f>(-0.35*L_ba)+(0.12*L_ba/MAX(V_max,0.001))*IF(OR(SMALL(ba_xall,45)&gt;=L_ba/1000,AND(SMALL(ba_xall,45)&gt;0,SMALL(ba_xall,46)=SMALL(ba_xall,45))),(R_A-w_ba*SMALL(ba_xall,45)-(IF(SMALL(ba_xall,45)&gt;a_1/1000,P_1,0)+IF(SMALL(ba_xall,45)&gt;a_2/1000,P_2,0)+IF(SMALL(ba_xall,45)&gt;a_3/1000,P_3,0))),(R_A-w_ba*SMALL(ba_xall,45)-(IF(SMALL(ba_xall,45)&gt;=a_1/1000,P_1,0)+IF(SMALL(ba_xall,45)&gt;=a_2/1000,P_2,0)+IF(SMALL(ba_xall,45)&gt;=a_3/1000,P_3,0))))</f>
        <v/>
      </c>
      <c r="AT48">
        <f>IF(inputs_ok,1000*SMALL(ba_xall,45),NA())</f>
        <v/>
      </c>
      <c r="AU48">
        <f>(-0.65*L_ba)-(0.2*L_ba/MAX(M_max,0.001))*(R_A*SMALL(ba_xall,45)-w_ba*SMALL(ba_xall,45)^2/2-(P_1*MAX(0,SMALL(ba_xall,45)-a_1/1000)+P_2*MAX(0,SMALL(ba_xall,45)-a_2/1000)+P_3*MAX(0,SMALL(ba_xall,45)-a_3/1000)))</f>
        <v/>
      </c>
    </row>
    <row r="49">
      <c r="AQ49">
        <f>IF(inputs_ok,1000*SMALL(ba_xall,46),NA())</f>
        <v/>
      </c>
      <c r="AR49">
        <f>(-0.35*L_ba)+(0.12*L_ba/MAX(V_max,0.001))*IF(OR(SMALL(ba_xall,46)&gt;=L_ba/1000,AND(SMALL(ba_xall,46)&gt;0,SMALL(ba_xall,47)=SMALL(ba_xall,46))),(R_A-w_ba*SMALL(ba_xall,46)-(IF(SMALL(ba_xall,46)&gt;a_1/1000,P_1,0)+IF(SMALL(ba_xall,46)&gt;a_2/1000,P_2,0)+IF(SMALL(ba_xall,46)&gt;a_3/1000,P_3,0))),(R_A-w_ba*SMALL(ba_xall,46)-(IF(SMALL(ba_xall,46)&gt;=a_1/1000,P_1,0)+IF(SMALL(ba_xall,46)&gt;=a_2/1000,P_2,0)+IF(SMALL(ba_xall,46)&gt;=a_3/1000,P_3,0))))</f>
        <v/>
      </c>
      <c r="AT49">
        <f>IF(inputs_ok,1000*SMALL(ba_xall,46),NA())</f>
        <v/>
      </c>
      <c r="AU49">
        <f>(-0.65*L_ba)-(0.2*L_ba/MAX(M_max,0.001))*(R_A*SMALL(ba_xall,46)-w_ba*SMALL(ba_xall,46)^2/2-(P_1*MAX(0,SMALL(ba_xall,46)-a_1/1000)+P_2*MAX(0,SMALL(ba_xall,46)-a_2/1000)+P_3*MAX(0,SMALL(ba_xall,46)-a_3/1000)))</f>
        <v/>
      </c>
    </row>
    <row r="50">
      <c r="AQ50">
        <f>IF(inputs_ok,1000*SMALL(ba_xall,47),NA())</f>
        <v/>
      </c>
      <c r="AR50">
        <f>(-0.35*L_ba)+(0.12*L_ba/MAX(V_max,0.001))*IF(OR(SMALL(ba_xall,47)&gt;=L_ba/1000,AND(SMALL(ba_xall,47)&gt;0,SMALL(ba_xall,48)=SMALL(ba_xall,47))),(R_A-w_ba*SMALL(ba_xall,47)-(IF(SMALL(ba_xall,47)&gt;a_1/1000,P_1,0)+IF(SMALL(ba_xall,47)&gt;a_2/1000,P_2,0)+IF(SMALL(ba_xall,47)&gt;a_3/1000,P_3,0))),(R_A-w_ba*SMALL(ba_xall,47)-(IF(SMALL(ba_xall,47)&gt;=a_1/1000,P_1,0)+IF(SMALL(ba_xall,47)&gt;=a_2/1000,P_2,0)+IF(SMALL(ba_xall,47)&gt;=a_3/1000,P_3,0))))</f>
        <v/>
      </c>
      <c r="AT50">
        <f>IF(inputs_ok,1000*SMALL(ba_xall,47),NA())</f>
        <v/>
      </c>
      <c r="AU50">
        <f>(-0.65*L_ba)-(0.2*L_ba/MAX(M_max,0.001))*(R_A*SMALL(ba_xall,47)-w_ba*SMALL(ba_xall,47)^2/2-(P_1*MAX(0,SMALL(ba_xall,47)-a_1/1000)+P_2*MAX(0,SMALL(ba_xall,47)-a_2/1000)+P_3*MAX(0,SMALL(ba_xall,47)-a_3/1000)))</f>
        <v/>
      </c>
    </row>
    <row r="51">
      <c r="AQ51">
        <f>IF(inputs_ok,1000*SMALL(ba_xall,48),NA())</f>
        <v/>
      </c>
      <c r="AR51">
        <f>(-0.35*L_ba)+(0.12*L_ba/MAX(V_max,0.001))*IF(OR(SMALL(ba_xall,48)&gt;=L_ba/1000,AND(SMALL(ba_xall,48)&gt;0,SMALL(ba_xall,49)=SMALL(ba_xall,48))),(R_A-w_ba*SMALL(ba_xall,48)-(IF(SMALL(ba_xall,48)&gt;a_1/1000,P_1,0)+IF(SMALL(ba_xall,48)&gt;a_2/1000,P_2,0)+IF(SMALL(ba_xall,48)&gt;a_3/1000,P_3,0))),(R_A-w_ba*SMALL(ba_xall,48)-(IF(SMALL(ba_xall,48)&gt;=a_1/1000,P_1,0)+IF(SMALL(ba_xall,48)&gt;=a_2/1000,P_2,0)+IF(SMALL(ba_xall,48)&gt;=a_3/1000,P_3,0))))</f>
        <v/>
      </c>
      <c r="AT51">
        <f>IF(inputs_ok,1000*SMALL(ba_xall,48),NA())</f>
        <v/>
      </c>
      <c r="AU51">
        <f>(-0.65*L_ba)-(0.2*L_ba/MAX(M_max,0.001))*(R_A*SMALL(ba_xall,48)-w_ba*SMALL(ba_xall,48)^2/2-(P_1*MAX(0,SMALL(ba_xall,48)-a_1/1000)+P_2*MAX(0,SMALL(ba_xall,48)-a_2/1000)+P_3*MAX(0,SMALL(ba_xall,48)-a_3/1000)))</f>
        <v/>
      </c>
    </row>
    <row r="52">
      <c r="AQ52">
        <f>IF(inputs_ok,1000*SMALL(ba_xall,49),NA())</f>
        <v/>
      </c>
      <c r="AR52">
        <f>(-0.35*L_ba)+(0.12*L_ba/MAX(V_max,0.001))*IF(OR(SMALL(ba_xall,49)&gt;=L_ba/1000,AND(SMALL(ba_xall,49)&gt;0,SMALL(ba_xall,50)=SMALL(ba_xall,49))),(R_A-w_ba*SMALL(ba_xall,49)-(IF(SMALL(ba_xall,49)&gt;a_1/1000,P_1,0)+IF(SMALL(ba_xall,49)&gt;a_2/1000,P_2,0)+IF(SMALL(ba_xall,49)&gt;a_3/1000,P_3,0))),(R_A-w_ba*SMALL(ba_xall,49)-(IF(SMALL(ba_xall,49)&gt;=a_1/1000,P_1,0)+IF(SMALL(ba_xall,49)&gt;=a_2/1000,P_2,0)+IF(SMALL(ba_xall,49)&gt;=a_3/1000,P_3,0))))</f>
        <v/>
      </c>
      <c r="AT52">
        <f>IF(inputs_ok,1000*SMALL(ba_xall,49),NA())</f>
        <v/>
      </c>
      <c r="AU52">
        <f>(-0.65*L_ba)-(0.2*L_ba/MAX(M_max,0.001))*(R_A*SMALL(ba_xall,49)-w_ba*SMALL(ba_xall,49)^2/2-(P_1*MAX(0,SMALL(ba_xall,49)-a_1/1000)+P_2*MAX(0,SMALL(ba_xall,49)-a_2/1000)+P_3*MAX(0,SMALL(ba_xall,49)-a_3/1000)))</f>
        <v/>
      </c>
    </row>
    <row r="53">
      <c r="AQ53">
        <f>IF(inputs_ok,1000*SMALL(ba_xall,50),NA())</f>
        <v/>
      </c>
      <c r="AR53">
        <f>(-0.35*L_ba)+(0.12*L_ba/MAX(V_max,0.001))*IF(OR(SMALL(ba_xall,50)&gt;=L_ba/1000,AND(SMALL(ba_xall,50)&gt;0,SMALL(ba_xall,51)=SMALL(ba_xall,50))),(R_A-w_ba*SMALL(ba_xall,50)-(IF(SMALL(ba_xall,50)&gt;a_1/1000,P_1,0)+IF(SMALL(ba_xall,50)&gt;a_2/1000,P_2,0)+IF(SMALL(ba_xall,50)&gt;a_3/1000,P_3,0))),(R_A-w_ba*SMALL(ba_xall,50)-(IF(SMALL(ba_xall,50)&gt;=a_1/1000,P_1,0)+IF(SMALL(ba_xall,50)&gt;=a_2/1000,P_2,0)+IF(SMALL(ba_xall,50)&gt;=a_3/1000,P_3,0))))</f>
        <v/>
      </c>
      <c r="AT53">
        <f>IF(inputs_ok,1000*SMALL(ba_xall,50),NA())</f>
        <v/>
      </c>
      <c r="AU53">
        <f>(-0.65*L_ba)-(0.2*L_ba/MAX(M_max,0.001))*(R_A*SMALL(ba_xall,50)-w_ba*SMALL(ba_xall,50)^2/2-(P_1*MAX(0,SMALL(ba_xall,50)-a_1/1000)+P_2*MAX(0,SMALL(ba_xall,50)-a_2/1000)+P_3*MAX(0,SMALL(ba_xall,50)-a_3/1000)))</f>
        <v/>
      </c>
    </row>
    <row r="54">
      <c r="AQ54">
        <f>IF(inputs_ok,1000*SMALL(ba_xall,51),NA())</f>
        <v/>
      </c>
      <c r="AR54">
        <f>(-0.35*L_ba)+(0.12*L_ba/MAX(V_max,0.001))*IF(OR(SMALL(ba_xall,51)&gt;=L_ba/1000,AND(SMALL(ba_xall,51)&gt;0,SMALL(ba_xall,52)=SMALL(ba_xall,51))),(R_A-w_ba*SMALL(ba_xall,51)-(IF(SMALL(ba_xall,51)&gt;a_1/1000,P_1,0)+IF(SMALL(ba_xall,51)&gt;a_2/1000,P_2,0)+IF(SMALL(ba_xall,51)&gt;a_3/1000,P_3,0))),(R_A-w_ba*SMALL(ba_xall,51)-(IF(SMALL(ba_xall,51)&gt;=a_1/1000,P_1,0)+IF(SMALL(ba_xall,51)&gt;=a_2/1000,P_2,0)+IF(SMALL(ba_xall,51)&gt;=a_3/1000,P_3,0))))</f>
        <v/>
      </c>
      <c r="AT54">
        <f>IF(inputs_ok,1000*SMALL(ba_xall,51),NA())</f>
        <v/>
      </c>
      <c r="AU54">
        <f>(-0.65*L_ba)-(0.2*L_ba/MAX(M_max,0.001))*(R_A*SMALL(ba_xall,51)-w_ba*SMALL(ba_xall,51)^2/2-(P_1*MAX(0,SMALL(ba_xall,51)-a_1/1000)+P_2*MAX(0,SMALL(ba_xall,51)-a_2/1000)+P_3*MAX(0,SMALL(ba_xall,51)-a_3/1000)))</f>
        <v/>
      </c>
    </row>
    <row r="55">
      <c r="AQ55">
        <f>IF(inputs_ok,1000*SMALL(ba_xall,52),NA())</f>
        <v/>
      </c>
      <c r="AR55">
        <f>(-0.35*L_ba)+(0.12*L_ba/MAX(V_max,0.001))*IF(OR(SMALL(ba_xall,52)&gt;=L_ba/1000,AND(SMALL(ba_xall,52)&gt;0,SMALL(ba_xall,53)=SMALL(ba_xall,52))),(R_A-w_ba*SMALL(ba_xall,52)-(IF(SMALL(ba_xall,52)&gt;a_1/1000,P_1,0)+IF(SMALL(ba_xall,52)&gt;a_2/1000,P_2,0)+IF(SMALL(ba_xall,52)&gt;a_3/1000,P_3,0))),(R_A-w_ba*SMALL(ba_xall,52)-(IF(SMALL(ba_xall,52)&gt;=a_1/1000,P_1,0)+IF(SMALL(ba_xall,52)&gt;=a_2/1000,P_2,0)+IF(SMALL(ba_xall,52)&gt;=a_3/1000,P_3,0))))</f>
        <v/>
      </c>
      <c r="AT55">
        <f>IF(inputs_ok,1000*SMALL(ba_xall,52),NA())</f>
        <v/>
      </c>
      <c r="AU55">
        <f>(-0.65*L_ba)-(0.2*L_ba/MAX(M_max,0.001))*(R_A*SMALL(ba_xall,52)-w_ba*SMALL(ba_xall,52)^2/2-(P_1*MAX(0,SMALL(ba_xall,52)-a_1/1000)+P_2*MAX(0,SMALL(ba_xall,52)-a_2/1000)+P_3*MAX(0,SMALL(ba_xall,52)-a_3/1000)))</f>
        <v/>
      </c>
    </row>
    <row r="56">
      <c r="AQ56">
        <f>IF(inputs_ok,1000*SMALL(ba_xall,53),NA())</f>
        <v/>
      </c>
      <c r="AR56">
        <f>(-0.35*L_ba)+(0.12*L_ba/MAX(V_max,0.001))*IF(OR(SMALL(ba_xall,53)&gt;=L_ba/1000,AND(SMALL(ba_xall,53)&gt;0,SMALL(ba_xall,54)=SMALL(ba_xall,53))),(R_A-w_ba*SMALL(ba_xall,53)-(IF(SMALL(ba_xall,53)&gt;a_1/1000,P_1,0)+IF(SMALL(ba_xall,53)&gt;a_2/1000,P_2,0)+IF(SMALL(ba_xall,53)&gt;a_3/1000,P_3,0))),(R_A-w_ba*SMALL(ba_xall,53)-(IF(SMALL(ba_xall,53)&gt;=a_1/1000,P_1,0)+IF(SMALL(ba_xall,53)&gt;=a_2/1000,P_2,0)+IF(SMALL(ba_xall,53)&gt;=a_3/1000,P_3,0))))</f>
        <v/>
      </c>
      <c r="AT56">
        <f>IF(inputs_ok,1000*SMALL(ba_xall,53),NA())</f>
        <v/>
      </c>
      <c r="AU56">
        <f>(-0.65*L_ba)-(0.2*L_ba/MAX(M_max,0.001))*(R_A*SMALL(ba_xall,53)-w_ba*SMALL(ba_xall,53)^2/2-(P_1*MAX(0,SMALL(ba_xall,53)-a_1/1000)+P_2*MAX(0,SMALL(ba_xall,53)-a_2/1000)+P_3*MAX(0,SMALL(ba_xall,53)-a_3/1000)))</f>
        <v/>
      </c>
    </row>
    <row r="57">
      <c r="AQ57">
        <f>IF(inputs_ok,1000*SMALL(ba_xall,54),NA())</f>
        <v/>
      </c>
      <c r="AR57">
        <f>(-0.35*L_ba)+(0.12*L_ba/MAX(V_max,0.001))*IF(OR(SMALL(ba_xall,54)&gt;=L_ba/1000,AND(SMALL(ba_xall,54)&gt;0,SMALL(ba_xall,55)=SMALL(ba_xall,54))),(R_A-w_ba*SMALL(ba_xall,54)-(IF(SMALL(ba_xall,54)&gt;a_1/1000,P_1,0)+IF(SMALL(ba_xall,54)&gt;a_2/1000,P_2,0)+IF(SMALL(ba_xall,54)&gt;a_3/1000,P_3,0))),(R_A-w_ba*SMALL(ba_xall,54)-(IF(SMALL(ba_xall,54)&gt;=a_1/1000,P_1,0)+IF(SMALL(ba_xall,54)&gt;=a_2/1000,P_2,0)+IF(SMALL(ba_xall,54)&gt;=a_3/1000,P_3,0))))</f>
        <v/>
      </c>
      <c r="AT57">
        <f>IF(inputs_ok,1000*SMALL(ba_xall,54),NA())</f>
        <v/>
      </c>
      <c r="AU57">
        <f>(-0.65*L_ba)-(0.2*L_ba/MAX(M_max,0.001))*(R_A*SMALL(ba_xall,54)-w_ba*SMALL(ba_xall,54)^2/2-(P_1*MAX(0,SMALL(ba_xall,54)-a_1/1000)+P_2*MAX(0,SMALL(ba_xall,54)-a_2/1000)+P_3*MAX(0,SMALL(ba_xall,54)-a_3/1000)))</f>
        <v/>
      </c>
    </row>
    <row r="58">
      <c r="AQ58">
        <f>IF(inputs_ok,1000*SMALL(ba_xall,55),NA())</f>
        <v/>
      </c>
      <c r="AR58">
        <f>(-0.35*L_ba)+(0.12*L_ba/MAX(V_max,0.001))*IF(OR(SMALL(ba_xall,55)&gt;=L_ba/1000,AND(SMALL(ba_xall,55)&gt;0,SMALL(ba_xall,56)=SMALL(ba_xall,55))),(R_A-w_ba*SMALL(ba_xall,55)-(IF(SMALL(ba_xall,55)&gt;a_1/1000,P_1,0)+IF(SMALL(ba_xall,55)&gt;a_2/1000,P_2,0)+IF(SMALL(ba_xall,55)&gt;a_3/1000,P_3,0))),(R_A-w_ba*SMALL(ba_xall,55)-(IF(SMALL(ba_xall,55)&gt;=a_1/1000,P_1,0)+IF(SMALL(ba_xall,55)&gt;=a_2/1000,P_2,0)+IF(SMALL(ba_xall,55)&gt;=a_3/1000,P_3,0))))</f>
        <v/>
      </c>
      <c r="AT58">
        <f>IF(inputs_ok,1000*SMALL(ba_xall,55),NA())</f>
        <v/>
      </c>
      <c r="AU58">
        <f>(-0.65*L_ba)-(0.2*L_ba/MAX(M_max,0.001))*(R_A*SMALL(ba_xall,55)-w_ba*SMALL(ba_xall,55)^2/2-(P_1*MAX(0,SMALL(ba_xall,55)-a_1/1000)+P_2*MAX(0,SMALL(ba_xall,55)-a_2/1000)+P_3*MAX(0,SMALL(ba_xall,55)-a_3/1000)))</f>
        <v/>
      </c>
    </row>
    <row r="59">
      <c r="AQ59">
        <f>IF(inputs_ok,1000*SMALL(ba_xall,56),NA())</f>
        <v/>
      </c>
      <c r="AR59">
        <f>(-0.35*L_ba)+(0.12*L_ba/MAX(V_max,0.001))*IF(OR(SMALL(ba_xall,56)&gt;=L_ba/1000,AND(SMALL(ba_xall,56)&gt;0,SMALL(ba_xall,57)=SMALL(ba_xall,56))),(R_A-w_ba*SMALL(ba_xall,56)-(IF(SMALL(ba_xall,56)&gt;a_1/1000,P_1,0)+IF(SMALL(ba_xall,56)&gt;a_2/1000,P_2,0)+IF(SMALL(ba_xall,56)&gt;a_3/1000,P_3,0))),(R_A-w_ba*SMALL(ba_xall,56)-(IF(SMALL(ba_xall,56)&gt;=a_1/1000,P_1,0)+IF(SMALL(ba_xall,56)&gt;=a_2/1000,P_2,0)+IF(SMALL(ba_xall,56)&gt;=a_3/1000,P_3,0))))</f>
        <v/>
      </c>
      <c r="AT59">
        <f>IF(inputs_ok,1000*SMALL(ba_xall,56),NA())</f>
        <v/>
      </c>
      <c r="AU59">
        <f>(-0.65*L_ba)-(0.2*L_ba/MAX(M_max,0.001))*(R_A*SMALL(ba_xall,56)-w_ba*SMALL(ba_xall,56)^2/2-(P_1*MAX(0,SMALL(ba_xall,56)-a_1/1000)+P_2*MAX(0,SMALL(ba_xall,56)-a_2/1000)+P_3*MAX(0,SMALL(ba_xall,56)-a_3/1000)))</f>
        <v/>
      </c>
    </row>
    <row r="60">
      <c r="AQ60">
        <f>IF(inputs_ok,1000*SMALL(ba_xall,57),NA())</f>
        <v/>
      </c>
      <c r="AR60">
        <f>(-0.35*L_ba)+(0.12*L_ba/MAX(V_max,0.001))*IF(OR(SMALL(ba_xall,57)&gt;=L_ba/1000,AND(SMALL(ba_xall,57)&gt;0,SMALL(ba_xall,58)=SMALL(ba_xall,57))),(R_A-w_ba*SMALL(ba_xall,57)-(IF(SMALL(ba_xall,57)&gt;a_1/1000,P_1,0)+IF(SMALL(ba_xall,57)&gt;a_2/1000,P_2,0)+IF(SMALL(ba_xall,57)&gt;a_3/1000,P_3,0))),(R_A-w_ba*SMALL(ba_xall,57)-(IF(SMALL(ba_xall,57)&gt;=a_1/1000,P_1,0)+IF(SMALL(ba_xall,57)&gt;=a_2/1000,P_2,0)+IF(SMALL(ba_xall,57)&gt;=a_3/1000,P_3,0))))</f>
        <v/>
      </c>
      <c r="AT60">
        <f>IF(inputs_ok,1000*SMALL(ba_xall,57),NA())</f>
        <v/>
      </c>
      <c r="AU60">
        <f>(-0.65*L_ba)-(0.2*L_ba/MAX(M_max,0.001))*(R_A*SMALL(ba_xall,57)-w_ba*SMALL(ba_xall,57)^2/2-(P_1*MAX(0,SMALL(ba_xall,57)-a_1/1000)+P_2*MAX(0,SMALL(ba_xall,57)-a_2/1000)+P_3*MAX(0,SMALL(ba_xall,57)-a_3/1000)))</f>
        <v/>
      </c>
    </row>
    <row r="61">
      <c r="AQ61">
        <f>IF(inputs_ok,1000*SMALL(ba_xall,58),NA())</f>
        <v/>
      </c>
      <c r="AR61">
        <f>(-0.35*L_ba)+(0.12*L_ba/MAX(V_max,0.001))*IF(OR(SMALL(ba_xall,58)&gt;=L_ba/1000,AND(SMALL(ba_xall,58)&gt;0,SMALL(ba_xall,59)=SMALL(ba_xall,58))),(R_A-w_ba*SMALL(ba_xall,58)-(IF(SMALL(ba_xall,58)&gt;a_1/1000,P_1,0)+IF(SMALL(ba_xall,58)&gt;a_2/1000,P_2,0)+IF(SMALL(ba_xall,58)&gt;a_3/1000,P_3,0))),(R_A-w_ba*SMALL(ba_xall,58)-(IF(SMALL(ba_xall,58)&gt;=a_1/1000,P_1,0)+IF(SMALL(ba_xall,58)&gt;=a_2/1000,P_2,0)+IF(SMALL(ba_xall,58)&gt;=a_3/1000,P_3,0))))</f>
        <v/>
      </c>
      <c r="AT61">
        <f>IF(inputs_ok,1000*SMALL(ba_xall,58),NA())</f>
        <v/>
      </c>
      <c r="AU61">
        <f>(-0.65*L_ba)-(0.2*L_ba/MAX(M_max,0.001))*(R_A*SMALL(ba_xall,58)-w_ba*SMALL(ba_xall,58)^2/2-(P_1*MAX(0,SMALL(ba_xall,58)-a_1/1000)+P_2*MAX(0,SMALL(ba_xall,58)-a_2/1000)+P_3*MAX(0,SMALL(ba_xall,58)-a_3/1000)))</f>
        <v/>
      </c>
    </row>
    <row r="62">
      <c r="AQ62">
        <f>IF(inputs_ok,1000*SMALL(ba_xall,59),NA())</f>
        <v/>
      </c>
      <c r="AR62">
        <f>(-0.35*L_ba)+(0.12*L_ba/MAX(V_max,0.001))*IF(OR(SMALL(ba_xall,59)&gt;=L_ba/1000,AND(SMALL(ba_xall,59)&gt;0,SMALL(ba_xall,60)=SMALL(ba_xall,59))),(R_A-w_ba*SMALL(ba_xall,59)-(IF(SMALL(ba_xall,59)&gt;a_1/1000,P_1,0)+IF(SMALL(ba_xall,59)&gt;a_2/1000,P_2,0)+IF(SMALL(ba_xall,59)&gt;a_3/1000,P_3,0))),(R_A-w_ba*SMALL(ba_xall,59)-(IF(SMALL(ba_xall,59)&gt;=a_1/1000,P_1,0)+IF(SMALL(ba_xall,59)&gt;=a_2/1000,P_2,0)+IF(SMALL(ba_xall,59)&gt;=a_3/1000,P_3,0))))</f>
        <v/>
      </c>
      <c r="AT62">
        <f>IF(inputs_ok,1000*SMALL(ba_xall,59),NA())</f>
        <v/>
      </c>
      <c r="AU62">
        <f>(-0.65*L_ba)-(0.2*L_ba/MAX(M_max,0.001))*(R_A*SMALL(ba_xall,59)-w_ba*SMALL(ba_xall,59)^2/2-(P_1*MAX(0,SMALL(ba_xall,59)-a_1/1000)+P_2*MAX(0,SMALL(ba_xall,59)-a_2/1000)+P_3*MAX(0,SMALL(ba_xall,59)-a_3/1000)))</f>
        <v/>
      </c>
    </row>
    <row r="63">
      <c r="AQ63">
        <f>IF(inputs_ok,1000*SMALL(ba_xall,60),NA())</f>
        <v/>
      </c>
      <c r="AR63">
        <f>(-0.35*L_ba)+(0.12*L_ba/MAX(V_max,0.001))*IF(OR(SMALL(ba_xall,60)&gt;=L_ba/1000,AND(SMALL(ba_xall,60)&gt;0,SMALL(ba_xall,61)=SMALL(ba_xall,60))),(R_A-w_ba*SMALL(ba_xall,60)-(IF(SMALL(ba_xall,60)&gt;a_1/1000,P_1,0)+IF(SMALL(ba_xall,60)&gt;a_2/1000,P_2,0)+IF(SMALL(ba_xall,60)&gt;a_3/1000,P_3,0))),(R_A-w_ba*SMALL(ba_xall,60)-(IF(SMALL(ba_xall,60)&gt;=a_1/1000,P_1,0)+IF(SMALL(ba_xall,60)&gt;=a_2/1000,P_2,0)+IF(SMALL(ba_xall,60)&gt;=a_3/1000,P_3,0))))</f>
        <v/>
      </c>
      <c r="AT63">
        <f>IF(inputs_ok,1000*SMALL(ba_xall,60),NA())</f>
        <v/>
      </c>
      <c r="AU63">
        <f>(-0.65*L_ba)-(0.2*L_ba/MAX(M_max,0.001))*(R_A*SMALL(ba_xall,60)-w_ba*SMALL(ba_xall,60)^2/2-(P_1*MAX(0,SMALL(ba_xall,60)-a_1/1000)+P_2*MAX(0,SMALL(ba_xall,60)-a_2/1000)+P_3*MAX(0,SMALL(ba_xall,60)-a_3/1000)))</f>
        <v/>
      </c>
    </row>
    <row r="64">
      <c r="AQ64">
        <f>IF(inputs_ok,1000*SMALL(ba_xall,61),NA())</f>
        <v/>
      </c>
      <c r="AR64">
        <f>(-0.35*L_ba)+(0.12*L_ba/MAX(V_max,0.001))*IF(OR(SMALL(ba_xall,61)&gt;=L_ba/1000,AND(SMALL(ba_xall,61)&gt;0,SMALL(ba_xall,62)=SMALL(ba_xall,61))),(R_A-w_ba*SMALL(ba_xall,61)-(IF(SMALL(ba_xall,61)&gt;a_1/1000,P_1,0)+IF(SMALL(ba_xall,61)&gt;a_2/1000,P_2,0)+IF(SMALL(ba_xall,61)&gt;a_3/1000,P_3,0))),(R_A-w_ba*SMALL(ba_xall,61)-(IF(SMALL(ba_xall,61)&gt;=a_1/1000,P_1,0)+IF(SMALL(ba_xall,61)&gt;=a_2/1000,P_2,0)+IF(SMALL(ba_xall,61)&gt;=a_3/1000,P_3,0))))</f>
        <v/>
      </c>
      <c r="AT64">
        <f>IF(inputs_ok,1000*SMALL(ba_xall,61),NA())</f>
        <v/>
      </c>
      <c r="AU64">
        <f>(-0.65*L_ba)-(0.2*L_ba/MAX(M_max,0.001))*(R_A*SMALL(ba_xall,61)-w_ba*SMALL(ba_xall,61)^2/2-(P_1*MAX(0,SMALL(ba_xall,61)-a_1/1000)+P_2*MAX(0,SMALL(ba_xall,61)-a_2/1000)+P_3*MAX(0,SMALL(ba_xall,61)-a_3/1000)))</f>
        <v/>
      </c>
    </row>
    <row r="65">
      <c r="AQ65">
        <f>IF(inputs_ok,1000*SMALL(ba_xall,62),NA())</f>
        <v/>
      </c>
      <c r="AR65">
        <f>(-0.35*L_ba)+(0.12*L_ba/MAX(V_max,0.001))*IF(OR(SMALL(ba_xall,62)&gt;=L_ba/1000,AND(SMALL(ba_xall,62)&gt;0,SMALL(ba_xall,63)=SMALL(ba_xall,62))),(R_A-w_ba*SMALL(ba_xall,62)-(IF(SMALL(ba_xall,62)&gt;a_1/1000,P_1,0)+IF(SMALL(ba_xall,62)&gt;a_2/1000,P_2,0)+IF(SMALL(ba_xall,62)&gt;a_3/1000,P_3,0))),(R_A-w_ba*SMALL(ba_xall,62)-(IF(SMALL(ba_xall,62)&gt;=a_1/1000,P_1,0)+IF(SMALL(ba_xall,62)&gt;=a_2/1000,P_2,0)+IF(SMALL(ba_xall,62)&gt;=a_3/1000,P_3,0))))</f>
        <v/>
      </c>
      <c r="AT65">
        <f>IF(inputs_ok,1000*SMALL(ba_xall,62),NA())</f>
        <v/>
      </c>
      <c r="AU65">
        <f>(-0.65*L_ba)-(0.2*L_ba/MAX(M_max,0.001))*(R_A*SMALL(ba_xall,62)-w_ba*SMALL(ba_xall,62)^2/2-(P_1*MAX(0,SMALL(ba_xall,62)-a_1/1000)+P_2*MAX(0,SMALL(ba_xall,62)-a_2/1000)+P_3*MAX(0,SMALL(ba_xall,62)-a_3/1000)))</f>
        <v/>
      </c>
    </row>
    <row r="66">
      <c r="AQ66">
        <f>IF(inputs_ok,1000*SMALL(ba_xall,63),NA())</f>
        <v/>
      </c>
      <c r="AR66">
        <f>(-0.35*L_ba)+(0.12*L_ba/MAX(V_max,0.001))*IF(OR(SMALL(ba_xall,63)&gt;=L_ba/1000,AND(SMALL(ba_xall,63)&gt;0,SMALL(ba_xall,64)=SMALL(ba_xall,63))),(R_A-w_ba*SMALL(ba_xall,63)-(IF(SMALL(ba_xall,63)&gt;a_1/1000,P_1,0)+IF(SMALL(ba_xall,63)&gt;a_2/1000,P_2,0)+IF(SMALL(ba_xall,63)&gt;a_3/1000,P_3,0))),(R_A-w_ba*SMALL(ba_xall,63)-(IF(SMALL(ba_xall,63)&gt;=a_1/1000,P_1,0)+IF(SMALL(ba_xall,63)&gt;=a_2/1000,P_2,0)+IF(SMALL(ba_xall,63)&gt;=a_3/1000,P_3,0))))</f>
        <v/>
      </c>
      <c r="AT66">
        <f>IF(inputs_ok,1000*SMALL(ba_xall,63),NA())</f>
        <v/>
      </c>
      <c r="AU66">
        <f>(-0.65*L_ba)-(0.2*L_ba/MAX(M_max,0.001))*(R_A*SMALL(ba_xall,63)-w_ba*SMALL(ba_xall,63)^2/2-(P_1*MAX(0,SMALL(ba_xall,63)-a_1/1000)+P_2*MAX(0,SMALL(ba_xall,63)-a_2/1000)+P_3*MAX(0,SMALL(ba_xall,63)-a_3/1000)))</f>
        <v/>
      </c>
    </row>
    <row r="67">
      <c r="AQ67">
        <f>IF(inputs_ok,1000*SMALL(ba_xall,64),NA())</f>
        <v/>
      </c>
      <c r="AR67">
        <f>(-0.35*L_ba)+(0.12*L_ba/MAX(V_max,0.001))*IF(OR(SMALL(ba_xall,64)&gt;=L_ba/1000,AND(SMALL(ba_xall,64)&gt;0,SMALL(ba_xall,65)=SMALL(ba_xall,64))),(R_A-w_ba*SMALL(ba_xall,64)-(IF(SMALL(ba_xall,64)&gt;a_1/1000,P_1,0)+IF(SMALL(ba_xall,64)&gt;a_2/1000,P_2,0)+IF(SMALL(ba_xall,64)&gt;a_3/1000,P_3,0))),(R_A-w_ba*SMALL(ba_xall,64)-(IF(SMALL(ba_xall,64)&gt;=a_1/1000,P_1,0)+IF(SMALL(ba_xall,64)&gt;=a_2/1000,P_2,0)+IF(SMALL(ba_xall,64)&gt;=a_3/1000,P_3,0))))</f>
        <v/>
      </c>
      <c r="AT67">
        <f>IF(inputs_ok,1000*SMALL(ba_xall,64),NA())</f>
        <v/>
      </c>
      <c r="AU67">
        <f>(-0.65*L_ba)-(0.2*L_ba/MAX(M_max,0.001))*(R_A*SMALL(ba_xall,64)-w_ba*SMALL(ba_xall,64)^2/2-(P_1*MAX(0,SMALL(ba_xall,64)-a_1/1000)+P_2*MAX(0,SMALL(ba_xall,64)-a_2/1000)+P_3*MAX(0,SMALL(ba_xall,64)-a_3/1000)))</f>
        <v/>
      </c>
    </row>
    <row r="68">
      <c r="AQ68">
        <f>IF(inputs_ok,1000*SMALL(ba_xall,65),NA())</f>
        <v/>
      </c>
      <c r="AR68">
        <f>(-0.35*L_ba)+(0.12*L_ba/MAX(V_max,0.001))*IF(OR(SMALL(ba_xall,65)&gt;=L_ba/1000,AND(SMALL(ba_xall,65)&gt;0,SMALL(ba_xall,66)=SMALL(ba_xall,65))),(R_A-w_ba*SMALL(ba_xall,65)-(IF(SMALL(ba_xall,65)&gt;a_1/1000,P_1,0)+IF(SMALL(ba_xall,65)&gt;a_2/1000,P_2,0)+IF(SMALL(ba_xall,65)&gt;a_3/1000,P_3,0))),(R_A-w_ba*SMALL(ba_xall,65)-(IF(SMALL(ba_xall,65)&gt;=a_1/1000,P_1,0)+IF(SMALL(ba_xall,65)&gt;=a_2/1000,P_2,0)+IF(SMALL(ba_xall,65)&gt;=a_3/1000,P_3,0))))</f>
        <v/>
      </c>
      <c r="AT68">
        <f>IF(inputs_ok,1000*SMALL(ba_xall,65),NA())</f>
        <v/>
      </c>
      <c r="AU68">
        <f>(-0.65*L_ba)-(0.2*L_ba/MAX(M_max,0.001))*(R_A*SMALL(ba_xall,65)-w_ba*SMALL(ba_xall,65)^2/2-(P_1*MAX(0,SMALL(ba_xall,65)-a_1/1000)+P_2*MAX(0,SMALL(ba_xall,65)-a_2/1000)+P_3*MAX(0,SMALL(ba_xall,65)-a_3/1000)))</f>
        <v/>
      </c>
    </row>
    <row r="69">
      <c r="AQ69">
        <f>IF(inputs_ok,1000*SMALL(ba_xall,66),NA())</f>
        <v/>
      </c>
      <c r="AR69">
        <f>(-0.35*L_ba)+(0.12*L_ba/MAX(V_max,0.001))*IF(OR(SMALL(ba_xall,66)&gt;=L_ba/1000,AND(SMALL(ba_xall,66)&gt;0,SMALL(ba_xall,67)=SMALL(ba_xall,66))),(R_A-w_ba*SMALL(ba_xall,66)-(IF(SMALL(ba_xall,66)&gt;a_1/1000,P_1,0)+IF(SMALL(ba_xall,66)&gt;a_2/1000,P_2,0)+IF(SMALL(ba_xall,66)&gt;a_3/1000,P_3,0))),(R_A-w_ba*SMALL(ba_xall,66)-(IF(SMALL(ba_xall,66)&gt;=a_1/1000,P_1,0)+IF(SMALL(ba_xall,66)&gt;=a_2/1000,P_2,0)+IF(SMALL(ba_xall,66)&gt;=a_3/1000,P_3,0))))</f>
        <v/>
      </c>
      <c r="AT69">
        <f>IF(inputs_ok,1000*SMALL(ba_xall,66),NA())</f>
        <v/>
      </c>
      <c r="AU69">
        <f>(-0.65*L_ba)-(0.2*L_ba/MAX(M_max,0.001))*(R_A*SMALL(ba_xall,66)-w_ba*SMALL(ba_xall,66)^2/2-(P_1*MAX(0,SMALL(ba_xall,66)-a_1/1000)+P_2*MAX(0,SMALL(ba_xall,66)-a_2/1000)+P_3*MAX(0,SMALL(ba_xall,66)-a_3/1000)))</f>
        <v/>
      </c>
    </row>
    <row r="70">
      <c r="AQ70">
        <f>IF(inputs_ok,1000*SMALL(ba_xall,67),NA())</f>
        <v/>
      </c>
      <c r="AR70">
        <f>(-0.35*L_ba)+(0.12*L_ba/MAX(V_max,0.001))*IF(OR(SMALL(ba_xall,67)&gt;=L_ba/1000,AND(SMALL(ba_xall,67)&gt;0,SMALL(ba_xall,68)=SMALL(ba_xall,67))),(R_A-w_ba*SMALL(ba_xall,67)-(IF(SMALL(ba_xall,67)&gt;a_1/1000,P_1,0)+IF(SMALL(ba_xall,67)&gt;a_2/1000,P_2,0)+IF(SMALL(ba_xall,67)&gt;a_3/1000,P_3,0))),(R_A-w_ba*SMALL(ba_xall,67)-(IF(SMALL(ba_xall,67)&gt;=a_1/1000,P_1,0)+IF(SMALL(ba_xall,67)&gt;=a_2/1000,P_2,0)+IF(SMALL(ba_xall,67)&gt;=a_3/1000,P_3,0))))</f>
        <v/>
      </c>
      <c r="AT70">
        <f>IF(inputs_ok,1000*SMALL(ba_xall,67),NA())</f>
        <v/>
      </c>
      <c r="AU70">
        <f>(-0.65*L_ba)-(0.2*L_ba/MAX(M_max,0.001))*(R_A*SMALL(ba_xall,67)-w_ba*SMALL(ba_xall,67)^2/2-(P_1*MAX(0,SMALL(ba_xall,67)-a_1/1000)+P_2*MAX(0,SMALL(ba_xall,67)-a_2/1000)+P_3*MAX(0,SMALL(ba_xall,67)-a_3/1000)))</f>
        <v/>
      </c>
    </row>
    <row r="71">
      <c r="AQ71">
        <f>IF(inputs_ok,1000*SMALL(ba_xall,68),NA())</f>
        <v/>
      </c>
      <c r="AR71">
        <f>(-0.35*L_ba)+(0.12*L_ba/MAX(V_max,0.001))*IF(TRUE,(R_A-w_ba*SMALL(ba_xall,68)-(IF(SMALL(ba_xall,68)&gt;a_1/1000,P_1,0)+IF(SMALL(ba_xall,68)&gt;a_2/1000,P_2,0)+IF(SMALL(ba_xall,68)&gt;a_3/1000,P_3,0))),(R_A-w_ba*SMALL(ba_xall,68)-(IF(SMALL(ba_xall,68)&gt;=a_1/1000,P_1,0)+IF(SMALL(ba_xall,68)&gt;=a_2/1000,P_2,0)+IF(SMALL(ba_xall,68)&gt;=a_3/1000,P_3,0))))</f>
        <v/>
      </c>
      <c r="AT71">
        <f>IF(inputs_ok,1000*SMALL(ba_xall,68),NA())</f>
        <v/>
      </c>
      <c r="AU71">
        <f>(-0.65*L_ba)-(0.2*L_ba/MAX(M_max,0.001))*(R_A*SMALL(ba_xall,68)-w_ba*SMALL(ba_xall,68)^2/2-(P_1*MAX(0,SMALL(ba_xall,68)-a_1/1000)+P_2*MAX(0,SMALL(ba_xall,68)-a_2/1000)+P_3*MAX(0,SMALL(ba_xall,68)-a_3/1000)))</f>
        <v/>
      </c>
    </row>
    <row r="72">
      <c r="AQ72">
        <f>IF(inputs_ok,L_ba,NA())</f>
        <v/>
      </c>
      <c r="AR72">
        <f>(-0.35*L_ba)</f>
        <v/>
      </c>
      <c r="AT72">
        <f>IF(inputs_ok,L_ba,NA())</f>
        <v/>
      </c>
      <c r="AU72">
        <f>(-0.65*L_ba)</f>
        <v/>
      </c>
    </row>
  </sheetData>
  <sheetProtection selectLockedCells="0" selectUnlockedCells="0" sheet="1" objects="1" insertRows="1" insertHyperlinks="1" autoFilter="1" scenarios="0" formatColumns="1" deleteColumns="1" insertColumns="1" pivotTables="1" deleteRows="1" formatCells="1" formatRows="1" sort="1" password="AA0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NA Engineering sp. z o.o.</dc:creator>
  <dc:title xmlns:dc="http://purl.org/dc/elements/1.1/">NAE-RC-017 Beam actions</dc:title>
  <dc:subject xmlns:dc="http://purl.org/dc/elements/1.1/">Simply supported beam  ·  reactions, shear and bending moment diagrams  ·  EN 1990 (6.10)</dc:subject>
  <dcterms:created xmlns:dcterms="http://purl.org/dc/terms/" xmlns:xsi="http://www.w3.org/2001/XMLSchema-instance" xsi:type="dcterms:W3CDTF">2026-10-30T10:58:37Z</dcterms:created>
  <dcterms:modified xmlns:dcterms="http://purl.org/dc/terms/" xmlns:xsi="http://www.w3.org/2001/XMLSchema-instance" xsi:type="dcterms:W3CDTF">2026-10-30T10:58:37Z</dcterms:modified>
  <cp:lastModifiedBy>NA Engineering sp. z o.o.</cp:lastModifiedBy>
  <cp:keywords>NA Engineering; Eurocode 2; EN 1992-1-1</cp:keywords>
</cp:coreProperties>
</file>