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Tables 7.2N 7.3N" sheetId="4" state="visible" r:id="rId4"/>
    <sheet xmlns:r="http://schemas.openxmlformats.org/officeDocument/2006/relationships" name="NDP" sheetId="5" state="visible" r:id="rId5"/>
  </sheets>
  <definedNames>
    <definedName name="NA_sel">'Calculation'!$E$11</definedName>
    <definedName name="conc_class">'Calculation'!$E$12</definedName>
    <definedName name="f_yk">'Calculation'!$E$13</definedName>
    <definedName name="cr_mem">'Calculation'!$E$14</definedName>
    <definedName name="wk_cr">'Calculation'!$E$15</definedName>
    <definedName name="h_cr">'Calculation'!$E$16</definedName>
    <definedName name="d_cr">'Calculation'!$E$17</definedName>
    <definedName name="phi_cr">'Calculation'!$E$18</definedName>
    <definedName name="s_cr">'Calculation'!$E$19</definedName>
    <definedName name="sig_mode">'Calculation'!$E$22</definedName>
    <definedName name="sig_in">'Calculation'!$E$23</definedName>
    <definedName name="Gk_cr">'Calculation'!$E$24</definedName>
    <definedName name="Qk_cr">'Calculation'!$E$25</definedName>
    <definedName name="psi2_cr">'Calculation'!$E$26</definedName>
    <definedName name="gamma_G">'Calculation'!$E$27</definedName>
    <definedName name="gamma_Q">'Calculation'!$E$28</definedName>
    <definedName name="Asr_cr">'Calculation'!$E$29</definedName>
    <definedName name="Asp_cr">'Calculation'!$E$30</definedName>
    <definedName name="delta_cr">'Calculation'!$E$31</definedName>
    <definedName name="fct_mode">'Calculation'!$E$32</definedName>
    <definedName name="fct_in">'Calculation'!$E$33</definedName>
    <definedName name="inputs_ok">IFERROR(AND(OR(NA_sel="UK NA (BS EN)",NA_sel="PL NA (PN-EN)"),OR(conc_class="C20/25",conc_class="C25/30",conc_class="C28/35",conc_class="C30/37",conc_class="C32/40",conc_class="C35/45",conc_class="C40/50",conc_class="C45/55",conc_class="C50/60"),ISNUMBER(f_yk),f_yk&gt;0,OR(cr_mem="Beam or slab in bending",cr_mem="Slab h ≤ 200 in a building",cr_mem="Member in tension"),OR(AND(ISNUMBER(wk_cr),wk_cr=0.4),AND(ISNUMBER(wk_cr),wk_cr=0.3),AND(ISNUMBER(wk_cr),wk_cr=0.2)),ISNUMBER(h_cr),h_cr&gt;0,ISNUMBER(d_cr),d_cr&gt;0,OR(AND(ISNUMBER(phi_cr),phi_cr=8),AND(ISNUMBER(phi_cr),phi_cr=10),AND(ISNUMBER(phi_cr),phi_cr=12),AND(ISNUMBER(phi_cr),phi_cr=16),AND(ISNUMBER(phi_cr),phi_cr=20),AND(ISNUMBER(phi_cr),phi_cr=25),AND(ISNUMBER(phi_cr),phi_cr=32),AND(ISNUMBER(phi_cr),phi_cr=40)),ISNUMBER(s_cr),s_cr&gt;0,OR(sig_mode="Estimate from the loads",sig_mode="Enter σs"),ISNUMBER(sig_in),sig_in&gt;0,ISNUMBER(Gk_cr),Gk_cr&gt;=0,ISNUMBER(Qk_cr),Qk_cr&gt;=0,ISNUMBER(psi2_cr),psi2_cr&gt;=0,ISNUMBER(gamma_G),gamma_G&gt;0,ISNUMBER(gamma_Q),gamma_Q&gt;0,ISNUMBER(Asr_cr),Asr_cr&gt;0,ISNUMBER(Asp_cr),Asp_cr&gt;0,ISNUMBER(delta_cr),delta_cr&gt;0,OR(fct_mode="fctm (28 days)",fct_mode="Enter fct.eff"),AND(f_yk&gt;=400,f_yk&lt;=500,d_cr&lt;h_cr,psi2_cr&lt;=1,Gk_cr+Qk_cr&gt;0,delta_cr&gt;=0.7,delta_cr&lt;=1,IF(fct_mode="Enter fct.eff",AND(ISNUMBER(fct_in),fct_in&gt;0),TRUE))),FALSE)</definedName>
    <definedName name="input_status">'Calculation'!$G$34</definedName>
    <definedName name="wk_i">MATCH(wk_cr,{0.4,0.3,0.2},0)</definedName>
    <definedName name="cr_s">{160,200,240,280,320,360,400,450}</definedName>
    <definedName name="cr_phi">CHOOSE(wk_i,{40,32,20,16,12,10,8,6},{32,25,16,12,10,8,6,5},{25,16,12,8,6,5,4,0})</definedName>
    <definedName name="cr_sp">CHOOSE(wk_i,{300,300,250,200,150,100,0,0},{300,250,200,150,100,50,0,0},{200,150,100,50,0,0,0,0})</definedName>
    <definedName name="cr_exempt">cr_mem="Slab h ≤ 200 in a building"</definedName>
    <definedName name="size_status">'Calculation'!$G$59</definedName>
    <definedName name="spacing_status">'Calculation'!$G$60</definedName>
    <definedName name="crack_status">'Calculation'!$G$61</definedName>
    <definedName name="gamma_s">'Calculation'!$E$65</definedName>
    <definedName name="f_ck">'Calculation'!$E$66</definedName>
    <definedName name="f_ctm">'Calculation'!$E$67</definedName>
    <definedName name="f_yd">'Calculation'!$E$68</definedName>
    <definedName name="qp_cr">'Calculation'!$E$69</definedName>
    <definedName name="sig_cr">'Calculation'!$E$70</definedName>
    <definedName name="fct_eff">'Calculation'!$E$71</definedName>
    <definedName name="cr_adj">'Calculation'!$E$72</definedName>
    <definedName name="phit_cr">'Calculation'!$E$73</definedName>
    <definedName name="phis_cr">'Calculation'!$E$74</definedName>
    <definedName name="smax_cr">'Calculation'!$E$75</definedName>
    <definedName name="chk_size">'Calculation'!$G$76</definedName>
    <definedName name="chk_spacing">'Calculation'!$G$77</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'Calculation'!$A$1:$H$80</definedName>
    <definedName name="_xlnm.Print_Area" localSheetId="3">'Tables 7.2N 7.3N'!$A$1:$H$14</definedName>
    <definedName name="_xlnm.Print_Area" localSheetId="4">'NDP'!$A$1:$G$29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2">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b val="1"/>
      <color rgb="008A8A8A"/>
      <sz val="9"/>
    </font>
    <font>
      <name val="Calibri"/>
      <i val="1"/>
      <color rgb="009A9A9A"/>
      <sz val="8.5"/>
    </font>
    <font>
      <name val="Calibri"/>
      <b val="1"/>
      <color rgb="002B2B2B"/>
      <sz val="16"/>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7">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1" fontId="17" fillId="4" borderId="0" applyAlignment="1" pivotButton="0" quotePrefix="0" xfId="0">
      <alignment horizontal="center" vertical="center"/>
    </xf>
    <xf numFmtId="0" fontId="4" fillId="4" borderId="0" applyAlignment="1" pivotButton="0" quotePrefix="0" xfId="0">
      <alignment vertical="center"/>
    </xf>
    <xf numFmtId="2" fontId="17" fillId="4" borderId="0" applyAlignment="1" pivotButton="0" quotePrefix="0" xfId="0">
      <alignment horizontal="center" vertical="center"/>
    </xf>
    <xf numFmtId="0" fontId="12" fillId="4" borderId="0" applyAlignment="1" pivotButton="0" quotePrefix="0" xfId="0">
      <alignment horizontal="center" vertical="center"/>
    </xf>
    <xf numFmtId="165" fontId="17" fillId="4" borderId="0" applyAlignment="1" pivotButton="0" quotePrefix="0" xfId="0">
      <alignment horizontal="center" vertical="center"/>
    </xf>
    <xf numFmtId="0" fontId="18" fillId="0" borderId="0" applyAlignment="1" pivotButton="0" quotePrefix="0" xfId="0">
      <alignment vertical="top" wrapText="1"/>
    </xf>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165" fontId="12" fillId="0" borderId="1" applyAlignment="1" pivotButton="0" quotePrefix="0" xfId="0">
      <alignment horizontal="center" vertical="center"/>
    </xf>
    <xf numFmtId="1" fontId="12" fillId="0" borderId="1" applyAlignment="1" pivotButton="0" quotePrefix="0" xfId="0">
      <alignment horizontal="center" vertical="center"/>
    </xf>
    <xf numFmtId="0" fontId="10" fillId="0" borderId="0" pivotButton="0" quotePrefix="0" xfId="0"/>
    <xf numFmtId="0" fontId="19" fillId="0" borderId="0" applyAlignment="1" pivotButton="0" quotePrefix="0" xfId="0">
      <alignment horizontal="center"/>
    </xf>
    <xf numFmtId="0" fontId="5" fillId="0" borderId="0" applyAlignment="1" pivotButton="0" quotePrefix="0" xfId="0">
      <alignment horizontal="center"/>
    </xf>
    <xf numFmtId="0" fontId="20" fillId="0" borderId="0" pivotButton="0" quotePrefix="0" xfId="0"/>
    <xf numFmtId="0" fontId="21" fillId="0" borderId="0" pivotButton="0" quotePrefix="0" xfId="0"/>
    <xf numFmtId="0" fontId="19"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
  <chart>
    <plotArea>
      <scatterChart>
        <scatterStyle val="lineMarker"/>
        <ser>
          <idx val="0"/>
          <order val="0"/>
          <tx>
            <v>axis x</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'Geometry'!$A$3:$A$4</f>
            </numRef>
          </xVal>
          <yVal>
            <numRef>
              <f>'Geometry'!$B$3:$B$4</f>
            </numRef>
          </yVal>
          <smooth val="0"/>
        </ser>
        <ser>
          <idx val="1"/>
          <order val="1"/>
          <tx>
            <v>axis y</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'Geometry'!$D$3:$D$4</f>
            </numRef>
          </xVal>
          <yVal>
            <numRef>
              <f>'Geometry'!$E$3:$E$4</f>
            </numRef>
          </yVal>
          <smooth val="0"/>
        </ser>
        <ser>
          <idx val="2"/>
          <order val="2"/>
          <tx>
            <v>bar size</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'Geometry'!$G$3:$G$10</f>
            </numRef>
          </xVal>
          <yVal>
            <numRef>
              <f>'Geometry'!$H$3:$H$10</f>
            </numRef>
          </yVal>
          <smooth val="0"/>
        </ser>
        <ser>
          <idx val="3"/>
          <order val="3"/>
          <tx>
            <v>spacing</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'Geometry'!$J$3:$J$10</f>
            </numRef>
          </xVal>
          <yVal>
            <numRef>
              <f>'Geometry'!$K$3:$K$10</f>
            </numRef>
          </yVal>
          <smooth val="0"/>
        </ser>
        <ser>
          <idx val="4"/>
          <order val="4"/>
          <tx>
            <v>your bar</v>
          </tx>
          <spPr>
            <a:ln xmlns:a="http://schemas.openxmlformats.org/drawingml/2006/main">
              <a:noFill/>
              <a:prstDash val="solid"/>
            </a:ln>
          </spPr>
          <marker>
            <symbol val="circle"/>
            <size val="8"/>
            <spPr>
              <a:solidFill xmlns:a="http://schemas.openxmlformats.org/drawingml/2006/main">
                <a:srgbClr val="B3261E"/>
              </a:solidFill>
              <a:ln xmlns:a="http://schemas.openxmlformats.org/drawingml/2006/main">
                <a:solidFill>
                  <a:srgbClr val="B3261E"/>
                </a:solidFill>
                <a:prstDash val="solid"/>
              </a:ln>
            </spPr>
          </marker>
          <xVal>
            <numRef>
              <f>'Geometry'!$M$3</f>
            </numRef>
          </xVal>
          <yVal>
            <numRef>
              <f>'Geometry'!$N$3</f>
            </numRef>
          </yVal>
          <smooth val="0"/>
        </ser>
        <ser>
          <idx val="5"/>
          <order val="5"/>
          <tx>
            <v>your spacing</v>
          </tx>
          <spPr>
            <a:ln xmlns:a="http://schemas.openxmlformats.org/drawingml/2006/main">
              <a:noFill/>
              <a:prstDash val="solid"/>
            </a:ln>
          </spPr>
          <marker>
            <symbol val="circle"/>
            <size val="6"/>
            <spPr>
              <a:solidFill xmlns:a="http://schemas.openxmlformats.org/drawingml/2006/main">
                <a:srgbClr val="B3261E"/>
              </a:solidFill>
              <a:ln xmlns:a="http://schemas.openxmlformats.org/drawingml/2006/main">
                <a:solidFill>
                  <a:srgbClr val="B3261E"/>
                </a:solidFill>
                <a:prstDash val="solid"/>
              </a:ln>
            </spPr>
          </marker>
          <xVal>
            <numRef>
              <f>'Geometry'!$P$3</f>
            </numRef>
          </xVal>
          <yVal>
            <numRef>
              <f>'Geometry'!$Q$3</f>
            </numRef>
          </yVal>
          <smooth val="0"/>
        </ser>
        <ser>
          <idx val="6"/>
          <order val="6"/>
          <tx>
            <v>σs (MPa)</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'Geometry'!$S$3</f>
            </numRef>
          </xVal>
          <yVal>
            <numRef>
              <f>'Geometry'!$T$3</f>
            </numRef>
          </yVal>
          <smooth val="0"/>
        </ser>
        <ser>
          <idx val="7"/>
          <order val="7"/>
          <tx>
            <v>φ 25 mm · s 250 mm</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9A9A9A"/>
                    </a:solidFill>
                  </a:defRPr>
                </a:pPr>
                <a:r>
                  <a:t/>
                </a:r>
                <a:endParaRPr sz="700">
                  <a:solidFill>
                    <a:srgbClr val="9A9A9A"/>
                  </a:solidFill>
                </a:endParaRPr>
              </a:p>
            </txPr>
            <dLblPos val="l"/>
            <showLegendKey val="0"/>
            <showVal val="0"/>
            <showCatName val="0"/>
            <showSerName val="1"/>
            <showPercent val="0"/>
          </dLbls>
          <xVal>
            <numRef>
              <f>'Geometry'!$V$3</f>
            </numRef>
          </xVal>
          <yVal>
            <numRef>
              <f>'Geometry'!$W$3</f>
            </numRef>
          </yVal>
          <smooth val="0"/>
        </ser>
        <ser>
          <idx val="8"/>
          <order val="8"/>
          <tx>
            <v>φ 40 · s 400</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9A9A9A"/>
                    </a:solidFill>
                  </a:defRPr>
                </a:pPr>
                <a:r>
                  <a:t/>
                </a:r>
                <a:endParaRPr sz="700">
                  <a:solidFill>
                    <a:srgbClr val="9A9A9A"/>
                  </a:solidFill>
                </a:endParaRPr>
              </a:p>
            </txPr>
            <dLblPos val="l"/>
            <showLegendKey val="0"/>
            <showVal val="0"/>
            <showCatName val="0"/>
            <showSerName val="1"/>
            <showPercent val="0"/>
          </dLbls>
          <xVal>
            <numRef>
              <f>'Geometry'!$Y$3</f>
            </numRef>
          </xVal>
          <yVal>
            <numRef>
              <f>'Geometry'!$Z$3</f>
            </numRef>
          </yVal>
          <smooth val="0"/>
        </ser>
        <ser>
          <idx val="9"/>
          <order val="9"/>
          <tx>
            <v>160</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9A9A9A"/>
                    </a:solidFill>
                  </a:defRPr>
                </a:pPr>
                <a:r>
                  <a:t/>
                </a:r>
                <a:endParaRPr sz="700">
                  <a:solidFill>
                    <a:srgbClr val="9A9A9A"/>
                  </a:solidFill>
                </a:endParaRPr>
              </a:p>
            </txPr>
            <dLblPos val="b"/>
            <showLegendKey val="0"/>
            <showVal val="0"/>
            <showCatName val="0"/>
            <showSerName val="1"/>
            <showPercent val="0"/>
          </dLbls>
          <xVal>
            <numRef>
              <f>'Geometry'!$AB$3</f>
            </numRef>
          </xVal>
          <yVal>
            <numRef>
              <f>'Geometry'!$AC$3</f>
            </numRef>
          </yVal>
          <smooth val="0"/>
        </ser>
        <ser>
          <idx val="10"/>
          <order val="10"/>
          <tx>
            <v>240</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9A9A9A"/>
                    </a:solidFill>
                  </a:defRPr>
                </a:pPr>
                <a:r>
                  <a:t/>
                </a:r>
                <a:endParaRPr sz="700">
                  <a:solidFill>
                    <a:srgbClr val="9A9A9A"/>
                  </a:solidFill>
                </a:endParaRPr>
              </a:p>
            </txPr>
            <dLblPos val="b"/>
            <showLegendKey val="0"/>
            <showVal val="0"/>
            <showCatName val="0"/>
            <showSerName val="1"/>
            <showPercent val="0"/>
          </dLbls>
          <xVal>
            <numRef>
              <f>'Geometry'!$AE$3</f>
            </numRef>
          </xVal>
          <yVal>
            <numRef>
              <f>'Geometry'!$AF$3</f>
            </numRef>
          </yVal>
          <smooth val="0"/>
        </ser>
        <ser>
          <idx val="11"/>
          <order val="11"/>
          <tx>
            <v>320</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9A9A9A"/>
                    </a:solidFill>
                  </a:defRPr>
                </a:pPr>
                <a:r>
                  <a:t/>
                </a:r>
                <a:endParaRPr sz="700">
                  <a:solidFill>
                    <a:srgbClr val="9A9A9A"/>
                  </a:solidFill>
                </a:endParaRPr>
              </a:p>
            </txPr>
            <dLblPos val="b"/>
            <showLegendKey val="0"/>
            <showVal val="0"/>
            <showCatName val="0"/>
            <showSerName val="1"/>
            <showPercent val="0"/>
          </dLbls>
          <xVal>
            <numRef>
              <f>'Geometry'!$AH$3</f>
            </numRef>
          </xVal>
          <yVal>
            <numRef>
              <f>'Geometry'!$AI$3</f>
            </numRef>
          </yVal>
          <smooth val="0"/>
        </ser>
        <ser>
          <idx val="12"/>
          <order val="12"/>
          <tx>
            <v>400</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9A9A9A"/>
                    </a:solidFill>
                  </a:defRPr>
                </a:pPr>
                <a:r>
                  <a:t/>
                </a:r>
                <a:endParaRPr sz="700">
                  <a:solidFill>
                    <a:srgbClr val="9A9A9A"/>
                  </a:solidFill>
                </a:endParaRPr>
              </a:p>
            </txPr>
            <dLblPos val="b"/>
            <showLegendKey val="0"/>
            <showVal val="0"/>
            <showCatName val="0"/>
            <showSerName val="1"/>
            <showPercent val="0"/>
          </dLbls>
          <xVal>
            <numRef>
              <f>'Geometry'!$AK$3</f>
            </numRef>
          </xVal>
          <yVal>
            <numRef>
              <f>'Geometry'!$AL$3</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r"/>
            <showLegendKey val="0"/>
            <showVal val="0"/>
            <showCatName val="0"/>
            <showSerName val="1"/>
            <showPercent val="0"/>
          </dLbls>
          <xVal>
            <numRef>
              <f>'Geometry'!$AN$3</f>
            </numRef>
          </xVal>
          <yVal>
            <numRef>
              <f>'Geometry'!$AO$3</f>
            </numRef>
          </yVal>
          <smooth val="0"/>
        </ser>
        <ser>
          <idx val="14"/>
          <order val="14"/>
          <tx>
            <strRef>
              <f>'Geometry'!$AQ$2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l"/>
            <showLegendKey val="0"/>
            <showVal val="0"/>
            <showCatName val="0"/>
            <showSerName val="1"/>
            <showPercent val="0"/>
          </dLbls>
          <xVal>
            <numRef>
              <f>'Geometry'!$AQ$3</f>
            </numRef>
          </xVal>
          <yVal>
            <numRef>
              <f>'Geometry'!$AR$3</f>
            </numRef>
          </yVal>
          <smooth val="0"/>
        </ser>
        <ser>
          <idx val="15"/>
          <order val="15"/>
          <tx>
            <v>frame</v>
          </tx>
          <spPr>
            <a:ln xmlns:a="http://schemas.openxmlformats.org/drawingml/2006/main">
              <a:noFill/>
              <a:prstDash val="solid"/>
            </a:ln>
          </spPr>
          <marker>
            <symbol val="none"/>
            <spPr>
              <a:ln xmlns:a="http://schemas.openxmlformats.org/drawingml/2006/main">
                <a:prstDash val="solid"/>
              </a:ln>
            </spPr>
          </marker>
          <xVal>
            <numRef>
              <f>'Geometry'!$AT$3:$AT$4</f>
            </numRef>
          </xVal>
          <yVal>
            <numRef>
              <f>'Geometry'!$AU$3:$AU$4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36</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Crack control by tables</t>
        </is>
      </c>
    </row>
    <row r="8" ht="20" customHeight="1">
      <c r="B8" s="4" t="inlineStr">
        <is>
          <t>Bar size and spacing limits  ·  EN 1992-1-1 §7.3.3  ·  UK NA / PN-EN</t>
        </is>
      </c>
    </row>
    <row r="10">
      <c r="B10" s="5" t="inlineStr">
        <is>
          <t>Reference</t>
        </is>
      </c>
      <c r="C10" s="6" t="inlineStr">
        <is>
          <t>NAE-RC-016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Control of cracking without direct calculation (EN 1992-1-1 7.3.3): the steel stress under the quasi-permanent load, and the largest bar size (Table 7.2N, adjusted by (7.6N) or (7.7N)) and bar spacing (Table 7.3N) for the chosen crack width, with the slab exemption of 7.3.3(1).</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20" customHeight="1">
      <c r="B22" s="7" t="inlineStr">
        <is>
          <t>Cracking caused mainly by loading: either Table 7.2N or Table 7.3N is enough (7.3.3(2) Note); for restraint cracking only Table 7.2N applies, with σs the stress just after cracking (enter it directly). Minimum reinforcement to 7.3.2 must be provided. σs under the quasi-permanent combination is estimated as fyd (Gk + ψ2 Qk)/(γG Gk + γQ Qk) × As,req / As,prov / δ (TCC How to), or entered. Linear interpolation between the tabulated stresses; stresses below 160 MPa use the 160 MPa row; above the last value with a limit the table gives none. The bar size adjustment uses fct,eff = fctm (or the value entered for early-age cracking), kc = 0.4 and hcr = 0.5 h for bending, hcr = h for tension. Choose wk from the annex (UK NA Table NA.4; EN Table 7.1N used by PL). Slabs in buildings in bending with h ≤ 200 mm and 9.3 applied need no specific measures (7.3.3(1)).</t>
        </is>
      </c>
    </row>
    <row r="24" ht="20" customHeight="1">
      <c r="B24" s="8" t="inlineStr">
        <is>
          <t>Further reading and independent cross-check</t>
        </is>
      </c>
      <c r="C24" s="9" t="n"/>
    </row>
    <row r="25" ht="62" customHeight="1">
      <c r="B25" s="10" t="inlineStr">
        <is>
          <t>•  EN 1992-1-1, 7.3.2 and 7.3.3.
•  The Concrete Centre, How to design concrete structures using Eurocode 2: Getting started (crack control tables).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&amp;K8A8A8ANAE-RC-016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79"/>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Crack control by tables</t>
        </is>
      </c>
      <c r="H2" s="1" t="n"/>
    </row>
    <row r="3" ht="16" customHeight="1">
      <c r="A3" s="1" t="n"/>
      <c r="B3" s="1" t="n"/>
      <c r="C3" s="15" t="inlineStr">
        <is>
          <t>NAE-RC-016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 and bars</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3" t="n"/>
      <c r="C14" s="24" t="inlineStr">
        <is>
          <t>Member</t>
        </is>
      </c>
      <c r="D14" s="23" t="n"/>
      <c r="E14" s="25" t="inlineStr">
        <is>
          <t>Beam or slab in bending</t>
        </is>
      </c>
      <c r="F14" s="23" t="n"/>
      <c r="G14" s="23" t="n"/>
    </row>
    <row r="15" ht="17" customHeight="1">
      <c r="B15" s="26" t="inlineStr">
        <is>
          <t>7.3.1(5)</t>
        </is>
      </c>
      <c r="C15" s="24" t="inlineStr">
        <is>
          <t>Design crack width  wk</t>
        </is>
      </c>
      <c r="D15" s="27" t="inlineStr">
        <is>
          <r>
            <rPr>
              <rFont val="Calibri"/>
              <i val="1"/>
              <color rgb="002B2B2B"/>
              <sz val="10"/>
            </rPr>
            <t>w</t>
          </r>
          <r>
            <rPr>
              <rFont val="Calibri"/>
              <i val="1"/>
              <color rgb="002B2B2B"/>
              <sz val="10"/>
              <vertAlign val="subscript"/>
            </rPr>
            <t>k</t>
          </r>
        </is>
      </c>
      <c r="E15" s="25" t="n">
        <v>0.3</v>
      </c>
      <c r="F15" s="28" t="inlineStr">
        <is>
          <t>mm</t>
        </is>
      </c>
      <c r="G15" s="23" t="n"/>
    </row>
    <row r="16" ht="17" customHeight="1">
      <c r="B16" s="23" t="n"/>
      <c r="C16" s="24" t="inlineStr">
        <is>
          <t>Overall depth</t>
        </is>
      </c>
      <c r="D16" s="27" t="inlineStr">
        <is>
          <r>
            <rPr>
              <rFont val="Calibri"/>
              <i val="1"/>
              <color rgb="002B2B2B"/>
              <sz val="10"/>
            </rPr>
            <t>h</t>
          </r>
        </is>
      </c>
      <c r="E16" s="25" t="n">
        <v>500</v>
      </c>
      <c r="F16" s="28" t="inlineStr">
        <is>
          <t>mm</t>
        </is>
      </c>
      <c r="G16" s="23" t="n"/>
    </row>
    <row r="17" ht="17" customHeight="1">
      <c r="B17" s="23" t="n"/>
      <c r="C17" s="24" t="inlineStr">
        <is>
          <t>Effective depth  (centroid of the outer layer)</t>
        </is>
      </c>
      <c r="D17" s="27" t="inlineStr">
        <is>
          <r>
            <rPr>
              <rFont val="Calibri"/>
              <i val="1"/>
              <color rgb="002B2B2B"/>
              <sz val="10"/>
            </rPr>
            <t>d</t>
          </r>
        </is>
      </c>
      <c r="E17" s="25" t="n">
        <v>450</v>
      </c>
      <c r="F17" s="28" t="inlineStr">
        <is>
          <t>mm</t>
        </is>
      </c>
      <c r="G17" s="23" t="n"/>
    </row>
    <row r="18" ht="17" customHeight="1">
      <c r="B18" s="23" t="n"/>
      <c r="C18" s="24" t="inlineStr">
        <is>
          <t>Bar diameter</t>
        </is>
      </c>
      <c r="D18" s="27" t="inlineStr">
        <is>
          <r>
            <rPr>
              <rFont val="Calibri"/>
              <i val="1"/>
              <color rgb="002B2B2B"/>
              <sz val="10"/>
            </rPr>
            <t>φ</t>
          </r>
        </is>
      </c>
      <c r="E18" s="25" t="n">
        <v>16</v>
      </c>
      <c r="F18" s="28" t="inlineStr">
        <is>
          <t>mm</t>
        </is>
      </c>
      <c r="G18" s="23" t="n"/>
    </row>
    <row r="19" ht="17" customHeight="1">
      <c r="B19" s="23" t="n"/>
      <c r="C19" s="24" t="inlineStr">
        <is>
          <t>Bar spacing</t>
        </is>
      </c>
      <c r="D19" s="27" t="inlineStr">
        <is>
          <r>
            <rPr>
              <rFont val="Calibri"/>
              <i val="1"/>
              <color rgb="002B2B2B"/>
              <sz val="10"/>
            </rPr>
            <t>s</t>
          </r>
        </is>
      </c>
      <c r="E19" s="25" t="n">
        <v>150</v>
      </c>
      <c r="F19" s="28" t="inlineStr">
        <is>
          <t>mm</t>
        </is>
      </c>
      <c r="G19" s="23" t="n"/>
    </row>
    <row r="21" ht="22" customHeight="1">
      <c r="B21" s="20" t="inlineStr">
        <is>
          <t>Inputs  ·  steel stress</t>
        </is>
      </c>
      <c r="C21" s="21" t="n"/>
      <c r="D21" s="21" t="n"/>
      <c r="E21" s="21" t="n"/>
      <c r="F21" s="21" t="n"/>
      <c r="G21" s="22" t="inlineStr">
        <is>
          <t>Quasi-permanent combination</t>
        </is>
      </c>
    </row>
    <row r="22" ht="17" customHeight="1">
      <c r="B22" s="23" t="n"/>
      <c r="C22" s="24" t="inlineStr">
        <is>
          <t>Steel stress</t>
        </is>
      </c>
      <c r="D22" s="23" t="n"/>
      <c r="E22" s="25" t="inlineStr">
        <is>
          <t>Estimate from the loads</t>
        </is>
      </c>
      <c r="F22" s="23" t="n"/>
      <c r="G22" s="23" t="n"/>
    </row>
    <row r="23" ht="17" customHeight="1">
      <c r="B23" s="23" t="n"/>
      <c r="C23" s="24" t="inlineStr">
        <is>
          <t>Steel stress σs  (if entered)</t>
        </is>
      </c>
      <c r="D23" s="27" t="inlineStr">
        <is>
          <r>
            <rPr>
              <rFont val="Calibri"/>
              <i val="1"/>
              <color rgb="002B2B2B"/>
              <sz val="10"/>
            </rPr>
            <t>σ</t>
          </r>
          <r>
            <rPr>
              <rFont val="Calibri"/>
              <i val="1"/>
              <color rgb="002B2B2B"/>
              <sz val="10"/>
              <vertAlign val="subscript"/>
            </rPr>
            <t>s</t>
          </r>
        </is>
      </c>
      <c r="E23" s="29" t="n">
        <v>240</v>
      </c>
      <c r="F23" s="28" t="inlineStr">
        <is>
          <t>MPa</t>
        </is>
      </c>
      <c r="G23" s="23" t="n"/>
    </row>
    <row r="24" ht="17" customHeight="1">
      <c r="B24" s="23" t="n"/>
      <c r="C24" s="24" t="inlineStr">
        <is>
          <t>Permanent load  Gk  (any consistent unit)</t>
        </is>
      </c>
      <c r="D24" s="27" t="inlineStr">
        <is>
          <r>
            <rPr>
              <rFont val="Calibri"/>
              <i val="1"/>
              <color rgb="002B2B2B"/>
              <sz val="10"/>
            </rPr>
            <t>G</t>
          </r>
          <r>
            <rPr>
              <rFont val="Calibri"/>
              <i val="1"/>
              <color rgb="002B2B2B"/>
              <sz val="10"/>
              <vertAlign val="subscript"/>
            </rPr>
            <t>k</t>
          </r>
        </is>
      </c>
      <c r="E24" s="30" t="n">
        <v>6</v>
      </c>
      <c r="F24" s="23" t="n"/>
      <c r="G24" s="23" t="n"/>
    </row>
    <row r="25" ht="17" customHeight="1">
      <c r="B25" s="23" t="n"/>
      <c r="C25" s="24" t="inlineStr">
        <is>
          <t>Variable load  Qk</t>
        </is>
      </c>
      <c r="D25" s="27" t="inlineStr">
        <is>
          <r>
            <rPr>
              <rFont val="Calibri"/>
              <i val="1"/>
              <color rgb="002B2B2B"/>
              <sz val="10"/>
            </rPr>
            <t>Q</t>
          </r>
          <r>
            <rPr>
              <rFont val="Calibri"/>
              <i val="1"/>
              <color rgb="002B2B2B"/>
              <sz val="10"/>
              <vertAlign val="subscript"/>
            </rPr>
            <t>k</t>
          </r>
        </is>
      </c>
      <c r="E25" s="30" t="n">
        <v>3</v>
      </c>
      <c r="F25" s="23" t="n"/>
      <c r="G25" s="23" t="n"/>
    </row>
    <row r="26" ht="17" customHeight="1">
      <c r="B26" s="26" t="inlineStr">
        <is>
          <t>EN 1990 A1.1</t>
        </is>
      </c>
      <c r="C26" s="24" t="inlineStr">
        <is>
          <t>ψ2 for the variable load</t>
        </is>
      </c>
      <c r="D26" s="27" t="inlineStr">
        <is>
          <r>
            <rPr>
              <rFont val="Calibri"/>
              <i val="1"/>
              <color rgb="002B2B2B"/>
              <sz val="10"/>
            </rPr>
            <t>ψ</t>
          </r>
          <r>
            <rPr>
              <rFont val="Calibri"/>
              <i val="1"/>
              <color rgb="002B2B2B"/>
              <sz val="10"/>
              <vertAlign val="subscript"/>
            </rPr>
            <t>2</t>
          </r>
        </is>
      </c>
      <c r="E26" s="30" t="n">
        <v>0.3</v>
      </c>
      <c r="F26" s="23" t="n"/>
      <c r="G26" s="23" t="n"/>
    </row>
    <row r="27" ht="17" customHeight="1">
      <c r="B27" s="23" t="n"/>
      <c r="C27" s="24" t="inlineStr">
        <is>
          <t>Partial factors  γG</t>
        </is>
      </c>
      <c r="D27" s="27" t="inlineStr">
        <is>
          <r>
            <rPr>
              <rFont val="Calibri"/>
              <i val="1"/>
              <color rgb="002B2B2B"/>
              <sz val="10"/>
            </rPr>
            <t>γ</t>
          </r>
          <r>
            <rPr>
              <rFont val="Calibri"/>
              <i val="1"/>
              <color rgb="002B2B2B"/>
              <sz val="10"/>
              <vertAlign val="subscript"/>
            </rPr>
            <t>G</t>
          </r>
        </is>
      </c>
      <c r="E27" s="30" t="n">
        <v>1.35</v>
      </c>
      <c r="F27" s="23" t="n"/>
      <c r="G27" s="23" t="n"/>
    </row>
    <row r="28" ht="17" customHeight="1">
      <c r="B28" s="23" t="n"/>
      <c r="C28" s="24" t="inlineStr">
        <is>
          <t>γQ</t>
        </is>
      </c>
      <c r="D28" s="27" t="inlineStr">
        <is>
          <r>
            <rPr>
              <rFont val="Calibri"/>
              <i val="1"/>
              <color rgb="002B2B2B"/>
              <sz val="10"/>
            </rPr>
            <t>γ</t>
          </r>
          <r>
            <rPr>
              <rFont val="Calibri"/>
              <i val="1"/>
              <color rgb="002B2B2B"/>
              <sz val="10"/>
              <vertAlign val="subscript"/>
            </rPr>
            <t>Q</t>
          </r>
        </is>
      </c>
      <c r="E28" s="30" t="n">
        <v>1.5</v>
      </c>
      <c r="F28" s="23" t="n"/>
      <c r="G28" s="23" t="n"/>
    </row>
    <row r="29" ht="17" customHeight="1">
      <c r="B29" s="23" t="n"/>
      <c r="C29" s="24" t="inlineStr">
        <is>
          <t>Reinforcement required at ULS  As,req</t>
        </is>
      </c>
      <c r="D29" s="27" t="inlineStr">
        <is>
          <r>
            <rPr>
              <rFont val="Calibri"/>
              <i val="1"/>
              <color rgb="002B2B2B"/>
              <sz val="10"/>
            </rPr>
            <t>A</t>
          </r>
          <r>
            <rPr>
              <rFont val="Calibri"/>
              <i val="1"/>
              <color rgb="002B2B2B"/>
              <sz val="10"/>
              <vertAlign val="subscript"/>
            </rPr>
            <t>s,req</t>
          </r>
        </is>
      </c>
      <c r="E29" s="29" t="n">
        <v>900</v>
      </c>
      <c r="F29" s="28" t="inlineStr">
        <is>
          <t>mm²</t>
        </is>
      </c>
      <c r="G29" s="23" t="n"/>
    </row>
    <row r="30" ht="17" customHeight="1">
      <c r="B30" s="23" t="n"/>
      <c r="C30" s="24" t="inlineStr">
        <is>
          <t>Reinforcement provided  As,prov</t>
        </is>
      </c>
      <c r="D30" s="27" t="inlineStr">
        <is>
          <r>
            <rPr>
              <rFont val="Calibri"/>
              <i val="1"/>
              <color rgb="002B2B2B"/>
              <sz val="10"/>
            </rPr>
            <t>A</t>
          </r>
          <r>
            <rPr>
              <rFont val="Calibri"/>
              <i val="1"/>
              <color rgb="002B2B2B"/>
              <sz val="10"/>
              <vertAlign val="subscript"/>
            </rPr>
            <t>s,prov</t>
          </r>
        </is>
      </c>
      <c r="E30" s="29" t="n">
        <v>1340</v>
      </c>
      <c r="F30" s="28" t="inlineStr">
        <is>
          <t>mm²</t>
        </is>
      </c>
      <c r="G30" s="23" t="n"/>
    </row>
    <row r="31" ht="17" customHeight="1">
      <c r="B31" s="26" t="inlineStr">
        <is>
          <t>5.5</t>
        </is>
      </c>
      <c r="C31" s="24" t="inlineStr">
        <is>
          <t>Moment redistribution  δ = redistributed / elastic moment  (0.7 – 1.0)</t>
        </is>
      </c>
      <c r="D31" s="27" t="inlineStr">
        <is>
          <r>
            <rPr>
              <rFont val="Calibri"/>
              <i val="1"/>
              <color rgb="002B2B2B"/>
              <sz val="10"/>
            </rPr>
            <t>δ</t>
          </r>
        </is>
      </c>
      <c r="E31" s="30" t="n">
        <v>1</v>
      </c>
      <c r="F31" s="23" t="n"/>
      <c r="G31" s="26" t="inlineStr">
        <is>
          <t>1.0 = no redistribution</t>
        </is>
      </c>
    </row>
    <row r="32" ht="17" customHeight="1">
      <c r="B32" s="26" t="inlineStr">
        <is>
          <t>7.3.2(2)</t>
        </is>
      </c>
      <c r="C32" s="24" t="inlineStr">
        <is>
          <t>Tensile strength when the cracks form</t>
        </is>
      </c>
      <c r="D32" s="23" t="n"/>
      <c r="E32" s="25" t="inlineStr">
        <is>
          <t>fctm (28 days)</t>
        </is>
      </c>
      <c r="F32" s="23" t="n"/>
      <c r="G32" s="23" t="n"/>
    </row>
    <row r="33" ht="17" customHeight="1">
      <c r="B33" s="23" t="n"/>
      <c r="C33" s="24" t="inlineStr">
        <is>
          <t>fct,eff  (if entered: early age, e.g. 3 – 5 days)</t>
        </is>
      </c>
      <c r="D33" s="27" t="inlineStr">
        <is>
          <r>
            <rPr>
              <rFont val="Calibri"/>
              <i val="1"/>
              <color rgb="002B2B2B"/>
              <sz val="10"/>
            </rPr>
            <t>f</t>
          </r>
          <r>
            <rPr>
              <rFont val="Calibri"/>
              <i val="1"/>
              <color rgb="002B2B2B"/>
              <sz val="10"/>
              <vertAlign val="subscript"/>
            </rPr>
            <t>ct,eff</t>
          </r>
        </is>
      </c>
      <c r="E33" s="30" t="n">
        <v>2</v>
      </c>
      <c r="F33" s="28" t="inlineStr">
        <is>
          <t>MPa</t>
        </is>
      </c>
      <c r="G33" s="26" t="inlineStr">
        <is>
          <t>Used only if entered</t>
        </is>
      </c>
    </row>
    <row r="34" ht="17" customHeight="1">
      <c r="B34" s="23" t="n"/>
      <c r="C34" s="24" t="inlineStr">
        <is>
          <t>Inputs valid and consistent</t>
        </is>
      </c>
      <c r="D34" s="23" t="n"/>
      <c r="E34" s="9" t="n"/>
      <c r="F34" s="23" t="n"/>
      <c r="G34" s="31">
        <f>IF(inputs_ok,"OK","FAIL")</f>
        <v/>
      </c>
    </row>
    <row r="36">
      <c r="B36" s="32" t="inlineStr">
        <is>
          <t>Tables 7.2N and 7.3N for your wk  ·  bar size adjusted by (7.6N) / (7.7N) (dark) and spacing (blue, scaled 1:10)  ·  your bars at σs (red)</t>
        </is>
      </c>
    </row>
    <row r="57" ht="22" customHeight="1">
      <c r="B57" s="20" t="inlineStr">
        <is>
          <t>Results</t>
        </is>
      </c>
      <c r="C57" s="21" t="n"/>
      <c r="D57" s="21" t="n"/>
      <c r="E57" s="21" t="n"/>
      <c r="F57" s="21" t="n"/>
      <c r="G57" s="21" t="n"/>
    </row>
    <row r="58" ht="26" customHeight="1">
      <c r="B58" s="33" t="n"/>
      <c r="C58" s="34" t="inlineStr">
        <is>
          <t>Steel stress, quasi-permanent</t>
        </is>
      </c>
      <c r="D58" s="35" t="inlineStr">
        <is>
          <r>
            <rPr>
              <rFont val="Calibri"/>
              <i val="1"/>
              <color rgb="002B2B2B"/>
              <sz val="11"/>
            </rPr>
            <t>σ</t>
          </r>
          <r>
            <rPr>
              <rFont val="Calibri"/>
              <i val="1"/>
              <color rgb="002B2B2B"/>
              <sz val="11"/>
              <vertAlign val="subscript"/>
            </rPr>
            <t>s</t>
          </r>
        </is>
      </c>
      <c r="E58" s="36">
        <f>IF(inputs_ok,sig_cr,"–")</f>
        <v/>
      </c>
      <c r="F58" s="37" t="inlineStr">
        <is>
          <t>MPa</t>
        </is>
      </c>
      <c r="G58" s="33" t="n"/>
    </row>
    <row r="59" ht="26" customHeight="1">
      <c r="B59" s="33" t="n"/>
      <c r="C59" s="34" t="inlineStr">
        <is>
          <t>Bar size  φ / φs,max  (Table 7.2N adjusted)</t>
        </is>
      </c>
      <c r="D59" s="33" t="n"/>
      <c r="E59" s="38">
        <f>IF(inputs_ok,IF(phis_cr&gt;0,phi_cr/phis_cr,"–"),"–")</f>
        <v/>
      </c>
      <c r="F59" s="37" t="inlineStr"/>
      <c r="G59" s="39">
        <f>IF(NOT(inputs_ok),"FAIL",IF(cr_exempt,IF(h_cr&lt;=200,"n/a","FAIL"),IF(AND(phis_cr&gt;0,phi_cr&lt;=phis_cr),"OK","FAIL")))</f>
        <v/>
      </c>
    </row>
    <row r="60" ht="26" customHeight="1">
      <c r="B60" s="33" t="n"/>
      <c r="C60" s="34" t="inlineStr">
        <is>
          <t>Bar spacing  s / smax  (Table 7.3N)</t>
        </is>
      </c>
      <c r="D60" s="33" t="n"/>
      <c r="E60" s="38">
        <f>IF(inputs_ok,IF(smax_cr&gt;0,s_cr/smax_cr,"–"),"–")</f>
        <v/>
      </c>
      <c r="F60" s="37" t="inlineStr"/>
      <c r="G60" s="39">
        <f>IF(NOT(inputs_ok),"FAIL",IF(cr_exempt,IF(h_cr&lt;=200,"n/a","FAIL"),IF(AND(smax_cr&gt;0,s_cr&lt;=smax_cr),"OK","FAIL")))</f>
        <v/>
      </c>
    </row>
    <row r="61" ht="26" customHeight="1">
      <c r="B61" s="33" t="n"/>
      <c r="C61" s="34" t="inlineStr">
        <is>
          <t>Crack control  (loading: either table is enough)</t>
        </is>
      </c>
      <c r="D61" s="33" t="n"/>
      <c r="E61" s="40">
        <f>IF(inputs_ok,wk_cr,"–")</f>
        <v/>
      </c>
      <c r="F61" s="37" t="inlineStr">
        <is>
          <t>mm</t>
        </is>
      </c>
      <c r="G61" s="39">
        <f>IF(NOT(inputs_ok),"FAIL",IF(cr_exempt,IF(h_cr&lt;=200,"OK","FAIL"),IF(OR(size_status="OK",spacing_status="OK"),"OK","FAIL")))</f>
        <v/>
      </c>
    </row>
    <row r="62" ht="29" customHeight="1">
      <c r="B62" s="41" t="inlineStr">
        <is>
          <t>Restraint cracking (early thermal, shrinkage): only the bar size check applies, with σs the stress just after cracking — enter it directly. The slab exemption needs h ≤ 200 mm, bending without significant axial tension and the detailing of 9.3.</t>
        </is>
      </c>
    </row>
    <row r="63"/>
    <row r="64" ht="22" customHeight="1">
      <c r="B64" s="20" t="inlineStr">
        <is>
          <t>Calculation</t>
        </is>
      </c>
      <c r="C64" s="21" t="n"/>
      <c r="D64" s="21" t="n"/>
      <c r="E64" s="21" t="n"/>
      <c r="F64" s="21" t="n"/>
      <c r="G64" s="21" t="n"/>
    </row>
    <row r="65" ht="17" customHeight="1">
      <c r="B65" s="26" t="inlineStr">
        <is>
          <t>2.4.2.4(1)</t>
        </is>
      </c>
      <c r="C65" s="24" t="inlineStr">
        <is>
          <t>Partial factor, reinforcement</t>
        </is>
      </c>
      <c r="D65" s="27" t="inlineStr">
        <is>
          <r>
            <rPr>
              <rFont val="Calibri"/>
              <i val="1"/>
              <color rgb="002B2B2B"/>
              <sz val="10"/>
            </rPr>
            <t>γ</t>
          </r>
          <r>
            <rPr>
              <rFont val="Calibri"/>
              <i val="1"/>
              <color rgb="002B2B2B"/>
              <sz val="10"/>
              <vertAlign val="subscript"/>
            </rPr>
            <t>s</t>
          </r>
        </is>
      </c>
      <c r="E65" s="42">
        <f>IF(inputs_ok,ndp_gamma_s,NA())</f>
        <v/>
      </c>
      <c r="F65" s="23" t="n"/>
      <c r="G65" s="26" t="inlineStr">
        <is>
          <t>NDP sheet</t>
        </is>
      </c>
    </row>
    <row r="66" ht="17" customHeight="1">
      <c r="B66" s="26" t="inlineStr">
        <is>
          <t>Table 3.1</t>
        </is>
      </c>
      <c r="C66" s="24" t="inlineStr">
        <is>
          <t>Characteristic cylinder strength</t>
        </is>
      </c>
      <c r="D66" s="27" t="inlineStr">
        <is>
          <r>
            <rPr>
              <rFont val="Calibri"/>
              <i val="1"/>
              <color rgb="002B2B2B"/>
              <sz val="10"/>
            </rPr>
            <t>f</t>
          </r>
          <r>
            <rPr>
              <rFont val="Calibri"/>
              <i val="1"/>
              <color rgb="002B2B2B"/>
              <sz val="10"/>
              <vertAlign val="subscript"/>
            </rPr>
            <t>ck</t>
          </r>
        </is>
      </c>
      <c r="E66" s="43">
        <f>IF(inputs_ok,VALUE(MID(conc_class,2,FIND("/",conc_class)-2)),NA())</f>
        <v/>
      </c>
      <c r="F66" s="28" t="inlineStr">
        <is>
          <t>MPa</t>
        </is>
      </c>
      <c r="G66" s="23" t="n"/>
    </row>
    <row r="67" ht="17" customHeight="1">
      <c r="B67" s="26" t="inlineStr">
        <is>
          <t>Table 3.1</t>
        </is>
      </c>
      <c r="C67" s="24" t="inlineStr">
        <is>
          <t>Mean tensile strength</t>
        </is>
      </c>
      <c r="D67" s="27" t="inlineStr">
        <is>
          <r>
            <rPr>
              <rFont val="Calibri"/>
              <i val="1"/>
              <color rgb="002B2B2B"/>
              <sz val="10"/>
            </rPr>
            <t>f</t>
          </r>
          <r>
            <rPr>
              <rFont val="Calibri"/>
              <i val="1"/>
              <color rgb="002B2B2B"/>
              <sz val="10"/>
              <vertAlign val="subscript"/>
            </rPr>
            <t>ctm</t>
          </r>
        </is>
      </c>
      <c r="E67" s="42">
        <f>IF(inputs_ok,IF(f_ck&lt;=50,0.3*f_ck^(2/3),2.12*LN(1+(f_ck+8)/10)),NA())</f>
        <v/>
      </c>
      <c r="F67" s="28" t="inlineStr">
        <is>
          <t>MPa</t>
        </is>
      </c>
      <c r="G67" s="23" t="n"/>
    </row>
    <row r="68" ht="17" customHeight="1">
      <c r="B68" s="26" t="inlineStr">
        <is>
          <t>3.2.7</t>
        </is>
      </c>
      <c r="C68" s="24" t="inlineStr">
        <is>
          <t>Design yield strength  fyk / γs</t>
        </is>
      </c>
      <c r="D68" s="27" t="inlineStr">
        <is>
          <r>
            <rPr>
              <rFont val="Calibri"/>
              <i val="1"/>
              <color rgb="002B2B2B"/>
              <sz val="10"/>
            </rPr>
            <t>f</t>
          </r>
          <r>
            <rPr>
              <rFont val="Calibri"/>
              <i val="1"/>
              <color rgb="002B2B2B"/>
              <sz val="10"/>
              <vertAlign val="subscript"/>
            </rPr>
            <t>yd</t>
          </r>
        </is>
      </c>
      <c r="E68" s="44">
        <f>IF(inputs_ok,f_yk/gamma_s,NA())</f>
        <v/>
      </c>
      <c r="F68" s="28" t="inlineStr">
        <is>
          <t>MPa</t>
        </is>
      </c>
      <c r="G68" s="23" t="n"/>
    </row>
    <row r="69" ht="17" customHeight="1">
      <c r="B69" s="26" t="inlineStr">
        <is>
          <t>7.3.3</t>
        </is>
      </c>
      <c r="C69" s="24" t="inlineStr">
        <is>
          <t>Quasi-permanent / ULS load ratio  (Gk + ψ2 Qk)/(γG Gk + γQ Qk)</t>
        </is>
      </c>
      <c r="D69" s="23" t="n"/>
      <c r="E69" s="45">
        <f>IF(inputs_ok,(Gk_cr+psi2_cr*Qk_cr)/(gamma_G*Gk_cr+gamma_Q*Qk_cr),NA())</f>
        <v/>
      </c>
      <c r="F69" s="23" t="n"/>
      <c r="G69" s="23" t="n"/>
    </row>
    <row r="70" ht="17" customHeight="1">
      <c r="B70" s="26" t="inlineStr">
        <is>
          <t>7.3.3</t>
        </is>
      </c>
      <c r="C70" s="24" t="inlineStr">
        <is>
          <t>Steel stress  fyd × ratio × As,req / As,prov / δ  (or entered)</t>
        </is>
      </c>
      <c r="D70" s="27" t="inlineStr">
        <is>
          <r>
            <rPr>
              <rFont val="Calibri"/>
              <i val="1"/>
              <color rgb="002B2B2B"/>
              <sz val="10"/>
            </rPr>
            <t>σ</t>
          </r>
          <r>
            <rPr>
              <rFont val="Calibri"/>
              <i val="1"/>
              <color rgb="002B2B2B"/>
              <sz val="10"/>
              <vertAlign val="subscript"/>
            </rPr>
            <t>s</t>
          </r>
        </is>
      </c>
      <c r="E70" s="46">
        <f>IF(inputs_ok,IF(sig_mode="Enter σs",sig_in,f_yd*qp_cr*Asr_cr/Asp_cr/delta_cr),NA())</f>
        <v/>
      </c>
      <c r="F70" s="28" t="inlineStr">
        <is>
          <t>MPa</t>
        </is>
      </c>
      <c r="G70" s="23" t="n"/>
    </row>
    <row r="71" ht="17" customHeight="1">
      <c r="B71" s="26" t="inlineStr">
        <is>
          <t>7.3.2(2)</t>
        </is>
      </c>
      <c r="C71" s="24" t="inlineStr">
        <is>
          <t>Tensile strength when the cracks form  fct,eff</t>
        </is>
      </c>
      <c r="D71" s="27" t="inlineStr">
        <is>
          <r>
            <rPr>
              <rFont val="Calibri"/>
              <i val="1"/>
              <color rgb="002B2B2B"/>
              <sz val="10"/>
            </rPr>
            <t>f</t>
          </r>
          <r>
            <rPr>
              <rFont val="Calibri"/>
              <i val="1"/>
              <color rgb="002B2B2B"/>
              <sz val="10"/>
              <vertAlign val="subscript"/>
            </rPr>
            <t>ct,eff</t>
          </r>
        </is>
      </c>
      <c r="E71" s="42">
        <f>IF(inputs_ok,IF(fct_mode="Enter fct.eff",fct_in,f_ctm),NA())</f>
        <v/>
      </c>
      <c r="F71" s="28" t="inlineStr">
        <is>
          <t>MPa</t>
        </is>
      </c>
      <c r="G71" s="23" t="n"/>
    </row>
    <row r="72" ht="17" customHeight="1">
      <c r="B72" s="26" t="inlineStr">
        <is>
          <t>(7.6N), (7.7N)</t>
        </is>
      </c>
      <c r="C72" s="24" t="inlineStr">
        <is>
          <t>Bar size factor  fct,eff / 2.9 × kc hcr / (2(h − d))  (tension: hcr / (8(h − d)))</t>
        </is>
      </c>
      <c r="D72" s="23" t="n"/>
      <c r="E72" s="45">
        <f>IF(inputs_ok,fct_eff/2.9*IF(cr_mem="Member in tension",h_cr/(8*(h_cr-d_cr)),0.4*0.5*h_cr/(2*(h_cr-d_cr))),NA())</f>
        <v/>
      </c>
      <c r="F72" s="23" t="n"/>
      <c r="G72" s="23" t="n"/>
    </row>
    <row r="73" ht="17" customHeight="1">
      <c r="B73" s="26" t="inlineStr">
        <is>
          <t>Table 7.2N</t>
        </is>
      </c>
      <c r="C73" s="24" t="inlineStr">
        <is>
          <t>Maximum bar size from the table  φs*</t>
        </is>
      </c>
      <c r="D73" s="27" t="inlineStr">
        <is>
          <r>
            <rPr>
              <rFont val="Calibri"/>
              <i val="1"/>
              <color rgb="002B2B2B"/>
              <sz val="10"/>
            </rPr>
            <t>φ</t>
          </r>
          <r>
            <rPr>
              <rFont val="Calibri"/>
              <i val="1"/>
              <color rgb="002B2B2B"/>
              <sz val="10"/>
              <vertAlign val="subscript"/>
            </rPr>
            <t>s*</t>
          </r>
        </is>
      </c>
      <c r="E73" s="44">
        <f>IF(inputs_ok,IF(sig_cr&gt;450,0,IF(OR(INDEX(cr_phi,MATCH(MAX(160,sig_cr),cr_s,1))=0,AND(sig_cr&gt;INDEX(cr_s,MATCH(MAX(160,sig_cr),cr_s,1)),INDEX(cr_phi,MIN(MATCH(MAX(160,sig_cr),cr_s,1)+1,8))=0)),0,IF(INDEX(cr_s,MIN(MATCH(MAX(160,sig_cr),cr_s,1)+1,8))=INDEX(cr_s,MATCH(MAX(160,sig_cr),cr_s,1)),INDEX(cr_phi,MATCH(MAX(160,sig_cr),cr_s,1)),INDEX(cr_phi,MATCH(MAX(160,sig_cr),cr_s,1))+(INDEX(cr_phi,MIN(MATCH(MAX(160,sig_cr),cr_s,1)+1,8))-INDEX(cr_phi,MATCH(MAX(160,sig_cr),cr_s,1)))*(MAX(160,sig_cr)-INDEX(cr_s,MATCH(MAX(160,sig_cr),cr_s,1)))/(INDEX(cr_s,MIN(MATCH(MAX(160,sig_cr),cr_s,1)+1,8))-INDEX(cr_s,MATCH(MAX(160,sig_cr),cr_s,1)))))),NA())</f>
        <v/>
      </c>
      <c r="F73" s="28" t="inlineStr">
        <is>
          <t>mm</t>
        </is>
      </c>
      <c r="G73" s="26" t="inlineStr">
        <is>
          <t>0: no value in the table</t>
        </is>
      </c>
    </row>
    <row r="74" ht="17" customHeight="1">
      <c r="B74" s="26" t="inlineStr">
        <is>
          <t>(7.6N), (7.7N)</t>
        </is>
      </c>
      <c r="C74" s="24" t="inlineStr">
        <is>
          <t>Adjusted  φs* (fct,eff/2.9) × kc hcr / (2(h − d))  (tension: hcr / (8(h − d)))</t>
        </is>
      </c>
      <c r="D74" s="27" t="inlineStr">
        <is>
          <r>
            <rPr>
              <rFont val="Calibri"/>
              <i val="1"/>
              <color rgb="002B2B2B"/>
              <sz val="10"/>
            </rPr>
            <t>φ</t>
          </r>
          <r>
            <rPr>
              <rFont val="Calibri"/>
              <i val="1"/>
              <color rgb="002B2B2B"/>
              <sz val="10"/>
              <vertAlign val="subscript"/>
            </rPr>
            <t>s</t>
          </r>
        </is>
      </c>
      <c r="E74" s="46">
        <f>IF(inputs_ok,phit_cr*cr_adj,NA())</f>
        <v/>
      </c>
      <c r="F74" s="28" t="inlineStr">
        <is>
          <t>mm</t>
        </is>
      </c>
      <c r="G74" s="23" t="n"/>
    </row>
    <row r="75" ht="17" customHeight="1">
      <c r="B75" s="26" t="inlineStr">
        <is>
          <t>Table 7.3N</t>
        </is>
      </c>
      <c r="C75" s="24" t="inlineStr">
        <is>
          <t>Maximum bar spacing  smax</t>
        </is>
      </c>
      <c r="D75" s="27" t="inlineStr">
        <is>
          <r>
            <rPr>
              <rFont val="Calibri"/>
              <i val="1"/>
              <color rgb="002B2B2B"/>
              <sz val="10"/>
            </rPr>
            <t>s</t>
          </r>
          <r>
            <rPr>
              <rFont val="Calibri"/>
              <i val="1"/>
              <color rgb="002B2B2B"/>
              <sz val="10"/>
              <vertAlign val="subscript"/>
            </rPr>
            <t>max</t>
          </r>
        </is>
      </c>
      <c r="E75" s="47">
        <f>IF(inputs_ok,IF(sig_cr&gt;450,0,IF(OR(INDEX(cr_sp,MATCH(MAX(160,sig_cr),cr_s,1))=0,AND(sig_cr&gt;INDEX(cr_s,MATCH(MAX(160,sig_cr),cr_s,1)),INDEX(cr_sp,MIN(MATCH(MAX(160,sig_cr),cr_s,1)+1,8))=0)),0,IF(INDEX(cr_s,MIN(MATCH(MAX(160,sig_cr),cr_s,1)+1,8))=INDEX(cr_s,MATCH(MAX(160,sig_cr),cr_s,1)),INDEX(cr_sp,MATCH(MAX(160,sig_cr),cr_s,1)),INDEX(cr_sp,MATCH(MAX(160,sig_cr),cr_s,1))+(INDEX(cr_sp,MIN(MATCH(MAX(160,sig_cr),cr_s,1)+1,8))-INDEX(cr_sp,MATCH(MAX(160,sig_cr),cr_s,1)))*(MAX(160,sig_cr)-INDEX(cr_s,MATCH(MAX(160,sig_cr),cr_s,1)))/(INDEX(cr_s,MIN(MATCH(MAX(160,sig_cr),cr_s,1)+1,8))-INDEX(cr_s,MATCH(MAX(160,sig_cr),cr_s,1)))))),NA())</f>
        <v/>
      </c>
      <c r="F75" s="28" t="inlineStr">
        <is>
          <t>mm</t>
        </is>
      </c>
      <c r="G75" s="26" t="inlineStr">
        <is>
          <t>0: no value in the table</t>
        </is>
      </c>
    </row>
    <row r="76" ht="17" customHeight="1">
      <c r="B76" s="26" t="inlineStr">
        <is>
          <t>Table 7.2N</t>
        </is>
      </c>
      <c r="C76" s="24" t="inlineStr">
        <is>
          <t>Bar size  φ ≤ φs  (exempt slab h ≤ 200: not needed)</t>
        </is>
      </c>
      <c r="D76" s="27" t="inlineStr">
        <is>
          <r>
            <rPr>
              <rFont val="Calibri"/>
              <i val="1"/>
              <color rgb="002B2B2B"/>
              <sz val="10"/>
            </rPr>
            <t>φ</t>
          </r>
        </is>
      </c>
      <c r="E76" s="43">
        <f>IF(inputs_ok,phi_cr,NA())</f>
        <v/>
      </c>
      <c r="F76" s="28" t="inlineStr">
        <is>
          <t>mm</t>
        </is>
      </c>
      <c r="G76" s="31">
        <f>IF(NOT(inputs_ok),"FAIL",IF(IF(cr_exempt,h_cr&lt;=200,IFERROR(AND(phis_cr&gt;0,phi_cr&lt;=phis_cr),FALSE)),"OK","FAIL"))</f>
        <v/>
      </c>
    </row>
    <row r="77" ht="17" customHeight="1">
      <c r="B77" s="26" t="inlineStr">
        <is>
          <t>Table 7.3N</t>
        </is>
      </c>
      <c r="C77" s="24" t="inlineStr">
        <is>
          <t>Bar spacing  s ≤ smax  (exempt slab h ≤ 200: not needed)</t>
        </is>
      </c>
      <c r="D77" s="27" t="inlineStr">
        <is>
          <r>
            <rPr>
              <rFont val="Calibri"/>
              <i val="1"/>
              <color rgb="002B2B2B"/>
              <sz val="10"/>
            </rPr>
            <t>s</t>
          </r>
        </is>
      </c>
      <c r="E77" s="43">
        <f>IF(inputs_ok,s_cr,NA())</f>
        <v/>
      </c>
      <c r="F77" s="28" t="inlineStr">
        <is>
          <t>mm</t>
        </is>
      </c>
      <c r="G77" s="31">
        <f>IF(NOT(inputs_ok),"FAIL",IF(IF(cr_exempt,h_cr&lt;=200,IFERROR(AND(smax_cr&gt;0,s_cr&lt;=smax_cr),FALSE)),"OK","FAIL"))</f>
        <v/>
      </c>
    </row>
    <row r="78"/>
    <row r="79" ht="29" customHeight="1">
      <c r="B79" s="41"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E5:G5"/>
    <mergeCell ref="B79:G79"/>
    <mergeCell ref="D2:G2"/>
    <mergeCell ref="B62:G62"/>
    <mergeCell ref="E7:G7"/>
    <mergeCell ref="E6:G6"/>
    <mergeCell ref="C3:G3"/>
  </mergeCells>
  <conditionalFormatting sqref="G9:G80">
    <cfRule type="expression" priority="1" dxfId="0">
      <formula>G9="OK"</formula>
    </cfRule>
    <cfRule type="expression" priority="2" dxfId="1">
      <formula>G9="FAIL"</formula>
    </cfRule>
    <cfRule type="expression" priority="3" dxfId="2">
      <formula>LEFT(G9,1)="!"</formula>
    </cfRule>
  </conditionalFormatting>
  <dataValidations count="21">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"Beam or slab in bending,Slab h ≤ 200 in a building,Member in tension"</formula1>
    </dataValidation>
    <dataValidation sqref="E15" showDropDown="0" showInputMessage="0" showErrorMessage="1" allowBlank="0" errorTitle="NA Engineering" error="Pick a value from the list." type="list" errorStyle="stop">
      <formula1>"0.4,0.3,0.2"</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Pick a value from the list." type="list" errorStyle="stop">
      <formula1>"8,10,12,16,20,25,32,40"</formula1>
    </dataValidation>
    <dataValidation sqref="E19"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Pick a value from the list." type="list" errorStyle="stop">
      <formula1>"Estimate from the loads,Enter σs"</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Enter a number ≥ 0." type="decimal" errorStyle="stop" operator="greaterThanOrEqual">
      <formula1>0</formula1>
    </dataValidation>
    <dataValidation sqref="E25" showDropDown="0" showInputMessage="0" showErrorMessage="1" allowBlank="0" errorTitle="NA Engineering" error="Enter a number ≥ 0." type="decimal" errorStyle="stop" operator="greaterThanOrEqual">
      <formula1>0</formula1>
    </dataValidation>
    <dataValidation sqref="E26" showDropDown="0" showInputMessage="0" showErrorMessage="1" allowBlank="0" errorTitle="NA Engineering" error="Enter a number ≥ 0." type="decimal" errorStyle="stop" operator="greaterThanOrEqual">
      <formula1>0</formula1>
    </dataValidation>
    <dataValidation sqref="E27"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greater than 0." type="decimal" errorStyle="stop" operator="greaterThan">
      <formula1>0</formula1>
    </dataValidation>
    <dataValidation sqref="E30" showDropDown="0" showInputMessage="0" showErrorMessage="1" allowBlank="0" errorTitle="NA Engineering" error="Enter a number greater than 0." type="decimal" errorStyle="stop" operator="greaterThan">
      <formula1>0</formula1>
    </dataValidation>
    <dataValidation sqref="E31" showDropDown="0" showInputMessage="0" showErrorMessage="1" allowBlank="0" errorTitle="NA Engineering" error="Enter a number greater than 0." type="decimal" errorStyle="stop" operator="greaterThan">
      <formula1>0</formula1>
    </dataValidation>
    <dataValidation sqref="E32" showDropDown="0" showInputMessage="0" showErrorMessage="1" allowBlank="0" errorTitle="NA Engineering" error="Pick a value from the list." type="list" errorStyle="stop">
      <formula1>"fctm (28 days),Enter fct.eff"</formula1>
    </dataValidation>
    <dataValidation sqref="E33"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&amp;K8A8A8ANAE-RC-016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AU10"/>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axis x</t>
        </is>
      </c>
      <c r="D2" t="inlineStr">
        <is>
          <t>axis y</t>
        </is>
      </c>
      <c r="G2" t="inlineStr">
        <is>
          <t>bar size</t>
        </is>
      </c>
      <c r="J2" t="inlineStr">
        <is>
          <t>spacing</t>
        </is>
      </c>
      <c r="M2" t="inlineStr">
        <is>
          <t>your bar</t>
        </is>
      </c>
      <c r="P2" t="inlineStr">
        <is>
          <t>your spacing</t>
        </is>
      </c>
      <c r="S2" t="inlineStr">
        <is>
          <t>σs (MPa)</t>
        </is>
      </c>
      <c r="V2" t="inlineStr">
        <is>
          <t>φ 25 mm · s 250 mm</t>
        </is>
      </c>
      <c r="Y2" t="inlineStr">
        <is>
          <t>φ 40 · s 400</t>
        </is>
      </c>
      <c r="AB2" t="inlineStr">
        <is>
          <t>160</t>
        </is>
      </c>
      <c r="AE2" t="inlineStr">
        <is>
          <t>240</t>
        </is>
      </c>
      <c r="AH2" t="inlineStr">
        <is>
          <t>320</t>
        </is>
      </c>
      <c r="AK2" t="inlineStr">
        <is>
          <t>400</t>
        </is>
      </c>
      <c r="AN2">
        <f>"φ"&amp;phi_cr&amp;" @ "&amp;s_cr</f>
        <v/>
      </c>
      <c r="AQ2">
        <f>IF(AND(inputs_ok,sig_cr&gt;450),"σs = "&amp;TEXT(sig_cr,"0")&amp;" MPa: beyond the tables","")</f>
        <v/>
      </c>
      <c r="AT2" t="inlineStr">
        <is>
          <t>frame</t>
        </is>
      </c>
    </row>
    <row r="3">
      <c r="A3">
        <f>0</f>
        <v/>
      </c>
      <c r="B3">
        <f>0</f>
        <v/>
      </c>
      <c r="D3">
        <f>0</f>
        <v/>
      </c>
      <c r="E3">
        <f>0</f>
        <v/>
      </c>
      <c r="G3">
        <f>IF(AND(inputs_ok,INDEX(cr_phi,1)&gt;0),((160)-160)/290*1.6,NA())</f>
        <v/>
      </c>
      <c r="H3">
        <f>INDEX(cr_phi,1)*cr_adj/25</f>
        <v/>
      </c>
      <c r="J3">
        <f>IF(AND(inputs_ok,INDEX(cr_sp,1)&gt;0),((160)-160)/290*1.6,NA())</f>
        <v/>
      </c>
      <c r="K3">
        <f>INDEX(cr_sp,1)/250</f>
        <v/>
      </c>
      <c r="M3">
        <f>IF(AND(inputs_ok,sig_cr&lt;=450),((MAX(160,sig_cr))-160)/290*1.6,NA())</f>
        <v/>
      </c>
      <c r="N3">
        <f>phi_cr/25</f>
        <v/>
      </c>
      <c r="P3">
        <f>IF(AND(inputs_ok,sig_cr&lt;=450),((MAX(160,sig_cr))-160)/290*1.6,NA())</f>
        <v/>
      </c>
      <c r="Q3">
        <f>s_cr/250</f>
        <v/>
      </c>
      <c r="S3">
        <f>1.7</f>
        <v/>
      </c>
      <c r="T3">
        <f>0</f>
        <v/>
      </c>
      <c r="V3">
        <f>0</f>
        <v/>
      </c>
      <c r="W3">
        <f>1</f>
        <v/>
      </c>
      <c r="Y3">
        <f>0</f>
        <v/>
      </c>
      <c r="Z3">
        <f>1.6</f>
        <v/>
      </c>
      <c r="AB3">
        <f>((160)-160)/290*1.6</f>
        <v/>
      </c>
      <c r="AC3">
        <f>0</f>
        <v/>
      </c>
      <c r="AE3">
        <f>((240)-160)/290*1.6</f>
        <v/>
      </c>
      <c r="AF3">
        <f>0</f>
        <v/>
      </c>
      <c r="AH3">
        <f>((320)-160)/290*1.6</f>
        <v/>
      </c>
      <c r="AI3">
        <f>0</f>
        <v/>
      </c>
      <c r="AK3">
        <f>((400)-160)/290*1.6</f>
        <v/>
      </c>
      <c r="AL3">
        <f>0</f>
        <v/>
      </c>
      <c r="AN3">
        <f>IF(AND(inputs_ok,sig_cr&lt;=450),((MAX(160,sig_cr))-160)/290*1.6,NA())</f>
        <v/>
      </c>
      <c r="AO3">
        <f>phi_cr/25</f>
        <v/>
      </c>
      <c r="AQ3">
        <f>((450)-160)/290*1.6</f>
        <v/>
      </c>
      <c r="AR3">
        <f>1.65</f>
        <v/>
      </c>
      <c r="AT3">
        <f>((-0.25)+(2.0))/2-MAX((1.8)-(-0.25),((2.0)-(-0.25))/1.55)*0.52*1.55</f>
        <v/>
      </c>
      <c r="AU3">
        <f>((-0.25)+(1.8))/2-MAX((1.8)-(-0.25),((2.0)-(-0.25))/1.55)*0.52</f>
        <v/>
      </c>
    </row>
    <row r="4">
      <c r="A4">
        <f>1.7</f>
        <v/>
      </c>
      <c r="B4">
        <f>0</f>
        <v/>
      </c>
      <c r="D4">
        <f>0</f>
        <v/>
      </c>
      <c r="E4">
        <f>1.75</f>
        <v/>
      </c>
      <c r="G4">
        <f>IF(AND(inputs_ok,INDEX(cr_phi,2)&gt;0),((200)-160)/290*1.6,NA())</f>
        <v/>
      </c>
      <c r="H4">
        <f>INDEX(cr_phi,2)*cr_adj/25</f>
        <v/>
      </c>
      <c r="J4">
        <f>IF(AND(inputs_ok,INDEX(cr_sp,2)&gt;0),((200)-160)/290*1.6,NA())</f>
        <v/>
      </c>
      <c r="K4">
        <f>INDEX(cr_sp,2)/250</f>
        <v/>
      </c>
      <c r="AT4">
        <f>((-0.25)+(2.0))/2+MAX((1.8)-(-0.25),((2.0)-(-0.25))/1.55)*0.52*1.55</f>
        <v/>
      </c>
      <c r="AU4">
        <f>((-0.25)+(1.8))/2+MAX((1.8)-(-0.25),((2.0)-(-0.25))/1.55)*0.52</f>
        <v/>
      </c>
    </row>
    <row r="5">
      <c r="G5">
        <f>IF(AND(inputs_ok,INDEX(cr_phi,3)&gt;0),((240)-160)/290*1.6,NA())</f>
        <v/>
      </c>
      <c r="H5">
        <f>INDEX(cr_phi,3)*cr_adj/25</f>
        <v/>
      </c>
      <c r="J5">
        <f>IF(AND(inputs_ok,INDEX(cr_sp,3)&gt;0),((240)-160)/290*1.6,NA())</f>
        <v/>
      </c>
      <c r="K5">
        <f>INDEX(cr_sp,3)/250</f>
        <v/>
      </c>
    </row>
    <row r="6">
      <c r="G6">
        <f>IF(AND(inputs_ok,INDEX(cr_phi,4)&gt;0),((280)-160)/290*1.6,NA())</f>
        <v/>
      </c>
      <c r="H6">
        <f>INDEX(cr_phi,4)*cr_adj/25</f>
        <v/>
      </c>
      <c r="J6">
        <f>IF(AND(inputs_ok,INDEX(cr_sp,4)&gt;0),((280)-160)/290*1.6,NA())</f>
        <v/>
      </c>
      <c r="K6">
        <f>INDEX(cr_sp,4)/250</f>
        <v/>
      </c>
    </row>
    <row r="7">
      <c r="G7">
        <f>IF(AND(inputs_ok,INDEX(cr_phi,5)&gt;0),((320)-160)/290*1.6,NA())</f>
        <v/>
      </c>
      <c r="H7">
        <f>INDEX(cr_phi,5)*cr_adj/25</f>
        <v/>
      </c>
      <c r="J7">
        <f>IF(AND(inputs_ok,INDEX(cr_sp,5)&gt;0),((320)-160)/290*1.6,NA())</f>
        <v/>
      </c>
      <c r="K7">
        <f>INDEX(cr_sp,5)/250</f>
        <v/>
      </c>
    </row>
    <row r="8">
      <c r="G8">
        <f>IF(AND(inputs_ok,INDEX(cr_phi,6)&gt;0),((360)-160)/290*1.6,NA())</f>
        <v/>
      </c>
      <c r="H8">
        <f>INDEX(cr_phi,6)*cr_adj/25</f>
        <v/>
      </c>
      <c r="J8">
        <f>IF(AND(inputs_ok,INDEX(cr_sp,6)&gt;0),((360)-160)/290*1.6,NA())</f>
        <v/>
      </c>
      <c r="K8">
        <f>INDEX(cr_sp,6)/250</f>
        <v/>
      </c>
    </row>
    <row r="9">
      <c r="G9">
        <f>IF(AND(inputs_ok,INDEX(cr_phi,7)&gt;0),((400)-160)/290*1.6,NA())</f>
        <v/>
      </c>
      <c r="H9">
        <f>INDEX(cr_phi,7)*cr_adj/25</f>
        <v/>
      </c>
      <c r="J9">
        <f>IF(AND(inputs_ok,INDEX(cr_sp,7)&gt;0),((400)-160)/290*1.6,NA())</f>
        <v/>
      </c>
      <c r="K9">
        <f>INDEX(cr_sp,7)/250</f>
        <v/>
      </c>
    </row>
    <row r="10">
      <c r="G10">
        <f>IF(AND(inputs_ok,INDEX(cr_phi,8)&gt;0),((450)-160)/290*1.6,NA())</f>
        <v/>
      </c>
      <c r="H10">
        <f>INDEX(cr_phi,8)*cr_adj/25</f>
        <v/>
      </c>
      <c r="J10">
        <f>IF(AND(inputs_ok,INDEX(cr_sp,8)&gt;0),((450)-160)/290*1.6,NA())</f>
        <v/>
      </c>
      <c r="K10">
        <f>INDEX(cr_sp,8)/250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H14"/>
  <sheetViews>
    <sheetView showGridLines="0" tabSelected="0" workbookViewId="0">
      <selection activeCell="A1" sqref="A1"/>
    </sheetView>
  </sheetViews>
  <sheetFormatPr baseColWidth="8" defaultRowHeight="15"/>
  <cols>
    <col width="12" customWidth="1" min="2" max="2"/>
    <col width="12" customWidth="1" min="3" max="3"/>
    <col width="12" customWidth="1" min="4" max="4"/>
    <col width="12" customWidth="1" min="5" max="5"/>
    <col width="12" customWidth="1" min="6" max="6"/>
    <col width="12" customWidth="1" min="7" max="7"/>
    <col width="12" customWidth="1" min="8" max="8"/>
  </cols>
  <sheetData>
    <row r="2">
      <c r="B2" s="48" t="inlineStr">
        <is>
          <t>EN 1992-1-1 Table 7.2N (bar size, mm) and 7.3N (spacing, mm)</t>
        </is>
      </c>
    </row>
    <row r="4">
      <c r="B4" s="49" t="inlineStr">
        <is>
          <t>σs (MPa)</t>
        </is>
      </c>
      <c r="C4" s="49" t="inlineStr">
        <is>
          <t>φ, wk 0.4</t>
        </is>
      </c>
      <c r="D4" s="49" t="inlineStr">
        <is>
          <t>φ, wk 0.3</t>
        </is>
      </c>
      <c r="E4" s="49" t="inlineStr">
        <is>
          <t>φ, wk 0.2</t>
        </is>
      </c>
      <c r="F4" s="49" t="inlineStr">
        <is>
          <t>s, wk 0.4</t>
        </is>
      </c>
      <c r="G4" s="49" t="inlineStr">
        <is>
          <t>s, wk 0.3</t>
        </is>
      </c>
      <c r="H4" s="49" t="inlineStr">
        <is>
          <t>s, wk 0.2</t>
        </is>
      </c>
    </row>
    <row r="5">
      <c r="B5" s="50" t="n">
        <v>160</v>
      </c>
      <c r="C5" s="50" t="n">
        <v>40</v>
      </c>
      <c r="D5" s="50" t="n">
        <v>32</v>
      </c>
      <c r="E5" s="50" t="n">
        <v>25</v>
      </c>
      <c r="F5" s="50" t="n">
        <v>300</v>
      </c>
      <c r="G5" s="50" t="n">
        <v>300</v>
      </c>
      <c r="H5" s="50" t="n">
        <v>200</v>
      </c>
    </row>
    <row r="6">
      <c r="B6" s="50" t="n">
        <v>200</v>
      </c>
      <c r="C6" s="50" t="n">
        <v>32</v>
      </c>
      <c r="D6" s="50" t="n">
        <v>25</v>
      </c>
      <c r="E6" s="50" t="n">
        <v>16</v>
      </c>
      <c r="F6" s="50" t="n">
        <v>300</v>
      </c>
      <c r="G6" s="50" t="n">
        <v>250</v>
      </c>
      <c r="H6" s="50" t="n">
        <v>150</v>
      </c>
    </row>
    <row r="7">
      <c r="B7" s="50" t="n">
        <v>240</v>
      </c>
      <c r="C7" s="50" t="n">
        <v>20</v>
      </c>
      <c r="D7" s="50" t="n">
        <v>16</v>
      </c>
      <c r="E7" s="50" t="n">
        <v>12</v>
      </c>
      <c r="F7" s="50" t="n">
        <v>250</v>
      </c>
      <c r="G7" s="50" t="n">
        <v>200</v>
      </c>
      <c r="H7" s="50" t="n">
        <v>100</v>
      </c>
    </row>
    <row r="8">
      <c r="B8" s="50" t="n">
        <v>280</v>
      </c>
      <c r="C8" s="50" t="n">
        <v>16</v>
      </c>
      <c r="D8" s="50" t="n">
        <v>12</v>
      </c>
      <c r="E8" s="50" t="n">
        <v>8</v>
      </c>
      <c r="F8" s="50" t="n">
        <v>200</v>
      </c>
      <c r="G8" s="50" t="n">
        <v>150</v>
      </c>
      <c r="H8" s="50" t="n">
        <v>50</v>
      </c>
    </row>
    <row r="9">
      <c r="B9" s="50" t="n">
        <v>320</v>
      </c>
      <c r="C9" s="50" t="n">
        <v>12</v>
      </c>
      <c r="D9" s="50" t="n">
        <v>10</v>
      </c>
      <c r="E9" s="50" t="n">
        <v>6</v>
      </c>
      <c r="F9" s="50" t="n">
        <v>150</v>
      </c>
      <c r="G9" s="50" t="n">
        <v>100</v>
      </c>
      <c r="H9" s="50" t="inlineStr">
        <is>
          <t>–</t>
        </is>
      </c>
    </row>
    <row r="10">
      <c r="B10" s="50" t="n">
        <v>360</v>
      </c>
      <c r="C10" s="50" t="n">
        <v>10</v>
      </c>
      <c r="D10" s="50" t="n">
        <v>8</v>
      </c>
      <c r="E10" s="50" t="n">
        <v>5</v>
      </c>
      <c r="F10" s="50" t="n">
        <v>100</v>
      </c>
      <c r="G10" s="50" t="n">
        <v>50</v>
      </c>
      <c r="H10" s="50" t="inlineStr">
        <is>
          <t>–</t>
        </is>
      </c>
    </row>
    <row r="11">
      <c r="B11" s="50" t="n">
        <v>400</v>
      </c>
      <c r="C11" s="50" t="n">
        <v>8</v>
      </c>
      <c r="D11" s="50" t="n">
        <v>6</v>
      </c>
      <c r="E11" s="50" t="n">
        <v>4</v>
      </c>
      <c r="F11" s="50" t="inlineStr">
        <is>
          <t>–</t>
        </is>
      </c>
      <c r="G11" s="50" t="inlineStr">
        <is>
          <t>–</t>
        </is>
      </c>
      <c r="H11" s="50" t="inlineStr">
        <is>
          <t>–</t>
        </is>
      </c>
    </row>
    <row r="12">
      <c r="B12" s="50" t="n">
        <v>450</v>
      </c>
      <c r="C12" s="50" t="n">
        <v>6</v>
      </c>
      <c r="D12" s="50" t="n">
        <v>5</v>
      </c>
      <c r="E12" s="50" t="inlineStr">
        <is>
          <t>–</t>
        </is>
      </c>
      <c r="F12" s="50" t="inlineStr">
        <is>
          <t>–</t>
        </is>
      </c>
      <c r="G12" s="50" t="inlineStr">
        <is>
          <t>–</t>
        </is>
      </c>
      <c r="H12" s="50" t="inlineStr">
        <is>
          <t>–</t>
        </is>
      </c>
    </row>
    <row r="14">
      <c r="B14" s="51" t="inlineStr">
        <is>
          <t>Table notes: c = 25 mm; fct,eff = 2.9 MPa; hcr = 0.5 h; (h − d) = 0.1 h; k1 = 0.8; k2 = 0.5; kc = 0.4; k = 1.0; kt = 0.4; k′ = 1.0.</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&amp;K8A8A8ANAE-RC-016  v1.0</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2"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3" t="inlineStr">
        <is>
          <t>Parameter</t>
        </is>
      </c>
      <c r="C5" s="53" t="inlineStr">
        <is>
          <t>Clause</t>
        </is>
      </c>
      <c r="D5" s="53" t="inlineStr">
        <is>
          <t>UK NA</t>
        </is>
      </c>
      <c r="E5" s="53" t="inlineStr">
        <is>
          <t>PL NA</t>
        </is>
      </c>
      <c r="F5" s="53" t="inlineStr">
        <is>
          <t>Notes</t>
        </is>
      </c>
    </row>
    <row r="6">
      <c r="B6" s="54" t="inlineStr">
        <is>
          <t>Partial factor, concrete  γc</t>
        </is>
      </c>
      <c r="C6" s="55" t="inlineStr">
        <is>
          <t>2.4.2.4(1)</t>
        </is>
      </c>
      <c r="D6" s="56" t="n">
        <v>1.5</v>
      </c>
      <c r="E6" s="56" t="n">
        <v>1.4</v>
      </c>
      <c r="F6" s="55" t="inlineStr">
        <is>
          <t>Persistent &amp; transient. UK NA: recommended; PL: NA.2, Table NA.2</t>
        </is>
      </c>
    </row>
    <row r="7">
      <c r="B7" s="54" t="inlineStr">
        <is>
          <t>Partial factor, reinforcement  γs</t>
        </is>
      </c>
      <c r="C7" s="55" t="inlineStr">
        <is>
          <t>2.4.2.4(1)</t>
        </is>
      </c>
      <c r="D7" s="56" t="n">
        <v>1.15</v>
      </c>
      <c r="E7" s="56" t="n">
        <v>1.15</v>
      </c>
      <c r="F7" s="55" t="inlineStr">
        <is>
          <t>UK NA: recommended; PL: NA.2, Table NA.2</t>
        </is>
      </c>
    </row>
    <row r="8">
      <c r="B8" s="54" t="inlineStr">
        <is>
          <t>αcc  (compression in flexure / axial)</t>
        </is>
      </c>
      <c r="C8" s="55" t="inlineStr">
        <is>
          <t>3.1.6(1)</t>
        </is>
      </c>
      <c r="D8" s="56" t="n">
        <v>0.85</v>
      </c>
      <c r="E8" s="56" t="n">
        <v>1</v>
      </c>
      <c r="F8" s="55" t="inlineStr">
        <is>
          <t>UK NA: 0.85; PL: recommended (NA.9)</t>
        </is>
      </c>
    </row>
    <row r="9">
      <c r="B9" s="54" t="inlineStr">
        <is>
          <t>αcc,pl  (plain concrete, compression)</t>
        </is>
      </c>
      <c r="C9" s="55" t="inlineStr">
        <is>
          <t>12.3.1(1)</t>
        </is>
      </c>
      <c r="D9" s="56" t="n">
        <v>0.6</v>
      </c>
      <c r="E9" s="56" t="n">
        <v>0.8</v>
      </c>
      <c r="F9" s="55" t="inlineStr">
        <is>
          <t>UK NA Table NA.1: 0.6; PL: recommended (NA.9)</t>
        </is>
      </c>
    </row>
    <row r="10">
      <c r="B10" s="54" t="inlineStr">
        <is>
          <t>αcc  (shear and punching)</t>
        </is>
      </c>
      <c r="C10" s="55" t="inlineStr">
        <is>
          <t>3.1.6(1)</t>
        </is>
      </c>
      <c r="D10" s="56" t="n">
        <v>1</v>
      </c>
      <c r="E10" s="56" t="n">
        <v>1</v>
      </c>
      <c r="F10" s="55" t="inlineStr">
        <is>
          <t>UK NA: 1.0 for other phenomena; PL: recommended (NA.9)</t>
        </is>
      </c>
    </row>
    <row r="11">
      <c r="B11" s="54" t="inlineStr">
        <is>
          <t>αct  (design tensile strength)</t>
        </is>
      </c>
      <c r="C11" s="55" t="inlineStr">
        <is>
          <t>3.1.6(2)</t>
        </is>
      </c>
      <c r="D11" s="56" t="n">
        <v>1</v>
      </c>
      <c r="E11" s="56" t="n">
        <v>1</v>
      </c>
      <c r="F11" s="55" t="inlineStr">
        <is>
          <t>Recommended value in both annexes</t>
        </is>
      </c>
    </row>
    <row r="12">
      <c r="B12" s="54" t="inlineStr">
        <is>
          <t>CRd,c numerator  (CRd,c = value / γc)</t>
        </is>
      </c>
      <c r="C12" s="55" t="inlineStr">
        <is>
          <t>6.2.2(1), 6.4.4(1)</t>
        </is>
      </c>
      <c r="D12" s="56" t="n">
        <v>0.18</v>
      </c>
      <c r="E12" s="56" t="n">
        <v>0.18</v>
      </c>
      <c r="F12" s="55" t="inlineStr">
        <is>
          <t>Recommended value in both annexes</t>
        </is>
      </c>
    </row>
    <row r="13">
      <c r="B13" s="54" t="inlineStr">
        <is>
          <t>k1  (axial stress term, punching)</t>
        </is>
      </c>
      <c r="C13" s="55" t="inlineStr">
        <is>
          <t>6.4.4(1)</t>
        </is>
      </c>
      <c r="D13" s="56" t="n">
        <v>0.1</v>
      </c>
      <c r="E13" s="56" t="n">
        <v>0.1</v>
      </c>
      <c r="F13" s="55" t="inlineStr">
        <is>
          <t>Recommended value in both annexes</t>
        </is>
      </c>
    </row>
    <row r="14">
      <c r="B14" s="54" t="inlineStr">
        <is>
          <t>vRd,max factor  (vRd,max = factor · ν · fcd)</t>
        </is>
      </c>
      <c r="C14" s="55" t="inlineStr">
        <is>
          <t>6.4.5(3)</t>
        </is>
      </c>
      <c r="D14" s="56" t="n">
        <v>0.5</v>
      </c>
      <c r="E14" s="56" t="n">
        <v>0.4</v>
      </c>
      <c r="F14" s="55" t="inlineStr">
        <is>
          <t>UK NA: 0.5 ν fcd; PL: recommended value (NA.9), 0.4 ν fcd since EN 1992-1-1 AC:2010 (PN-EN 1992-1-1:2008/AC:2011)</t>
        </is>
      </c>
    </row>
    <row r="15">
      <c r="B15" s="54" t="inlineStr">
        <is>
          <t>kmax  (vEd ≤ kmax · vRd,c at u1)</t>
        </is>
      </c>
      <c r="C15" s="55" t="inlineStr">
        <is>
          <t>6.4.5</t>
        </is>
      </c>
      <c r="D15" s="56" t="n">
        <v>2</v>
      </c>
      <c r="E15" s="56" t="n">
        <v>1.5</v>
      </c>
      <c r="F15" s="55" t="inlineStr">
        <is>
          <t>UK NA 6.4.5(3): 2 vRd,c. PL: no limit in PN-EN 1992-1-1:2008; 1.5 (A1:2014 recommendation) applied conservatively</t>
        </is>
      </c>
    </row>
    <row r="16">
      <c r="B16" s="54" t="inlineStr">
        <is>
          <t>φlarge  (large bar threshold, mm)</t>
        </is>
      </c>
      <c r="C16" s="55" t="inlineStr">
        <is>
          <t>8.8(1)</t>
        </is>
      </c>
      <c r="D16" s="56" t="n">
        <v>40</v>
      </c>
      <c r="E16" s="56" t="n">
        <v>32</v>
      </c>
      <c r="F16" s="55" t="inlineStr">
        <is>
          <t>UK NA: 40 mm; PL: 32 mm recommended (NA.9)</t>
        </is>
      </c>
    </row>
    <row r="17">
      <c r="B17" s="54" t="inlineStr">
        <is>
          <t>cot θ upper limit  (variable strut)</t>
        </is>
      </c>
      <c r="C17" s="55" t="inlineStr">
        <is>
          <t>6.2.3(2)</t>
        </is>
      </c>
      <c r="D17" s="56" t="n">
        <v>2.5</v>
      </c>
      <c r="E17" s="56" t="n">
        <v>2</v>
      </c>
      <c r="F17" s="55" t="inlineStr">
        <is>
          <t>UK NA: 2.5 (1.25 with axial tension); PL: NA.4, 1 ≤ cot θ ≤ 2.0</t>
        </is>
      </c>
    </row>
    <row r="18">
      <c r="B18" s="54" t="inlineStr">
        <is>
          <t>k1  (x/d limit, δ ≥ k1 + k2 xu/d)</t>
        </is>
      </c>
      <c r="C18" s="55" t="inlineStr">
        <is>
          <t>5.5(4)</t>
        </is>
      </c>
      <c r="D18" s="56" t="n">
        <v>0.4</v>
      </c>
      <c r="E18" s="56" t="n">
        <v>0.44</v>
      </c>
      <c r="F18" s="55" t="inlineStr">
        <is>
          <t>UK NA for fyk ≤ 500 MPa; PL: recommended (NA.9)</t>
        </is>
      </c>
    </row>
    <row r="19">
      <c r="B19" s="54" t="inlineStr">
        <is>
          <t>k2  (x/d limit, εcu2 = 0.0035)</t>
        </is>
      </c>
      <c r="C19" s="55" t="inlineStr">
        <is>
          <t>5.5(4)</t>
        </is>
      </c>
      <c r="D19" s="56" t="n">
        <v>1</v>
      </c>
      <c r="E19" s="56" t="n">
        <v>1.25</v>
      </c>
      <c r="F19" s="55" t="inlineStr">
        <is>
          <t>UK NA: 0.6 + 0.0014/εcu2; PL: 1.25(0.6 + 0.0014/εcu2)</t>
        </is>
      </c>
    </row>
    <row r="20">
      <c r="B20" s="54" t="inlineStr">
        <is>
          <t>Upper limit on the (310/σs) factor  (0 = none)</t>
        </is>
      </c>
      <c r="C20" s="55" t="inlineStr">
        <is>
          <t>7.4.2(2)</t>
        </is>
      </c>
      <c r="D20" s="56" t="n">
        <v>1.5</v>
      </c>
      <c r="E20" s="56" t="n">
        <v>0</v>
      </c>
      <c r="F20" s="55" t="inlineStr">
        <is>
          <t>UK NA Table NA.5 Note 5: (310/σs) or (500/fyk)(As,prov/As,req) ≤ 1.5; PL: none</t>
        </is>
      </c>
    </row>
    <row r="21">
      <c r="B21" s="54" t="inlineStr">
        <is>
          <t>L/d not to exceed 40 K  (1 = applies)</t>
        </is>
      </c>
      <c r="C21" s="55" t="inlineStr">
        <is>
          <t>7.4.2(2)</t>
        </is>
      </c>
      <c r="D21" s="56" t="n">
        <v>1</v>
      </c>
      <c r="E21" s="56" t="n">
        <v>0</v>
      </c>
      <c r="F21" s="55" t="inlineStr">
        <is>
          <t>UK NA Table NA.5 Note 6; not in EN text</t>
        </is>
      </c>
    </row>
    <row r="22">
      <c r="B22" s="54" t="inlineStr">
        <is>
          <t>φmin  (longitudinal bars in columns, mm)</t>
        </is>
      </c>
      <c r="C22" s="55" t="inlineStr">
        <is>
          <t>9.5.2(1)</t>
        </is>
      </c>
      <c r="D22" s="56" t="n">
        <v>12</v>
      </c>
      <c r="E22" s="56" t="n">
        <v>6</v>
      </c>
      <c r="F22" s="55" t="inlineStr">
        <is>
          <t>UK NA: 12 mm; PL: NA.6, 6 mm</t>
        </is>
      </c>
    </row>
    <row r="23">
      <c r="B23" s="54" t="inlineStr">
        <is>
          <t>k3  (crack spacing)</t>
        </is>
      </c>
      <c r="C23" s="55" t="inlineStr">
        <is>
          <t>7.3.4(3)</t>
        </is>
      </c>
      <c r="D23" s="56" t="n">
        <v>3.4</v>
      </c>
      <c r="E23" s="56" t="n">
        <v>3.4</v>
      </c>
      <c r="F23" s="55" t="inlineStr">
        <is>
          <t>Recommended value in both annexes</t>
        </is>
      </c>
    </row>
    <row r="24">
      <c r="B24" s="54" t="inlineStr">
        <is>
          <t>k4  (crack spacing)</t>
        </is>
      </c>
      <c r="C24" s="55" t="inlineStr">
        <is>
          <t>7.3.4(3)</t>
        </is>
      </c>
      <c r="D24" s="56" t="n">
        <v>0.425</v>
      </c>
      <c r="E24" s="56" t="n">
        <v>0.425</v>
      </c>
      <c r="F24" s="55" t="inlineStr">
        <is>
          <t>Recommended value in both annexes</t>
        </is>
      </c>
    </row>
    <row r="25">
      <c r="B25" s="54" t="inlineStr">
        <is>
          <t>k1  (concrete stress, characteristic; XD, XF, XS)</t>
        </is>
      </c>
      <c r="C25" s="55" t="inlineStr">
        <is>
          <t>7.2(2)</t>
        </is>
      </c>
      <c r="D25" s="56" t="n">
        <v>0.6</v>
      </c>
      <c r="E25" s="56" t="n">
        <v>1</v>
      </c>
      <c r="F25" s="55" t="inlineStr">
        <is>
          <t>UK NA: recommended; PL: NA.5, k1 = 1.0</t>
        </is>
      </c>
    </row>
    <row r="26">
      <c r="B26" s="54" t="inlineStr">
        <is>
          <t>k2  (concrete stress, quasi-permanent; linear creep)</t>
        </is>
      </c>
      <c r="C26" s="55" t="inlineStr">
        <is>
          <t>7.2(3)</t>
        </is>
      </c>
      <c r="D26" s="56" t="n">
        <v>0.45</v>
      </c>
      <c r="E26" s="56" t="n">
        <v>0.45</v>
      </c>
      <c r="F26" s="55" t="inlineStr">
        <is>
          <t>Recommended value in both annexes (UK NA; PL NA.9)</t>
        </is>
      </c>
    </row>
    <row r="27">
      <c r="B27" s="54" t="inlineStr">
        <is>
          <t>k3  (steel stress, characteristic)</t>
        </is>
      </c>
      <c r="C27" s="55" t="inlineStr">
        <is>
          <t>7.2(5)</t>
        </is>
      </c>
      <c r="D27" s="56" t="n">
        <v>0.8</v>
      </c>
      <c r="E27" s="56" t="n">
        <v>0.8</v>
      </c>
      <c r="F27" s="55" t="inlineStr">
        <is>
          <t>Recommended value in both annexes (UK NA; PL NA.9)</t>
        </is>
      </c>
    </row>
    <row r="28">
      <c r="B28" s="54" t="inlineStr">
        <is>
          <t>k4  (steel stress, imposed deformation)</t>
        </is>
      </c>
      <c r="C28" s="55" t="inlineStr">
        <is>
          <t>7.2(5)</t>
        </is>
      </c>
      <c r="D28" s="56" t="n">
        <v>1</v>
      </c>
      <c r="E28" s="56" t="n">
        <v>1</v>
      </c>
      <c r="F28" s="55"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&amp;K8A8A8ANAE-RC-016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NAE-RC-016 Crack control by tables</dc:title>
  <dc:subject xmlns:dc="http://purl.org/dc/elements/1.1/">Bar size and spacing limits  ·  EN 1992-1-1 §7.3.3  ·  UK NA / PN-EN</dc:subject>
  <dcterms:created xmlns:dcterms="http://purl.org/dc/terms/" xmlns:xsi="http://www.w3.org/2001/XMLSchema-instance" xsi:type="dcterms:W3CDTF">2026-10-30T10:58:37Z</dcterms:created>
  <dcterms:modified xmlns:dcterms="http://purl.org/dc/terms/" xmlns:xsi="http://www.w3.org/2001/XMLSchema-instance" xsi:type="dcterms:W3CDTF">2026-10-30T10:58:37Z</dcterms:modified>
  <cp:lastModifiedBy>NA Engineering sp. z o.o.</cp:lastModifiedBy>
  <cp:keywords>NA Engineering; Eurocode 2; EN 1992-1-1</cp:keywords>
</cp:coreProperties>
</file>