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d_g">'Calculation'!$E$14</definedName>
    <definedName name="L_st">'Calculation'!$E$15</definedName>
    <definedName name="g_st">'Calculation'!$E$16</definedName>
    <definedName name="r_st">'Calculation'!$E$17</definedName>
    <definedName name="t_st">'Calculation'!$E$18</definedName>
    <definedName name="c_nom">'Calculation'!$E$19</definedName>
    <definedName name="phi_st">'Calculation'!$E$20</definedName>
    <definedName name="s_st">'Calculation'!$E$21</definedName>
    <definedName name="phi_dst">'Calculation'!$E$22</definedName>
    <definedName name="s_dst">'Calculation'!$E$23</definedName>
    <definedName name="gk_st">'Calculation'!$E$26</definedName>
    <definedName name="qk_st">'Calculation'!$E$27</definedName>
    <definedName name="gamma_G">'Calculation'!$E$28</definedName>
    <definedName name="gamma_Q">'Calculation'!$E$29</definedName>
    <definedName name="partitions">'Calculation'!$E$30</definedName>
    <definedName name="inputs_ok">IFERROR(AND(OR(NA_sel="UK NA (BS EN)",NA_sel="PL NA (PN-EN)"),OR(conc_class="C20/25",conc_class="C25/30",conc_class="C28/35",conc_class="C30/37",conc_class="C32/40",conc_class="C35/45",conc_class="C40/50",conc_class="C45/55",conc_class="C50/60"),ISNUMBER(f_yk),f_yk&gt;0,ISNUMBER(d_g),d_g&gt;0,ISNUMBER(L_st),L_st&gt;0,ISNUMBER(g_st),g_st&gt;0,ISNUMBER(r_st),r_st&gt;0,ISNUMBER(t_st),t_st&gt;0,ISNUMBER(c_nom),c_nom&gt;0,OR(AND(ISNUMBER(phi_st),phi_st=8),AND(ISNUMBER(phi_st),phi_st=10),AND(ISNUMBER(phi_st),phi_st=12),AND(ISNUMBER(phi_st),phi_st=16),AND(ISNUMBER(phi_st),phi_st=20),AND(ISNUMBER(phi_st),phi_st=25),AND(ISNUMBER(phi_st),phi_st=32),AND(ISNUMBER(phi_st),phi_st=40)),ISNUMBER(s_st),s_st&gt;0,OR(AND(ISNUMBER(phi_dst),phi_dst=8),AND(ISNUMBER(phi_dst),phi_dst=10),AND(ISNUMBER(phi_dst),phi_dst=12),AND(ISNUMBER(phi_dst),phi_dst=16),AND(ISNUMBER(phi_dst),phi_dst=20),AND(ISNUMBER(phi_dst),phi_dst=25),AND(ISNUMBER(phi_dst),phi_dst=32),AND(ISNUMBER(phi_dst),phi_dst=40)),ISNUMBER(s_dst),s_dst&gt;0,ISNUMBER(gk_st),gk_st&gt;=0,ISNUMBER(qk_st),qk_st&gt;=0,ISNUMBER(gamma_G),gamma_G&gt;0,ISNUMBER(gamma_Q),gamma_Q&gt;0,OR(partitions="No",partitions="Yes"),AND(f_yk&gt;=400,f_yk&lt;=500,t_st&gt;2*c_nom+phi_st+phi_dst,s_st&gt;=50,s_dst&gt;=50,r_st&lt;g_st*1.2,L_st&gt;=2*g_st)),FALSE)</definedName>
    <definedName name="input_status">'Calculation'!$G$31</definedName>
    <definedName name="st_n">MAX(2,MIN(ROUND(L_st/g_st,0),24))</definedName>
    <definedName name="bend_status">'Calculation'!$G$55</definedName>
    <definedName name="shear_status">'Calculation'!$G$56</definedName>
    <definedName name="defl_status">'Calculation'!$G$57</definedName>
    <definedName name="det_st">AND(Asp_d&gt;=0.2*Asp_st,s_dst&lt;=MIN(3*t_st,400),s_st-phi_st&gt;=gap_st,s_dst-phi_dst&gt;=MAX(phi_dst,d_g+5,20),Asp_st&lt;=0.04*1000*t_st)</definedName>
    <definedName name="det_status">'Calculation'!$G$58</definedName>
    <definedName name="comfort_status">'Calculation'!$G$59</definedName>
    <definedName name="gamma_c">'Calculation'!$E$62</definedName>
    <definedName name="gamma_s">'Calculation'!$E$63</definedName>
    <definedName name="alpha_cc">'Calculation'!$E$64</definedName>
    <definedName name="C_Rdc">'Calculation'!$E$65</definedName>
    <definedName name="ld_mod_max">'Calculation'!$E$66</definedName>
    <definedName name="ld_cap_40K">'Calculation'!$E$67</definedName>
    <definedName name="f_ck">'Calculation'!$E$68</definedName>
    <definedName name="f_ctm">'Calculation'!$E$69</definedName>
    <definedName name="f_cd">'Calculation'!$E$70</definedName>
    <definedName name="f_yd">'Calculation'!$E$71</definedName>
    <definedName name="th_st">'Calculation'!$E$72</definedName>
    <definedName name="gw_st">'Calculation'!$E$73</definedName>
    <definedName name="gs_st">'Calculation'!$E$74</definedName>
    <definedName name="n_st">'Calculation'!$E$75</definedName>
    <definedName name="M_st">'Calculation'!$E$76</definedName>
    <definedName name="V_st">'Calculation'!$E$77</definedName>
    <definedName name="d_st">'Calculation'!$E$80</definedName>
    <definedName name="K_st">'Calculation'!$E$81</definedName>
    <definedName name="Kl_st">'Calculation'!$E$82</definedName>
    <definedName name="Asr_st">'Calculation'!$E$83</definedName>
    <definedName name="Asm_st">'Calculation'!$E$84</definedName>
    <definedName name="Asp_st">'Calculation'!$E$85</definedName>
    <definedName name="VRc_st">'Calculation'!$E$86</definedName>
    <definedName name="chk_bend">'Calculation'!$G$87</definedName>
    <definedName name="chk_shear">'Calculation'!$G$88</definedName>
    <definedName name="rho_st">'Calculation'!$E$91</definedName>
    <definedName name="rho0_st">'Calculation'!$E$92</definedName>
    <definedName name="ldB_st">'Calculation'!$E$93</definedName>
    <definedName name="F3_st">'Calculation'!$E$94</definedName>
    <definedName name="F2_st">'Calculation'!$E$95</definedName>
    <definedName name="ldL_st">'Calculation'!$E$96</definedName>
    <definedName name="ldA_st">'Calculation'!$E$97</definedName>
    <definedName name="chk_defl">'Calculation'!$G$98</definedName>
    <definedName name="smx_st">'Calculation'!$E$99</definedName>
    <definedName name="gap_st">'Calculation'!$E$100</definedName>
    <definedName name="Asp_d">'Calculation'!$E$101</definedName>
    <definedName name="chk_det">'Calculation'!$G$102</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'Calculation'!$A$1:$H$106</definedName>
    <definedName name="_xlnm.Print_Area" localSheetId="3">'NDP'!$A$1:$G$29</definedName>
  </definedNames>
  <calcPr calcId="124519" fullCalcOnLoad="1"/>
</workbook>
</file>

<file path=xl/styles.xml><?xml version="1.0" encoding="utf-8"?>
<styleSheet xmlns="http://schemas.openxmlformats.org/spreadsheetml/2006/main">
  <numFmts count="4">
    <numFmt numFmtId="164" formatCode="dd mmm yyyy"/>
    <numFmt numFmtId="165" formatCode="0.000"/>
    <numFmt numFmtId="166" formatCode="0.0"/>
    <numFmt numFmtId="167" formatCode="0.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0">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 fontId="17" fillId="4" borderId="0" applyAlignment="1" pivotButton="0" quotePrefix="0" xfId="0">
      <alignment horizontal="center" vertical="center"/>
    </xf>
    <xf numFmtId="2" fontId="5" fillId="0" borderId="1" applyAlignment="1" pivotButton="0" quotePrefix="0" xfId="0">
      <alignment horizontal="center" vertical="center"/>
    </xf>
    <xf numFmtId="165" fontId="5" fillId="0" borderId="1" applyAlignment="1" pivotButton="0" quotePrefix="0" xfId="0">
      <alignment horizontal="center" vertical="center"/>
    </xf>
    <xf numFmtId="1" fontId="5" fillId="0" borderId="1" applyAlignment="1" pivotButton="0" quotePrefix="0" xfId="0">
      <alignment horizontal="center" vertical="center"/>
    </xf>
    <xf numFmtId="166" fontId="5" fillId="0" borderId="1" applyAlignment="1" pivotButton="0" quotePrefix="0" xfId="0">
      <alignment horizontal="center" vertical="center"/>
    </xf>
    <xf numFmtId="166" fontId="12" fillId="0" borderId="1" applyAlignment="1" pivotButton="0" quotePrefix="0" xfId="0">
      <alignment horizontal="center" vertical="center"/>
    </xf>
    <xf numFmtId="167" fontId="5"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v>steps</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'Geometry'!$A$3:$A$51</f>
            </numRef>
          </xVal>
          <yVal>
            <numRef>
              <f>'Geometry'!$B$3:$B$51</f>
            </numRef>
          </yVal>
          <smooth val="0"/>
        </ser>
        <ser>
          <idx val="1"/>
          <order val="1"/>
          <tx>
            <v>soffit</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'Geometry'!$D$3:$D$4</f>
            </numRef>
          </xVal>
          <yVal>
            <numRef>
              <f>'Geometry'!$E$3:$E$4</f>
            </numRef>
          </yVal>
          <smooth val="0"/>
        </ser>
        <ser>
          <idx val="2"/>
          <order val="2"/>
          <tx>
            <v>bars</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'Geometry'!$G$3:$G$4</f>
            </numRef>
          </xVal>
          <yVal>
            <numRef>
              <f>'Geometry'!$H$3:$H$4</f>
            </numRef>
          </yVal>
          <smooth val="0"/>
        </ser>
        <ser>
          <idx val="3"/>
          <order val="3"/>
          <tx>
            <v>lower support</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'Geometry'!$J$3:$J$6</f>
            </numRef>
          </xVal>
          <yVal>
            <numRef>
              <f>'Geometry'!$K$3:$K$6</f>
            </numRef>
          </yVal>
          <smooth val="0"/>
        </ser>
        <ser>
          <idx val="4"/>
          <order val="4"/>
          <tx>
            <v>upper support</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'Geometry'!$M$3:$M$6</f>
            </numRef>
          </xVal>
          <yVal>
            <numRef>
              <f>'Geometry'!$N$3:$N$6</f>
            </numRef>
          </yVal>
          <smooth val="0"/>
        </ser>
        <ser>
          <idx val="5"/>
          <order val="5"/>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'Geometry'!$P$3:$P$4</f>
            </numRef>
          </xVal>
          <yVal>
            <numRef>
              <f>'Geometry'!$Q$3:$Q$4</f>
            </numRef>
          </yVal>
          <smooth val="0"/>
        </ser>
        <ser>
          <idx val="6"/>
          <order val="6"/>
          <tx>
            <strRef>
              <f>'Geometry'!$S$2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'Geometry'!$S$3</f>
            </numRef>
          </xVal>
          <yVal>
            <numRef>
              <f>'Geometry'!$T$3</f>
            </numRef>
          </yVal>
          <smooth val="0"/>
        </ser>
        <ser>
          <idx val="7"/>
          <order val="7"/>
          <tx>
            <strRef>
              <f>'Geometry'!$V$2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'Geometry'!$V$3</f>
            </numRef>
          </xVal>
          <yVal>
            <numRef>
              <f>'Geometry'!$W$3</f>
            </numRef>
          </yVal>
          <smooth val="0"/>
        </ser>
        <ser>
          <idx val="8"/>
          <order val="8"/>
          <tx>
            <strRef>
              <f>'Geometry'!$Y$2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r"/>
            <showLegendKey val="0"/>
            <showVal val="0"/>
            <showCatName val="0"/>
            <showSerName val="1"/>
            <showPercent val="0"/>
          </dLbls>
          <xVal>
            <numRef>
              <f>'Geometry'!$Y$3</f>
            </numRef>
          </xVal>
          <yVal>
            <numRef>
              <f>'Geometry'!$Z$3</f>
            </numRef>
          </yVal>
          <smooth val="0"/>
        </ser>
        <ser>
          <idx val="9"/>
          <order val="9"/>
          <tx>
            <v>frame</v>
          </tx>
          <spPr>
            <a:ln xmlns:a="http://schemas.openxmlformats.org/drawingml/2006/main">
              <a:noFill/>
              <a:prstDash val="solid"/>
            </a:ln>
          </spPr>
          <marker>
            <symbol val="none"/>
            <spPr>
              <a:ln xmlns:a="http://schemas.openxmlformats.org/drawingml/2006/main">
                <a:prstDash val="solid"/>
              </a:ln>
            </spPr>
          </marker>
          <xVal>
            <numRef>
              <f>'Geometry'!$AB$3:$AB$4</f>
            </numRef>
          </xVal>
          <yVal>
            <numRef>
              <f>'Geometry'!$AC$3:$AC$4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33</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Stair flight</t>
        </is>
      </c>
    </row>
    <row r="8" ht="20" customHeight="1">
      <c r="B8" s="4" t="inlineStr">
        <is>
          <t>Inclined slab spanning between supports  ·  EN 1992-1-1 §6.1, §6.2, §7.4, §9.3  ·  UK NA / PN-EN</t>
        </is>
      </c>
    </row>
    <row r="10">
      <c r="B10" s="5" t="inlineStr">
        <is>
          <t>Reference</t>
        </is>
      </c>
      <c r="C10" s="6" t="inlineStr">
        <is>
          <t>NAE-RC-015  ·  version 1.0</t>
        </is>
      </c>
    </row>
    <row r="11" ht="31" customHeight="1">
      <c r="B11" s="5" t="inlineStr">
        <is>
          <t>Standards</t>
        </is>
      </c>
      <c r="C11" s="7" t="inlineStr">
        <is>
          <t>BS EN 1992-1-1:2004 with UK NA  ·  PN-EN 1992-1-1:2008 with Polish NA (NDP sources listed on the NDP sheet)  ·  stair loads to EN 1991-1-1 (imposed load from the user)</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Design of a straight reinforced concrete stair flight spanning between two supports as an inclined slab: loads on plan from the waist and the steps, the design moment and shear, main and distribution bars, shear without links, deflection by the span to depth ratio and the slab detailing rules.</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149" customHeight="1">
      <c r="B22" s="7" t="inlineStr">
        <is>
          <t>Straight flight of equal steps spanning longitudinally, simply supported at the foot and the head (M = n L² / 8, V = n L / 2 on the horizontal span L), 1 m wide strip. Loads per m² on plan: waist γc t / cos θ, steps γc r / 2, finishes and the imposed load from the user (EN 1991-1-1 Table 6.2: stairs). The section is the waist, d measured at right angles to the soffit. Deflection by (7.16) with K = 1.0 on the horizontal span, the (As,prov / As,req)(500 / fyk) factor (UK ≤ 1.5), 7/L for spans over 7 m with brittle partitions and the UK 40K cap. The shear is the support reaction n L / 2 (conservative for the section normal to the waist). Not checked here: the concentrated imposed load of EN 1991-1-1 (6.2.1(3), Table 6.2) as a local check, the reinforcement of free edges (9.3.1.4) and top bars at the supports for partial fixity (9.3.1.2(2)). Landings, flights spanning across the stair, cantilever steps and stairs built into walls on their sides are outside the scope. fyk 400 – 500 MPa (3.2.2(3)).
The second-generation EN 1992-1-1:2023 is not yet implemented.</t>
        </is>
      </c>
    </row>
    <row r="24" ht="20" customHeight="1">
      <c r="B24" s="8" t="inlineStr">
        <is>
          <t>Further reading and independent cross-check</t>
        </is>
      </c>
      <c r="C24" s="9" t="n"/>
    </row>
    <row r="25" ht="76.5" customHeight="1">
      <c r="B25" s="10" t="inlineStr">
        <is>
          <t>•  The Concrete Centre, How to design concrete structures using Eurocode 2: Slabs.
•  The Concrete Centre, RC Spreadsheets v4, TCC71 Stair flight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&amp;K8A8A8ANAE-RC-015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05"/>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Stair flight</t>
        </is>
      </c>
      <c r="H2" s="1" t="n"/>
    </row>
    <row r="3" ht="16" customHeight="1">
      <c r="A3" s="1" t="n"/>
      <c r="B3" s="1" t="n"/>
      <c r="C3" s="15" t="inlineStr">
        <is>
          <t>NAE-RC-015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flight</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6" t="inlineStr">
        <is>
          <t>5.3.2.2</t>
        </is>
      </c>
      <c r="C15" s="24" t="inlineStr">
        <is>
          <t>Horizontal effective span  (5.3.2.2: clear span + a1 + a2)</t>
        </is>
      </c>
      <c r="D15" s="27" t="inlineStr">
        <is>
          <r>
            <rPr>
              <rFont val="Calibri"/>
              <i val="1"/>
              <color rgb="002B2B2B"/>
              <sz val="10"/>
            </rPr>
            <t>L</t>
          </r>
        </is>
      </c>
      <c r="E15" s="25" t="n">
        <v>3600</v>
      </c>
      <c r="F15" s="28" t="inlineStr">
        <is>
          <t>mm</t>
        </is>
      </c>
      <c r="G15" s="23" t="n"/>
    </row>
    <row r="16" ht="17" customHeight="1">
      <c r="B16" s="23" t="n"/>
      <c r="C16" s="24" t="inlineStr">
        <is>
          <t>Going</t>
        </is>
      </c>
      <c r="D16" s="27" t="inlineStr">
        <is>
          <r>
            <rPr>
              <rFont val="Calibri"/>
              <i val="1"/>
              <color rgb="002B2B2B"/>
              <sz val="10"/>
            </rPr>
            <t>g</t>
          </r>
        </is>
      </c>
      <c r="E16" s="25" t="n">
        <v>250</v>
      </c>
      <c r="F16" s="28" t="inlineStr">
        <is>
          <t>mm</t>
        </is>
      </c>
      <c r="G16" s="23" t="n"/>
    </row>
    <row r="17" ht="17" customHeight="1">
      <c r="B17" s="23" t="n"/>
      <c r="C17" s="24" t="inlineStr">
        <is>
          <t>Rise</t>
        </is>
      </c>
      <c r="D17" s="27" t="inlineStr">
        <is>
          <r>
            <rPr>
              <rFont val="Calibri"/>
              <i val="1"/>
              <color rgb="002B2B2B"/>
              <sz val="10"/>
            </rPr>
            <t>r</t>
          </r>
        </is>
      </c>
      <c r="E17" s="25" t="n">
        <v>175</v>
      </c>
      <c r="F17" s="28" t="inlineStr">
        <is>
          <t>mm</t>
        </is>
      </c>
      <c r="G17" s="23" t="n"/>
    </row>
    <row r="18" ht="17" customHeight="1">
      <c r="B18" s="23" t="n"/>
      <c r="C18" s="24" t="inlineStr">
        <is>
          <t>Waist thickness  (at right angles to the soffit)</t>
        </is>
      </c>
      <c r="D18" s="27" t="inlineStr">
        <is>
          <r>
            <rPr>
              <rFont val="Calibri"/>
              <i val="1"/>
              <color rgb="002B2B2B"/>
              <sz val="10"/>
            </rPr>
            <t>t</t>
          </r>
        </is>
      </c>
      <c r="E18" s="25" t="n">
        <v>175</v>
      </c>
      <c r="F18" s="28" t="inlineStr">
        <is>
          <t>mm</t>
        </is>
      </c>
      <c r="G18" s="23" t="n"/>
    </row>
    <row r="19" ht="17" customHeight="1">
      <c r="B19" s="26" t="inlineStr">
        <is>
          <t>4.4.1</t>
        </is>
      </c>
      <c r="C19" s="24" t="inlineStr">
        <is>
          <t>Nominal cover</t>
        </is>
      </c>
      <c r="D19" s="27" t="inlineStr">
        <is>
          <r>
            <rPr>
              <rFont val="Calibri"/>
              <i val="1"/>
              <color rgb="002B2B2B"/>
              <sz val="10"/>
            </rPr>
            <t>c</t>
          </r>
          <r>
            <rPr>
              <rFont val="Calibri"/>
              <i val="1"/>
              <color rgb="002B2B2B"/>
              <sz val="10"/>
              <vertAlign val="subscript"/>
            </rPr>
            <t>nom</t>
          </r>
        </is>
      </c>
      <c r="E19" s="25" t="n">
        <v>25</v>
      </c>
      <c r="F19" s="28" t="inlineStr">
        <is>
          <t>mm</t>
        </is>
      </c>
      <c r="G19" s="23" t="n"/>
    </row>
    <row r="20" ht="17" customHeight="1">
      <c r="B20" s="23" t="n"/>
      <c r="C20" s="24" t="inlineStr">
        <is>
          <t>Main bars: diameter</t>
        </is>
      </c>
      <c r="D20" s="27" t="inlineStr">
        <is>
          <r>
            <rPr>
              <rFont val="Calibri"/>
              <i val="1"/>
              <color rgb="002B2B2B"/>
              <sz val="10"/>
            </rPr>
            <t>φ</t>
          </r>
        </is>
      </c>
      <c r="E20" s="25" t="n">
        <v>12</v>
      </c>
      <c r="F20" s="28" t="inlineStr">
        <is>
          <t>mm</t>
        </is>
      </c>
      <c r="G20" s="23" t="n"/>
    </row>
    <row r="21" ht="17" customHeight="1">
      <c r="B21" s="23" t="n"/>
      <c r="C21" s="24" t="inlineStr">
        <is>
          <t>Main bars: spacing</t>
        </is>
      </c>
      <c r="D21" s="27" t="inlineStr">
        <is>
          <r>
            <rPr>
              <rFont val="Calibri"/>
              <i val="1"/>
              <color rgb="002B2B2B"/>
              <sz val="10"/>
            </rPr>
            <t>s</t>
          </r>
        </is>
      </c>
      <c r="E21" s="25" t="n">
        <v>150</v>
      </c>
      <c r="F21" s="28" t="inlineStr">
        <is>
          <t>mm</t>
        </is>
      </c>
      <c r="G21" s="23" t="n"/>
    </row>
    <row r="22" ht="17" customHeight="1">
      <c r="B22" s="23" t="n"/>
      <c r="C22" s="24" t="inlineStr">
        <is>
          <t>Distribution bars: diameter</t>
        </is>
      </c>
      <c r="D22" s="27" t="inlineStr">
        <is>
          <r>
            <rPr>
              <rFont val="Calibri"/>
              <i val="1"/>
              <color rgb="002B2B2B"/>
              <sz val="10"/>
            </rPr>
            <t>φ</t>
          </r>
          <r>
            <rPr>
              <rFont val="Calibri"/>
              <i val="1"/>
              <color rgb="002B2B2B"/>
              <sz val="10"/>
              <vertAlign val="subscript"/>
            </rPr>
            <t>d</t>
          </r>
        </is>
      </c>
      <c r="E22" s="25" t="n">
        <v>10</v>
      </c>
      <c r="F22" s="28" t="inlineStr">
        <is>
          <t>mm</t>
        </is>
      </c>
      <c r="G22" s="23" t="n"/>
    </row>
    <row r="23" ht="17" customHeight="1">
      <c r="B23" s="23" t="n"/>
      <c r="C23" s="24" t="inlineStr">
        <is>
          <t>Distribution bars: spacing</t>
        </is>
      </c>
      <c r="D23" s="27" t="inlineStr">
        <is>
          <r>
            <rPr>
              <rFont val="Calibri"/>
              <i val="1"/>
              <color rgb="002B2B2B"/>
              <sz val="10"/>
            </rPr>
            <t>s</t>
          </r>
          <r>
            <rPr>
              <rFont val="Calibri"/>
              <i val="1"/>
              <color rgb="002B2B2B"/>
              <sz val="10"/>
              <vertAlign val="subscript"/>
            </rPr>
            <t>d</t>
          </r>
        </is>
      </c>
      <c r="E23" s="25" t="n">
        <v>300</v>
      </c>
      <c r="F23" s="28" t="inlineStr">
        <is>
          <t>mm</t>
        </is>
      </c>
      <c r="G23" s="23" t="n"/>
    </row>
    <row r="25" ht="22" customHeight="1">
      <c r="B25" s="20" t="inlineStr">
        <is>
          <t>Inputs  ·  loads</t>
        </is>
      </c>
      <c r="C25" s="21" t="n"/>
      <c r="D25" s="21" t="n"/>
      <c r="E25" s="21" t="n"/>
      <c r="F25" s="21" t="n"/>
      <c r="G25" s="22" t="inlineStr">
        <is>
          <t>Characteristic, per m² on plan</t>
        </is>
      </c>
    </row>
    <row r="26" ht="17" customHeight="1">
      <c r="B26" s="23" t="n"/>
      <c r="C26" s="24" t="inlineStr">
        <is>
          <t>Finishes</t>
        </is>
      </c>
      <c r="D26" s="27" t="inlineStr">
        <is>
          <r>
            <rPr>
              <rFont val="Calibri"/>
              <i val="1"/>
              <color rgb="002B2B2B"/>
              <sz val="10"/>
            </rPr>
            <t>g</t>
          </r>
          <r>
            <rPr>
              <rFont val="Calibri"/>
              <i val="1"/>
              <color rgb="002B2B2B"/>
              <sz val="10"/>
              <vertAlign val="subscript"/>
            </rPr>
            <t>k</t>
          </r>
        </is>
      </c>
      <c r="E26" s="29" t="n">
        <v>1</v>
      </c>
      <c r="F26" s="28" t="inlineStr">
        <is>
          <t>kN/m²</t>
        </is>
      </c>
      <c r="G26" s="23" t="n"/>
    </row>
    <row r="27" ht="17" customHeight="1">
      <c r="B27" s="23" t="n"/>
      <c r="C27" s="24" t="inlineStr">
        <is>
          <t>Imposed load  (EN 1991-1-1 Table 6.2, stairs)</t>
        </is>
      </c>
      <c r="D27" s="27" t="inlineStr">
        <is>
          <r>
            <rPr>
              <rFont val="Calibri"/>
              <i val="1"/>
              <color rgb="002B2B2B"/>
              <sz val="10"/>
            </rPr>
            <t>q</t>
          </r>
          <r>
            <rPr>
              <rFont val="Calibri"/>
              <i val="1"/>
              <color rgb="002B2B2B"/>
              <sz val="10"/>
              <vertAlign val="subscript"/>
            </rPr>
            <t>k</t>
          </r>
        </is>
      </c>
      <c r="E27" s="29" t="n">
        <v>3</v>
      </c>
      <c r="F27" s="28" t="inlineStr">
        <is>
          <t>kN/m²</t>
        </is>
      </c>
      <c r="G27" s="23" t="n"/>
    </row>
    <row r="28" ht="17" customHeight="1">
      <c r="B28" s="26" t="inlineStr">
        <is>
          <t>EN 1990 A1.2(B)</t>
        </is>
      </c>
      <c r="C28" s="24" t="inlineStr">
        <is>
          <t>Partial factor, permanent</t>
        </is>
      </c>
      <c r="D28" s="27" t="inlineStr">
        <is>
          <r>
            <rPr>
              <rFont val="Calibri"/>
              <i val="1"/>
              <color rgb="002B2B2B"/>
              <sz val="10"/>
            </rPr>
            <t>γ</t>
          </r>
          <r>
            <rPr>
              <rFont val="Calibri"/>
              <i val="1"/>
              <color rgb="002B2B2B"/>
              <sz val="10"/>
              <vertAlign val="subscript"/>
            </rPr>
            <t>G</t>
          </r>
        </is>
      </c>
      <c r="E28" s="29" t="n">
        <v>1.35</v>
      </c>
      <c r="F28" s="23" t="n"/>
      <c r="G28" s="23" t="n"/>
    </row>
    <row r="29" ht="17" customHeight="1">
      <c r="B29" s="26" t="inlineStr">
        <is>
          <t>EN 1990 A1.2(B)</t>
        </is>
      </c>
      <c r="C29" s="24" t="inlineStr">
        <is>
          <t>Partial factor, variable</t>
        </is>
      </c>
      <c r="D29" s="27" t="inlineStr">
        <is>
          <r>
            <rPr>
              <rFont val="Calibri"/>
              <i val="1"/>
              <color rgb="002B2B2B"/>
              <sz val="10"/>
            </rPr>
            <t>γ</t>
          </r>
          <r>
            <rPr>
              <rFont val="Calibri"/>
              <i val="1"/>
              <color rgb="002B2B2B"/>
              <sz val="10"/>
              <vertAlign val="subscript"/>
            </rPr>
            <t>Q</t>
          </r>
        </is>
      </c>
      <c r="E29" s="29" t="n">
        <v>1.5</v>
      </c>
      <c r="F29" s="23" t="n"/>
      <c r="G29" s="23" t="n"/>
    </row>
    <row r="30" ht="17" customHeight="1">
      <c r="B30" s="26" t="inlineStr">
        <is>
          <t>7.4.2(2)</t>
        </is>
      </c>
      <c r="C30" s="24" t="inlineStr">
        <is>
          <t>Brittle partitions on a span over 7 m?</t>
        </is>
      </c>
      <c r="D30" s="23" t="n"/>
      <c r="E30" s="25" t="inlineStr">
        <is>
          <t>No</t>
        </is>
      </c>
      <c r="F30" s="23" t="n"/>
      <c r="G30" s="23" t="n"/>
    </row>
    <row r="31" ht="17" customHeight="1">
      <c r="B31" s="23" t="n"/>
      <c r="C31" s="24" t="inlineStr">
        <is>
          <t>Inputs valid and consistent</t>
        </is>
      </c>
      <c r="D31" s="23" t="n"/>
      <c r="E31" s="9" t="n"/>
      <c r="F31" s="23" t="n"/>
      <c r="G31" s="30">
        <f>IF(inputs_ok,"OK","FAIL")</f>
        <v/>
      </c>
    </row>
    <row r="33">
      <c r="B33" s="31" t="inlineStr">
        <is>
          <t>Your flight, to scale  ·  steps, waist, supports and main bars  ·  steps redrawn to fit L (up to 24)</t>
        </is>
      </c>
    </row>
    <row r="54" ht="22" customHeight="1">
      <c r="B54" s="20" t="inlineStr">
        <is>
          <t>Results</t>
        </is>
      </c>
      <c r="C54" s="21" t="n"/>
      <c r="D54" s="21" t="n"/>
      <c r="E54" s="21" t="n"/>
      <c r="F54" s="21" t="n"/>
      <c r="G54" s="21" t="n"/>
    </row>
    <row r="55" ht="26" customHeight="1">
      <c r="B55" s="32" t="n"/>
      <c r="C55" s="33" t="inlineStr">
        <is>
          <t>Bending  As,req / As,prov</t>
        </is>
      </c>
      <c r="D55" s="32" t="n"/>
      <c r="E55" s="34">
        <f>IFERROR(MAX(Asr_st,Asm_st)/Asp_st,"–")</f>
        <v/>
      </c>
      <c r="F55" s="35" t="inlineStr"/>
      <c r="G55" s="36">
        <f>IF(NOT(inputs_ok),"FAIL",IF(IFERROR(AND(Asp_st&gt;=MAX(Asr_st,Asm_st),s_st&lt;=smx_st),FALSE),"OK","FAIL"))</f>
        <v/>
      </c>
    </row>
    <row r="56" ht="26" customHeight="1">
      <c r="B56" s="32" t="n"/>
      <c r="C56" s="33" t="inlineStr">
        <is>
          <t>Shear without links  VEd / VRd,c</t>
        </is>
      </c>
      <c r="D56" s="32" t="n"/>
      <c r="E56" s="34">
        <f>V_st/VRc_st</f>
        <v/>
      </c>
      <c r="F56" s="35" t="inlineStr"/>
      <c r="G56" s="36">
        <f>IF(NOT(inputs_ok),"FAIL",IF(V_st&lt;=VRc_st,"OK","FAIL"))</f>
        <v/>
      </c>
    </row>
    <row r="57" ht="26" customHeight="1">
      <c r="B57" s="32" t="n"/>
      <c r="C57" s="33" t="inlineStr">
        <is>
          <t>Deflection  actual l/d ÷ limiting l/d</t>
        </is>
      </c>
      <c r="D57" s="32" t="n"/>
      <c r="E57" s="34">
        <f>IFERROR(ldA_st/ldL_st,"–")</f>
        <v/>
      </c>
      <c r="F57" s="35" t="inlineStr"/>
      <c r="G57" s="36">
        <f>IF(NOT(inputs_ok),"FAIL",IF(IFERROR(ldA_st&lt;=ldL_st,FALSE),"OK","FAIL"))</f>
        <v/>
      </c>
    </row>
    <row r="58" ht="26" customHeight="1">
      <c r="B58" s="32" t="n"/>
      <c r="C58" s="33" t="inlineStr">
        <is>
          <t>Detailing  (distribution bars, spacing, As,max)</t>
        </is>
      </c>
      <c r="D58" s="32" t="n"/>
      <c r="E58" s="37">
        <f>Asp_d</f>
        <v/>
      </c>
      <c r="F58" s="35" t="inlineStr">
        <is>
          <t>mm²/m</t>
        </is>
      </c>
      <c r="G58" s="36">
        <f>IF(NOT(inputs_ok),"FAIL",IF(det_st,"OK","FAIL"))</f>
        <v/>
      </c>
    </row>
    <row r="59" ht="26" customHeight="1">
      <c r="B59" s="32" t="n"/>
      <c r="C59" s="33" t="inlineStr">
        <is>
          <t>Comfort  2r + g  (550 – 700 mm, usual range)</t>
        </is>
      </c>
      <c r="D59" s="32" t="n"/>
      <c r="E59" s="37">
        <f>2*r_st+g_st</f>
        <v/>
      </c>
      <c r="F59" s="35" t="inlineStr">
        <is>
          <t>mm</t>
        </is>
      </c>
      <c r="G59" s="36">
        <f>IF(NOT(inputs_ok),"FAIL",IF(AND(2*r_st+g_st&gt;=550,2*r_st+g_st&lt;=700),"OK","! Check"))</f>
        <v/>
      </c>
    </row>
    <row r="61" ht="22" customHeight="1">
      <c r="B61" s="20" t="inlineStr">
        <is>
          <t>Calculation  ·  loads and actions  (per m width)</t>
        </is>
      </c>
      <c r="C61" s="21" t="n"/>
      <c r="D61" s="21" t="n"/>
      <c r="E61" s="21" t="n"/>
      <c r="F61" s="21" t="n"/>
      <c r="G61" s="21" t="n"/>
    </row>
    <row r="62" ht="17" customHeight="1">
      <c r="B62" s="26" t="inlineStr">
        <is>
          <t>2.4.2.4(1)</t>
        </is>
      </c>
      <c r="C62" s="24" t="inlineStr">
        <is>
          <t>Partial factor, concrete</t>
        </is>
      </c>
      <c r="D62" s="27" t="inlineStr">
        <is>
          <r>
            <rPr>
              <rFont val="Calibri"/>
              <i val="1"/>
              <color rgb="002B2B2B"/>
              <sz val="10"/>
            </rPr>
            <t>γ</t>
          </r>
          <r>
            <rPr>
              <rFont val="Calibri"/>
              <i val="1"/>
              <color rgb="002B2B2B"/>
              <sz val="10"/>
              <vertAlign val="subscript"/>
            </rPr>
            <t>c</t>
          </r>
        </is>
      </c>
      <c r="E62" s="38">
        <f>ndp_gamma_c</f>
        <v/>
      </c>
      <c r="F62" s="23" t="n"/>
      <c r="G62" s="26" t="inlineStr">
        <is>
          <t>NDP sheet</t>
        </is>
      </c>
    </row>
    <row r="63" ht="17" customHeight="1">
      <c r="B63" s="26" t="inlineStr">
        <is>
          <t>2.4.2.4(1)</t>
        </is>
      </c>
      <c r="C63" s="24" t="inlineStr">
        <is>
          <t>Partial factor, reinforcement</t>
        </is>
      </c>
      <c r="D63" s="27" t="inlineStr">
        <is>
          <r>
            <rPr>
              <rFont val="Calibri"/>
              <i val="1"/>
              <color rgb="002B2B2B"/>
              <sz val="10"/>
            </rPr>
            <t>γ</t>
          </r>
          <r>
            <rPr>
              <rFont val="Calibri"/>
              <i val="1"/>
              <color rgb="002B2B2B"/>
              <sz val="10"/>
              <vertAlign val="subscript"/>
            </rPr>
            <t>s</t>
          </r>
        </is>
      </c>
      <c r="E63" s="38">
        <f>ndp_gamma_s</f>
        <v/>
      </c>
      <c r="F63" s="23" t="n"/>
      <c r="G63" s="26" t="inlineStr">
        <is>
          <t>NDP sheet</t>
        </is>
      </c>
    </row>
    <row r="64" ht="17" customHeight="1">
      <c r="B64" s="26" t="inlineStr">
        <is>
          <t>3.1.6(1)</t>
        </is>
      </c>
      <c r="C64" s="24" t="inlineStr">
        <is>
          <t>Coefficient on compressive strength (flexure)</t>
        </is>
      </c>
      <c r="D64" s="27" t="inlineStr">
        <is>
          <r>
            <rPr>
              <rFont val="Calibri"/>
              <i val="1"/>
              <color rgb="002B2B2B"/>
              <sz val="10"/>
            </rPr>
            <t>α</t>
          </r>
          <r>
            <rPr>
              <rFont val="Calibri"/>
              <i val="1"/>
              <color rgb="002B2B2B"/>
              <sz val="10"/>
              <vertAlign val="subscript"/>
            </rPr>
            <t>cc</t>
          </r>
        </is>
      </c>
      <c r="E64" s="38">
        <f>ndp_alpha_cc</f>
        <v/>
      </c>
      <c r="F64" s="23" t="n"/>
      <c r="G64" s="26" t="inlineStr">
        <is>
          <t>NDP sheet</t>
        </is>
      </c>
    </row>
    <row r="65" ht="17" customHeight="1">
      <c r="B65" s="26" t="inlineStr">
        <is>
          <t>6.2.2(1), 6.4.4(1)</t>
        </is>
      </c>
      <c r="C65" s="24" t="inlineStr">
        <is>
          <t>Coefficient  0.18 / γc</t>
        </is>
      </c>
      <c r="D65" s="27" t="inlineStr">
        <is>
          <r>
            <rPr>
              <rFont val="Calibri"/>
              <i val="1"/>
              <color rgb="002B2B2B"/>
              <sz val="10"/>
            </rPr>
            <t>C</t>
          </r>
          <r>
            <rPr>
              <rFont val="Calibri"/>
              <i val="1"/>
              <color rgb="002B2B2B"/>
              <sz val="10"/>
              <vertAlign val="subscript"/>
            </rPr>
            <t>Rd,c</t>
          </r>
        </is>
      </c>
      <c r="E65" s="39">
        <f>ndp_C_Rdc/ndp_gamma_c</f>
        <v/>
      </c>
      <c r="F65" s="23" t="n"/>
      <c r="G65" s="26" t="inlineStr">
        <is>
          <t>NDP sheet</t>
        </is>
      </c>
    </row>
    <row r="66" ht="17" customHeight="1">
      <c r="B66" s="26" t="inlineStr">
        <is>
          <t>7.4.2(2)</t>
        </is>
      </c>
      <c r="C66" s="24" t="inlineStr">
        <is>
          <t>Upper limit on the stress / area factor</t>
        </is>
      </c>
      <c r="D66" s="23" t="n"/>
      <c r="E66" s="38">
        <f>ndp_ld_mod_max</f>
        <v/>
      </c>
      <c r="F66" s="23" t="n"/>
      <c r="G66" s="26" t="inlineStr">
        <is>
          <t>NDP sheet</t>
        </is>
      </c>
    </row>
    <row r="67" ht="17" customHeight="1">
      <c r="B67" s="26" t="inlineStr">
        <is>
          <t>7.4.2(2)</t>
        </is>
      </c>
      <c r="C67" s="24" t="inlineStr">
        <is>
          <t>L/d ≤ 40K applies (1 = yes)</t>
        </is>
      </c>
      <c r="D67" s="23" t="n"/>
      <c r="E67" s="38">
        <f>ndp_ld_cap_40K</f>
        <v/>
      </c>
      <c r="F67" s="23" t="n"/>
      <c r="G67" s="26" t="inlineStr">
        <is>
          <t>NDP sheet</t>
        </is>
      </c>
    </row>
    <row r="68" ht="17" customHeight="1">
      <c r="B68" s="26" t="inlineStr">
        <is>
          <t>Table 3.1</t>
        </is>
      </c>
      <c r="C68" s="24" t="inlineStr">
        <is>
          <t>Characteristic cylinder strength</t>
        </is>
      </c>
      <c r="D68" s="27" t="inlineStr">
        <is>
          <r>
            <rPr>
              <rFont val="Calibri"/>
              <i val="1"/>
              <color rgb="002B2B2B"/>
              <sz val="10"/>
            </rPr>
            <t>f</t>
          </r>
          <r>
            <rPr>
              <rFont val="Calibri"/>
              <i val="1"/>
              <color rgb="002B2B2B"/>
              <sz val="10"/>
              <vertAlign val="subscript"/>
            </rPr>
            <t>ck</t>
          </r>
        </is>
      </c>
      <c r="E68" s="40">
        <f>VALUE(MID(conc_class,2,FIND("/",conc_class)-2))</f>
        <v/>
      </c>
      <c r="F68" s="28" t="inlineStr">
        <is>
          <t>MPa</t>
        </is>
      </c>
      <c r="G68" s="23" t="n"/>
    </row>
    <row r="69" ht="17" customHeight="1">
      <c r="B69" s="26" t="inlineStr">
        <is>
          <t>Table 3.1</t>
        </is>
      </c>
      <c r="C69" s="24" t="inlineStr">
        <is>
          <t>Mean tensile strength</t>
        </is>
      </c>
      <c r="D69" s="27" t="inlineStr">
        <is>
          <r>
            <rPr>
              <rFont val="Calibri"/>
              <i val="1"/>
              <color rgb="002B2B2B"/>
              <sz val="10"/>
            </rPr>
            <t>f</t>
          </r>
          <r>
            <rPr>
              <rFont val="Calibri"/>
              <i val="1"/>
              <color rgb="002B2B2B"/>
              <sz val="10"/>
              <vertAlign val="subscript"/>
            </rPr>
            <t>ctm</t>
          </r>
        </is>
      </c>
      <c r="E69" s="38">
        <f>IF(f_ck&lt;=50,0.3*f_ck^(2/3),2.12*LN(1+(f_ck+8)/10))</f>
        <v/>
      </c>
      <c r="F69" s="28" t="inlineStr">
        <is>
          <t>MPa</t>
        </is>
      </c>
      <c r="G69" s="23" t="n"/>
    </row>
    <row r="70" ht="17" customHeight="1">
      <c r="B70" s="26" t="inlineStr">
        <is>
          <t>3.1.6(1)</t>
        </is>
      </c>
      <c r="C70" s="24" t="inlineStr">
        <is>
          <t>Design compressive strength  αcc fck / γc</t>
        </is>
      </c>
      <c r="D70" s="27" t="inlineStr">
        <is>
          <r>
            <rPr>
              <rFont val="Calibri"/>
              <i val="1"/>
              <color rgb="002B2B2B"/>
              <sz val="10"/>
            </rPr>
            <t>f</t>
          </r>
          <r>
            <rPr>
              <rFont val="Calibri"/>
              <i val="1"/>
              <color rgb="002B2B2B"/>
              <sz val="10"/>
              <vertAlign val="subscript"/>
            </rPr>
            <t>cd</t>
          </r>
        </is>
      </c>
      <c r="E70" s="38">
        <f>alpha_cc*f_ck/gamma_c</f>
        <v/>
      </c>
      <c r="F70" s="28" t="inlineStr">
        <is>
          <t>MPa</t>
        </is>
      </c>
      <c r="G70" s="23" t="n"/>
    </row>
    <row r="71" ht="17" customHeight="1">
      <c r="B71" s="26" t="inlineStr">
        <is>
          <t>3.2.7</t>
        </is>
      </c>
      <c r="C71" s="24" t="inlineStr">
        <is>
          <t>Design yield strength</t>
        </is>
      </c>
      <c r="D71" s="27" t="inlineStr">
        <is>
          <r>
            <rPr>
              <rFont val="Calibri"/>
              <i val="1"/>
              <color rgb="002B2B2B"/>
              <sz val="10"/>
            </rPr>
            <t>f</t>
          </r>
          <r>
            <rPr>
              <rFont val="Calibri"/>
              <i val="1"/>
              <color rgb="002B2B2B"/>
              <sz val="10"/>
              <vertAlign val="subscript"/>
            </rPr>
            <t>yd</t>
          </r>
        </is>
      </c>
      <c r="E71" s="41">
        <f>f_yk/gamma_s</f>
        <v/>
      </c>
      <c r="F71" s="28" t="inlineStr">
        <is>
          <t>MPa</t>
        </is>
      </c>
      <c r="G71" s="23" t="n"/>
    </row>
    <row r="72" ht="17" customHeight="1">
      <c r="B72" s="23" t="n"/>
      <c r="C72" s="24" t="inlineStr">
        <is>
          <t>Pitch  θ = atan(r / g)</t>
        </is>
      </c>
      <c r="D72" s="27" t="inlineStr">
        <is>
          <r>
            <rPr>
              <rFont val="Calibri"/>
              <i val="1"/>
              <color rgb="002B2B2B"/>
              <sz val="10"/>
            </rPr>
            <t>θ</t>
          </r>
        </is>
      </c>
      <c r="E72" s="41">
        <f>DEGREES(ATAN(r_st/g_st))</f>
        <v/>
      </c>
      <c r="F72" s="28" t="inlineStr">
        <is>
          <t>°</t>
        </is>
      </c>
      <c r="G72" s="23" t="n"/>
    </row>
    <row r="73" ht="17" customHeight="1">
      <c r="B73" s="23" t="n"/>
      <c r="C73" s="24" t="inlineStr">
        <is>
          <t>Waist on plan  25 t / cos θ</t>
        </is>
      </c>
      <c r="D73" s="27" t="inlineStr">
        <is>
          <r>
            <rPr>
              <rFont val="Calibri"/>
              <i val="1"/>
              <color rgb="002B2B2B"/>
              <sz val="10"/>
            </rPr>
            <t>g</t>
          </r>
          <r>
            <rPr>
              <rFont val="Calibri"/>
              <i val="1"/>
              <color rgb="002B2B2B"/>
              <sz val="10"/>
              <vertAlign val="subscript"/>
            </rPr>
            <t>w</t>
          </r>
        </is>
      </c>
      <c r="E73" s="38">
        <f>25*t_st/1000/COS(RADIANS(th_st))</f>
        <v/>
      </c>
      <c r="F73" s="28" t="inlineStr">
        <is>
          <t>kN/m²</t>
        </is>
      </c>
      <c r="G73" s="23" t="n"/>
    </row>
    <row r="74" ht="17" customHeight="1">
      <c r="B74" s="23" t="n"/>
      <c r="C74" s="24" t="inlineStr">
        <is>
          <t>Steps  25 r / 2</t>
        </is>
      </c>
      <c r="D74" s="27" t="inlineStr">
        <is>
          <r>
            <rPr>
              <rFont val="Calibri"/>
              <i val="1"/>
              <color rgb="002B2B2B"/>
              <sz val="10"/>
            </rPr>
            <t>g</t>
          </r>
          <r>
            <rPr>
              <rFont val="Calibri"/>
              <i val="1"/>
              <color rgb="002B2B2B"/>
              <sz val="10"/>
              <vertAlign val="subscript"/>
            </rPr>
            <t>s</t>
          </r>
        </is>
      </c>
      <c r="E74" s="38">
        <f>25*r_st/2000</f>
        <v/>
      </c>
      <c r="F74" s="28" t="inlineStr">
        <is>
          <t>kN/m²</t>
        </is>
      </c>
      <c r="G74" s="23" t="n"/>
    </row>
    <row r="75" ht="17" customHeight="1">
      <c r="B75" s="26" t="inlineStr">
        <is>
          <t>EN 1990 (6.10)</t>
        </is>
      </c>
      <c r="C75" s="24" t="inlineStr">
        <is>
          <t>Design load  γG (gw + gs + gk) + γQ qk</t>
        </is>
      </c>
      <c r="D75" s="27" t="inlineStr">
        <is>
          <r>
            <rPr>
              <rFont val="Calibri"/>
              <i val="1"/>
              <color rgb="002B2B2B"/>
              <sz val="10"/>
            </rPr>
            <t>n</t>
          </r>
        </is>
      </c>
      <c r="E75" s="38">
        <f>gamma_G*(gw_st+gs_st+gk_st)+gamma_Q*qk_st</f>
        <v/>
      </c>
      <c r="F75" s="28" t="inlineStr">
        <is>
          <t>kN/m²</t>
        </is>
      </c>
      <c r="G75" s="23" t="n"/>
    </row>
    <row r="76" ht="17" customHeight="1">
      <c r="B76" s="23" t="n"/>
      <c r="C76" s="24" t="inlineStr">
        <is>
          <t>Design moment  n L² / 8</t>
        </is>
      </c>
      <c r="D76" s="27" t="inlineStr">
        <is>
          <r>
            <rPr>
              <rFont val="Calibri"/>
              <i val="1"/>
              <color rgb="002B2B2B"/>
              <sz val="10"/>
            </rPr>
            <t>M</t>
          </r>
          <r>
            <rPr>
              <rFont val="Calibri"/>
              <i val="1"/>
              <color rgb="002B2B2B"/>
              <sz val="10"/>
              <vertAlign val="subscript"/>
            </rPr>
            <t>Ed</t>
          </r>
        </is>
      </c>
      <c r="E76" s="42">
        <f>n_st*(L_st/1000)^2/8</f>
        <v/>
      </c>
      <c r="F76" s="28" t="inlineStr">
        <is>
          <t>kNm/m</t>
        </is>
      </c>
      <c r="G76" s="23" t="n"/>
    </row>
    <row r="77" ht="17" customHeight="1">
      <c r="B77" s="23" t="n"/>
      <c r="C77" s="24" t="inlineStr">
        <is>
          <t>Design shear  n L / 2  (support reaction, conservative)</t>
        </is>
      </c>
      <c r="D77" s="27" t="inlineStr">
        <is>
          <r>
            <rPr>
              <rFont val="Calibri"/>
              <i val="1"/>
              <color rgb="002B2B2B"/>
              <sz val="10"/>
            </rPr>
            <t>V</t>
          </r>
          <r>
            <rPr>
              <rFont val="Calibri"/>
              <i val="1"/>
              <color rgb="002B2B2B"/>
              <sz val="10"/>
              <vertAlign val="subscript"/>
            </rPr>
            <t>Ed</t>
          </r>
        </is>
      </c>
      <c r="E77" s="41">
        <f>n_st*L_st/2000</f>
        <v/>
      </c>
      <c r="F77" s="28" t="inlineStr">
        <is>
          <t>kN/m</t>
        </is>
      </c>
      <c r="G77" s="23" t="n"/>
    </row>
    <row r="79" ht="22" customHeight="1">
      <c r="B79" s="20" t="inlineStr">
        <is>
          <t>Calculation  ·  waist section</t>
        </is>
      </c>
      <c r="C79" s="21" t="n"/>
      <c r="D79" s="21" t="n"/>
      <c r="E79" s="21" t="n"/>
      <c r="F79" s="21" t="n"/>
      <c r="G79" s="21" t="n"/>
    </row>
    <row r="80" ht="17" customHeight="1">
      <c r="B80" s="23" t="n"/>
      <c r="C80" s="24" t="inlineStr">
        <is>
          <t>Effective depth  t − c − φ/2</t>
        </is>
      </c>
      <c r="D80" s="27" t="inlineStr">
        <is>
          <r>
            <rPr>
              <rFont val="Calibri"/>
              <i val="1"/>
              <color rgb="002B2B2B"/>
              <sz val="10"/>
            </rPr>
            <t>d</t>
          </r>
        </is>
      </c>
      <c r="E80" s="40">
        <f>t_st-c_nom-phi_st/2</f>
        <v/>
      </c>
      <c r="F80" s="28" t="inlineStr">
        <is>
          <t>mm</t>
        </is>
      </c>
      <c r="G80" s="23" t="n"/>
    </row>
    <row r="81" ht="17" customHeight="1">
      <c r="B81" s="23" t="n"/>
      <c r="C81" s="24" t="inlineStr">
        <is>
          <t>K = M / (b d² fck)</t>
        </is>
      </c>
      <c r="D81" s="27" t="inlineStr">
        <is>
          <r>
            <rPr>
              <rFont val="Calibri"/>
              <i val="1"/>
              <color rgb="002B2B2B"/>
              <sz val="10"/>
            </rPr>
            <t>K</t>
          </r>
        </is>
      </c>
      <c r="E81" s="39">
        <f>M_st*1E6/(1000*d_st^2*f_ck)</f>
        <v/>
      </c>
      <c r="F81" s="23" t="n"/>
      <c r="G81" s="23" t="n"/>
    </row>
    <row r="82" ht="17" customHeight="1">
      <c r="B82" s="26" t="inlineStr">
        <is>
          <t>3.1.7(3)</t>
        </is>
      </c>
      <c r="C82" s="24" t="inlineStr">
        <is>
          <t>Limit on K without compression bars  (ξ ≤ 0.45)</t>
        </is>
      </c>
      <c r="D82" s="27" t="inlineStr">
        <is>
          <r>
            <rPr>
              <rFont val="Calibri"/>
              <i val="1"/>
              <color rgb="002B2B2B"/>
              <sz val="10"/>
            </rPr>
            <t>K'</t>
          </r>
        </is>
      </c>
      <c r="E82" s="39">
        <f>alpha_cc/gamma_c*0.8*0.45*(1-0.4*0.45)</f>
        <v/>
      </c>
      <c r="F82" s="23" t="n"/>
      <c r="G82" s="23" t="n"/>
    </row>
    <row r="83" ht="17" customHeight="1">
      <c r="B83" s="23" t="n"/>
      <c r="C83" s="24" t="inlineStr">
        <is>
          <t>As required  M / (fyd z),  z = d (1 − 0.4ξ) ≤ 0.95 d</t>
        </is>
      </c>
      <c r="D83" s="27" t="inlineStr">
        <is>
          <r>
            <rPr>
              <rFont val="Calibri"/>
              <i val="1"/>
              <color rgb="002B2B2B"/>
              <sz val="10"/>
            </rPr>
            <t>A</t>
          </r>
          <r>
            <rPr>
              <rFont val="Calibri"/>
              <i val="1"/>
              <color rgb="002B2B2B"/>
              <sz val="10"/>
              <vertAlign val="subscript"/>
            </rPr>
            <t>s,req</t>
          </r>
        </is>
      </c>
      <c r="E83" s="40">
        <f>IF(K_st&lt;=Kl_st,M_st*1E6/(f_yd*MIN(0.95*d_st,d_st*(1-0.5*(1-SQRT(1-2*K_st/(alpha_cc/gamma_c)))))),NA())</f>
        <v/>
      </c>
      <c r="F83" s="28" t="inlineStr">
        <is>
          <t>mm²/m</t>
        </is>
      </c>
      <c r="G83" s="23" t="n"/>
    </row>
    <row r="84" ht="17" customHeight="1">
      <c r="B84" s="26" t="inlineStr">
        <is>
          <t>(9.1N)</t>
        </is>
      </c>
      <c r="C84" s="24" t="inlineStr">
        <is>
          <t>As,min  max(0.26 fctm/fyk; 0.0013) b d</t>
        </is>
      </c>
      <c r="D84" s="27" t="inlineStr">
        <is>
          <r>
            <rPr>
              <rFont val="Calibri"/>
              <i val="1"/>
              <color rgb="002B2B2B"/>
              <sz val="10"/>
            </rPr>
            <t>A</t>
          </r>
          <r>
            <rPr>
              <rFont val="Calibri"/>
              <i val="1"/>
              <color rgb="002B2B2B"/>
              <sz val="10"/>
              <vertAlign val="subscript"/>
            </rPr>
            <t>s,min</t>
          </r>
        </is>
      </c>
      <c r="E84" s="40">
        <f>MAX(0.26*f_ctm/f_yk,0.0013)*1000*d_st</f>
        <v/>
      </c>
      <c r="F84" s="28" t="inlineStr">
        <is>
          <t>mm²/m</t>
        </is>
      </c>
      <c r="G84" s="23" t="n"/>
    </row>
    <row r="85" ht="17" customHeight="1">
      <c r="B85" s="23" t="n"/>
      <c r="C85" s="24" t="inlineStr">
        <is>
          <t>As provided  1000 π φ² / (4 s)</t>
        </is>
      </c>
      <c r="D85" s="27" t="inlineStr">
        <is>
          <r>
            <rPr>
              <rFont val="Calibri"/>
              <i val="1"/>
              <color rgb="002B2B2B"/>
              <sz val="10"/>
            </rPr>
            <t>A</t>
          </r>
          <r>
            <rPr>
              <rFont val="Calibri"/>
              <i val="1"/>
              <color rgb="002B2B2B"/>
              <sz val="10"/>
              <vertAlign val="subscript"/>
            </rPr>
            <t>s,prov</t>
          </r>
        </is>
      </c>
      <c r="E85" s="40">
        <f>1000*PI()*phi_st^2/4/s_st</f>
        <v/>
      </c>
      <c r="F85" s="28" t="inlineStr">
        <is>
          <t>mm²/m</t>
        </is>
      </c>
      <c r="G85" s="23" t="n"/>
    </row>
    <row r="86" ht="17" customHeight="1">
      <c r="B86" s="26" t="inlineStr">
        <is>
          <t>(6.2)</t>
        </is>
      </c>
      <c r="C86" s="24" t="inlineStr">
        <is>
          <t>Shear resistance without links</t>
        </is>
      </c>
      <c r="D86" s="27" t="inlineStr">
        <is>
          <r>
            <rPr>
              <rFont val="Calibri"/>
              <i val="1"/>
              <color rgb="002B2B2B"/>
              <sz val="10"/>
            </rPr>
            <t>V</t>
          </r>
          <r>
            <rPr>
              <rFont val="Calibri"/>
              <i val="1"/>
              <color rgb="002B2B2B"/>
              <sz val="10"/>
              <vertAlign val="subscript"/>
            </rPr>
            <t>Rd,c</t>
          </r>
        </is>
      </c>
      <c r="E86" s="41">
        <f>MAX(C_Rdc*MIN(2,1+SQRT(200/d_st))*(100*MIN(0.02,Asp_st/(1000*d_st))*f_ck)^(1/3),0.035*MIN(2,1+SQRT(200/d_st))^1.5*SQRT(f_ck))*d_st</f>
        <v/>
      </c>
      <c r="F86" s="28" t="inlineStr">
        <is>
          <t>kN/m</t>
        </is>
      </c>
      <c r="G86" s="23" t="n"/>
    </row>
    <row r="87" ht="17" customHeight="1">
      <c r="B87" s="26" t="inlineStr">
        <is>
          <t>9.3.1.1(3)</t>
        </is>
      </c>
      <c r="C87" s="24" t="inlineStr">
        <is>
          <t>Bending  As,prov ≥ max(As,req; As,min), main spacing ≤ s_max</t>
        </is>
      </c>
      <c r="D87" s="27" t="inlineStr">
        <is>
          <r>
            <rPr>
              <rFont val="Calibri"/>
              <i val="1"/>
              <color rgb="002B2B2B"/>
              <sz val="10"/>
            </rPr>
            <t>A</t>
          </r>
          <r>
            <rPr>
              <rFont val="Calibri"/>
              <i val="1"/>
              <color rgb="002B2B2B"/>
              <sz val="10"/>
              <vertAlign val="subscript"/>
            </rPr>
            <t>s</t>
          </r>
        </is>
      </c>
      <c r="E87" s="40">
        <f>Asp_st</f>
        <v/>
      </c>
      <c r="F87" s="28" t="inlineStr">
        <is>
          <t>mm²/m</t>
        </is>
      </c>
      <c r="G87" s="30">
        <f>IF(NOT(inputs_ok),"FAIL",IF(IFERROR(AND(Asp_st&gt;=MAX(Asr_st,Asm_st),s_st&lt;=smx_st),FALSE),"OK","FAIL"))</f>
        <v/>
      </c>
    </row>
    <row r="88" ht="17" customHeight="1">
      <c r="B88" s="26" t="inlineStr">
        <is>
          <t>(6.2)</t>
        </is>
      </c>
      <c r="C88" s="24" t="inlineStr">
        <is>
          <t>Shear  VEd ≤ VRd,c</t>
        </is>
      </c>
      <c r="D88" s="27" t="inlineStr">
        <is>
          <r>
            <rPr>
              <rFont val="Calibri"/>
              <i val="1"/>
              <color rgb="002B2B2B"/>
              <sz val="10"/>
            </rPr>
            <t>V</t>
          </r>
          <r>
            <rPr>
              <rFont val="Calibri"/>
              <i val="1"/>
              <color rgb="002B2B2B"/>
              <sz val="10"/>
              <vertAlign val="subscript"/>
            </rPr>
            <t>Ed</t>
          </r>
        </is>
      </c>
      <c r="E88" s="41">
        <f>V_st</f>
        <v/>
      </c>
      <c r="F88" s="28" t="inlineStr">
        <is>
          <t>kN/m</t>
        </is>
      </c>
      <c r="G88" s="30">
        <f>IF(NOT(inputs_ok),"FAIL",IF(V_st&lt;=VRc_st,"OK","FAIL"))</f>
        <v/>
      </c>
    </row>
    <row r="90" ht="22" customHeight="1">
      <c r="B90" s="20" t="inlineStr">
        <is>
          <t>Calculation  ·  deflection and detailing</t>
        </is>
      </c>
      <c r="C90" s="21" t="n"/>
      <c r="D90" s="21" t="n"/>
      <c r="E90" s="21" t="n"/>
      <c r="F90" s="21" t="n"/>
      <c r="G90" s="21" t="n"/>
    </row>
    <row r="91" ht="17" customHeight="1">
      <c r="B91" s="26" t="inlineStr">
        <is>
          <t>7.4.2</t>
        </is>
      </c>
      <c r="C91" s="24" t="inlineStr">
        <is>
          <t>ρ = max(As,req; As,min) / (b d)</t>
        </is>
      </c>
      <c r="D91" s="27" t="inlineStr">
        <is>
          <r>
            <rPr>
              <rFont val="Calibri"/>
              <i val="1"/>
              <color rgb="002B2B2B"/>
              <sz val="10"/>
            </rPr>
            <t>ρ</t>
          </r>
        </is>
      </c>
      <c r="E91" s="43">
        <f>MAX(Asr_st,Asm_st)/(1000*d_st)</f>
        <v/>
      </c>
      <c r="F91" s="23" t="n"/>
      <c r="G91" s="26" t="inlineStr">
        <is>
          <t>N/A: bending fails</t>
        </is>
      </c>
    </row>
    <row r="92" ht="17" customHeight="1">
      <c r="B92" s="26" t="inlineStr">
        <is>
          <t>(7.16)</t>
        </is>
      </c>
      <c r="C92" s="24" t="inlineStr">
        <is>
          <t>ρ0 = √fck · 10⁻³</t>
        </is>
      </c>
      <c r="D92" s="27" t="inlineStr">
        <is>
          <r>
            <rPr>
              <rFont val="Calibri"/>
              <i val="1"/>
              <color rgb="002B2B2B"/>
              <sz val="10"/>
            </rPr>
            <t>ρ</t>
          </r>
          <r>
            <rPr>
              <rFont val="Calibri"/>
              <i val="1"/>
              <color rgb="002B2B2B"/>
              <sz val="10"/>
              <vertAlign val="subscript"/>
            </rPr>
            <t>0</t>
          </r>
        </is>
      </c>
      <c r="E92" s="43">
        <f>SQRT(f_ck)/1000</f>
        <v/>
      </c>
      <c r="F92" s="23" t="n"/>
      <c r="G92" s="23" t="n"/>
    </row>
    <row r="93" ht="17" customHeight="1">
      <c r="B93" s="26" t="inlineStr">
        <is>
          <t>(7.16)</t>
        </is>
      </c>
      <c r="C93" s="24" t="inlineStr">
        <is>
          <t>Basic span to depth ratio  (K = 1.0)</t>
        </is>
      </c>
      <c r="D93" s="27" t="inlineStr">
        <is>
          <r>
            <rPr>
              <rFont val="Calibri"/>
              <i val="1"/>
              <color rgb="002B2B2B"/>
              <sz val="10"/>
            </rPr>
            <t>l/d</t>
          </r>
        </is>
      </c>
      <c r="E93" s="41">
        <f>IF(rho_st&lt;=rho0_st,11+1.5*SQRT(f_ck)*rho0_st/rho_st+3.2*SQRT(f_ck)*(rho0_st/rho_st-1)^1.5,11+1.5*SQRT(f_ck)*rho0_st/rho_st)</f>
        <v/>
      </c>
      <c r="F93" s="23" t="n"/>
      <c r="G93" s="23" t="n"/>
    </row>
    <row r="94" ht="17" customHeight="1">
      <c r="B94" s="26" t="inlineStr">
        <is>
          <t>7.4.2(2)</t>
        </is>
      </c>
      <c r="C94" s="24" t="inlineStr">
        <is>
          <t>Steel stress factor  (As,prov / As,req)(500 / fyk)  (UK ≤ 1.5)</t>
        </is>
      </c>
      <c r="D94" s="27" t="inlineStr">
        <is>
          <r>
            <rPr>
              <rFont val="Calibri"/>
              <i val="1"/>
              <color rgb="002B2B2B"/>
              <sz val="10"/>
            </rPr>
            <t>F</t>
          </r>
          <r>
            <rPr>
              <rFont val="Calibri"/>
              <i val="1"/>
              <color rgb="002B2B2B"/>
              <sz val="10"/>
              <vertAlign val="subscript"/>
            </rPr>
            <t>3</t>
          </r>
        </is>
      </c>
      <c r="E94" s="39">
        <f>IF(ld_mod_max&gt;0,MIN(ld_mod_max,Asp_st/(rho_st*1000*d_st)*500/f_yk),Asp_st/(rho_st*1000*d_st)*500/f_yk)</f>
        <v/>
      </c>
      <c r="F94" s="23" t="n"/>
      <c r="G94" s="23" t="n"/>
    </row>
    <row r="95" ht="17" customHeight="1">
      <c r="B95" s="26" t="inlineStr">
        <is>
          <t>7.4.2(2)</t>
        </is>
      </c>
      <c r="C95" s="24" t="inlineStr">
        <is>
          <t>Long span factor  7 / L  (L &gt; 7 m, brittle partitions)</t>
        </is>
      </c>
      <c r="D95" s="27" t="inlineStr">
        <is>
          <r>
            <rPr>
              <rFont val="Calibri"/>
              <i val="1"/>
              <color rgb="002B2B2B"/>
              <sz val="10"/>
            </rPr>
            <t>F</t>
          </r>
          <r>
            <rPr>
              <rFont val="Calibri"/>
              <i val="1"/>
              <color rgb="002B2B2B"/>
              <sz val="10"/>
              <vertAlign val="subscript"/>
            </rPr>
            <t>2</t>
          </r>
        </is>
      </c>
      <c r="E95" s="39">
        <f>IF(AND(partitions="Yes",L_st&gt;7000),7000/L_st,1)</f>
        <v/>
      </c>
      <c r="F95" s="23" t="n"/>
      <c r="G95" s="23" t="n"/>
    </row>
    <row r="96" ht="17" customHeight="1">
      <c r="B96" s="26" t="inlineStr">
        <is>
          <t>7.4.2</t>
        </is>
      </c>
      <c r="C96" s="24" t="inlineStr">
        <is>
          <t>Limiting span to depth ratio  (UK NA: ≤ 40)</t>
        </is>
      </c>
      <c r="D96" s="27" t="inlineStr">
        <is>
          <r>
            <rPr>
              <rFont val="Calibri"/>
              <i val="1"/>
              <color rgb="002B2B2B"/>
              <sz val="10"/>
            </rPr>
            <t>l/d</t>
          </r>
          <r>
            <rPr>
              <rFont val="Calibri"/>
              <i val="1"/>
              <color rgb="002B2B2B"/>
              <sz val="10"/>
              <vertAlign val="subscript"/>
            </rPr>
            <t>lim</t>
          </r>
        </is>
      </c>
      <c r="E96" s="42">
        <f>IF(ld_cap_40K=1,MIN(40,ldB_st*F2_st*F3_st),ldB_st*F2_st*F3_st)</f>
        <v/>
      </c>
      <c r="F96" s="23" t="n"/>
      <c r="G96" s="23" t="n"/>
    </row>
    <row r="97" ht="17" customHeight="1">
      <c r="B97" s="23" t="n"/>
      <c r="C97" s="24" t="inlineStr">
        <is>
          <t>Actual  L / d</t>
        </is>
      </c>
      <c r="D97" s="27" t="inlineStr">
        <is>
          <r>
            <rPr>
              <rFont val="Calibri"/>
              <i val="1"/>
              <color rgb="002B2B2B"/>
              <sz val="10"/>
            </rPr>
            <t>l/d</t>
          </r>
        </is>
      </c>
      <c r="E97" s="41">
        <f>L_st/d_st</f>
        <v/>
      </c>
      <c r="F97" s="23" t="n"/>
      <c r="G97" s="23" t="n"/>
    </row>
    <row r="98" ht="17" customHeight="1">
      <c r="B98" s="26" t="inlineStr">
        <is>
          <t>7.4.2</t>
        </is>
      </c>
      <c r="C98" s="24" t="inlineStr">
        <is>
          <t>Deflection  l/d ≤ limit</t>
        </is>
      </c>
      <c r="D98" s="27" t="inlineStr">
        <is>
          <r>
            <rPr>
              <rFont val="Calibri"/>
              <i val="1"/>
              <color rgb="002B2B2B"/>
              <sz val="10"/>
            </rPr>
            <t>l/d</t>
          </r>
        </is>
      </c>
      <c r="E98" s="41">
        <f>ldA_st</f>
        <v/>
      </c>
      <c r="F98" s="23" t="n"/>
      <c r="G98" s="30">
        <f>IF(NOT(inputs_ok),"FAIL",IF(IFERROR(ldA_st&lt;=ldL_st,FALSE),"OK","FAIL"))</f>
        <v/>
      </c>
    </row>
    <row r="99" ht="17" customHeight="1">
      <c r="B99" s="26" t="inlineStr">
        <is>
          <t>9.3.1.1(3)</t>
        </is>
      </c>
      <c r="C99" s="24" t="inlineStr">
        <is>
          <t>Maximum main bar spacing at maximum moment  min(2h; 250)</t>
        </is>
      </c>
      <c r="D99" s="27" t="inlineStr">
        <is>
          <r>
            <rPr>
              <rFont val="Calibri"/>
              <i val="1"/>
              <color rgb="002B2B2B"/>
              <sz val="10"/>
            </rPr>
            <t>s</t>
          </r>
          <r>
            <rPr>
              <rFont val="Calibri"/>
              <i val="1"/>
              <color rgb="002B2B2B"/>
              <sz val="10"/>
              <vertAlign val="subscript"/>
            </rPr>
            <t>max</t>
          </r>
        </is>
      </c>
      <c r="E99" s="40">
        <f>MIN(2*t_st,250)</f>
        <v/>
      </c>
      <c r="F99" s="28" t="inlineStr">
        <is>
          <t>mm</t>
        </is>
      </c>
      <c r="G99" s="23" t="n"/>
    </row>
    <row r="100" ht="17" customHeight="1">
      <c r="B100" s="26" t="inlineStr">
        <is>
          <t>8.2(2)</t>
        </is>
      </c>
      <c r="C100" s="24" t="inlineStr">
        <is>
          <t>Minimum clear gap  max(φ; dg + 5; 20)</t>
        </is>
      </c>
      <c r="D100" s="27" t="inlineStr">
        <is>
          <r>
            <rPr>
              <rFont val="Calibri"/>
              <i val="1"/>
              <color rgb="002B2B2B"/>
              <sz val="10"/>
            </rPr>
            <t>a</t>
          </r>
          <r>
            <rPr>
              <rFont val="Calibri"/>
              <i val="1"/>
              <color rgb="002B2B2B"/>
              <sz val="10"/>
              <vertAlign val="subscript"/>
            </rPr>
            <t>min</t>
          </r>
        </is>
      </c>
      <c r="E100" s="40">
        <f>MAX(phi_st,d_g+5,20)</f>
        <v/>
      </c>
      <c r="F100" s="28" t="inlineStr">
        <is>
          <t>mm</t>
        </is>
      </c>
      <c r="G100" s="23" t="n"/>
    </row>
    <row r="101" ht="17" customHeight="1">
      <c r="B101" s="23" t="n"/>
      <c r="C101" s="24" t="inlineStr">
        <is>
          <t>Distribution bars provided</t>
        </is>
      </c>
      <c r="D101" s="27" t="inlineStr">
        <is>
          <r>
            <rPr>
              <rFont val="Calibri"/>
              <i val="1"/>
              <color rgb="002B2B2B"/>
              <sz val="10"/>
            </rPr>
            <t>A</t>
          </r>
          <r>
            <rPr>
              <rFont val="Calibri"/>
              <i val="1"/>
              <color rgb="002B2B2B"/>
              <sz val="10"/>
              <vertAlign val="subscript"/>
            </rPr>
            <t>s,d</t>
          </r>
        </is>
      </c>
      <c r="E101" s="40">
        <f>1000*PI()*phi_dst^2/4/s_dst</f>
        <v/>
      </c>
      <c r="F101" s="28" t="inlineStr">
        <is>
          <t>mm²/m</t>
        </is>
      </c>
      <c r="G101" s="23" t="n"/>
    </row>
    <row r="102" ht="17" customHeight="1">
      <c r="B102" s="26" t="inlineStr">
        <is>
          <t>9.3.1.1</t>
        </is>
      </c>
      <c r="C102" s="24" t="inlineStr">
        <is>
          <t>Distribution ≥ 20 % main, spacings, clear gaps, As ≤ 0.04 Ac</t>
        </is>
      </c>
      <c r="D102" s="23" t="n"/>
      <c r="E102" s="40">
        <f>Asp_d</f>
        <v/>
      </c>
      <c r="F102" s="28" t="inlineStr">
        <is>
          <t>mm²/m</t>
        </is>
      </c>
      <c r="G102" s="30">
        <f>IF(NOT(inputs_ok),"FAIL",IF(det_st,"OK","FAIL"))</f>
        <v/>
      </c>
    </row>
    <row r="103" ht="41.5" customHeight="1">
      <c r="B103" s="44" t="inlineStr">
        <is>
          <t>Still to detail: top bars over both supports for 25 % of the span moment, extending 0.2 L (9.3.1.2(2)); bottom bars anchored into the supports (9.3.1.2(1)); U-bars or equivalent along free edges (9.3.1.4); the local check of the concentrated imposed load (EN 1991-1-1 6.2.1(3)).</t>
        </is>
      </c>
    </row>
    <row r="105" ht="29" customHeight="1">
      <c r="B105" s="44"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103:G103"/>
    <mergeCell ref="E5:G5"/>
    <mergeCell ref="B105:G105"/>
    <mergeCell ref="D2:G2"/>
    <mergeCell ref="E7:G7"/>
    <mergeCell ref="E6:G6"/>
    <mergeCell ref="C3:G3"/>
  </mergeCells>
  <conditionalFormatting sqref="G9:G106">
    <cfRule type="expression" priority="1" dxfId="0">
      <formula>G9="OK"</formula>
    </cfRule>
    <cfRule type="expression" priority="2" dxfId="1">
      <formula>G9="FAIL"</formula>
    </cfRule>
    <cfRule type="expression" priority="3" dxfId="2">
      <formula>LEFT(G9,1)="!"</formula>
    </cfRule>
  </conditionalFormatting>
  <dataValidations count="17">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E22" showDropDown="0" showInputMessage="0" showErrorMessage="1" allowBlank="0" errorTitle="NA Engineering" error="Pick a value from the list." type="list" errorStyle="stop">
      <formula1>"8,10,12,16,20,25,32,40"</formula1>
    </dataValidation>
    <dataValidation sqref="E21"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Enter a number greater than 0." type="decimal" errorStyle="stop" operator="greaterThan">
      <formula1>0</formula1>
    </dataValidation>
    <dataValidation sqref="E26" showDropDown="0" showInputMessage="0" showErrorMessage="1" allowBlank="0" errorTitle="NA Engineering" error="Enter a number ≥ 0." type="decimal" errorStyle="stop" operator="greaterThanOrEqual">
      <formula1>0</formula1>
    </dataValidation>
    <dataValidation sqref="E27" showDropDown="0" showInputMessage="0" showErrorMessage="1" allowBlank="0" errorTitle="NA Engineering" error="Enter a number ≥ 0." type="decimal" errorStyle="stop" operator="greaterThanOrEqual">
      <formula1>0</formula1>
    </dataValidation>
    <dataValidation sqref="E28" showDropDown="0" showInputMessage="0" showErrorMessage="1" allowBlank="0" errorTitle="NA Engineering" error="Enter a number greater than 0." type="decimal" errorStyle="stop" operator="greaterThan">
      <formula1>0</formula1>
    </dataValidation>
    <dataValidation sqref="E29" showDropDown="0" showInputMessage="0" showErrorMessage="1" allowBlank="0" errorTitle="NA Engineering" error="Enter a number greater than 0." type="decimal" errorStyle="stop" operator="greaterThan">
      <formula1>0</formula1>
    </dataValidation>
    <dataValidation sqref="E30" showDropDown="0" showInputMessage="0" showErrorMessage="1" allowBlank="0" errorTitle="NA Engineering" error="Pick a value from the list." type="list" errorStyle="stop">
      <formula1>"No,Yes"</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&amp;K8A8A8ANAE-RC-015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AC51"/>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steps</t>
        </is>
      </c>
      <c r="D2" t="inlineStr">
        <is>
          <t>soffit</t>
        </is>
      </c>
      <c r="G2" t="inlineStr">
        <is>
          <t>bars</t>
        </is>
      </c>
      <c r="J2" t="inlineStr">
        <is>
          <t>lower support</t>
        </is>
      </c>
      <c r="M2" t="inlineStr">
        <is>
          <t>upper support</t>
        </is>
      </c>
      <c r="P2" t="inlineStr">
        <is>
          <t>dim</t>
        </is>
      </c>
      <c r="S2">
        <f>"L = "&amp;TEXT(L_st,"0")</f>
        <v/>
      </c>
      <c r="V2">
        <f>"going "&amp;g_st&amp;" · rise "&amp;r_st</f>
        <v/>
      </c>
      <c r="Y2">
        <f>"waist "&amp;t_st&amp;" · φ"&amp;phi_st&amp;" @ "&amp;s_st</f>
        <v/>
      </c>
      <c r="AB2" t="inlineStr">
        <is>
          <t>frame</t>
        </is>
      </c>
    </row>
    <row r="3">
      <c r="A3">
        <f>0</f>
        <v/>
      </c>
      <c r="B3">
        <f>0</f>
        <v/>
      </c>
      <c r="D3">
        <f>0</f>
        <v/>
      </c>
      <c r="E3">
        <f>-(t_st/COS(ATAN(r_st/g_st)))</f>
        <v/>
      </c>
      <c r="G3">
        <f>0</f>
        <v/>
      </c>
      <c r="H3">
        <f>-(t_st/COS(ATAN(r_st/g_st)))+(c_nom+phi_st/2)/COS(ATAN(r_st/g_st))</f>
        <v/>
      </c>
      <c r="J3">
        <f>0-0.03*L_st</f>
        <v/>
      </c>
      <c r="K3">
        <f>-(t_st/COS(ATAN(r_st/g_st)))-2*0.03*L_st</f>
        <v/>
      </c>
      <c r="M3">
        <f>L_st-0.03*L_st</f>
        <v/>
      </c>
      <c r="N3">
        <f>L_st*r_st/g_st-(t_st/COS(ATAN(r_st/g_st)))-2*0.03*L_st</f>
        <v/>
      </c>
      <c r="P3">
        <f>IF(TRUE,0,NA())</f>
        <v/>
      </c>
      <c r="Q3">
        <f>IF(TRUE,-(t_st/COS(ATAN(r_st/g_st)))-0.08*L_st-2*0.03*L_st,NA())</f>
        <v/>
      </c>
      <c r="S3">
        <f>IF(TRUE,((0)+(L_st))/2,NA())</f>
        <v/>
      </c>
      <c r="T3">
        <f>IF(TRUE,((-(t_st/COS(ATAN(r_st/g_st)))-0.08*L_st-2*0.03*L_st)+(-(t_st/COS(ATAN(r_st/g_st)))-0.08*L_st-2*0.03*L_st))/2,NA())</f>
        <v/>
      </c>
      <c r="V3">
        <f>g_st</f>
        <v/>
      </c>
      <c r="W3">
        <f>2*r_st</f>
        <v/>
      </c>
      <c r="Y3">
        <f>0.6*L_st</f>
        <v/>
      </c>
      <c r="Z3">
        <f>0.6*L_st*r_st/g_st-(t_st/COS(ATAN(r_st/g_st)))</f>
        <v/>
      </c>
      <c r="AB3">
        <f>((-0.05*L_st)+(1.05*L_st))/2-MAX((L_st*r_st/g_st+0.1*L_st)-(-(t_st/COS(ATAN(r_st/g_st)))-2*0.08*L_st),((1.05*L_st)-(-0.05*L_st))/1.55)*0.58*1.55</f>
        <v/>
      </c>
      <c r="AC3">
        <f>((-(t_st/COS(ATAN(r_st/g_st)))-2*0.08*L_st)+(L_st*r_st/g_st+0.1*L_st))/2-MAX((L_st*r_st/g_st+0.1*L_st)-(-(t_st/COS(ATAN(r_st/g_st)))-2*0.08*L_st),((1.05*L_st)-(-0.05*L_st))/1.55)*0.58</f>
        <v/>
      </c>
    </row>
    <row r="4">
      <c r="A4">
        <f>IF(0&lt;st_n,0*(L_st/st_n),NA())</f>
        <v/>
      </c>
      <c r="B4">
        <f>IF(0&lt;st_n,(0+1)*(L_st/st_n*r_st/g_st),NA())</f>
        <v/>
      </c>
      <c r="D4">
        <f>L_st</f>
        <v/>
      </c>
      <c r="E4">
        <f>L_st*r_st/g_st-(t_st/COS(ATAN(r_st/g_st)))</f>
        <v/>
      </c>
      <c r="G4">
        <f>L_st</f>
        <v/>
      </c>
      <c r="H4">
        <f>L_st*r_st/g_st-(t_st/COS(ATAN(r_st/g_st)))+(c_nom+phi_st/2)/COS(ATAN(r_st/g_st))</f>
        <v/>
      </c>
      <c r="J4">
        <f>0</f>
        <v/>
      </c>
      <c r="K4">
        <f>-(t_st/COS(ATAN(r_st/g_st)))</f>
        <v/>
      </c>
      <c r="M4">
        <f>L_st</f>
        <v/>
      </c>
      <c r="N4">
        <f>L_st*r_st/g_st-(t_st/COS(ATAN(r_st/g_st)))</f>
        <v/>
      </c>
      <c r="P4">
        <f>IF(TRUE,L_st,NA())</f>
        <v/>
      </c>
      <c r="Q4">
        <f>IF(TRUE,-(t_st/COS(ATAN(r_st/g_st)))-0.08*L_st-2*0.03*L_st,NA())</f>
        <v/>
      </c>
      <c r="AB4">
        <f>((-0.05*L_st)+(1.05*L_st))/2+MAX((L_st*r_st/g_st+0.1*L_st)-(-(t_st/COS(ATAN(r_st/g_st)))-2*0.08*L_st),((1.05*L_st)-(-0.05*L_st))/1.55)*0.58*1.55</f>
        <v/>
      </c>
      <c r="AC4">
        <f>((-(t_st/COS(ATAN(r_st/g_st)))-2*0.08*L_st)+(L_st*r_st/g_st+0.1*L_st))/2+MAX((L_st*r_st/g_st+0.1*L_st)-(-(t_st/COS(ATAN(r_st/g_st)))-2*0.08*L_st),((1.05*L_st)-(-0.05*L_st))/1.55)*0.58</f>
        <v/>
      </c>
    </row>
    <row r="5">
      <c r="A5">
        <f>IF(0&lt;st_n,(0+1)*(L_st/st_n),NA())</f>
        <v/>
      </c>
      <c r="B5">
        <f>IF(0&lt;st_n,(0+1)*(L_st/st_n*r_st/g_st),NA())</f>
        <v/>
      </c>
      <c r="J5">
        <f>0+0.03*L_st</f>
        <v/>
      </c>
      <c r="K5">
        <f>-(t_st/COS(ATAN(r_st/g_st)))-2*0.03*L_st</f>
        <v/>
      </c>
      <c r="M5">
        <f>L_st+0.03*L_st</f>
        <v/>
      </c>
      <c r="N5">
        <f>L_st*r_st/g_st-(t_st/COS(ATAN(r_st/g_st)))-2*0.03*L_st</f>
        <v/>
      </c>
    </row>
    <row r="6">
      <c r="A6">
        <f>IF(1&lt;st_n,1*(L_st/st_n),NA())</f>
        <v/>
      </c>
      <c r="B6">
        <f>IF(1&lt;st_n,(1+1)*(L_st/st_n*r_st/g_st),NA())</f>
        <v/>
      </c>
      <c r="J6">
        <f>0-0.03*L_st</f>
        <v/>
      </c>
      <c r="K6">
        <f>-(t_st/COS(ATAN(r_st/g_st)))-2*0.03*L_st</f>
        <v/>
      </c>
      <c r="M6">
        <f>L_st-0.03*L_st</f>
        <v/>
      </c>
      <c r="N6">
        <f>L_st*r_st/g_st-(t_st/COS(ATAN(r_st/g_st)))-2*0.03*L_st</f>
        <v/>
      </c>
    </row>
    <row r="7">
      <c r="A7">
        <f>IF(1&lt;st_n,(1+1)*(L_st/st_n),NA())</f>
        <v/>
      </c>
      <c r="B7">
        <f>IF(1&lt;st_n,(1+1)*(L_st/st_n*r_st/g_st),NA())</f>
        <v/>
      </c>
    </row>
    <row r="8">
      <c r="A8">
        <f>IF(2&lt;st_n,2*(L_st/st_n),NA())</f>
        <v/>
      </c>
      <c r="B8">
        <f>IF(2&lt;st_n,(2+1)*(L_st/st_n*r_st/g_st),NA())</f>
        <v/>
      </c>
    </row>
    <row r="9">
      <c r="A9">
        <f>IF(2&lt;st_n,(2+1)*(L_st/st_n),NA())</f>
        <v/>
      </c>
      <c r="B9">
        <f>IF(2&lt;st_n,(2+1)*(L_st/st_n*r_st/g_st),NA())</f>
        <v/>
      </c>
    </row>
    <row r="10">
      <c r="A10">
        <f>IF(3&lt;st_n,3*(L_st/st_n),NA())</f>
        <v/>
      </c>
      <c r="B10">
        <f>IF(3&lt;st_n,(3+1)*(L_st/st_n*r_st/g_st),NA())</f>
        <v/>
      </c>
    </row>
    <row r="11">
      <c r="A11">
        <f>IF(3&lt;st_n,(3+1)*(L_st/st_n),NA())</f>
        <v/>
      </c>
      <c r="B11">
        <f>IF(3&lt;st_n,(3+1)*(L_st/st_n*r_st/g_st),NA())</f>
        <v/>
      </c>
    </row>
    <row r="12">
      <c r="A12">
        <f>IF(4&lt;st_n,4*(L_st/st_n),NA())</f>
        <v/>
      </c>
      <c r="B12">
        <f>IF(4&lt;st_n,(4+1)*(L_st/st_n*r_st/g_st),NA())</f>
        <v/>
      </c>
    </row>
    <row r="13">
      <c r="A13">
        <f>IF(4&lt;st_n,(4+1)*(L_st/st_n),NA())</f>
        <v/>
      </c>
      <c r="B13">
        <f>IF(4&lt;st_n,(4+1)*(L_st/st_n*r_st/g_st),NA())</f>
        <v/>
      </c>
    </row>
    <row r="14">
      <c r="A14">
        <f>IF(5&lt;st_n,5*(L_st/st_n),NA())</f>
        <v/>
      </c>
      <c r="B14">
        <f>IF(5&lt;st_n,(5+1)*(L_st/st_n*r_st/g_st),NA())</f>
        <v/>
      </c>
    </row>
    <row r="15">
      <c r="A15">
        <f>IF(5&lt;st_n,(5+1)*(L_st/st_n),NA())</f>
        <v/>
      </c>
      <c r="B15">
        <f>IF(5&lt;st_n,(5+1)*(L_st/st_n*r_st/g_st),NA())</f>
        <v/>
      </c>
    </row>
    <row r="16">
      <c r="A16">
        <f>IF(6&lt;st_n,6*(L_st/st_n),NA())</f>
        <v/>
      </c>
      <c r="B16">
        <f>IF(6&lt;st_n,(6+1)*(L_st/st_n*r_st/g_st),NA())</f>
        <v/>
      </c>
    </row>
    <row r="17">
      <c r="A17">
        <f>IF(6&lt;st_n,(6+1)*(L_st/st_n),NA())</f>
        <v/>
      </c>
      <c r="B17">
        <f>IF(6&lt;st_n,(6+1)*(L_st/st_n*r_st/g_st),NA())</f>
        <v/>
      </c>
    </row>
    <row r="18">
      <c r="A18">
        <f>IF(7&lt;st_n,7*(L_st/st_n),NA())</f>
        <v/>
      </c>
      <c r="B18">
        <f>IF(7&lt;st_n,(7+1)*(L_st/st_n*r_st/g_st),NA())</f>
        <v/>
      </c>
    </row>
    <row r="19">
      <c r="A19">
        <f>IF(7&lt;st_n,(7+1)*(L_st/st_n),NA())</f>
        <v/>
      </c>
      <c r="B19">
        <f>IF(7&lt;st_n,(7+1)*(L_st/st_n*r_st/g_st),NA())</f>
        <v/>
      </c>
    </row>
    <row r="20">
      <c r="A20">
        <f>IF(8&lt;st_n,8*(L_st/st_n),NA())</f>
        <v/>
      </c>
      <c r="B20">
        <f>IF(8&lt;st_n,(8+1)*(L_st/st_n*r_st/g_st),NA())</f>
        <v/>
      </c>
    </row>
    <row r="21">
      <c r="A21">
        <f>IF(8&lt;st_n,(8+1)*(L_st/st_n),NA())</f>
        <v/>
      </c>
      <c r="B21">
        <f>IF(8&lt;st_n,(8+1)*(L_st/st_n*r_st/g_st),NA())</f>
        <v/>
      </c>
    </row>
    <row r="22">
      <c r="A22">
        <f>IF(9&lt;st_n,9*(L_st/st_n),NA())</f>
        <v/>
      </c>
      <c r="B22">
        <f>IF(9&lt;st_n,(9+1)*(L_st/st_n*r_st/g_st),NA())</f>
        <v/>
      </c>
    </row>
    <row r="23">
      <c r="A23">
        <f>IF(9&lt;st_n,(9+1)*(L_st/st_n),NA())</f>
        <v/>
      </c>
      <c r="B23">
        <f>IF(9&lt;st_n,(9+1)*(L_st/st_n*r_st/g_st),NA())</f>
        <v/>
      </c>
    </row>
    <row r="24">
      <c r="A24">
        <f>IF(10&lt;st_n,10*(L_st/st_n),NA())</f>
        <v/>
      </c>
      <c r="B24">
        <f>IF(10&lt;st_n,(10+1)*(L_st/st_n*r_st/g_st),NA())</f>
        <v/>
      </c>
    </row>
    <row r="25">
      <c r="A25">
        <f>IF(10&lt;st_n,(10+1)*(L_st/st_n),NA())</f>
        <v/>
      </c>
      <c r="B25">
        <f>IF(10&lt;st_n,(10+1)*(L_st/st_n*r_st/g_st),NA())</f>
        <v/>
      </c>
    </row>
    <row r="26">
      <c r="A26">
        <f>IF(11&lt;st_n,11*(L_st/st_n),NA())</f>
        <v/>
      </c>
      <c r="B26">
        <f>IF(11&lt;st_n,(11+1)*(L_st/st_n*r_st/g_st),NA())</f>
        <v/>
      </c>
    </row>
    <row r="27">
      <c r="A27">
        <f>IF(11&lt;st_n,(11+1)*(L_st/st_n),NA())</f>
        <v/>
      </c>
      <c r="B27">
        <f>IF(11&lt;st_n,(11+1)*(L_st/st_n*r_st/g_st),NA())</f>
        <v/>
      </c>
    </row>
    <row r="28">
      <c r="A28">
        <f>IF(12&lt;st_n,12*(L_st/st_n),NA())</f>
        <v/>
      </c>
      <c r="B28">
        <f>IF(12&lt;st_n,(12+1)*(L_st/st_n*r_st/g_st),NA())</f>
        <v/>
      </c>
    </row>
    <row r="29">
      <c r="A29">
        <f>IF(12&lt;st_n,(12+1)*(L_st/st_n),NA())</f>
        <v/>
      </c>
      <c r="B29">
        <f>IF(12&lt;st_n,(12+1)*(L_st/st_n*r_st/g_st),NA())</f>
        <v/>
      </c>
    </row>
    <row r="30">
      <c r="A30">
        <f>IF(13&lt;st_n,13*(L_st/st_n),NA())</f>
        <v/>
      </c>
      <c r="B30">
        <f>IF(13&lt;st_n,(13+1)*(L_st/st_n*r_st/g_st),NA())</f>
        <v/>
      </c>
    </row>
    <row r="31">
      <c r="A31">
        <f>IF(13&lt;st_n,(13+1)*(L_st/st_n),NA())</f>
        <v/>
      </c>
      <c r="B31">
        <f>IF(13&lt;st_n,(13+1)*(L_st/st_n*r_st/g_st),NA())</f>
        <v/>
      </c>
    </row>
    <row r="32">
      <c r="A32">
        <f>IF(14&lt;st_n,14*(L_st/st_n),NA())</f>
        <v/>
      </c>
      <c r="B32">
        <f>IF(14&lt;st_n,(14+1)*(L_st/st_n*r_st/g_st),NA())</f>
        <v/>
      </c>
    </row>
    <row r="33">
      <c r="A33">
        <f>IF(14&lt;st_n,(14+1)*(L_st/st_n),NA())</f>
        <v/>
      </c>
      <c r="B33">
        <f>IF(14&lt;st_n,(14+1)*(L_st/st_n*r_st/g_st),NA())</f>
        <v/>
      </c>
    </row>
    <row r="34">
      <c r="A34">
        <f>IF(15&lt;st_n,15*(L_st/st_n),NA())</f>
        <v/>
      </c>
      <c r="B34">
        <f>IF(15&lt;st_n,(15+1)*(L_st/st_n*r_st/g_st),NA())</f>
        <v/>
      </c>
    </row>
    <row r="35">
      <c r="A35">
        <f>IF(15&lt;st_n,(15+1)*(L_st/st_n),NA())</f>
        <v/>
      </c>
      <c r="B35">
        <f>IF(15&lt;st_n,(15+1)*(L_st/st_n*r_st/g_st),NA())</f>
        <v/>
      </c>
    </row>
    <row r="36">
      <c r="A36">
        <f>IF(16&lt;st_n,16*(L_st/st_n),NA())</f>
        <v/>
      </c>
      <c r="B36">
        <f>IF(16&lt;st_n,(16+1)*(L_st/st_n*r_st/g_st),NA())</f>
        <v/>
      </c>
    </row>
    <row r="37">
      <c r="A37">
        <f>IF(16&lt;st_n,(16+1)*(L_st/st_n),NA())</f>
        <v/>
      </c>
      <c r="B37">
        <f>IF(16&lt;st_n,(16+1)*(L_st/st_n*r_st/g_st),NA())</f>
        <v/>
      </c>
    </row>
    <row r="38">
      <c r="A38">
        <f>IF(17&lt;st_n,17*(L_st/st_n),NA())</f>
        <v/>
      </c>
      <c r="B38">
        <f>IF(17&lt;st_n,(17+1)*(L_st/st_n*r_st/g_st),NA())</f>
        <v/>
      </c>
    </row>
    <row r="39">
      <c r="A39">
        <f>IF(17&lt;st_n,(17+1)*(L_st/st_n),NA())</f>
        <v/>
      </c>
      <c r="B39">
        <f>IF(17&lt;st_n,(17+1)*(L_st/st_n*r_st/g_st),NA())</f>
        <v/>
      </c>
    </row>
    <row r="40">
      <c r="A40">
        <f>IF(18&lt;st_n,18*(L_st/st_n),NA())</f>
        <v/>
      </c>
      <c r="B40">
        <f>IF(18&lt;st_n,(18+1)*(L_st/st_n*r_st/g_st),NA())</f>
        <v/>
      </c>
    </row>
    <row r="41">
      <c r="A41">
        <f>IF(18&lt;st_n,(18+1)*(L_st/st_n),NA())</f>
        <v/>
      </c>
      <c r="B41">
        <f>IF(18&lt;st_n,(18+1)*(L_st/st_n*r_st/g_st),NA())</f>
        <v/>
      </c>
    </row>
    <row r="42">
      <c r="A42">
        <f>IF(19&lt;st_n,19*(L_st/st_n),NA())</f>
        <v/>
      </c>
      <c r="B42">
        <f>IF(19&lt;st_n,(19+1)*(L_st/st_n*r_st/g_st),NA())</f>
        <v/>
      </c>
    </row>
    <row r="43">
      <c r="A43">
        <f>IF(19&lt;st_n,(19+1)*(L_st/st_n),NA())</f>
        <v/>
      </c>
      <c r="B43">
        <f>IF(19&lt;st_n,(19+1)*(L_st/st_n*r_st/g_st),NA())</f>
        <v/>
      </c>
    </row>
    <row r="44">
      <c r="A44">
        <f>IF(20&lt;st_n,20*(L_st/st_n),NA())</f>
        <v/>
      </c>
      <c r="B44">
        <f>IF(20&lt;st_n,(20+1)*(L_st/st_n*r_st/g_st),NA())</f>
        <v/>
      </c>
    </row>
    <row r="45">
      <c r="A45">
        <f>IF(20&lt;st_n,(20+1)*(L_st/st_n),NA())</f>
        <v/>
      </c>
      <c r="B45">
        <f>IF(20&lt;st_n,(20+1)*(L_st/st_n*r_st/g_st),NA())</f>
        <v/>
      </c>
    </row>
    <row r="46">
      <c r="A46">
        <f>IF(21&lt;st_n,21*(L_st/st_n),NA())</f>
        <v/>
      </c>
      <c r="B46">
        <f>IF(21&lt;st_n,(21+1)*(L_st/st_n*r_st/g_st),NA())</f>
        <v/>
      </c>
    </row>
    <row r="47">
      <c r="A47">
        <f>IF(21&lt;st_n,(21+1)*(L_st/st_n),NA())</f>
        <v/>
      </c>
      <c r="B47">
        <f>IF(21&lt;st_n,(21+1)*(L_st/st_n*r_st/g_st),NA())</f>
        <v/>
      </c>
    </row>
    <row r="48">
      <c r="A48">
        <f>IF(22&lt;st_n,22*(L_st/st_n),NA())</f>
        <v/>
      </c>
      <c r="B48">
        <f>IF(22&lt;st_n,(22+1)*(L_st/st_n*r_st/g_st),NA())</f>
        <v/>
      </c>
    </row>
    <row r="49">
      <c r="A49">
        <f>IF(22&lt;st_n,(22+1)*(L_st/st_n),NA())</f>
        <v/>
      </c>
      <c r="B49">
        <f>IF(22&lt;st_n,(22+1)*(L_st/st_n*r_st/g_st),NA())</f>
        <v/>
      </c>
    </row>
    <row r="50">
      <c r="A50">
        <f>IF(23&lt;st_n,23*(L_st/st_n),NA())</f>
        <v/>
      </c>
      <c r="B50">
        <f>IF(23&lt;st_n,(23+1)*(L_st/st_n*r_st/g_st),NA())</f>
        <v/>
      </c>
    </row>
    <row r="51">
      <c r="A51">
        <f>IF(23&lt;st_n,(23+1)*(L_st/st_n),NA())</f>
        <v/>
      </c>
      <c r="B51">
        <f>IF(23&lt;st_n,(23+1)*(L_st/st_n*r_st/g_st),NA())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5"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6" t="inlineStr">
        <is>
          <t>Parameter</t>
        </is>
      </c>
      <c r="C5" s="46" t="inlineStr">
        <is>
          <t>Clause</t>
        </is>
      </c>
      <c r="D5" s="46" t="inlineStr">
        <is>
          <t>UK NA</t>
        </is>
      </c>
      <c r="E5" s="46" t="inlineStr">
        <is>
          <t>PL NA</t>
        </is>
      </c>
      <c r="F5" s="46" t="inlineStr">
        <is>
          <t>Notes</t>
        </is>
      </c>
    </row>
    <row r="6">
      <c r="B6" s="47" t="inlineStr">
        <is>
          <t>Partial factor, concrete  γc</t>
        </is>
      </c>
      <c r="C6" s="48" t="inlineStr">
        <is>
          <t>2.4.2.4(1)</t>
        </is>
      </c>
      <c r="D6" s="49" t="n">
        <v>1.5</v>
      </c>
      <c r="E6" s="49" t="n">
        <v>1.4</v>
      </c>
      <c r="F6" s="48" t="inlineStr">
        <is>
          <t>Persistent &amp; transient. UK NA: recommended; PL: NA.2, Table NA.2</t>
        </is>
      </c>
    </row>
    <row r="7">
      <c r="B7" s="47" t="inlineStr">
        <is>
          <t>Partial factor, reinforcement  γs</t>
        </is>
      </c>
      <c r="C7" s="48" t="inlineStr">
        <is>
          <t>2.4.2.4(1)</t>
        </is>
      </c>
      <c r="D7" s="49" t="n">
        <v>1.15</v>
      </c>
      <c r="E7" s="49" t="n">
        <v>1.15</v>
      </c>
      <c r="F7" s="48" t="inlineStr">
        <is>
          <t>UK NA: recommended; PL: NA.2, Table NA.2</t>
        </is>
      </c>
    </row>
    <row r="8">
      <c r="B8" s="47" t="inlineStr">
        <is>
          <t>αcc  (compression in flexure / axial)</t>
        </is>
      </c>
      <c r="C8" s="48" t="inlineStr">
        <is>
          <t>3.1.6(1)</t>
        </is>
      </c>
      <c r="D8" s="49" t="n">
        <v>0.85</v>
      </c>
      <c r="E8" s="49" t="n">
        <v>1</v>
      </c>
      <c r="F8" s="48" t="inlineStr">
        <is>
          <t>UK NA: 0.85; PL: recommended (NA.9)</t>
        </is>
      </c>
    </row>
    <row r="9">
      <c r="B9" s="47" t="inlineStr">
        <is>
          <t>αcc,pl  (plain concrete, compression)</t>
        </is>
      </c>
      <c r="C9" s="48" t="inlineStr">
        <is>
          <t>12.3.1(1)</t>
        </is>
      </c>
      <c r="D9" s="49" t="n">
        <v>0.6</v>
      </c>
      <c r="E9" s="49" t="n">
        <v>0.8</v>
      </c>
      <c r="F9" s="48" t="inlineStr">
        <is>
          <t>UK NA Table NA.1: 0.6; PL: recommended (NA.9)</t>
        </is>
      </c>
    </row>
    <row r="10">
      <c r="B10" s="47" t="inlineStr">
        <is>
          <t>αcc  (shear and punching)</t>
        </is>
      </c>
      <c r="C10" s="48" t="inlineStr">
        <is>
          <t>3.1.6(1)</t>
        </is>
      </c>
      <c r="D10" s="49" t="n">
        <v>1</v>
      </c>
      <c r="E10" s="49" t="n">
        <v>1</v>
      </c>
      <c r="F10" s="48" t="inlineStr">
        <is>
          <t>UK NA: 1.0 for other phenomena; PL: recommended (NA.9)</t>
        </is>
      </c>
    </row>
    <row r="11">
      <c r="B11" s="47" t="inlineStr">
        <is>
          <t>αct  (design tensile strength)</t>
        </is>
      </c>
      <c r="C11" s="48" t="inlineStr">
        <is>
          <t>3.1.6(2)</t>
        </is>
      </c>
      <c r="D11" s="49" t="n">
        <v>1</v>
      </c>
      <c r="E11" s="49" t="n">
        <v>1</v>
      </c>
      <c r="F11" s="48" t="inlineStr">
        <is>
          <t>Recommended value in both annexes</t>
        </is>
      </c>
    </row>
    <row r="12">
      <c r="B12" s="47" t="inlineStr">
        <is>
          <t>CRd,c numerator  (CRd,c = value / γc)</t>
        </is>
      </c>
      <c r="C12" s="48" t="inlineStr">
        <is>
          <t>6.2.2(1), 6.4.4(1)</t>
        </is>
      </c>
      <c r="D12" s="49" t="n">
        <v>0.18</v>
      </c>
      <c r="E12" s="49" t="n">
        <v>0.18</v>
      </c>
      <c r="F12" s="48" t="inlineStr">
        <is>
          <t>Recommended value in both annexes</t>
        </is>
      </c>
    </row>
    <row r="13">
      <c r="B13" s="47" t="inlineStr">
        <is>
          <t>k1  (axial stress term, punching)</t>
        </is>
      </c>
      <c r="C13" s="48" t="inlineStr">
        <is>
          <t>6.4.4(1)</t>
        </is>
      </c>
      <c r="D13" s="49" t="n">
        <v>0.1</v>
      </c>
      <c r="E13" s="49" t="n">
        <v>0.1</v>
      </c>
      <c r="F13" s="48" t="inlineStr">
        <is>
          <t>Recommended value in both annexes</t>
        </is>
      </c>
    </row>
    <row r="14">
      <c r="B14" s="47" t="inlineStr">
        <is>
          <t>vRd,max factor  (vRd,max = factor · ν · fcd)</t>
        </is>
      </c>
      <c r="C14" s="48" t="inlineStr">
        <is>
          <t>6.4.5(3)</t>
        </is>
      </c>
      <c r="D14" s="49" t="n">
        <v>0.5</v>
      </c>
      <c r="E14" s="49" t="n">
        <v>0.4</v>
      </c>
      <c r="F14" s="48" t="inlineStr">
        <is>
          <t>UK NA: 0.5 ν fcd; PL: recommended value (NA.9), 0.4 ν fcd since EN 1992-1-1 AC:2010 (PN-EN 1992-1-1:2008/AC:2011)</t>
        </is>
      </c>
    </row>
    <row r="15">
      <c r="B15" s="47" t="inlineStr">
        <is>
          <t>kmax  (vEd ≤ kmax · vRd,c at u1)</t>
        </is>
      </c>
      <c r="C15" s="48" t="inlineStr">
        <is>
          <t>6.4.5</t>
        </is>
      </c>
      <c r="D15" s="49" t="n">
        <v>2</v>
      </c>
      <c r="E15" s="49" t="n">
        <v>1.5</v>
      </c>
      <c r="F15" s="48" t="inlineStr">
        <is>
          <t>UK NA 6.4.5(3): 2 vRd,c. PL: no limit in PN-EN 1992-1-1:2008; 1.5 (A1:2014 recommendation) applied conservatively</t>
        </is>
      </c>
    </row>
    <row r="16">
      <c r="B16" s="47" t="inlineStr">
        <is>
          <t>φlarge  (large bar threshold, mm)</t>
        </is>
      </c>
      <c r="C16" s="48" t="inlineStr">
        <is>
          <t>8.8(1)</t>
        </is>
      </c>
      <c r="D16" s="49" t="n">
        <v>40</v>
      </c>
      <c r="E16" s="49" t="n">
        <v>32</v>
      </c>
      <c r="F16" s="48" t="inlineStr">
        <is>
          <t>UK NA: 40 mm; PL: 32 mm recommended (NA.9)</t>
        </is>
      </c>
    </row>
    <row r="17">
      <c r="B17" s="47" t="inlineStr">
        <is>
          <t>cot θ upper limit  (variable strut)</t>
        </is>
      </c>
      <c r="C17" s="48" t="inlineStr">
        <is>
          <t>6.2.3(2)</t>
        </is>
      </c>
      <c r="D17" s="49" t="n">
        <v>2.5</v>
      </c>
      <c r="E17" s="49" t="n">
        <v>2</v>
      </c>
      <c r="F17" s="48" t="inlineStr">
        <is>
          <t>UK NA: 2.5 (1.25 with axial tension); PL: NA.4, 1 ≤ cot θ ≤ 2.0</t>
        </is>
      </c>
    </row>
    <row r="18">
      <c r="B18" s="47" t="inlineStr">
        <is>
          <t>k1  (x/d limit, δ ≥ k1 + k2 xu/d)</t>
        </is>
      </c>
      <c r="C18" s="48" t="inlineStr">
        <is>
          <t>5.5(4)</t>
        </is>
      </c>
      <c r="D18" s="49" t="n">
        <v>0.4</v>
      </c>
      <c r="E18" s="49" t="n">
        <v>0.44</v>
      </c>
      <c r="F18" s="48" t="inlineStr">
        <is>
          <t>UK NA for fyk ≤ 500 MPa; PL: recommended (NA.9)</t>
        </is>
      </c>
    </row>
    <row r="19">
      <c r="B19" s="47" t="inlineStr">
        <is>
          <t>k2  (x/d limit, εcu2 = 0.0035)</t>
        </is>
      </c>
      <c r="C19" s="48" t="inlineStr">
        <is>
          <t>5.5(4)</t>
        </is>
      </c>
      <c r="D19" s="49" t="n">
        <v>1</v>
      </c>
      <c r="E19" s="49" t="n">
        <v>1.25</v>
      </c>
      <c r="F19" s="48" t="inlineStr">
        <is>
          <t>UK NA: 0.6 + 0.0014/εcu2; PL: 1.25(0.6 + 0.0014/εcu2)</t>
        </is>
      </c>
    </row>
    <row r="20">
      <c r="B20" s="47" t="inlineStr">
        <is>
          <t>Upper limit on the (310/σs) factor  (0 = none)</t>
        </is>
      </c>
      <c r="C20" s="48" t="inlineStr">
        <is>
          <t>7.4.2(2)</t>
        </is>
      </c>
      <c r="D20" s="49" t="n">
        <v>1.5</v>
      </c>
      <c r="E20" s="49" t="n">
        <v>0</v>
      </c>
      <c r="F20" s="48" t="inlineStr">
        <is>
          <t>UK NA Table NA.5 Note 5: (310/σs) or (500/fyk)(As,prov/As,req) ≤ 1.5; PL: none</t>
        </is>
      </c>
    </row>
    <row r="21">
      <c r="B21" s="47" t="inlineStr">
        <is>
          <t>L/d not to exceed 40 K  (1 = applies)</t>
        </is>
      </c>
      <c r="C21" s="48" t="inlineStr">
        <is>
          <t>7.4.2(2)</t>
        </is>
      </c>
      <c r="D21" s="49" t="n">
        <v>1</v>
      </c>
      <c r="E21" s="49" t="n">
        <v>0</v>
      </c>
      <c r="F21" s="48" t="inlineStr">
        <is>
          <t>UK NA Table NA.5 Note 6; not in EN text</t>
        </is>
      </c>
    </row>
    <row r="22">
      <c r="B22" s="47" t="inlineStr">
        <is>
          <t>φmin  (longitudinal bars in columns, mm)</t>
        </is>
      </c>
      <c r="C22" s="48" t="inlineStr">
        <is>
          <t>9.5.2(1)</t>
        </is>
      </c>
      <c r="D22" s="49" t="n">
        <v>12</v>
      </c>
      <c r="E22" s="49" t="n">
        <v>6</v>
      </c>
      <c r="F22" s="48" t="inlineStr">
        <is>
          <t>UK NA: 12 mm; PL: NA.6, 6 mm</t>
        </is>
      </c>
    </row>
    <row r="23">
      <c r="B23" s="47" t="inlineStr">
        <is>
          <t>k3  (crack spacing)</t>
        </is>
      </c>
      <c r="C23" s="48" t="inlineStr">
        <is>
          <t>7.3.4(3)</t>
        </is>
      </c>
      <c r="D23" s="49" t="n">
        <v>3.4</v>
      </c>
      <c r="E23" s="49" t="n">
        <v>3.4</v>
      </c>
      <c r="F23" s="48" t="inlineStr">
        <is>
          <t>Recommended value in both annexes</t>
        </is>
      </c>
    </row>
    <row r="24">
      <c r="B24" s="47" t="inlineStr">
        <is>
          <t>k4  (crack spacing)</t>
        </is>
      </c>
      <c r="C24" s="48" t="inlineStr">
        <is>
          <t>7.3.4(3)</t>
        </is>
      </c>
      <c r="D24" s="49" t="n">
        <v>0.425</v>
      </c>
      <c r="E24" s="49" t="n">
        <v>0.425</v>
      </c>
      <c r="F24" s="48" t="inlineStr">
        <is>
          <t>Recommended value in both annexes</t>
        </is>
      </c>
    </row>
    <row r="25">
      <c r="B25" s="47" t="inlineStr">
        <is>
          <t>k1  (concrete stress, characteristic; XD, XF, XS)</t>
        </is>
      </c>
      <c r="C25" s="48" t="inlineStr">
        <is>
          <t>7.2(2)</t>
        </is>
      </c>
      <c r="D25" s="49" t="n">
        <v>0.6</v>
      </c>
      <c r="E25" s="49" t="n">
        <v>1</v>
      </c>
      <c r="F25" s="48" t="inlineStr">
        <is>
          <t>UK NA: recommended; PL: NA.5, k1 = 1.0</t>
        </is>
      </c>
    </row>
    <row r="26">
      <c r="B26" s="47" t="inlineStr">
        <is>
          <t>k2  (concrete stress, quasi-permanent; linear creep)</t>
        </is>
      </c>
      <c r="C26" s="48" t="inlineStr">
        <is>
          <t>7.2(3)</t>
        </is>
      </c>
      <c r="D26" s="49" t="n">
        <v>0.45</v>
      </c>
      <c r="E26" s="49" t="n">
        <v>0.45</v>
      </c>
      <c r="F26" s="48" t="inlineStr">
        <is>
          <t>Recommended value in both annexes (UK NA; PL NA.9)</t>
        </is>
      </c>
    </row>
    <row r="27">
      <c r="B27" s="47" t="inlineStr">
        <is>
          <t>k3  (steel stress, characteristic)</t>
        </is>
      </c>
      <c r="C27" s="48" t="inlineStr">
        <is>
          <t>7.2(5)</t>
        </is>
      </c>
      <c r="D27" s="49" t="n">
        <v>0.8</v>
      </c>
      <c r="E27" s="49" t="n">
        <v>0.8</v>
      </c>
      <c r="F27" s="48" t="inlineStr">
        <is>
          <t>Recommended value in both annexes (UK NA; PL NA.9)</t>
        </is>
      </c>
    </row>
    <row r="28">
      <c r="B28" s="47" t="inlineStr">
        <is>
          <t>k4  (steel stress, imposed deformation)</t>
        </is>
      </c>
      <c r="C28" s="48" t="inlineStr">
        <is>
          <t>7.2(5)</t>
        </is>
      </c>
      <c r="D28" s="49" t="n">
        <v>1</v>
      </c>
      <c r="E28" s="49" t="n">
        <v>1</v>
      </c>
      <c r="F28" s="48"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&amp;K8A8A8ANAE-RC-015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NAE-RC-015 Stair flight</dc:title>
  <dc:subject xmlns:dc="http://purl.org/dc/elements/1.1/">Inclined slab spanning between supports  ·  EN 1992-1-1 §6.1, §6.2, §7.4, §9.3  ·  UK NA / PN-EN</dc:subject>
  <dcterms:created xmlns:dcterms="http://purl.org/dc/terms/" xmlns:xsi="http://www.w3.org/2001/XMLSchema-instance" xsi:type="dcterms:W3CDTF">2026-10-30T10:58:37Z</dcterms:created>
  <dcterms:modified xmlns:dcterms="http://purl.org/dc/terms/" xmlns:xsi="http://www.w3.org/2001/XMLSchema-instance" xsi:type="dcterms:W3CDTF">2026-10-30T10:58:37Z</dcterms:modified>
  <cp:lastModifiedBy>NA Engineering sp. z o.o.</cp:lastModifiedBy>
  <cp:keywords>NA Engineering; Eurocode 2; EN 1992-1-1</cp:keywords>
</cp:coreProperties>
</file>