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Lists" sheetId="3" state="hidden" r:id="rId3"/>
    <sheet xmlns:r="http://schemas.openxmlformats.org/officeDocument/2006/relationships" name="Geometry" sheetId="4" state="hidden" r:id="rId4"/>
    <sheet xmlns:r="http://schemas.openxmlformats.org/officeDocument/2006/relationships" name="Coefficients" sheetId="5" state="visible" r:id="rId5"/>
    <sheet xmlns:r="http://schemas.openxmlformats.org/officeDocument/2006/relationships" name="NDP" sheetId="6" state="visible" r:id="rId6"/>
  </sheets>
  <definedNames>
    <definedName name="NA_sel">'Calculation'!$E$11</definedName>
    <definedName name="conc_class">'Calculation'!$E$12</definedName>
    <definedName name="f_yk">'Calculation'!$E$13</definedName>
    <definedName name="d_g">'Calculation'!$E$14</definedName>
    <definedName name="panel">'Calculation'!$E$15</definedName>
    <definedName name="lx_tw">'Calculation'!$E$16</definedName>
    <definedName name="ly_tw">'Calculation'!$E$17</definedName>
    <definedName name="h_tw">'Calculation'!$E$18</definedName>
    <definedName name="c_nom">'Calculation'!$E$19</definedName>
    <definedName name="phi_x">'Calculation'!$E$20</definedName>
    <definedName name="s_x">'Calculation'!$E$21</definedName>
    <definedName name="phi_y">'Calculation'!$E$22</definedName>
    <definedName name="s_y">'Calculation'!$E$23</definedName>
    <definedName name="phi_tx">'Calculation'!$E$24</definedName>
    <definedName name="s_tx">'Calculation'!$E$25</definedName>
    <definedName name="phi_ty">'Calculation'!$E$26</definedName>
    <definedName name="s_ty">'Calculation'!$E$27</definedName>
    <definedName name="gk_tw">'Calculation'!$E$30</definedName>
    <definedName name="qk_tw">'Calculation'!$E$31</definedName>
    <definedName name="gamma_G">'Calculation'!$E$32</definedName>
    <definedName name="gamma_Q">'Calculation'!$E$33</definedName>
    <definedName name="partitions">'Calculation'!$E$34</definedName>
    <definedName name="inputs_ok">IFERROR(AND(OR(NA_sel="UK NA (BS EN)",NA_sel="PL NA (PN-EN)"),OR(conc_class="C20/25",conc_class="C25/30",conc_class="C28/35",conc_class="C30/37",conc_class="C32/40",conc_class="C35/45",conc_class="C40/50",conc_class="C45/55",conc_class="C50/60"),ISNUMBER(f_yk),f_yk&gt;0,ISNUMBER(d_g),d_g&gt;0,OR(panel="Interior panel",panel="One short edge discontinuous",panel="One long edge discontinuous",panel="Two adjacent edges discontinuous",panel="Two short edges discontinuous",panel="Two long edges discontinuous",panel="Three edges discontinuous – one long continuous",panel="Three edges discontinuous – one short continuous",panel="Four edges discontinuous"),ISNUMBER(lx_tw),lx_tw&gt;0,ISNUMBER(ly_tw),ly_tw&gt;0,ISNUMBER(h_tw),h_tw&gt;0,ISNUMBER(c_nom),c_nom&gt;0,OR(AND(ISNUMBER(phi_x),phi_x=8),AND(ISNUMBER(phi_x),phi_x=10),AND(ISNUMBER(phi_x),phi_x=12),AND(ISNUMBER(phi_x),phi_x=16),AND(ISNUMBER(phi_x),phi_x=20),AND(ISNUMBER(phi_x),phi_x=25),AND(ISNUMBER(phi_x),phi_x=32),AND(ISNUMBER(phi_x),phi_x=40)),ISNUMBER(s_x),s_x&gt;0,OR(AND(ISNUMBER(phi_y),phi_y=8),AND(ISNUMBER(phi_y),phi_y=10),AND(ISNUMBER(phi_y),phi_y=12),AND(ISNUMBER(phi_y),phi_y=16),AND(ISNUMBER(phi_y),phi_y=20),AND(ISNUMBER(phi_y),phi_y=25),AND(ISNUMBER(phi_y),phi_y=32),AND(ISNUMBER(phi_y),phi_y=40)),ISNUMBER(s_y),s_y&gt;0,OR(AND(ISNUMBER(phi_tx),phi_tx=8),AND(ISNUMBER(phi_tx),phi_tx=10),AND(ISNUMBER(phi_tx),phi_tx=12),AND(ISNUMBER(phi_tx),phi_tx=16),AND(ISNUMBER(phi_tx),phi_tx=20),AND(ISNUMBER(phi_tx),phi_tx=25),AND(ISNUMBER(phi_tx),phi_tx=32),AND(ISNUMBER(phi_tx),phi_tx=40)),ISNUMBER(s_tx),s_tx&gt;0,OR(AND(ISNUMBER(phi_ty),phi_ty=8),AND(ISNUMBER(phi_ty),phi_ty=10),AND(ISNUMBER(phi_ty),phi_ty=12),AND(ISNUMBER(phi_ty),phi_ty=16),AND(ISNUMBER(phi_ty),phi_ty=20),AND(ISNUMBER(phi_ty),phi_ty=25),AND(ISNUMBER(phi_ty),phi_ty=32),AND(ISNUMBER(phi_ty),phi_ty=40)),ISNUMBER(s_ty),s_ty&gt;0,ISNUMBER(gk_tw),gk_tw&gt;=0,ISNUMBER(qk_tw),qk_tw&gt;=0,ISNUMBER(gamma_G),gamma_G&gt;0,ISNUMBER(gamma_Q),gamma_Q&gt;0,OR(partitions="No",partitions="Yes"),AND(f_yk&gt;=400,f_yk&lt;=500,ly_tw&gt;=lx_tw,h_tw&gt;=2*c_nom+phi_x+phi_y+phi_tx+phi_ty,s_x&gt;=50,s_y&gt;=50,s_tx&gt;=50,s_ty&gt;=50)),FALSE)</definedName>
    <definedName name="input_status">'Calculation'!$G$35</definedName>
    <definedName name="tw_i">MATCH(panel,{"Interior panel","One short edge discontinuous","One long edge discontinuous","Two adjacent edges discontinuous","Two short edges discontinuous","Two long edges discontinuous","Three edges discontinuous – one long continuous","Three edges discontinuous – one short continuous","Four edges discontinuous"},0)</definedName>
    <definedName name="tw_range">ly_tw/lx_tw&lt;=2</definedName>
    <definedName name="xp_status">'Calculation'!$G$59</definedName>
    <definedName name="yp_status">'Calculation'!$G$60</definedName>
    <definedName name="xn_status">'Calculation'!$G$61</definedName>
    <definedName name="yn_status">'Calculation'!$G$62</definedName>
    <definedName name="shear_status">'Calculation'!$G$63</definedName>
    <definedName name="defl_status">'Calculation'!$G$64</definedName>
    <definedName name="bend_tw">AND(OR(m_sxp=0,IFERROR(Asp_xp&gt;=MAX(Asr_xp,Asm_xp),FALSE)),OR(m_syp=0,IFERROR(Asp_yp&gt;=MAX(Asr_yp,Asm_yp),FALSE)),OR(m_sxn=0,IFERROR(Asp_xn&gt;=MAX(Asr_xn,Asm_xn),FALSE)),OR(m_syn=0,IFERROR(Asp_yn&gt;=MAX(Asr_yn,Asm_yn),FALSE)))</definedName>
    <definedName name="gap_vtw">h_tw-2*c_nom-phi_x-phi_y-phi_tx-phi_ty</definedName>
    <definedName name="det_tw">AND(gap_vtw&gt;=gap_tw,MAX(s_x,s_y,s_tx,s_ty)&lt;=s_maxtw,MIN(s_x-phi_x,s_y-phi_y,s_tx-phi_tx,s_ty-phi_ty)&gt;=gap_tw,MAX(Asp_xp,Asp_yp,Asp_xn,Asp_yn)&lt;=0.04*1000*h_tw)</definedName>
    <definedName name="det_status">'Calculation'!$G$65</definedName>
    <definedName name="ratio_status">'Calculation'!$G$66</definedName>
    <definedName name="gamma_c">'Calculation'!$E$70</definedName>
    <definedName name="gamma_s">'Calculation'!$E$71</definedName>
    <definedName name="alpha_cc">'Calculation'!$E$72</definedName>
    <definedName name="C_Rdc">'Calculation'!$E$73</definedName>
    <definedName name="ld_mod_max">'Calculation'!$E$74</definedName>
    <definedName name="ld_cap_40K">'Calculation'!$E$75</definedName>
    <definedName name="f_ck">'Calculation'!$E$76</definedName>
    <definedName name="f_ctm">'Calculation'!$E$77</definedName>
    <definedName name="f_cd">'Calculation'!$E$78</definedName>
    <definedName name="f_yd">'Calculation'!$E$79</definedName>
    <definedName name="n_tw">'Calculation'!$E$80</definedName>
    <definedName name="tw_r">MIN(2,MAX(1,ly_tw/lx_tw))</definedName>
    <definedName name="lx_m">lx_tw/1000</definedName>
    <definedName name="b_sxn">'Calculation'!$E$82</definedName>
    <definedName name="b_sxp">'Calculation'!$E$83</definedName>
    <definedName name="b_syn">'Calculation'!$E$84</definedName>
    <definedName name="b_syp">'Calculation'!$E$85</definedName>
    <definedName name="m_sxn">'Calculation'!$E$86</definedName>
    <definedName name="m_sxp">'Calculation'!$E$87</definedName>
    <definedName name="m_syn">'Calculation'!$E$88</definedName>
    <definedName name="m_syp">'Calculation'!$E$89</definedName>
    <definedName name="K_tw">'Calculation'!$E$92</definedName>
    <definedName name="d_xp">'Calculation'!$E$93</definedName>
    <definedName name="Asm_xp">'Calculation'!$E$94</definedName>
    <definedName name="K_xp">'Calculation'!$E$95</definedName>
    <definedName name="Asr_xp">'Calculation'!$E$96</definedName>
    <definedName name="Asp_xp">'Calculation'!$E$97</definedName>
    <definedName name="chk_xp">'Calculation'!$G$98</definedName>
    <definedName name="d_yp">'Calculation'!$E$99</definedName>
    <definedName name="Asm_yp">'Calculation'!$E$100</definedName>
    <definedName name="K_yp">'Calculation'!$E$101</definedName>
    <definedName name="Asr_yp">'Calculation'!$E$102</definedName>
    <definedName name="Asp_yp">'Calculation'!$E$103</definedName>
    <definedName name="chk_yp">'Calculation'!$G$104</definedName>
    <definedName name="d_xn">'Calculation'!$E$105</definedName>
    <definedName name="Asm_xn">'Calculation'!$E$106</definedName>
    <definedName name="K_xn">'Calculation'!$E$107</definedName>
    <definedName name="Asr_xn">'Calculation'!$E$108</definedName>
    <definedName name="Asp_xn">'Calculation'!$E$109</definedName>
    <definedName name="chk_xn">'Calculation'!$G$110</definedName>
    <definedName name="d_yn">'Calculation'!$E$111</definedName>
    <definedName name="Asm_yn">'Calculation'!$E$112</definedName>
    <definedName name="K_yn">'Calculation'!$E$113</definedName>
    <definedName name="Asr_yn">'Calculation'!$E$114</definedName>
    <definedName name="Asp_yn">'Calculation'!$E$115</definedName>
    <definedName name="chk_yn">'Calculation'!$G$116</definedName>
    <definedName name="v_xc">'Calculation'!$E$119</definedName>
    <definedName name="VRc_xc">'Calculation'!$E$120</definedName>
    <definedName name="v_xd">'Calculation'!$E$121</definedName>
    <definedName name="VRc_xd">'Calculation'!$E$122</definedName>
    <definedName name="v_yc">'Calculation'!$E$123</definedName>
    <definedName name="VRc_yc">'Calculation'!$E$124</definedName>
    <definedName name="v_yd">'Calculation'!$E$125</definedName>
    <definedName name="VRc_yd">'Calculation'!$E$126</definedName>
    <definedName name="v_twu">'Calculation'!$E$127</definedName>
    <definedName name="chk_shear">'Calculation'!$G$128</definedName>
    <definedName name="tw_long_cont">INDEX({2,2,1,1,2,0,1,0,0},tw_i)</definedName>
    <definedName name="K_dtw">'Calculation'!$E$129</definedName>
    <definedName name="rho_tw">'Calculation'!$E$130</definedName>
    <definedName name="rho0_tw">'Calculation'!$E$131</definedName>
    <definedName name="ldb_tw">'Calculation'!$E$132</definedName>
    <definedName name="F3_tw">'Calculation'!$E$133</definedName>
    <definedName name="F2_tw">'Calculation'!$E$134</definedName>
    <definedName name="ld_lim">'Calculation'!$E$135</definedName>
    <definedName name="ld_act">'Calculation'!$E$136</definedName>
    <definedName name="chk_defl">'Calculation'!$G$137</definedName>
    <definedName name="s_maxtw">'Calculation'!$E$138</definedName>
    <definedName name="gap_tw">'Calculation'!$E$139</definedName>
    <definedName name="chk_det">'Calculation'!$G$140</definedName>
    <definedName name="tw_ratios">'Coefficients'!$D$5:$K$5</definedName>
    <definedName name="tw_body">'Coefficients'!$D$6:$K$23</definedName>
    <definedName name="tw_long">'Coefficients'!$L$6:$L$23</definedName>
    <definedName name="tw_shear">'Coefficients'!$D$26:$K$61</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'Calculation'!$A$1:$H$144</definedName>
    <definedName name="_xlnm.Print_Area" localSheetId="4">'Coefficients'!$A$1:$L$63</definedName>
    <definedName name="_xlnm.Print_Area" localSheetId="5">'NDP'!$A$1:$G$29</definedName>
  </definedNames>
  <calcPr calcId="124519" fullCalcOnLoad="1"/>
</workbook>
</file>

<file path=xl/styles.xml><?xml version="1.0" encoding="utf-8"?>
<styleSheet xmlns="http://schemas.openxmlformats.org/spreadsheetml/2006/main">
  <numFmts count="7">
    <numFmt numFmtId="164" formatCode="dd mmm yyyy"/>
    <numFmt numFmtId="165" formatCode="0.000"/>
    <numFmt numFmtId="166" formatCode="0.0"/>
    <numFmt numFmtId="167" formatCode="0.0000"/>
    <numFmt numFmtId="168" formatCode="0.00000"/>
    <numFmt numFmtId="169" formatCode="0.000;;&quot;–&quot;"/>
    <numFmt numFmtId="170" formatCode="0.00;;&quot;–&quot;"/>
  </numFmts>
  <fonts count="24">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i val="1"/>
      <color rgb="009A9A9A"/>
      <sz val="8.5"/>
    </font>
    <font>
      <name val="Calibri"/>
      <b val="1"/>
      <color rgb="008A8A8A"/>
      <sz val="9"/>
    </font>
    <font>
      <name val="Calibri"/>
      <color rgb="002B2B2B"/>
      <sz val="9.5"/>
    </font>
    <font>
      <name val="Calibri"/>
      <b val="1"/>
      <color rgb="005B7F8A"/>
      <sz val="10"/>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60">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166" fontId="12" fillId="0" borderId="1" applyAlignment="1" pivotButton="0" quotePrefix="0" xfId="0">
      <alignment horizontal="center" vertical="center"/>
    </xf>
    <xf numFmtId="168" fontId="5" fillId="0" borderId="1" applyAlignment="1" pivotButton="0" quotePrefix="0" xfId="0">
      <alignment horizontal="center" vertical="center"/>
    </xf>
    <xf numFmtId="0" fontId="10" fillId="0" borderId="0" pivotButton="0" quotePrefix="0" xfId="0"/>
    <xf numFmtId="0" fontId="19" fillId="0" borderId="0" pivotButton="0" quotePrefix="0" xfId="0"/>
    <xf numFmtId="0" fontId="20" fillId="0" borderId="0" pivotButton="0" quotePrefix="0" xfId="0"/>
    <xf numFmtId="2" fontId="14" fillId="0" borderId="0" applyAlignment="1" pivotButton="0" quotePrefix="0" xfId="0">
      <alignment horizontal="center"/>
    </xf>
    <xf numFmtId="0" fontId="14" fillId="0" borderId="0" applyAlignment="1" pivotButton="0" quotePrefix="0" xfId="0">
      <alignment horizontal="center"/>
    </xf>
    <xf numFmtId="0" fontId="21" fillId="0" borderId="1" pivotButton="0" quotePrefix="0" xfId="0"/>
    <xf numFmtId="169" fontId="21" fillId="0" borderId="1" applyAlignment="1" pivotButton="0" quotePrefix="0" xfId="0">
      <alignment horizontal="center"/>
    </xf>
    <xf numFmtId="0" fontId="22" fillId="0" borderId="0" pivotButton="0" quotePrefix="0" xfId="0"/>
    <xf numFmtId="170" fontId="21" fillId="0" borderId="1" applyAlignment="1" pivotButton="0" quotePrefix="0" xfId="0">
      <alignment horizontal="center"/>
    </xf>
    <xf numFmtId="0" fontId="23"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
  <chart>
    <plotArea>
      <scatterChart>
        <scatterStyle val="lineMarker"/>
        <ser>
          <idx val="0"/>
          <order val="0"/>
          <tx>
            <v>left edge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'Geometry'!$A$3:$A$4</f>
            </numRef>
          </xVal>
          <yVal>
            <numRef>
              <f>'Geometry'!$B$3:$B$4</f>
            </numRef>
          </yVal>
          <smooth val="0"/>
        </ser>
        <ser>
          <idx val="1"/>
          <order val="1"/>
          <tx>
            <v>left continuity</v>
          </tx>
          <spPr>
            <a:ln xmlns:a="http://schemas.openxmlformats.org/drawingml/2006/main" w="50800">
              <a:solidFill>
                <a:srgbClr val="9A9A9A"/>
              </a:solidFill>
              <a:prstDash val="sysDash"/>
            </a:ln>
          </spPr>
          <marker>
            <symbol val="none"/>
            <spPr>
              <a:ln xmlns:a="http://schemas.openxmlformats.org/drawingml/2006/main">
                <a:prstDash val="solid"/>
              </a:ln>
            </spPr>
          </marker>
          <xVal>
            <numRef>
              <f>'Geometry'!$D$3:$D$4</f>
            </numRef>
          </xVal>
          <yVal>
            <numRef>
              <f>'Geometry'!$E$3:$E$4</f>
            </numRef>
          </yVal>
          <smooth val="0"/>
        </ser>
        <ser>
          <idx val="2"/>
          <order val="2"/>
          <tx>
            <v>right edge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right continuity</v>
          </tx>
          <spPr>
            <a:ln xmlns:a="http://schemas.openxmlformats.org/drawingml/2006/main" w="50800">
              <a:solidFill>
                <a:srgbClr val="9A9A9A"/>
              </a:solidFill>
              <a:prstDash val="sysDash"/>
            </a:ln>
          </spPr>
          <marker>
            <symbol val="none"/>
            <spPr>
              <a:ln xmlns:a="http://schemas.openxmlformats.org/drawingml/2006/main">
                <a:prstDash val="solid"/>
              </a:ln>
            </spPr>
          </marker>
          <xVal>
            <numRef>
              <f>'Geometry'!$J$3:$J$4</f>
            </numRef>
          </xVal>
          <yVal>
            <numRef>
              <f>'Geometry'!$K$3:$K$4</f>
            </numRef>
          </yVal>
          <smooth val="0"/>
        </ser>
        <ser>
          <idx val="4"/>
          <order val="4"/>
          <tx>
            <v>bottom edge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bottom continuity</v>
          </tx>
          <spPr>
            <a:ln xmlns:a="http://schemas.openxmlformats.org/drawingml/2006/main" w="50800">
              <a:solidFill>
                <a:srgbClr val="9A9A9A"/>
              </a:solidFill>
              <a:prstDash val="sysDash"/>
            </a:ln>
          </spPr>
          <marker>
            <symbol val="none"/>
            <spPr>
              <a:ln xmlns:a="http://schemas.openxmlformats.org/drawingml/2006/main">
                <a:prstDash val="solid"/>
              </a:ln>
            </spPr>
          </marker>
          <xVal>
            <numRef>
              <f>'Geometry'!$P$3:$P$4</f>
            </numRef>
          </xVal>
          <yVal>
            <numRef>
              <f>'Geometry'!$Q$3:$Q$4</f>
            </numRef>
          </yVal>
          <smooth val="0"/>
        </ser>
        <ser>
          <idx val="6"/>
          <order val="6"/>
          <tx>
            <v>top edge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top continuity</v>
          </tx>
          <spPr>
            <a:ln xmlns:a="http://schemas.openxmlformats.org/drawingml/2006/main" w="50800">
              <a:solidFill>
                <a:srgbClr val="9A9A9A"/>
              </a:solidFill>
              <a:prstDash val="sysDash"/>
            </a:ln>
          </spPr>
          <marker>
            <symbol val="none"/>
            <spPr>
              <a:ln xmlns:a="http://schemas.openxmlformats.org/drawingml/2006/main">
                <a:prstDash val="solid"/>
              </a:ln>
            </spPr>
          </marker>
          <xVal>
            <numRef>
              <f>'Geometry'!$V$3:$V$4</f>
            </numRef>
          </xVal>
          <yVal>
            <numRef>
              <f>'Geometry'!$W$3:$W$4</f>
            </numRef>
          </yVal>
          <smooth val="0"/>
        </ser>
        <ser>
          <idx val="8"/>
          <order val="8"/>
          <tx>
            <v>short span</v>
          </tx>
          <spPr>
            <a:ln xmlns:a="http://schemas.openxmlformats.org/drawingml/2006/main" w="12700">
              <a:solidFill>
                <a:srgbClr val="5B7F8A"/>
              </a:solidFill>
              <a:prstDash val="solid"/>
              <a:headEnd type="triangle" w="sm" len="sm"/>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v>long span</v>
          </tx>
          <spPr>
            <a:ln xmlns:a="http://schemas.openxmlformats.org/drawingml/2006/main" w="12700">
              <a:solidFill>
                <a:srgbClr val="5B7F8A"/>
              </a:solidFill>
              <a:prstDash val="solid"/>
              <a:headEnd type="triangle" w="sm" len="sm"/>
              <a:tailEnd type="triangle" w="sm" len="sm"/>
            </a:ln>
          </spPr>
          <marker>
            <symbol val="none"/>
            <spPr>
              <a:ln xmlns:a="http://schemas.openxmlformats.org/drawingml/2006/main">
                <a:prstDash val="solid"/>
              </a:ln>
            </spPr>
          </marker>
          <xVal>
            <numRef>
              <f>'Geometry'!$AB$3:$AB$4</f>
            </numRef>
          </xVal>
          <yVal>
            <numRef>
              <f>'Geometry'!$AC$3:$AC$4</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'Geometry'!$AE$3</f>
            </numRef>
          </xVal>
          <yVal>
            <numRef>
              <f>'Geometry'!$AF$3</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'Geometry'!$AH$3</f>
            </numRef>
          </xVal>
          <yVal>
            <numRef>
              <f>'Geometry'!$AI$3</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ctr"/>
            <showLegendKey val="0"/>
            <showVal val="0"/>
            <showCatName val="0"/>
            <showSerName val="1"/>
            <showPercent val="0"/>
          </dLbls>
          <xVal>
            <numRef>
              <f>'Geometry'!$AK$3</f>
            </numRef>
          </xVal>
          <yVal>
            <numRef>
              <f>'Geometry'!$AL$3</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ctr"/>
            <showLegendKey val="0"/>
            <showVal val="0"/>
            <showCatName val="0"/>
            <showSerName val="1"/>
            <showPercent val="0"/>
          </dLbls>
          <xVal>
            <numRef>
              <f>'Geometry'!$AN$3</f>
            </numRef>
          </xVal>
          <yVal>
            <numRef>
              <f>'Geometry'!$AO$3</f>
            </numRef>
          </yVal>
          <smooth val="0"/>
        </ser>
        <ser>
          <idx val="14"/>
          <order val="1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'Geometry'!$AQ$3:$AQ$4</f>
            </numRef>
          </xVal>
          <yVal>
            <numRef>
              <f>'Geometry'!$AR$3:$AR$4</f>
            </numRef>
          </yVal>
          <smooth val="0"/>
        </ser>
        <ser>
          <idx val="15"/>
          <order val="15"/>
          <tx>
            <strRef>
              <f>'Geometry'!$AT$2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'Geometry'!$AT$3</f>
            </numRef>
          </xVal>
          <yVal>
            <numRef>
              <f>'Geometry'!$AU$3</f>
            </numRef>
          </yVal>
          <smooth val="0"/>
        </ser>
        <ser>
          <idx val="16"/>
          <order val="1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'Geometry'!$AW$3:$AW$4</f>
            </numRef>
          </xVal>
          <yVal>
            <numRef>
              <f>'Geometry'!$AX$3:$AX$4</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'Geometry'!$AZ$3</f>
            </numRef>
          </xVal>
          <yVal>
            <numRef>
              <f>'Geometry'!$BA$3</f>
            </numRef>
          </yVal>
          <smooth val="0"/>
        </ser>
        <ser>
          <idx val="18"/>
          <order val="18"/>
          <tx>
            <v>frame</v>
          </tx>
          <spPr>
            <a:ln xmlns:a="http://schemas.openxmlformats.org/drawingml/2006/main">
              <a:noFill/>
              <a:prstDash val="solid"/>
            </a:ln>
          </spPr>
          <marker>
            <symbol val="none"/>
            <spPr>
              <a:ln xmlns:a="http://schemas.openxmlformats.org/drawingml/2006/main">
                <a:prstDash val="solid"/>
              </a:ln>
            </spPr>
          </marker>
          <xVal>
            <numRef>
              <f>'Geometry'!$BC$3:$BC$4</f>
            </numRef>
          </xVal>
          <yVal>
            <numRef>
              <f>'Geometry'!$BD$3:$BD$4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37</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Two-way slab</t>
        </is>
      </c>
    </row>
    <row r="8" ht="20" customHeight="1">
      <c r="B8" s="4" t="inlineStr">
        <is>
          <t>Solid slabs on four supports  ·  coefficient method  ·  EN 1992-1-1 §6.1, §6.2, §7.4, §9.3  ·  UK NA / PN-EN</t>
        </is>
      </c>
    </row>
    <row r="10">
      <c r="B10" s="5" t="inlineStr">
        <is>
          <t>Reference</t>
        </is>
      </c>
      <c r="C10" s="6" t="inlineStr">
        <is>
          <t>NAE-RC-013  ·  version 1.0</t>
        </is>
      </c>
    </row>
    <row r="11" ht="45.5" customHeight="1">
      <c r="B11" s="5" t="inlineStr">
        <is>
          <t>Standards</t>
        </is>
      </c>
      <c r="C11" s="7" t="inlineStr">
        <is>
          <t>BS EN 1992-1-1:2004 with UK NA  ·  PN-EN 1992-1-1:2008 with Polish NA (NDP sources listed on the NDP sheet)  ·  moment coefficients: BS 8110-1 Table 3.14 / IStructE Manual (EC2) Table 5.3</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Design of a rectangular solid slab panel supported on four sides: design moments per metre in the short and long span from the coefficient method for nine edge conditions, bottom and top reinforcement in both directions, shear without links, deflection by the span to depth ratio and the slab detailing rules.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63.5" customHeight="1">
      <c r="B22" s="7" t="inlineStr">
        <is>
          <t>Uniformly loaded rectangular panel on linear supports with the corners held down and torsion reinforcement provided at the corners, 1 ≤ ly / lx ≤ 2 (beyond 2 every result fails: design as one-way), adjacent panels of similar span and load. Moments m = β n lx² (BS 8110-1 Table 3.14) and edge shears v = βv n lx (Table 3.15), interpolated linearly in ly / lx; the IStructE Manual for EC2 uses the same method. Short-span bars in the outer layer, long-span bars inside them; the thickness must hold all four layers. Shear at every edge with the bars in tension there (top at a continuous edge, bottom at a discontinuous one, assumed anchored). Deflection by (7.16) on the short span with K from the long edges (both continuous 1.5, one 1.3, none 1.0), the (As,prov / As,req)(500/fyk) factor (UK ≤ 1.5), 7/l for spans over 7 m with brittle partitions and the UK 40K cap. The 0.45 x/d limit assumes the coefficients' redistribution stays within 5.5 (as in the source method). Rectangular stress block, no compression bars, concrete classes up to C50/60. Corner torsion reinforcement (9.3.1.1, BS 8110 3.5.3.5), punching and crack widths are separate checks.
The second-generation EN 1992-1-1:2023 is not yet implemented.</t>
        </is>
      </c>
    </row>
    <row r="24" ht="20" customHeight="1">
      <c r="B24" s="8" t="inlineStr">
        <is>
          <t>Further reading and independent cross-check</t>
        </is>
      </c>
      <c r="C24" s="9" t="n"/>
    </row>
    <row r="25" ht="91" customHeight="1">
      <c r="B25" s="10" t="inlineStr">
        <is>
          <t>•  IStructE, Manual for the design of concrete building structures to Eurocode 2, 5.2.3.3 and Table 5.3.
•  The Concrete Centre, How to design concrete structures using Eurocode 2: Slabs.
•  The Concrete Centre, RC Spreadsheets v4, TCC94 Two-way slabs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&amp;K8A8A8ANAE-RC-013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43"/>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Two-way slab</t>
        </is>
      </c>
      <c r="H2" s="1" t="n"/>
    </row>
    <row r="3" ht="16" customHeight="1">
      <c r="A3" s="1" t="n"/>
      <c r="B3" s="1" t="n"/>
      <c r="C3" s="15" t="inlineStr">
        <is>
          <t>NAE-RC-013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panel</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Panel type  (edge conditions)</t>
        </is>
      </c>
      <c r="D15" s="23" t="n"/>
      <c r="E15" s="25" t="inlineStr">
        <is>
          <t>Two adjacent edges discontinuous</t>
        </is>
      </c>
      <c r="F15" s="23" t="n"/>
      <c r="G15" s="23" t="n"/>
    </row>
    <row r="16" ht="17" customHeight="1">
      <c r="B16" s="23" t="n"/>
      <c r="C16" s="24" t="inlineStr">
        <is>
          <t>Short span  lx</t>
        </is>
      </c>
      <c r="D16" s="27" t="inlineStr">
        <is>
          <r>
            <rPr>
              <rFont val="Calibri"/>
              <i val="1"/>
              <color rgb="002B2B2B"/>
              <sz val="10"/>
            </rPr>
            <t>l</t>
          </r>
          <r>
            <rPr>
              <rFont val="Calibri"/>
              <i val="1"/>
              <color rgb="002B2B2B"/>
              <sz val="10"/>
              <vertAlign val="subscript"/>
            </rPr>
            <t>x</t>
          </r>
        </is>
      </c>
      <c r="E16" s="25" t="n">
        <v>5000</v>
      </c>
      <c r="F16" s="28" t="inlineStr">
        <is>
          <t>mm</t>
        </is>
      </c>
      <c r="G16" s="23" t="n"/>
    </row>
    <row r="17" ht="17" customHeight="1">
      <c r="B17" s="23" t="n"/>
      <c r="C17" s="24" t="inlineStr">
        <is>
          <t>Long span  ly  (≥ lx)</t>
        </is>
      </c>
      <c r="D17" s="27" t="inlineStr">
        <is>
          <r>
            <rPr>
              <rFont val="Calibri"/>
              <i val="1"/>
              <color rgb="002B2B2B"/>
              <sz val="10"/>
            </rPr>
            <t>l</t>
          </r>
          <r>
            <rPr>
              <rFont val="Calibri"/>
              <i val="1"/>
              <color rgb="002B2B2B"/>
              <sz val="10"/>
              <vertAlign val="subscript"/>
            </rPr>
            <t>y</t>
          </r>
        </is>
      </c>
      <c r="E17" s="25" t="n">
        <v>6000</v>
      </c>
      <c r="F17" s="28" t="inlineStr">
        <is>
          <t>mm</t>
        </is>
      </c>
      <c r="G17" s="23" t="n"/>
    </row>
    <row r="18" ht="17" customHeight="1">
      <c r="B18" s="23" t="n"/>
      <c r="C18" s="24" t="inlineStr">
        <is>
          <t>Slab thickness</t>
        </is>
      </c>
      <c r="D18" s="27" t="inlineStr">
        <is>
          <r>
            <rPr>
              <rFont val="Calibri"/>
              <i val="1"/>
              <color rgb="002B2B2B"/>
              <sz val="10"/>
            </rPr>
            <t>h</t>
          </r>
        </is>
      </c>
      <c r="E18" s="25" t="n">
        <v>200</v>
      </c>
      <c r="F18" s="28" t="inlineStr">
        <is>
          <t>mm</t>
        </is>
      </c>
      <c r="G18" s="23" t="n"/>
    </row>
    <row r="19" ht="17" customHeight="1">
      <c r="B19" s="26" t="inlineStr">
        <is>
          <t>4.4.1</t>
        </is>
      </c>
      <c r="C19" s="24" t="inlineStr">
        <is>
          <t>Nominal cover</t>
        </is>
      </c>
      <c r="D19" s="27" t="inlineStr">
        <is>
          <r>
            <rPr>
              <rFont val="Calibri"/>
              <i val="1"/>
              <color rgb="002B2B2B"/>
              <sz val="10"/>
            </rPr>
            <t>c</t>
          </r>
          <r>
            <rPr>
              <rFont val="Calibri"/>
              <i val="1"/>
              <color rgb="002B2B2B"/>
              <sz val="10"/>
              <vertAlign val="subscript"/>
            </rPr>
            <t>nom</t>
          </r>
        </is>
      </c>
      <c r="E19" s="25" t="n">
        <v>25</v>
      </c>
      <c r="F19" s="28" t="inlineStr">
        <is>
          <t>mm</t>
        </is>
      </c>
      <c r="G19" s="23" t="n"/>
    </row>
    <row r="20" ht="17" customHeight="1">
      <c r="B20" s="23" t="n"/>
      <c r="C20" s="24" t="inlineStr">
        <is>
          <t>Bottom, short span (outer layer): diameter</t>
        </is>
      </c>
      <c r="D20" s="27" t="inlineStr">
        <is>
          <r>
            <rPr>
              <rFont val="Calibri"/>
              <i val="1"/>
              <color rgb="002B2B2B"/>
              <sz val="10"/>
            </rPr>
            <t>φ</t>
          </r>
          <r>
            <rPr>
              <rFont val="Calibri"/>
              <i val="1"/>
              <color rgb="002B2B2B"/>
              <sz val="10"/>
              <vertAlign val="subscript"/>
            </rPr>
            <t>x</t>
          </r>
        </is>
      </c>
      <c r="E20" s="25" t="n">
        <v>10</v>
      </c>
      <c r="F20" s="28" t="inlineStr">
        <is>
          <t>mm</t>
        </is>
      </c>
      <c r="G20" s="23" t="n"/>
    </row>
    <row r="21" ht="17" customHeight="1">
      <c r="B21" s="23" t="n"/>
      <c r="C21" s="24" t="inlineStr">
        <is>
          <t>Bottom, short span: spacing</t>
        </is>
      </c>
      <c r="D21" s="27" t="inlineStr">
        <is>
          <r>
            <rPr>
              <rFont val="Calibri"/>
              <i val="1"/>
              <color rgb="002B2B2B"/>
              <sz val="10"/>
            </rPr>
            <t>s</t>
          </r>
          <r>
            <rPr>
              <rFont val="Calibri"/>
              <i val="1"/>
              <color rgb="002B2B2B"/>
              <sz val="10"/>
              <vertAlign val="subscript"/>
            </rPr>
            <t>x</t>
          </r>
        </is>
      </c>
      <c r="E21" s="25" t="n">
        <v>200</v>
      </c>
      <c r="F21" s="28" t="inlineStr">
        <is>
          <t>mm</t>
        </is>
      </c>
      <c r="G21" s="23" t="n"/>
    </row>
    <row r="22" ht="17" customHeight="1">
      <c r="B22" s="23" t="n"/>
      <c r="C22" s="24" t="inlineStr">
        <is>
          <t>Bottom, long span (inner layer): diameter</t>
        </is>
      </c>
      <c r="D22" s="27" t="inlineStr">
        <is>
          <r>
            <rPr>
              <rFont val="Calibri"/>
              <i val="1"/>
              <color rgb="002B2B2B"/>
              <sz val="10"/>
            </rPr>
            <t>φ</t>
          </r>
          <r>
            <rPr>
              <rFont val="Calibri"/>
              <i val="1"/>
              <color rgb="002B2B2B"/>
              <sz val="10"/>
              <vertAlign val="subscript"/>
            </rPr>
            <t>y</t>
          </r>
        </is>
      </c>
      <c r="E22" s="25" t="n">
        <v>10</v>
      </c>
      <c r="F22" s="28" t="inlineStr">
        <is>
          <t>mm</t>
        </is>
      </c>
      <c r="G22" s="23" t="n"/>
    </row>
    <row r="23" ht="17" customHeight="1">
      <c r="B23" s="23" t="n"/>
      <c r="C23" s="24" t="inlineStr">
        <is>
          <t>Bottom, long span: spacing</t>
        </is>
      </c>
      <c r="D23" s="27" t="inlineStr">
        <is>
          <r>
            <rPr>
              <rFont val="Calibri"/>
              <i val="1"/>
              <color rgb="002B2B2B"/>
              <sz val="10"/>
            </rPr>
            <t>s</t>
          </r>
          <r>
            <rPr>
              <rFont val="Calibri"/>
              <i val="1"/>
              <color rgb="002B2B2B"/>
              <sz val="10"/>
              <vertAlign val="subscript"/>
            </rPr>
            <t>y</t>
          </r>
        </is>
      </c>
      <c r="E23" s="25" t="n">
        <v>250</v>
      </c>
      <c r="F23" s="28" t="inlineStr">
        <is>
          <t>mm</t>
        </is>
      </c>
      <c r="G23" s="23" t="n"/>
    </row>
    <row r="24" ht="17" customHeight="1">
      <c r="B24" s="23" t="n"/>
      <c r="C24" s="24" t="inlineStr">
        <is>
          <t>Top over continuous edges, short span: diameter</t>
        </is>
      </c>
      <c r="D24" s="27" t="inlineStr">
        <is>
          <r>
            <rPr>
              <rFont val="Calibri"/>
              <i val="1"/>
              <color rgb="002B2B2B"/>
              <sz val="10"/>
            </rPr>
            <t>φ</t>
          </r>
          <r>
            <rPr>
              <rFont val="Calibri"/>
              <i val="1"/>
              <color rgb="002B2B2B"/>
              <sz val="10"/>
              <vertAlign val="subscript"/>
            </rPr>
            <t>tx</t>
          </r>
        </is>
      </c>
      <c r="E24" s="25" t="n">
        <v>12</v>
      </c>
      <c r="F24" s="28" t="inlineStr">
        <is>
          <t>mm</t>
        </is>
      </c>
      <c r="G24" s="23" t="n"/>
    </row>
    <row r="25" ht="17" customHeight="1">
      <c r="B25" s="23" t="n"/>
      <c r="C25" s="24" t="inlineStr">
        <is>
          <t>Top, short span: spacing</t>
        </is>
      </c>
      <c r="D25" s="27" t="inlineStr">
        <is>
          <r>
            <rPr>
              <rFont val="Calibri"/>
              <i val="1"/>
              <color rgb="002B2B2B"/>
              <sz val="10"/>
            </rPr>
            <t>s</t>
          </r>
          <r>
            <rPr>
              <rFont val="Calibri"/>
              <i val="1"/>
              <color rgb="002B2B2B"/>
              <sz val="10"/>
              <vertAlign val="subscript"/>
            </rPr>
            <t>tx</t>
          </r>
        </is>
      </c>
      <c r="E25" s="25" t="n">
        <v>200</v>
      </c>
      <c r="F25" s="28" t="inlineStr">
        <is>
          <t>mm</t>
        </is>
      </c>
      <c r="G25" s="23" t="n"/>
    </row>
    <row r="26" ht="17" customHeight="1">
      <c r="B26" s="23" t="n"/>
      <c r="C26" s="24" t="inlineStr">
        <is>
          <t>Top over continuous edges, long span: diameter</t>
        </is>
      </c>
      <c r="D26" s="27" t="inlineStr">
        <is>
          <r>
            <rPr>
              <rFont val="Calibri"/>
              <i val="1"/>
              <color rgb="002B2B2B"/>
              <sz val="10"/>
            </rPr>
            <t>φ</t>
          </r>
          <r>
            <rPr>
              <rFont val="Calibri"/>
              <i val="1"/>
              <color rgb="002B2B2B"/>
              <sz val="10"/>
              <vertAlign val="subscript"/>
            </rPr>
            <t>ty</t>
          </r>
        </is>
      </c>
      <c r="E26" s="25" t="n">
        <v>10</v>
      </c>
      <c r="F26" s="28" t="inlineStr">
        <is>
          <t>mm</t>
        </is>
      </c>
      <c r="G26" s="23" t="n"/>
    </row>
    <row r="27" ht="17" customHeight="1">
      <c r="B27" s="23" t="n"/>
      <c r="C27" s="24" t="inlineStr">
        <is>
          <t>Top, long span: spacing</t>
        </is>
      </c>
      <c r="D27" s="27" t="inlineStr">
        <is>
          <r>
            <rPr>
              <rFont val="Calibri"/>
              <i val="1"/>
              <color rgb="002B2B2B"/>
              <sz val="10"/>
            </rPr>
            <t>s</t>
          </r>
          <r>
            <rPr>
              <rFont val="Calibri"/>
              <i val="1"/>
              <color rgb="002B2B2B"/>
              <sz val="10"/>
              <vertAlign val="subscript"/>
            </rPr>
            <t>ty</t>
          </r>
        </is>
      </c>
      <c r="E27" s="25" t="n">
        <v>250</v>
      </c>
      <c r="F27" s="28" t="inlineStr">
        <is>
          <t>mm</t>
        </is>
      </c>
      <c r="G27" s="23" t="n"/>
    </row>
    <row r="29" ht="22" customHeight="1">
      <c r="B29" s="20" t="inlineStr">
        <is>
          <t>Inputs  ·  loads</t>
        </is>
      </c>
      <c r="C29" s="21" t="n"/>
      <c r="D29" s="21" t="n"/>
      <c r="E29" s="21" t="n"/>
      <c r="F29" s="21" t="n"/>
      <c r="G29" s="22" t="inlineStr">
        <is>
          <t>Characteristic, per m²</t>
        </is>
      </c>
    </row>
    <row r="30" ht="17" customHeight="1">
      <c r="B30" s="23" t="n"/>
      <c r="C30" s="24" t="inlineStr">
        <is>
          <t>Permanent load in addition to the self weight</t>
        </is>
      </c>
      <c r="D30" s="27" t="inlineStr">
        <is>
          <r>
            <rPr>
              <rFont val="Calibri"/>
              <i val="1"/>
              <color rgb="002B2B2B"/>
              <sz val="10"/>
            </rPr>
            <t>g</t>
          </r>
          <r>
            <rPr>
              <rFont val="Calibri"/>
              <i val="1"/>
              <color rgb="002B2B2B"/>
              <sz val="10"/>
              <vertAlign val="subscript"/>
            </rPr>
            <t>k</t>
          </r>
        </is>
      </c>
      <c r="E30" s="29" t="n">
        <v>1.5</v>
      </c>
      <c r="F30" s="28" t="inlineStr">
        <is>
          <t>kN/m²</t>
        </is>
      </c>
      <c r="G30" s="23" t="n"/>
    </row>
    <row r="31" ht="17" customHeight="1">
      <c r="B31" s="23" t="n"/>
      <c r="C31" s="24" t="inlineStr">
        <is>
          <t>Variable load</t>
        </is>
      </c>
      <c r="D31" s="27" t="inlineStr">
        <is>
          <r>
            <rPr>
              <rFont val="Calibri"/>
              <i val="1"/>
              <color rgb="002B2B2B"/>
              <sz val="10"/>
            </rPr>
            <t>q</t>
          </r>
          <r>
            <rPr>
              <rFont val="Calibri"/>
              <i val="1"/>
              <color rgb="002B2B2B"/>
              <sz val="10"/>
              <vertAlign val="subscript"/>
            </rPr>
            <t>k</t>
          </r>
        </is>
      </c>
      <c r="E31" s="29" t="n">
        <v>2.5</v>
      </c>
      <c r="F31" s="28" t="inlineStr">
        <is>
          <t>kN/m²</t>
        </is>
      </c>
      <c r="G31" s="23" t="n"/>
    </row>
    <row r="32" ht="17" customHeight="1">
      <c r="B32" s="26" t="inlineStr">
        <is>
          <t>EN 1990 A1.2(B)</t>
        </is>
      </c>
      <c r="C32" s="24" t="inlineStr">
        <is>
          <t>Partial factor, permanent</t>
        </is>
      </c>
      <c r="D32" s="27" t="inlineStr">
        <is>
          <r>
            <rPr>
              <rFont val="Calibri"/>
              <i val="1"/>
              <color rgb="002B2B2B"/>
              <sz val="10"/>
            </rPr>
            <t>γ</t>
          </r>
          <r>
            <rPr>
              <rFont val="Calibri"/>
              <i val="1"/>
              <color rgb="002B2B2B"/>
              <sz val="10"/>
              <vertAlign val="subscript"/>
            </rPr>
            <t>G</t>
          </r>
        </is>
      </c>
      <c r="E32" s="29" t="n">
        <v>1.35</v>
      </c>
      <c r="F32" s="23" t="n"/>
      <c r="G32" s="23" t="n"/>
    </row>
    <row r="33" ht="17" customHeight="1">
      <c r="B33" s="26" t="inlineStr">
        <is>
          <t>EN 1990 A1.2(B)</t>
        </is>
      </c>
      <c r="C33" s="24" t="inlineStr">
        <is>
          <t>Partial factor, variable</t>
        </is>
      </c>
      <c r="D33" s="27" t="inlineStr">
        <is>
          <r>
            <rPr>
              <rFont val="Calibri"/>
              <i val="1"/>
              <color rgb="002B2B2B"/>
              <sz val="10"/>
            </rPr>
            <t>γ</t>
          </r>
          <r>
            <rPr>
              <rFont val="Calibri"/>
              <i val="1"/>
              <color rgb="002B2B2B"/>
              <sz val="10"/>
              <vertAlign val="subscript"/>
            </rPr>
            <t>Q</t>
          </r>
        </is>
      </c>
      <c r="E33" s="29" t="n">
        <v>1.5</v>
      </c>
      <c r="F33" s="23" t="n"/>
      <c r="G33" s="23" t="n"/>
    </row>
    <row r="34" ht="17" customHeight="1">
      <c r="B34" s="26" t="inlineStr">
        <is>
          <t>7.4.2(2)</t>
        </is>
      </c>
      <c r="C34" s="24" t="inlineStr">
        <is>
          <t>Brittle partitions on a span over 7 m?</t>
        </is>
      </c>
      <c r="D34" s="23" t="n"/>
      <c r="E34" s="25" t="inlineStr">
        <is>
          <t>No</t>
        </is>
      </c>
      <c r="F34" s="23" t="n"/>
      <c r="G34" s="23" t="n"/>
    </row>
    <row r="35" ht="17" customHeight="1">
      <c r="B35" s="23" t="n"/>
      <c r="C35" s="24" t="inlineStr">
        <is>
          <t>Inputs valid and consistent</t>
        </is>
      </c>
      <c r="D35" s="23" t="n"/>
      <c r="E35" s="9" t="n"/>
      <c r="F35" s="23" t="n"/>
      <c r="G35" s="30">
        <f>IF(inputs_ok,"OK","FAIL")</f>
        <v/>
      </c>
    </row>
    <row r="37">
      <c r="B37" s="31" t="inlineStr">
        <is>
          <t>Your panel, to scale  ·  continuous edges marked with a thick dashed line  ·  design moments in kNm/m</t>
        </is>
      </c>
    </row>
    <row r="58" ht="22" customHeight="1">
      <c r="B58" s="20" t="inlineStr">
        <is>
          <t>Results</t>
        </is>
      </c>
      <c r="C58" s="21" t="n"/>
      <c r="D58" s="21" t="n"/>
      <c r="E58" s="21" t="n"/>
      <c r="F58" s="21" t="n"/>
      <c r="G58" s="21" t="n"/>
    </row>
    <row r="59" ht="26" customHeight="1">
      <c r="B59" s="32" t="n"/>
      <c r="C59" s="33" t="inlineStr">
        <is>
          <t>Short span, bottom  As,req / As,prov</t>
        </is>
      </c>
      <c r="D59" s="32" t="n"/>
      <c r="E59" s="34">
        <f>IF(m_sxp=0,"–",IFERROR(MAX(Asr_xp,Asm_xp)/Asp_xp,"–"))</f>
        <v/>
      </c>
      <c r="F59" s="35" t="inlineStr"/>
      <c r="G59" s="36">
        <f>IF(NOT(inputs_ok),"FAIL",IF(NOT(tw_range),"FAIL",IF(m_sxp=0,"n/a",IF(IFERROR(Asp_xp&gt;=MAX(Asr_xp,Asm_xp),FALSE),"OK","FAIL"))))</f>
        <v/>
      </c>
    </row>
    <row r="60" ht="26" customHeight="1">
      <c r="B60" s="32" t="n"/>
      <c r="C60" s="33" t="inlineStr">
        <is>
          <t>Long span, bottom  As,req / As,prov</t>
        </is>
      </c>
      <c r="D60" s="32" t="n"/>
      <c r="E60" s="34">
        <f>IF(m_syp=0,"–",IFERROR(MAX(Asr_yp,Asm_yp)/Asp_yp,"–"))</f>
        <v/>
      </c>
      <c r="F60" s="35" t="inlineStr"/>
      <c r="G60" s="36">
        <f>IF(NOT(inputs_ok),"FAIL",IF(NOT(tw_range),"FAIL",IF(m_syp=0,"n/a",IF(IFERROR(Asp_yp&gt;=MAX(Asr_yp,Asm_yp),FALSE),"OK","FAIL"))))</f>
        <v/>
      </c>
    </row>
    <row r="61" ht="26" customHeight="1">
      <c r="B61" s="32" t="n"/>
      <c r="C61" s="33" t="inlineStr">
        <is>
          <t>Short span, top at continuous edges  As,req / As,prov</t>
        </is>
      </c>
      <c r="D61" s="32" t="n"/>
      <c r="E61" s="34">
        <f>IF(m_sxn=0,"–",IFERROR(MAX(Asr_xn,Asm_xn)/Asp_xn,"–"))</f>
        <v/>
      </c>
      <c r="F61" s="35" t="inlineStr"/>
      <c r="G61" s="36">
        <f>IF(NOT(inputs_ok),"FAIL",IF(NOT(tw_range),"FAIL",IF(m_sxn=0,"n/a",IF(IFERROR(Asp_xn&gt;=MAX(Asr_xn,Asm_xn),FALSE),"OK","FAIL"))))</f>
        <v/>
      </c>
    </row>
    <row r="62" ht="26" customHeight="1">
      <c r="B62" s="32" t="n"/>
      <c r="C62" s="33" t="inlineStr">
        <is>
          <t>Long span, top at continuous edges  As,req / As,prov</t>
        </is>
      </c>
      <c r="D62" s="32" t="n"/>
      <c r="E62" s="34">
        <f>IF(m_syn=0,"–",IFERROR(MAX(Asr_yn,Asm_yn)/Asp_yn,"–"))</f>
        <v/>
      </c>
      <c r="F62" s="35" t="inlineStr"/>
      <c r="G62" s="36">
        <f>IF(NOT(inputs_ok),"FAIL",IF(NOT(tw_range),"FAIL",IF(m_syn=0,"n/a",IF(IFERROR(Asp_yn&gt;=MAX(Asr_yn,Asm_yn),FALSE),"OK","FAIL"))))</f>
        <v/>
      </c>
    </row>
    <row r="63" ht="26" customHeight="1">
      <c r="B63" s="32" t="n"/>
      <c r="C63" s="33" t="inlineStr">
        <is>
          <t>Shear without links  VEd / VRd,c  (worst edge)</t>
        </is>
      </c>
      <c r="D63" s="32" t="n"/>
      <c r="E63" s="34">
        <f>v_twu</f>
        <v/>
      </c>
      <c r="F63" s="35" t="inlineStr"/>
      <c r="G63" s="36">
        <f>IF(NOT(inputs_ok),"FAIL",IF(NOT(tw_range),"FAIL",IF(v_twu&lt;=1,"OK","FAIL")))</f>
        <v/>
      </c>
    </row>
    <row r="64" ht="26" customHeight="1">
      <c r="B64" s="32" t="n"/>
      <c r="C64" s="33" t="inlineStr">
        <is>
          <t>Deflection  actual l/d ÷ limiting l/d  (short span)</t>
        </is>
      </c>
      <c r="D64" s="32" t="n"/>
      <c r="E64" s="34">
        <f>IFERROR(ld_act/ld_lim,"–")</f>
        <v/>
      </c>
      <c r="F64" s="35" t="inlineStr"/>
      <c r="G64" s="36">
        <f>IF(NOT(inputs_ok),"FAIL",IF(NOT(tw_range),"FAIL",IF(AND(bend_tw,IFERROR(ld_act&lt;=ld_lim,FALSE)),"OK","FAIL")))</f>
        <v/>
      </c>
    </row>
    <row r="65" ht="26" customHeight="1">
      <c r="B65" s="32" t="n"/>
      <c r="C65" s="33" t="inlineStr">
        <is>
          <t>Detailing  (spacing, clear gap, As,max)</t>
        </is>
      </c>
      <c r="D65" s="32" t="n"/>
      <c r="E65" s="37">
        <f>MAX(s_x,s_y,s_tx,s_ty)</f>
        <v/>
      </c>
      <c r="F65" s="35" t="inlineStr">
        <is>
          <t>mm</t>
        </is>
      </c>
      <c r="G65" s="36">
        <f>IF(NOT(inputs_ok),"FAIL",IF(NOT(tw_range),"FAIL",IF(det_tw,"OK","FAIL")))</f>
        <v/>
      </c>
    </row>
    <row r="66" ht="26" customHeight="1">
      <c r="B66" s="32" t="n"/>
      <c r="C66" s="33" t="inlineStr">
        <is>
          <t>Aspect ratio  ly / lx  (1 to 2)</t>
        </is>
      </c>
      <c r="D66" s="32" t="n"/>
      <c r="E66" s="34">
        <f>ly_tw/lx_tw</f>
        <v/>
      </c>
      <c r="F66" s="35" t="inlineStr"/>
      <c r="G66" s="36">
        <f>IF(NOT(inputs_ok),"FAIL",IF(tw_range,"OK","FAIL"))</f>
        <v/>
      </c>
    </row>
    <row r="67" ht="29" customHeight="1">
      <c r="B67" s="38" t="inlineStr">
        <is>
          <t>Beyond ly / lx = 2 the panel spans one way: use NAE-RC-012. Provide torsion reinforcement at corners where the edges are discontinuous.</t>
        </is>
      </c>
    </row>
    <row r="69" ht="22" customHeight="1">
      <c r="B69" s="20" t="inlineStr">
        <is>
          <t>Calculation  ·  loads and moments  (per m width)</t>
        </is>
      </c>
      <c r="C69" s="21" t="n"/>
      <c r="D69" s="21" t="n"/>
      <c r="E69" s="21" t="n"/>
      <c r="F69" s="21" t="n"/>
      <c r="G69" s="21" t="n"/>
    </row>
    <row r="70" ht="17" customHeight="1">
      <c r="B70" s="26" t="inlineStr">
        <is>
          <t>2.4.2.4(1)</t>
        </is>
      </c>
      <c r="C70" s="24" t="inlineStr">
        <is>
          <t>Partial factor, concrete</t>
        </is>
      </c>
      <c r="D70" s="27" t="inlineStr">
        <is>
          <r>
            <rPr>
              <rFont val="Calibri"/>
              <i val="1"/>
              <color rgb="002B2B2B"/>
              <sz val="10"/>
            </rPr>
            <t>γ</t>
          </r>
          <r>
            <rPr>
              <rFont val="Calibri"/>
              <i val="1"/>
              <color rgb="002B2B2B"/>
              <sz val="10"/>
              <vertAlign val="subscript"/>
            </rPr>
            <t>c</t>
          </r>
        </is>
      </c>
      <c r="E70" s="39">
        <f>ndp_gamma_c</f>
        <v/>
      </c>
      <c r="F70" s="23" t="n"/>
      <c r="G70" s="26" t="inlineStr">
        <is>
          <t>NDP sheet</t>
        </is>
      </c>
    </row>
    <row r="71" ht="17" customHeight="1">
      <c r="B71" s="26" t="inlineStr">
        <is>
          <t>2.4.2.4(1)</t>
        </is>
      </c>
      <c r="C71" s="24" t="inlineStr">
        <is>
          <t>Partial factor, reinforcement</t>
        </is>
      </c>
      <c r="D71" s="27" t="inlineStr">
        <is>
          <r>
            <rPr>
              <rFont val="Calibri"/>
              <i val="1"/>
              <color rgb="002B2B2B"/>
              <sz val="10"/>
            </rPr>
            <t>γ</t>
          </r>
          <r>
            <rPr>
              <rFont val="Calibri"/>
              <i val="1"/>
              <color rgb="002B2B2B"/>
              <sz val="10"/>
              <vertAlign val="subscript"/>
            </rPr>
            <t>s</t>
          </r>
        </is>
      </c>
      <c r="E71" s="39">
        <f>ndp_gamma_s</f>
        <v/>
      </c>
      <c r="F71" s="23" t="n"/>
      <c r="G71" s="26" t="inlineStr">
        <is>
          <t>NDP sheet</t>
        </is>
      </c>
    </row>
    <row r="72" ht="17" customHeight="1">
      <c r="B72" s="26" t="inlineStr">
        <is>
          <t>3.1.6(1)</t>
        </is>
      </c>
      <c r="C72" s="24" t="inlineStr">
        <is>
          <t>Coefficient on compressive strength (flexure)</t>
        </is>
      </c>
      <c r="D72" s="27" t="inlineStr">
        <is>
          <r>
            <rPr>
              <rFont val="Calibri"/>
              <i val="1"/>
              <color rgb="002B2B2B"/>
              <sz val="10"/>
            </rPr>
            <t>α</t>
          </r>
          <r>
            <rPr>
              <rFont val="Calibri"/>
              <i val="1"/>
              <color rgb="002B2B2B"/>
              <sz val="10"/>
              <vertAlign val="subscript"/>
            </rPr>
            <t>cc</t>
          </r>
        </is>
      </c>
      <c r="E72" s="39">
        <f>ndp_alpha_cc</f>
        <v/>
      </c>
      <c r="F72" s="23" t="n"/>
      <c r="G72" s="26" t="inlineStr">
        <is>
          <t>NDP sheet</t>
        </is>
      </c>
    </row>
    <row r="73" ht="17" customHeight="1">
      <c r="B73" s="26" t="inlineStr">
        <is>
          <t>6.2.2(1), 6.4.4(1)</t>
        </is>
      </c>
      <c r="C73" s="24" t="inlineStr">
        <is>
          <t>Coefficient  0.18 / γc</t>
        </is>
      </c>
      <c r="D73" s="27" t="inlineStr">
        <is>
          <r>
            <rPr>
              <rFont val="Calibri"/>
              <i val="1"/>
              <color rgb="002B2B2B"/>
              <sz val="10"/>
            </rPr>
            <t>C</t>
          </r>
          <r>
            <rPr>
              <rFont val="Calibri"/>
              <i val="1"/>
              <color rgb="002B2B2B"/>
              <sz val="10"/>
              <vertAlign val="subscript"/>
            </rPr>
            <t>Rd,c</t>
          </r>
        </is>
      </c>
      <c r="E73" s="40">
        <f>ndp_C_Rdc/ndp_gamma_c</f>
        <v/>
      </c>
      <c r="F73" s="23" t="n"/>
      <c r="G73" s="26" t="inlineStr">
        <is>
          <t>NDP sheet</t>
        </is>
      </c>
    </row>
    <row r="74" ht="17" customHeight="1">
      <c r="B74" s="26" t="inlineStr">
        <is>
          <t>7.4.2(2)</t>
        </is>
      </c>
      <c r="C74" s="24" t="inlineStr">
        <is>
          <t>Upper limit on the stress / area factor</t>
        </is>
      </c>
      <c r="D74" s="23" t="n"/>
      <c r="E74" s="39">
        <f>ndp_ld_mod_max</f>
        <v/>
      </c>
      <c r="F74" s="23" t="n"/>
      <c r="G74" s="26" t="inlineStr">
        <is>
          <t>NDP sheet</t>
        </is>
      </c>
    </row>
    <row r="75" ht="17" customHeight="1">
      <c r="B75" s="26" t="inlineStr">
        <is>
          <t>7.4.2(2)</t>
        </is>
      </c>
      <c r="C75" s="24" t="inlineStr">
        <is>
          <t>L/d ≤ 40K applies (1 = yes)</t>
        </is>
      </c>
      <c r="D75" s="23" t="n"/>
      <c r="E75" s="39">
        <f>ndp_ld_cap_40K</f>
        <v/>
      </c>
      <c r="F75" s="23" t="n"/>
      <c r="G75" s="26" t="inlineStr">
        <is>
          <t>NDP sheet</t>
        </is>
      </c>
    </row>
    <row r="76" ht="17" customHeight="1">
      <c r="B76" s="26" t="inlineStr">
        <is>
          <t>Table 3.1</t>
        </is>
      </c>
      <c r="C76" s="24" t="inlineStr">
        <is>
          <t>Characteristic cylinder strength</t>
        </is>
      </c>
      <c r="D76" s="27" t="inlineStr">
        <is>
          <r>
            <rPr>
              <rFont val="Calibri"/>
              <i val="1"/>
              <color rgb="002B2B2B"/>
              <sz val="10"/>
            </rPr>
            <t>f</t>
          </r>
          <r>
            <rPr>
              <rFont val="Calibri"/>
              <i val="1"/>
              <color rgb="002B2B2B"/>
              <sz val="10"/>
              <vertAlign val="subscript"/>
            </rPr>
            <t>ck</t>
          </r>
        </is>
      </c>
      <c r="E76" s="41">
        <f>VALUE(MID(conc_class,2,FIND("/",conc_class)-2))</f>
        <v/>
      </c>
      <c r="F76" s="28" t="inlineStr">
        <is>
          <t>MPa</t>
        </is>
      </c>
      <c r="G76" s="23" t="n"/>
    </row>
    <row r="77" ht="17" customHeight="1">
      <c r="B77" s="26" t="inlineStr">
        <is>
          <t>Table 3.1</t>
        </is>
      </c>
      <c r="C77" s="24" t="inlineStr">
        <is>
          <t>Mean tensile strength</t>
        </is>
      </c>
      <c r="D77" s="27" t="inlineStr">
        <is>
          <r>
            <rPr>
              <rFont val="Calibri"/>
              <i val="1"/>
              <color rgb="002B2B2B"/>
              <sz val="10"/>
            </rPr>
            <t>f</t>
          </r>
          <r>
            <rPr>
              <rFont val="Calibri"/>
              <i val="1"/>
              <color rgb="002B2B2B"/>
              <sz val="10"/>
              <vertAlign val="subscript"/>
            </rPr>
            <t>ctm</t>
          </r>
        </is>
      </c>
      <c r="E77" s="39">
        <f>IF(f_ck&lt;=50,0.3*f_ck^(2/3),2.12*LN(1+(f_ck+8)/10))</f>
        <v/>
      </c>
      <c r="F77" s="28" t="inlineStr">
        <is>
          <t>MPa</t>
        </is>
      </c>
      <c r="G77" s="23" t="n"/>
    </row>
    <row r="78" ht="17" customHeight="1">
      <c r="B78" s="26" t="inlineStr">
        <is>
          <t>3.1.6(1)</t>
        </is>
      </c>
      <c r="C78" s="24" t="inlineStr">
        <is>
          <t>Design compressive strength  αcc fck / γc</t>
        </is>
      </c>
      <c r="D78" s="27" t="inlineStr">
        <is>
          <r>
            <rPr>
              <rFont val="Calibri"/>
              <i val="1"/>
              <color rgb="002B2B2B"/>
              <sz val="10"/>
            </rPr>
            <t>f</t>
          </r>
          <r>
            <rPr>
              <rFont val="Calibri"/>
              <i val="1"/>
              <color rgb="002B2B2B"/>
              <sz val="10"/>
              <vertAlign val="subscript"/>
            </rPr>
            <t>cd</t>
          </r>
        </is>
      </c>
      <c r="E78" s="39">
        <f>alpha_cc*f_ck/gamma_c</f>
        <v/>
      </c>
      <c r="F78" s="28" t="inlineStr">
        <is>
          <t>MPa</t>
        </is>
      </c>
      <c r="G78" s="23" t="n"/>
    </row>
    <row r="79" ht="17" customHeight="1">
      <c r="B79" s="26" t="inlineStr">
        <is>
          <t>3.2.7</t>
        </is>
      </c>
      <c r="C79" s="24" t="inlineStr">
        <is>
          <t>Design yield strength</t>
        </is>
      </c>
      <c r="D79" s="27" t="inlineStr">
        <is>
          <r>
            <rPr>
              <rFont val="Calibri"/>
              <i val="1"/>
              <color rgb="002B2B2B"/>
              <sz val="10"/>
            </rPr>
            <t>f</t>
          </r>
          <r>
            <rPr>
              <rFont val="Calibri"/>
              <i val="1"/>
              <color rgb="002B2B2B"/>
              <sz val="10"/>
              <vertAlign val="subscript"/>
            </rPr>
            <t>yd</t>
          </r>
        </is>
      </c>
      <c r="E79" s="42">
        <f>f_yk/gamma_s</f>
        <v/>
      </c>
      <c r="F79" s="28" t="inlineStr">
        <is>
          <t>MPa</t>
        </is>
      </c>
      <c r="G79" s="23" t="n"/>
    </row>
    <row r="80" ht="17" customHeight="1">
      <c r="B80" s="23" t="n"/>
      <c r="C80" s="24" t="inlineStr">
        <is>
          <t>Design load  n = γG (gk + 25 h) + γQ qk</t>
        </is>
      </c>
      <c r="D80" s="27" t="inlineStr">
        <is>
          <r>
            <rPr>
              <rFont val="Calibri"/>
              <i val="1"/>
              <color rgb="002B2B2B"/>
              <sz val="10"/>
            </rPr>
            <t>n</t>
          </r>
        </is>
      </c>
      <c r="E80" s="39">
        <f>gamma_G*(gk_tw+25*h_tw/1000)+gamma_Q*qk_tw</f>
        <v/>
      </c>
      <c r="F80" s="28" t="inlineStr">
        <is>
          <t>kN/m²</t>
        </is>
      </c>
      <c r="G80" s="23" t="n"/>
    </row>
    <row r="81" ht="17" customHeight="1">
      <c r="B81" s="23" t="n"/>
      <c r="C81" s="24" t="inlineStr">
        <is>
          <t>Span ratio  ly / lx  (look-up within 1 – 2)</t>
        </is>
      </c>
      <c r="D81" s="27" t="inlineStr">
        <is>
          <r>
            <rPr>
              <rFont val="Calibri"/>
              <i val="1"/>
              <color rgb="002B2B2B"/>
              <sz val="10"/>
            </rPr>
            <t>l</t>
          </r>
          <r>
            <rPr>
              <rFont val="Calibri"/>
              <i val="1"/>
              <color rgb="002B2B2B"/>
              <sz val="10"/>
              <vertAlign val="subscript"/>
            </rPr>
            <t>y/l_x</t>
          </r>
        </is>
      </c>
      <c r="E81" s="40">
        <f>ly_tw/lx_tw</f>
        <v/>
      </c>
      <c r="F81" s="23" t="n"/>
      <c r="G81" s="23" t="n"/>
    </row>
    <row r="82" ht="17" customHeight="1">
      <c r="B82" s="26" t="inlineStr">
        <is>
          <t>BS 8110 T 3.14</t>
        </is>
      </c>
      <c r="C82" s="24" t="inlineStr">
        <is>
          <t>βsx, negative  (continuous edges)</t>
        </is>
      </c>
      <c r="D82" s="27" t="inlineStr">
        <is>
          <r>
            <rPr>
              <rFont val="Calibri"/>
              <i val="1"/>
              <color rgb="002B2B2B"/>
              <sz val="10"/>
            </rPr>
            <t>β</t>
          </r>
          <r>
            <rPr>
              <rFont val="Calibri"/>
              <i val="1"/>
              <color rgb="002B2B2B"/>
              <sz val="10"/>
              <vertAlign val="subscript"/>
            </rPr>
            <t>sx−</t>
          </r>
        </is>
      </c>
      <c r="E82" s="43">
        <f>(INDEX(tw_body,2*tw_i-1,MIN(MATCH(tw_r,tw_ratios,1),7))+(INDEX(tw_body,2*tw_i-1,MIN(MATCH(tw_r,tw_ratios,1),7)+1)-INDEX(tw_body,2*tw_i-1,MIN(MATCH(tw_r,tw_ratios,1),7)))*(tw_r-INDEX(tw_ratios,1,MIN(MATCH(tw_r,tw_ratios,1),7)))/(INDEX(tw_ratios,1,MIN(MATCH(tw_r,tw_ratios,1),7)+1)-INDEX(tw_ratios,1,MIN(MATCH(tw_r,tw_ratios,1),7))))</f>
        <v/>
      </c>
      <c r="F82" s="23" t="n"/>
      <c r="G82" s="23" t="n"/>
    </row>
    <row r="83" ht="17" customHeight="1">
      <c r="B83" s="26" t="inlineStr">
        <is>
          <t>BS 8110 T 3.14</t>
        </is>
      </c>
      <c r="C83" s="24" t="inlineStr">
        <is>
          <t>βsx, positive  (mid-span)</t>
        </is>
      </c>
      <c r="D83" s="27" t="inlineStr">
        <is>
          <r>
            <rPr>
              <rFont val="Calibri"/>
              <i val="1"/>
              <color rgb="002B2B2B"/>
              <sz val="10"/>
            </rPr>
            <t>β</t>
          </r>
          <r>
            <rPr>
              <rFont val="Calibri"/>
              <i val="1"/>
              <color rgb="002B2B2B"/>
              <sz val="10"/>
              <vertAlign val="subscript"/>
            </rPr>
            <t>sx+</t>
          </r>
        </is>
      </c>
      <c r="E83" s="43">
        <f>(INDEX(tw_body,2*tw_i,MIN(MATCH(tw_r,tw_ratios,1),7))+(INDEX(tw_body,2*tw_i,MIN(MATCH(tw_r,tw_ratios,1),7)+1)-INDEX(tw_body,2*tw_i,MIN(MATCH(tw_r,tw_ratios,1),7)))*(tw_r-INDEX(tw_ratios,1,MIN(MATCH(tw_r,tw_ratios,1),7)))/(INDEX(tw_ratios,1,MIN(MATCH(tw_r,tw_ratios,1),7)+1)-INDEX(tw_ratios,1,MIN(MATCH(tw_r,tw_ratios,1),7))))</f>
        <v/>
      </c>
      <c r="F83" s="23" t="n"/>
      <c r="G83" s="23" t="n"/>
    </row>
    <row r="84" ht="17" customHeight="1">
      <c r="B84" s="26" t="inlineStr">
        <is>
          <t>BS 8110 T 3.14</t>
        </is>
      </c>
      <c r="C84" s="24" t="inlineStr">
        <is>
          <t>βsy, negative</t>
        </is>
      </c>
      <c r="D84" s="27" t="inlineStr">
        <is>
          <r>
            <rPr>
              <rFont val="Calibri"/>
              <i val="1"/>
              <color rgb="002B2B2B"/>
              <sz val="10"/>
            </rPr>
            <t>β</t>
          </r>
          <r>
            <rPr>
              <rFont val="Calibri"/>
              <i val="1"/>
              <color rgb="002B2B2B"/>
              <sz val="10"/>
              <vertAlign val="subscript"/>
            </rPr>
            <t>sy−</t>
          </r>
        </is>
      </c>
      <c r="E84" s="40">
        <f>INDEX(tw_long,2*tw_i-1)</f>
        <v/>
      </c>
      <c r="F84" s="23" t="n"/>
      <c r="G84" s="23" t="n"/>
    </row>
    <row r="85" ht="17" customHeight="1">
      <c r="B85" s="26" t="inlineStr">
        <is>
          <t>BS 8110 T 3.14</t>
        </is>
      </c>
      <c r="C85" s="24" t="inlineStr">
        <is>
          <t>βsy, positive</t>
        </is>
      </c>
      <c r="D85" s="27" t="inlineStr">
        <is>
          <r>
            <rPr>
              <rFont val="Calibri"/>
              <i val="1"/>
              <color rgb="002B2B2B"/>
              <sz val="10"/>
            </rPr>
            <t>β</t>
          </r>
          <r>
            <rPr>
              <rFont val="Calibri"/>
              <i val="1"/>
              <color rgb="002B2B2B"/>
              <sz val="10"/>
              <vertAlign val="subscript"/>
            </rPr>
            <t>sy+</t>
          </r>
        </is>
      </c>
      <c r="E85" s="40">
        <f>INDEX(tw_long,2*tw_i)</f>
        <v/>
      </c>
      <c r="F85" s="23" t="n"/>
      <c r="G85" s="23" t="n"/>
    </row>
    <row r="86" ht="17" customHeight="1">
      <c r="B86" s="26" t="inlineStr">
        <is>
          <t>5.2.3.3</t>
        </is>
      </c>
      <c r="C86" s="24" t="inlineStr">
        <is>
          <t>Design moment  msx− = β n lx²</t>
        </is>
      </c>
      <c r="D86" s="27" t="inlineStr">
        <is>
          <r>
            <rPr>
              <rFont val="Calibri"/>
              <i val="1"/>
              <color rgb="002B2B2B"/>
              <sz val="10"/>
            </rPr>
            <t>m</t>
          </r>
          <r>
            <rPr>
              <rFont val="Calibri"/>
              <i val="1"/>
              <color rgb="002B2B2B"/>
              <sz val="10"/>
              <vertAlign val="subscript"/>
            </rPr>
            <t>xn</t>
          </r>
        </is>
      </c>
      <c r="E86" s="44">
        <f>b_sxn*n_tw*lx_m^2</f>
        <v/>
      </c>
      <c r="F86" s="28" t="inlineStr">
        <is>
          <t>kNm/m</t>
        </is>
      </c>
      <c r="G86" s="23" t="n"/>
    </row>
    <row r="87" ht="17" customHeight="1">
      <c r="B87" s="26" t="inlineStr">
        <is>
          <t>5.2.3.3</t>
        </is>
      </c>
      <c r="C87" s="24" t="inlineStr">
        <is>
          <t>Design moment  msx+ = β n lx²</t>
        </is>
      </c>
      <c r="D87" s="27" t="inlineStr">
        <is>
          <r>
            <rPr>
              <rFont val="Calibri"/>
              <i val="1"/>
              <color rgb="002B2B2B"/>
              <sz val="10"/>
            </rPr>
            <t>m</t>
          </r>
          <r>
            <rPr>
              <rFont val="Calibri"/>
              <i val="1"/>
              <color rgb="002B2B2B"/>
              <sz val="10"/>
              <vertAlign val="subscript"/>
            </rPr>
            <t>xp</t>
          </r>
        </is>
      </c>
      <c r="E87" s="44">
        <f>b_sxp*n_tw*lx_m^2</f>
        <v/>
      </c>
      <c r="F87" s="28" t="inlineStr">
        <is>
          <t>kNm/m</t>
        </is>
      </c>
      <c r="G87" s="23" t="n"/>
    </row>
    <row r="88" ht="17" customHeight="1">
      <c r="B88" s="26" t="inlineStr">
        <is>
          <t>5.2.3.3</t>
        </is>
      </c>
      <c r="C88" s="24" t="inlineStr">
        <is>
          <t>Design moment  msy− = β n lx²</t>
        </is>
      </c>
      <c r="D88" s="27" t="inlineStr">
        <is>
          <r>
            <rPr>
              <rFont val="Calibri"/>
              <i val="1"/>
              <color rgb="002B2B2B"/>
              <sz val="10"/>
            </rPr>
            <t>m</t>
          </r>
          <r>
            <rPr>
              <rFont val="Calibri"/>
              <i val="1"/>
              <color rgb="002B2B2B"/>
              <sz val="10"/>
              <vertAlign val="subscript"/>
            </rPr>
            <t>yn</t>
          </r>
        </is>
      </c>
      <c r="E88" s="44">
        <f>b_syn*n_tw*lx_m^2</f>
        <v/>
      </c>
      <c r="F88" s="28" t="inlineStr">
        <is>
          <t>kNm/m</t>
        </is>
      </c>
      <c r="G88" s="23" t="n"/>
    </row>
    <row r="89" ht="17" customHeight="1">
      <c r="B89" s="26" t="inlineStr">
        <is>
          <t>5.2.3.3</t>
        </is>
      </c>
      <c r="C89" s="24" t="inlineStr">
        <is>
          <t>Design moment  msy+ = β n lx²</t>
        </is>
      </c>
      <c r="D89" s="27" t="inlineStr">
        <is>
          <r>
            <rPr>
              <rFont val="Calibri"/>
              <i val="1"/>
              <color rgb="002B2B2B"/>
              <sz val="10"/>
            </rPr>
            <t>m</t>
          </r>
          <r>
            <rPr>
              <rFont val="Calibri"/>
              <i val="1"/>
              <color rgb="002B2B2B"/>
              <sz val="10"/>
              <vertAlign val="subscript"/>
            </rPr>
            <t>yp</t>
          </r>
        </is>
      </c>
      <c r="E89" s="44">
        <f>b_syp*n_tw*lx_m^2</f>
        <v/>
      </c>
      <c r="F89" s="28" t="inlineStr">
        <is>
          <t>kNm/m</t>
        </is>
      </c>
      <c r="G89" s="23" t="n"/>
    </row>
    <row r="91" ht="22" customHeight="1">
      <c r="B91" s="20" t="inlineStr">
        <is>
          <t>Calculation  ·  bending</t>
        </is>
      </c>
      <c r="C91" s="21" t="n"/>
      <c r="D91" s="21" t="n"/>
      <c r="E91" s="21" t="n"/>
      <c r="F91" s="21" t="n"/>
      <c r="G91" s="21" t="n"/>
    </row>
    <row r="92" ht="17" customHeight="1">
      <c r="B92" s="26" t="inlineStr">
        <is>
          <t>5.6.3</t>
        </is>
      </c>
      <c r="C92" s="24" t="inlineStr">
        <is>
          <t>Limit on K without compression bars  (ξ ≤ 0.45)</t>
        </is>
      </c>
      <c r="D92" s="27" t="inlineStr">
        <is>
          <r>
            <rPr>
              <rFont val="Calibri"/>
              <i val="1"/>
              <color rgb="002B2B2B"/>
              <sz val="10"/>
            </rPr>
            <t>K'</t>
          </r>
        </is>
      </c>
      <c r="E92" s="40">
        <f>alpha_cc/gamma_c*0.8*0.45*(1-0.4*0.45)</f>
        <v/>
      </c>
      <c r="F92" s="23" t="n"/>
      <c r="G92" s="23" t="n"/>
    </row>
    <row r="93" ht="17" customHeight="1">
      <c r="B93" s="23" t="n"/>
      <c r="C93" s="24" t="inlineStr">
        <is>
          <t>Short span, bottom: effective depth</t>
        </is>
      </c>
      <c r="D93" s="27" t="inlineStr">
        <is>
          <r>
            <rPr>
              <rFont val="Calibri"/>
              <i val="1"/>
              <color rgb="002B2B2B"/>
              <sz val="10"/>
            </rPr>
            <t>d</t>
          </r>
        </is>
      </c>
      <c r="E93" s="41">
        <f>h_tw-c_nom-phi_x/2</f>
        <v/>
      </c>
      <c r="F93" s="28" t="inlineStr">
        <is>
          <t>mm</t>
        </is>
      </c>
      <c r="G93" s="23" t="n"/>
    </row>
    <row r="94" ht="17" customHeight="1">
      <c r="B94" s="26" t="inlineStr">
        <is>
          <t>(9.1N)</t>
        </is>
      </c>
      <c r="C94" s="24" t="inlineStr">
        <is>
          <t>Short span, bottom: As,min  max(0.26 fctm/fyk; 0.0013) b d</t>
        </is>
      </c>
      <c r="D94" s="27" t="inlineStr">
        <is>
          <r>
            <rPr>
              <rFont val="Calibri"/>
              <i val="1"/>
              <color rgb="002B2B2B"/>
              <sz val="10"/>
            </rPr>
            <t>A</t>
          </r>
          <r>
            <rPr>
              <rFont val="Calibri"/>
              <i val="1"/>
              <color rgb="002B2B2B"/>
              <sz val="10"/>
              <vertAlign val="subscript"/>
            </rPr>
            <t>s,min</t>
          </r>
        </is>
      </c>
      <c r="E94" s="41">
        <f>MAX(0.26*f_ctm/f_yk,0.0013)*1000*d_xp</f>
        <v/>
      </c>
      <c r="F94" s="28" t="inlineStr">
        <is>
          <t>mm²/m</t>
        </is>
      </c>
      <c r="G94" s="23" t="n"/>
    </row>
    <row r="95" ht="17" customHeight="1">
      <c r="B95" s="23" t="n"/>
      <c r="C95" s="24" t="inlineStr">
        <is>
          <t>Short span, bottom: K = m / (b d² fck)</t>
        </is>
      </c>
      <c r="D95" s="27" t="inlineStr">
        <is>
          <r>
            <rPr>
              <rFont val="Calibri"/>
              <i val="1"/>
              <color rgb="002B2B2B"/>
              <sz val="10"/>
            </rPr>
            <t>K</t>
          </r>
        </is>
      </c>
      <c r="E95" s="40">
        <f>m_sxp*1E6/(1000*d_xp^2*f_ck)</f>
        <v/>
      </c>
      <c r="F95" s="23" t="n"/>
      <c r="G95" s="23" t="n"/>
    </row>
    <row r="96" ht="17" customHeight="1">
      <c r="B96" s="23" t="n"/>
      <c r="C96" s="24" t="inlineStr">
        <is>
          <t>Short span, bottom: As required  m / (fyd z),  z = d(1 − 0.4ξ) ≤ 0.95 d</t>
        </is>
      </c>
      <c r="D96" s="27" t="inlineStr">
        <is>
          <r>
            <rPr>
              <rFont val="Calibri"/>
              <i val="1"/>
              <color rgb="002B2B2B"/>
              <sz val="10"/>
            </rPr>
            <t>A</t>
          </r>
          <r>
            <rPr>
              <rFont val="Calibri"/>
              <i val="1"/>
              <color rgb="002B2B2B"/>
              <sz val="10"/>
              <vertAlign val="subscript"/>
            </rPr>
            <t>s,req</t>
          </r>
        </is>
      </c>
      <c r="E96" s="41">
        <f>IF(K_xp&lt;=K_tw,m_sxp*1E6/(f_yd*MIN(0.95*d_xp,d_xp*(1-0.5*(1-SQRT(1-2*K_xp/(alpha_cc/gamma_c)))))),NA())</f>
        <v/>
      </c>
      <c r="F96" s="28" t="inlineStr">
        <is>
          <t>mm²/m</t>
        </is>
      </c>
      <c r="G96" s="23" t="n"/>
    </row>
    <row r="97" ht="17" customHeight="1">
      <c r="B97" s="23" t="n"/>
      <c r="C97" s="24" t="inlineStr">
        <is>
          <t>Short span, bottom: As provided</t>
        </is>
      </c>
      <c r="D97" s="27" t="inlineStr">
        <is>
          <r>
            <rPr>
              <rFont val="Calibri"/>
              <i val="1"/>
              <color rgb="002B2B2B"/>
              <sz val="10"/>
            </rPr>
            <t>A</t>
          </r>
          <r>
            <rPr>
              <rFont val="Calibri"/>
              <i val="1"/>
              <color rgb="002B2B2B"/>
              <sz val="10"/>
              <vertAlign val="subscript"/>
            </rPr>
            <t>s,prov</t>
          </r>
        </is>
      </c>
      <c r="E97" s="41">
        <f>1000*PI()*phi_x^2/4/s_x</f>
        <v/>
      </c>
      <c r="F97" s="28" t="inlineStr">
        <is>
          <t>mm²/m</t>
        </is>
      </c>
      <c r="G97" s="23" t="n"/>
    </row>
    <row r="98" ht="17" customHeight="1">
      <c r="B98" s="23" t="n"/>
      <c r="C98" s="24" t="inlineStr">
        <is>
          <t>Short span, bottom: As,prov ≥ max(As,req; As,min)</t>
        </is>
      </c>
      <c r="D98" s="27" t="inlineStr">
        <is>
          <r>
            <rPr>
              <rFont val="Calibri"/>
              <i val="1"/>
              <color rgb="002B2B2B"/>
              <sz val="10"/>
            </rPr>
            <t>A</t>
          </r>
          <r>
            <rPr>
              <rFont val="Calibri"/>
              <i val="1"/>
              <color rgb="002B2B2B"/>
              <sz val="10"/>
              <vertAlign val="subscript"/>
            </rPr>
            <t>s</t>
          </r>
        </is>
      </c>
      <c r="E98" s="41">
        <f>Asp_xp</f>
        <v/>
      </c>
      <c r="F98" s="28" t="inlineStr">
        <is>
          <t>mm²/m</t>
        </is>
      </c>
      <c r="G98" s="30">
        <f>IF(NOT(inputs_ok),"FAIL",IF(AND(tw_range,OR(m_sxp=0,IFERROR(Asp_xp&gt;=MAX(Asr_xp,Asm_xp),FALSE))),"OK","FAIL"))</f>
        <v/>
      </c>
    </row>
    <row r="99" ht="17" customHeight="1">
      <c r="B99" s="23" t="n"/>
      <c r="C99" s="24" t="inlineStr">
        <is>
          <t>Long span, bottom: effective depth</t>
        </is>
      </c>
      <c r="D99" s="27" t="inlineStr">
        <is>
          <r>
            <rPr>
              <rFont val="Calibri"/>
              <i val="1"/>
              <color rgb="002B2B2B"/>
              <sz val="10"/>
            </rPr>
            <t>d</t>
          </r>
        </is>
      </c>
      <c r="E99" s="41">
        <f>h_tw-c_nom-phi_x-phi_y/2</f>
        <v/>
      </c>
      <c r="F99" s="28" t="inlineStr">
        <is>
          <t>mm</t>
        </is>
      </c>
      <c r="G99" s="23" t="n"/>
    </row>
    <row r="100" ht="17" customHeight="1">
      <c r="B100" s="26" t="inlineStr">
        <is>
          <t>(9.1N)</t>
        </is>
      </c>
      <c r="C100" s="24" t="inlineStr">
        <is>
          <t>Long span, bottom: As,min  max(0.26 fctm/fyk; 0.0013) b d</t>
        </is>
      </c>
      <c r="D100" s="27" t="inlineStr">
        <is>
          <r>
            <rPr>
              <rFont val="Calibri"/>
              <i val="1"/>
              <color rgb="002B2B2B"/>
              <sz val="10"/>
            </rPr>
            <t>A</t>
          </r>
          <r>
            <rPr>
              <rFont val="Calibri"/>
              <i val="1"/>
              <color rgb="002B2B2B"/>
              <sz val="10"/>
              <vertAlign val="subscript"/>
            </rPr>
            <t>s,min</t>
          </r>
        </is>
      </c>
      <c r="E100" s="41">
        <f>MAX(0.26*f_ctm/f_yk,0.0013)*1000*d_yp</f>
        <v/>
      </c>
      <c r="F100" s="28" t="inlineStr">
        <is>
          <t>mm²/m</t>
        </is>
      </c>
      <c r="G100" s="23" t="n"/>
    </row>
    <row r="101" ht="17" customHeight="1">
      <c r="B101" s="23" t="n"/>
      <c r="C101" s="24" t="inlineStr">
        <is>
          <t>Long span, bottom: K = m / (b d² fck)</t>
        </is>
      </c>
      <c r="D101" s="27" t="inlineStr">
        <is>
          <r>
            <rPr>
              <rFont val="Calibri"/>
              <i val="1"/>
              <color rgb="002B2B2B"/>
              <sz val="10"/>
            </rPr>
            <t>K</t>
          </r>
        </is>
      </c>
      <c r="E101" s="40">
        <f>m_syp*1E6/(1000*d_yp^2*f_ck)</f>
        <v/>
      </c>
      <c r="F101" s="23" t="n"/>
      <c r="G101" s="23" t="n"/>
    </row>
    <row r="102" ht="17" customHeight="1">
      <c r="B102" s="23" t="n"/>
      <c r="C102" s="24" t="inlineStr">
        <is>
          <t>Long span, bottom: As required  m / (fyd z),  z = d(1 − 0.4ξ) ≤ 0.95 d</t>
        </is>
      </c>
      <c r="D102" s="27" t="inlineStr">
        <is>
          <r>
            <rPr>
              <rFont val="Calibri"/>
              <i val="1"/>
              <color rgb="002B2B2B"/>
              <sz val="10"/>
            </rPr>
            <t>A</t>
          </r>
          <r>
            <rPr>
              <rFont val="Calibri"/>
              <i val="1"/>
              <color rgb="002B2B2B"/>
              <sz val="10"/>
              <vertAlign val="subscript"/>
            </rPr>
            <t>s,req</t>
          </r>
        </is>
      </c>
      <c r="E102" s="41">
        <f>IF(K_yp&lt;=K_tw,m_syp*1E6/(f_yd*MIN(0.95*d_yp,d_yp*(1-0.5*(1-SQRT(1-2*K_yp/(alpha_cc/gamma_c)))))),NA())</f>
        <v/>
      </c>
      <c r="F102" s="28" t="inlineStr">
        <is>
          <t>mm²/m</t>
        </is>
      </c>
      <c r="G102" s="23" t="n"/>
    </row>
    <row r="103" ht="17" customHeight="1">
      <c r="B103" s="23" t="n"/>
      <c r="C103" s="24" t="inlineStr">
        <is>
          <t>Long span, bottom: As provided</t>
        </is>
      </c>
      <c r="D103" s="27" t="inlineStr">
        <is>
          <r>
            <rPr>
              <rFont val="Calibri"/>
              <i val="1"/>
              <color rgb="002B2B2B"/>
              <sz val="10"/>
            </rPr>
            <t>A</t>
          </r>
          <r>
            <rPr>
              <rFont val="Calibri"/>
              <i val="1"/>
              <color rgb="002B2B2B"/>
              <sz val="10"/>
              <vertAlign val="subscript"/>
            </rPr>
            <t>s,prov</t>
          </r>
        </is>
      </c>
      <c r="E103" s="41">
        <f>1000*PI()*phi_y^2/4/s_y</f>
        <v/>
      </c>
      <c r="F103" s="28" t="inlineStr">
        <is>
          <t>mm²/m</t>
        </is>
      </c>
      <c r="G103" s="23" t="n"/>
    </row>
    <row r="104" ht="17" customHeight="1">
      <c r="B104" s="23" t="n"/>
      <c r="C104" s="24" t="inlineStr">
        <is>
          <t>Long span, bottom: As,prov ≥ max(As,req; As,min)</t>
        </is>
      </c>
      <c r="D104" s="27" t="inlineStr">
        <is>
          <r>
            <rPr>
              <rFont val="Calibri"/>
              <i val="1"/>
              <color rgb="002B2B2B"/>
              <sz val="10"/>
            </rPr>
            <t>A</t>
          </r>
          <r>
            <rPr>
              <rFont val="Calibri"/>
              <i val="1"/>
              <color rgb="002B2B2B"/>
              <sz val="10"/>
              <vertAlign val="subscript"/>
            </rPr>
            <t>s</t>
          </r>
        </is>
      </c>
      <c r="E104" s="41">
        <f>Asp_yp</f>
        <v/>
      </c>
      <c r="F104" s="28" t="inlineStr">
        <is>
          <t>mm²/m</t>
        </is>
      </c>
      <c r="G104" s="30">
        <f>IF(NOT(inputs_ok),"FAIL",IF(AND(tw_range,OR(m_syp=0,IFERROR(Asp_yp&gt;=MAX(Asr_yp,Asm_yp),FALSE))),"OK","FAIL"))</f>
        <v/>
      </c>
    </row>
    <row r="105" ht="17" customHeight="1">
      <c r="B105" s="23" t="n"/>
      <c r="C105" s="24" t="inlineStr">
        <is>
          <t>Short span, top: effective depth</t>
        </is>
      </c>
      <c r="D105" s="27" t="inlineStr">
        <is>
          <r>
            <rPr>
              <rFont val="Calibri"/>
              <i val="1"/>
              <color rgb="002B2B2B"/>
              <sz val="10"/>
            </rPr>
            <t>d</t>
          </r>
        </is>
      </c>
      <c r="E105" s="41">
        <f>h_tw-c_nom-phi_tx/2</f>
        <v/>
      </c>
      <c r="F105" s="28" t="inlineStr">
        <is>
          <t>mm</t>
        </is>
      </c>
      <c r="G105" s="23" t="n"/>
    </row>
    <row r="106" ht="17" customHeight="1">
      <c r="B106" s="26" t="inlineStr">
        <is>
          <t>(9.1N)</t>
        </is>
      </c>
      <c r="C106" s="24" t="inlineStr">
        <is>
          <t>Short span, top: As,min  max(0.26 fctm/fyk; 0.0013) b d</t>
        </is>
      </c>
      <c r="D106" s="27" t="inlineStr">
        <is>
          <r>
            <rPr>
              <rFont val="Calibri"/>
              <i val="1"/>
              <color rgb="002B2B2B"/>
              <sz val="10"/>
            </rPr>
            <t>A</t>
          </r>
          <r>
            <rPr>
              <rFont val="Calibri"/>
              <i val="1"/>
              <color rgb="002B2B2B"/>
              <sz val="10"/>
              <vertAlign val="subscript"/>
            </rPr>
            <t>s,min</t>
          </r>
        </is>
      </c>
      <c r="E106" s="41">
        <f>MAX(0.26*f_ctm/f_yk,0.0013)*1000*d_xn</f>
        <v/>
      </c>
      <c r="F106" s="28" t="inlineStr">
        <is>
          <t>mm²/m</t>
        </is>
      </c>
      <c r="G106" s="23" t="n"/>
    </row>
    <row r="107" ht="17" customHeight="1">
      <c r="B107" s="23" t="n"/>
      <c r="C107" s="24" t="inlineStr">
        <is>
          <t>Short span, top: K = m / (b d² fck)</t>
        </is>
      </c>
      <c r="D107" s="27" t="inlineStr">
        <is>
          <r>
            <rPr>
              <rFont val="Calibri"/>
              <i val="1"/>
              <color rgb="002B2B2B"/>
              <sz val="10"/>
            </rPr>
            <t>K</t>
          </r>
        </is>
      </c>
      <c r="E107" s="40">
        <f>m_sxn*1E6/(1000*d_xn^2*f_ck)</f>
        <v/>
      </c>
      <c r="F107" s="23" t="n"/>
      <c r="G107" s="23" t="n"/>
    </row>
    <row r="108" ht="17" customHeight="1">
      <c r="B108" s="23" t="n"/>
      <c r="C108" s="24" t="inlineStr">
        <is>
          <t>Short span, top: As required  m / (fyd z),  z = d(1 − 0.4ξ) ≤ 0.95 d</t>
        </is>
      </c>
      <c r="D108" s="27" t="inlineStr">
        <is>
          <r>
            <rPr>
              <rFont val="Calibri"/>
              <i val="1"/>
              <color rgb="002B2B2B"/>
              <sz val="10"/>
            </rPr>
            <t>A</t>
          </r>
          <r>
            <rPr>
              <rFont val="Calibri"/>
              <i val="1"/>
              <color rgb="002B2B2B"/>
              <sz val="10"/>
              <vertAlign val="subscript"/>
            </rPr>
            <t>s,req</t>
          </r>
        </is>
      </c>
      <c r="E108" s="41">
        <f>IF(K_xn&lt;=K_tw,m_sxn*1E6/(f_yd*MIN(0.95*d_xn,d_xn*(1-0.5*(1-SQRT(1-2*K_xn/(alpha_cc/gamma_c)))))),NA())</f>
        <v/>
      </c>
      <c r="F108" s="28" t="inlineStr">
        <is>
          <t>mm²/m</t>
        </is>
      </c>
      <c r="G108" s="23" t="n"/>
    </row>
    <row r="109" ht="17" customHeight="1">
      <c r="B109" s="23" t="n"/>
      <c r="C109" s="24" t="inlineStr">
        <is>
          <t>Short span, top: As provided</t>
        </is>
      </c>
      <c r="D109" s="27" t="inlineStr">
        <is>
          <r>
            <rPr>
              <rFont val="Calibri"/>
              <i val="1"/>
              <color rgb="002B2B2B"/>
              <sz val="10"/>
            </rPr>
            <t>A</t>
          </r>
          <r>
            <rPr>
              <rFont val="Calibri"/>
              <i val="1"/>
              <color rgb="002B2B2B"/>
              <sz val="10"/>
              <vertAlign val="subscript"/>
            </rPr>
            <t>s,prov</t>
          </r>
        </is>
      </c>
      <c r="E109" s="41">
        <f>1000*PI()*phi_tx^2/4/s_tx</f>
        <v/>
      </c>
      <c r="F109" s="28" t="inlineStr">
        <is>
          <t>mm²/m</t>
        </is>
      </c>
      <c r="G109" s="23" t="n"/>
    </row>
    <row r="110" ht="17" customHeight="1">
      <c r="B110" s="23" t="n"/>
      <c r="C110" s="24" t="inlineStr">
        <is>
          <t>Short span, top: As,prov ≥ max(As,req; As,min)</t>
        </is>
      </c>
      <c r="D110" s="27" t="inlineStr">
        <is>
          <r>
            <rPr>
              <rFont val="Calibri"/>
              <i val="1"/>
              <color rgb="002B2B2B"/>
              <sz val="10"/>
            </rPr>
            <t>A</t>
          </r>
          <r>
            <rPr>
              <rFont val="Calibri"/>
              <i val="1"/>
              <color rgb="002B2B2B"/>
              <sz val="10"/>
              <vertAlign val="subscript"/>
            </rPr>
            <t>s</t>
          </r>
        </is>
      </c>
      <c r="E110" s="41">
        <f>Asp_xn</f>
        <v/>
      </c>
      <c r="F110" s="28" t="inlineStr">
        <is>
          <t>mm²/m</t>
        </is>
      </c>
      <c r="G110" s="30">
        <f>IF(NOT(inputs_ok),"FAIL",IF(AND(tw_range,OR(m_sxn=0,IFERROR(Asp_xn&gt;=MAX(Asr_xn,Asm_xn),FALSE))),"OK","FAIL"))</f>
        <v/>
      </c>
    </row>
    <row r="111" ht="17" customHeight="1">
      <c r="B111" s="23" t="n"/>
      <c r="C111" s="24" t="inlineStr">
        <is>
          <t>Long span, top: effective depth</t>
        </is>
      </c>
      <c r="D111" s="27" t="inlineStr">
        <is>
          <r>
            <rPr>
              <rFont val="Calibri"/>
              <i val="1"/>
              <color rgb="002B2B2B"/>
              <sz val="10"/>
            </rPr>
            <t>d</t>
          </r>
        </is>
      </c>
      <c r="E111" s="41">
        <f>h_tw-c_nom-phi_tx-phi_ty/2</f>
        <v/>
      </c>
      <c r="F111" s="28" t="inlineStr">
        <is>
          <t>mm</t>
        </is>
      </c>
      <c r="G111" s="23" t="n"/>
    </row>
    <row r="112" ht="17" customHeight="1">
      <c r="B112" s="26" t="inlineStr">
        <is>
          <t>(9.1N)</t>
        </is>
      </c>
      <c r="C112" s="24" t="inlineStr">
        <is>
          <t>Long span, top: As,min  max(0.26 fctm/fyk; 0.0013) b d</t>
        </is>
      </c>
      <c r="D112" s="27" t="inlineStr">
        <is>
          <r>
            <rPr>
              <rFont val="Calibri"/>
              <i val="1"/>
              <color rgb="002B2B2B"/>
              <sz val="10"/>
            </rPr>
            <t>A</t>
          </r>
          <r>
            <rPr>
              <rFont val="Calibri"/>
              <i val="1"/>
              <color rgb="002B2B2B"/>
              <sz val="10"/>
              <vertAlign val="subscript"/>
            </rPr>
            <t>s,min</t>
          </r>
        </is>
      </c>
      <c r="E112" s="41">
        <f>MAX(0.26*f_ctm/f_yk,0.0013)*1000*d_yn</f>
        <v/>
      </c>
      <c r="F112" s="28" t="inlineStr">
        <is>
          <t>mm²/m</t>
        </is>
      </c>
      <c r="G112" s="23" t="n"/>
    </row>
    <row r="113" ht="17" customHeight="1">
      <c r="B113" s="23" t="n"/>
      <c r="C113" s="24" t="inlineStr">
        <is>
          <t>Long span, top: K = m / (b d² fck)</t>
        </is>
      </c>
      <c r="D113" s="27" t="inlineStr">
        <is>
          <r>
            <rPr>
              <rFont val="Calibri"/>
              <i val="1"/>
              <color rgb="002B2B2B"/>
              <sz val="10"/>
            </rPr>
            <t>K</t>
          </r>
        </is>
      </c>
      <c r="E113" s="40">
        <f>m_syn*1E6/(1000*d_yn^2*f_ck)</f>
        <v/>
      </c>
      <c r="F113" s="23" t="n"/>
      <c r="G113" s="23" t="n"/>
    </row>
    <row r="114" ht="17" customHeight="1">
      <c r="B114" s="23" t="n"/>
      <c r="C114" s="24" t="inlineStr">
        <is>
          <t>Long span, top: As required  m / (fyd z),  z = d(1 − 0.4ξ) ≤ 0.95 d</t>
        </is>
      </c>
      <c r="D114" s="27" t="inlineStr">
        <is>
          <r>
            <rPr>
              <rFont val="Calibri"/>
              <i val="1"/>
              <color rgb="002B2B2B"/>
              <sz val="10"/>
            </rPr>
            <t>A</t>
          </r>
          <r>
            <rPr>
              <rFont val="Calibri"/>
              <i val="1"/>
              <color rgb="002B2B2B"/>
              <sz val="10"/>
              <vertAlign val="subscript"/>
            </rPr>
            <t>s,req</t>
          </r>
        </is>
      </c>
      <c r="E114" s="41">
        <f>IF(K_yn&lt;=K_tw,m_syn*1E6/(f_yd*MIN(0.95*d_yn,d_yn*(1-0.5*(1-SQRT(1-2*K_yn/(alpha_cc/gamma_c)))))),NA())</f>
        <v/>
      </c>
      <c r="F114" s="28" t="inlineStr">
        <is>
          <t>mm²/m</t>
        </is>
      </c>
      <c r="G114" s="23" t="n"/>
    </row>
    <row r="115" ht="17" customHeight="1">
      <c r="B115" s="23" t="n"/>
      <c r="C115" s="24" t="inlineStr">
        <is>
          <t>Long span, top: As provided</t>
        </is>
      </c>
      <c r="D115" s="27" t="inlineStr">
        <is>
          <r>
            <rPr>
              <rFont val="Calibri"/>
              <i val="1"/>
              <color rgb="002B2B2B"/>
              <sz val="10"/>
            </rPr>
            <t>A</t>
          </r>
          <r>
            <rPr>
              <rFont val="Calibri"/>
              <i val="1"/>
              <color rgb="002B2B2B"/>
              <sz val="10"/>
              <vertAlign val="subscript"/>
            </rPr>
            <t>s,prov</t>
          </r>
        </is>
      </c>
      <c r="E115" s="41">
        <f>1000*PI()*phi_ty^2/4/s_ty</f>
        <v/>
      </c>
      <c r="F115" s="28" t="inlineStr">
        <is>
          <t>mm²/m</t>
        </is>
      </c>
      <c r="G115" s="23" t="n"/>
    </row>
    <row r="116" ht="17" customHeight="1">
      <c r="B116" s="23" t="n"/>
      <c r="C116" s="24" t="inlineStr">
        <is>
          <t>Long span, top: As,prov ≥ max(As,req; As,min)</t>
        </is>
      </c>
      <c r="D116" s="27" t="inlineStr">
        <is>
          <r>
            <rPr>
              <rFont val="Calibri"/>
              <i val="1"/>
              <color rgb="002B2B2B"/>
              <sz val="10"/>
            </rPr>
            <t>A</t>
          </r>
          <r>
            <rPr>
              <rFont val="Calibri"/>
              <i val="1"/>
              <color rgb="002B2B2B"/>
              <sz val="10"/>
              <vertAlign val="subscript"/>
            </rPr>
            <t>s</t>
          </r>
        </is>
      </c>
      <c r="E116" s="41">
        <f>Asp_yn</f>
        <v/>
      </c>
      <c r="F116" s="28" t="inlineStr">
        <is>
          <t>mm²/m</t>
        </is>
      </c>
      <c r="G116" s="30">
        <f>IF(NOT(inputs_ok),"FAIL",IF(AND(tw_range,OR(m_syn=0,IFERROR(Asp_yn&gt;=MAX(Asr_yn,Asm_yn),FALSE))),"OK","FAIL"))</f>
        <v/>
      </c>
    </row>
    <row r="118" ht="22" customHeight="1">
      <c r="B118" s="20" t="inlineStr">
        <is>
          <t>Calculation  ·  shear, deflection and detailing</t>
        </is>
      </c>
      <c r="C118" s="21" t="n"/>
      <c r="D118" s="21" t="n"/>
      <c r="E118" s="21" t="n"/>
      <c r="F118" s="21" t="n"/>
      <c r="G118" s="21" t="n"/>
    </row>
    <row r="119" ht="17" customHeight="1">
      <c r="B119" s="26" t="inlineStr">
        <is>
          <t>Table 3.15</t>
        </is>
      </c>
      <c r="C119" s="24" t="inlineStr">
        <is>
          <t>Long edge, continuous  (top short-span bars): v = βv n lx</t>
        </is>
      </c>
      <c r="D119" s="27" t="inlineStr">
        <is>
          <r>
            <rPr>
              <rFont val="Calibri"/>
              <i val="1"/>
              <color rgb="002B2B2B"/>
              <sz val="10"/>
            </rPr>
            <t>v</t>
          </r>
          <r>
            <rPr>
              <rFont val="Calibri"/>
              <i val="1"/>
              <color rgb="002B2B2B"/>
              <sz val="10"/>
              <vertAlign val="subscript"/>
            </rPr>
            <t>Ed</t>
          </r>
        </is>
      </c>
      <c r="E119" s="42">
        <f>(INDEX(tw_shear,4*tw_i-3,MIN(MATCH(tw_r,tw_ratios,1),7))+(INDEX(tw_shear,4*tw_i-3,MIN(MATCH(tw_r,tw_ratios,1),7)+1)-INDEX(tw_shear,4*tw_i-3,MIN(MATCH(tw_r,tw_ratios,1),7)))*(tw_r-INDEX(tw_ratios,1,MIN(MATCH(tw_r,tw_ratios,1),7)))/(INDEX(tw_ratios,1,MIN(MATCH(tw_r,tw_ratios,1),7)+1)-INDEX(tw_ratios,1,MIN(MATCH(tw_r,tw_ratios,1),7))))*n_tw*lx_m</f>
        <v/>
      </c>
      <c r="F119" s="28" t="inlineStr">
        <is>
          <t>kN/m</t>
        </is>
      </c>
      <c r="G119" s="23" t="n"/>
    </row>
    <row r="120" ht="17" customHeight="1">
      <c r="B120" s="26" t="inlineStr">
        <is>
          <t>(6.2)</t>
        </is>
      </c>
      <c r="C120" s="24" t="inlineStr">
        <is>
          <t>Long edge, continuous  (top short-span bars): VRd,c</t>
        </is>
      </c>
      <c r="D120" s="27" t="inlineStr">
        <is>
          <r>
            <rPr>
              <rFont val="Calibri"/>
              <i val="1"/>
              <color rgb="002B2B2B"/>
              <sz val="10"/>
            </rPr>
            <t>V</t>
          </r>
          <r>
            <rPr>
              <rFont val="Calibri"/>
              <i val="1"/>
              <color rgb="002B2B2B"/>
              <sz val="10"/>
              <vertAlign val="subscript"/>
            </rPr>
            <t>Rd,c</t>
          </r>
        </is>
      </c>
      <c r="E120" s="42">
        <f>MAX(C_Rdc*MIN(2,1+SQRT(200/d_xn))*(100*MIN(0.02,Asp_xn/(1000*d_xn))*f_ck)^(1/3),0.035*MIN(2,1+SQRT(200/d_xn))^1.5*SQRT(f_ck))*d_xn</f>
        <v/>
      </c>
      <c r="F120" s="28" t="inlineStr">
        <is>
          <t>kN/m</t>
        </is>
      </c>
      <c r="G120" s="23" t="n"/>
    </row>
    <row r="121" ht="17" customHeight="1">
      <c r="B121" s="26" t="inlineStr">
        <is>
          <t>Table 3.15</t>
        </is>
      </c>
      <c r="C121" s="24" t="inlineStr">
        <is>
          <t>Long edge, discontinuous  (bottom short-span bars): v = βv n lx</t>
        </is>
      </c>
      <c r="D121" s="27" t="inlineStr">
        <is>
          <r>
            <rPr>
              <rFont val="Calibri"/>
              <i val="1"/>
              <color rgb="002B2B2B"/>
              <sz val="10"/>
            </rPr>
            <t>v</t>
          </r>
          <r>
            <rPr>
              <rFont val="Calibri"/>
              <i val="1"/>
              <color rgb="002B2B2B"/>
              <sz val="10"/>
              <vertAlign val="subscript"/>
            </rPr>
            <t>Ed</t>
          </r>
        </is>
      </c>
      <c r="E121" s="42">
        <f>(INDEX(tw_shear,4*tw_i-2,MIN(MATCH(tw_r,tw_ratios,1),7))+(INDEX(tw_shear,4*tw_i-2,MIN(MATCH(tw_r,tw_ratios,1),7)+1)-INDEX(tw_shear,4*tw_i-2,MIN(MATCH(tw_r,tw_ratios,1),7)))*(tw_r-INDEX(tw_ratios,1,MIN(MATCH(tw_r,tw_ratios,1),7)))/(INDEX(tw_ratios,1,MIN(MATCH(tw_r,tw_ratios,1),7)+1)-INDEX(tw_ratios,1,MIN(MATCH(tw_r,tw_ratios,1),7))))*n_tw*lx_m</f>
        <v/>
      </c>
      <c r="F121" s="28" t="inlineStr">
        <is>
          <t>kN/m</t>
        </is>
      </c>
      <c r="G121" s="23" t="n"/>
    </row>
    <row r="122" ht="17" customHeight="1">
      <c r="B122" s="26" t="inlineStr">
        <is>
          <t>(6.2)</t>
        </is>
      </c>
      <c r="C122" s="24" t="inlineStr">
        <is>
          <t>Long edge, discontinuous  (bottom short-span bars): VRd,c</t>
        </is>
      </c>
      <c r="D122" s="27" t="inlineStr">
        <is>
          <r>
            <rPr>
              <rFont val="Calibri"/>
              <i val="1"/>
              <color rgb="002B2B2B"/>
              <sz val="10"/>
            </rPr>
            <t>V</t>
          </r>
          <r>
            <rPr>
              <rFont val="Calibri"/>
              <i val="1"/>
              <color rgb="002B2B2B"/>
              <sz val="10"/>
              <vertAlign val="subscript"/>
            </rPr>
            <t>Rd,c</t>
          </r>
        </is>
      </c>
      <c r="E122" s="42">
        <f>MAX(C_Rdc*MIN(2,1+SQRT(200/d_xp))*(100*MIN(0.02,Asp_xp/(1000*d_xp))*f_ck)^(1/3),0.035*MIN(2,1+SQRT(200/d_xp))^1.5*SQRT(f_ck))*d_xp</f>
        <v/>
      </c>
      <c r="F122" s="28" t="inlineStr">
        <is>
          <t>kN/m</t>
        </is>
      </c>
      <c r="G122" s="23" t="n"/>
    </row>
    <row r="123" ht="17" customHeight="1">
      <c r="B123" s="26" t="inlineStr">
        <is>
          <t>Table 3.15</t>
        </is>
      </c>
      <c r="C123" s="24" t="inlineStr">
        <is>
          <t>Short edge, continuous  (top long-span bars): v = βv n lx</t>
        </is>
      </c>
      <c r="D123" s="27" t="inlineStr">
        <is>
          <r>
            <rPr>
              <rFont val="Calibri"/>
              <i val="1"/>
              <color rgb="002B2B2B"/>
              <sz val="10"/>
            </rPr>
            <t>v</t>
          </r>
          <r>
            <rPr>
              <rFont val="Calibri"/>
              <i val="1"/>
              <color rgb="002B2B2B"/>
              <sz val="10"/>
              <vertAlign val="subscript"/>
            </rPr>
            <t>Ed</t>
          </r>
        </is>
      </c>
      <c r="E123" s="42">
        <f>INDEX(tw_shear,4*tw_i-1,1)*n_tw*lx_m</f>
        <v/>
      </c>
      <c r="F123" s="28" t="inlineStr">
        <is>
          <t>kN/m</t>
        </is>
      </c>
      <c r="G123" s="23" t="n"/>
    </row>
    <row r="124" ht="17" customHeight="1">
      <c r="B124" s="26" t="inlineStr">
        <is>
          <t>(6.2)</t>
        </is>
      </c>
      <c r="C124" s="24" t="inlineStr">
        <is>
          <t>Short edge, continuous  (top long-span bars): VRd,c</t>
        </is>
      </c>
      <c r="D124" s="27" t="inlineStr">
        <is>
          <r>
            <rPr>
              <rFont val="Calibri"/>
              <i val="1"/>
              <color rgb="002B2B2B"/>
              <sz val="10"/>
            </rPr>
            <t>V</t>
          </r>
          <r>
            <rPr>
              <rFont val="Calibri"/>
              <i val="1"/>
              <color rgb="002B2B2B"/>
              <sz val="10"/>
              <vertAlign val="subscript"/>
            </rPr>
            <t>Rd,c</t>
          </r>
        </is>
      </c>
      <c r="E124" s="42">
        <f>MAX(C_Rdc*MIN(2,1+SQRT(200/d_yn))*(100*MIN(0.02,Asp_yn/(1000*d_yn))*f_ck)^(1/3),0.035*MIN(2,1+SQRT(200/d_yn))^1.5*SQRT(f_ck))*d_yn</f>
        <v/>
      </c>
      <c r="F124" s="28" t="inlineStr">
        <is>
          <t>kN/m</t>
        </is>
      </c>
      <c r="G124" s="23" t="n"/>
    </row>
    <row r="125" ht="17" customHeight="1">
      <c r="B125" s="26" t="inlineStr">
        <is>
          <t>Table 3.15</t>
        </is>
      </c>
      <c r="C125" s="24" t="inlineStr">
        <is>
          <t>Short edge, discontinuous  (bottom long-span bars): v = βv n lx</t>
        </is>
      </c>
      <c r="D125" s="27" t="inlineStr">
        <is>
          <r>
            <rPr>
              <rFont val="Calibri"/>
              <i val="1"/>
              <color rgb="002B2B2B"/>
              <sz val="10"/>
            </rPr>
            <t>v</t>
          </r>
          <r>
            <rPr>
              <rFont val="Calibri"/>
              <i val="1"/>
              <color rgb="002B2B2B"/>
              <sz val="10"/>
              <vertAlign val="subscript"/>
            </rPr>
            <t>Ed</t>
          </r>
        </is>
      </c>
      <c r="E125" s="42">
        <f>INDEX(tw_shear,4*tw_i,1)*n_tw*lx_m</f>
        <v/>
      </c>
      <c r="F125" s="28" t="inlineStr">
        <is>
          <t>kN/m</t>
        </is>
      </c>
      <c r="G125" s="23" t="n"/>
    </row>
    <row r="126" ht="17" customHeight="1">
      <c r="B126" s="26" t="inlineStr">
        <is>
          <t>(6.2)</t>
        </is>
      </c>
      <c r="C126" s="24" t="inlineStr">
        <is>
          <t>Short edge, discontinuous  (bottom long-span bars): VRd,c</t>
        </is>
      </c>
      <c r="D126" s="27" t="inlineStr">
        <is>
          <r>
            <rPr>
              <rFont val="Calibri"/>
              <i val="1"/>
              <color rgb="002B2B2B"/>
              <sz val="10"/>
            </rPr>
            <t>V</t>
          </r>
          <r>
            <rPr>
              <rFont val="Calibri"/>
              <i val="1"/>
              <color rgb="002B2B2B"/>
              <sz val="10"/>
              <vertAlign val="subscript"/>
            </rPr>
            <t>Rd,c</t>
          </r>
        </is>
      </c>
      <c r="E126" s="42">
        <f>MAX(C_Rdc*MIN(2,1+SQRT(200/d_yp))*(100*MIN(0.02,Asp_yp/(1000*d_yp))*f_ck)^(1/3),0.035*MIN(2,1+SQRT(200/d_yp))^1.5*SQRT(f_ck))*d_yp</f>
        <v/>
      </c>
      <c r="F126" s="28" t="inlineStr">
        <is>
          <t>kN/m</t>
        </is>
      </c>
      <c r="G126" s="23" t="n"/>
    </row>
    <row r="127" ht="17" customHeight="1">
      <c r="B127" s="26" t="inlineStr">
        <is>
          <t>(6.2)</t>
        </is>
      </c>
      <c r="C127" s="24" t="inlineStr">
        <is>
          <t>Shear utilisation  max(vEd / VRd,c) over the edges</t>
        </is>
      </c>
      <c r="D127" s="23" t="n"/>
      <c r="E127" s="39">
        <f>MAX(v_xc/VRc_xc,v_xd/VRc_xd,v_yc/VRc_yc,v_yd/VRc_yd)</f>
        <v/>
      </c>
      <c r="F127" s="23" t="n"/>
      <c r="G127" s="23" t="n"/>
    </row>
    <row r="128" ht="17" customHeight="1">
      <c r="B128" s="26" t="inlineStr">
        <is>
          <t>(6.2)</t>
        </is>
      </c>
      <c r="C128" s="24" t="inlineStr">
        <is>
          <t>Shear at every edge  vEd ≤ VRd,c</t>
        </is>
      </c>
      <c r="D128" s="23" t="n"/>
      <c r="E128" s="39">
        <f>v_twu</f>
        <v/>
      </c>
      <c r="F128" s="23" t="n"/>
      <c r="G128" s="30">
        <f>IF(NOT(inputs_ok),"FAIL",IF(AND(tw_range,v_twu&lt;=1),"OK","FAIL"))</f>
        <v/>
      </c>
    </row>
    <row r="129" ht="17" customHeight="1">
      <c r="B129" s="26" t="inlineStr">
        <is>
          <t>Table 7.4N</t>
        </is>
      </c>
      <c r="C129" s="24" t="inlineStr">
        <is>
          <t>K for the short span  (long edges: both continuous 1.5, one 1.3, none 1.0)</t>
        </is>
      </c>
      <c r="D129" s="27" t="inlineStr">
        <is>
          <r>
            <rPr>
              <rFont val="Calibri"/>
              <i val="1"/>
              <color rgb="002B2B2B"/>
              <sz val="10"/>
            </rPr>
            <t>K</t>
          </r>
        </is>
      </c>
      <c r="E129" s="42">
        <f>CHOOSE(tw_long_cont+1,1.0,1.3,1.5)</f>
        <v/>
      </c>
      <c r="F129" s="23" t="n"/>
      <c r="G129" s="23" t="n"/>
    </row>
    <row r="130" ht="17" customHeight="1">
      <c r="B130" s="26" t="inlineStr">
        <is>
          <t>7.4.2</t>
        </is>
      </c>
      <c r="C130" s="24" t="inlineStr">
        <is>
          <t>ρ = max(As,req; As,min) / (b d), short span</t>
        </is>
      </c>
      <c r="D130" s="27" t="inlineStr">
        <is>
          <r>
            <rPr>
              <rFont val="Calibri"/>
              <i val="1"/>
              <color rgb="002B2B2B"/>
              <sz val="10"/>
            </rPr>
            <t>ρ</t>
          </r>
        </is>
      </c>
      <c r="E130" s="45">
        <f>MAX(Asr_xp,Asm_xp)/(1000*d_xp)</f>
        <v/>
      </c>
      <c r="F130" s="23" t="n"/>
      <c r="G130" s="26" t="inlineStr">
        <is>
          <t>N/A: bending fails</t>
        </is>
      </c>
    </row>
    <row r="131" ht="17" customHeight="1">
      <c r="B131" s="26" t="inlineStr">
        <is>
          <t>(7.16)</t>
        </is>
      </c>
      <c r="C131" s="24" t="inlineStr">
        <is>
          <t>ρ0 = √fck · 10⁻³</t>
        </is>
      </c>
      <c r="D131" s="27" t="inlineStr">
        <is>
          <r>
            <rPr>
              <rFont val="Calibri"/>
              <i val="1"/>
              <color rgb="002B2B2B"/>
              <sz val="10"/>
            </rPr>
            <t>ρ</t>
          </r>
          <r>
            <rPr>
              <rFont val="Calibri"/>
              <i val="1"/>
              <color rgb="002B2B2B"/>
              <sz val="10"/>
              <vertAlign val="subscript"/>
            </rPr>
            <t>0</t>
          </r>
        </is>
      </c>
      <c r="E131" s="45">
        <f>SQRT(f_ck)/1000</f>
        <v/>
      </c>
      <c r="F131" s="23" t="n"/>
      <c r="G131" s="23" t="n"/>
    </row>
    <row r="132" ht="17" customHeight="1">
      <c r="B132" s="26" t="inlineStr">
        <is>
          <t>(7.16)</t>
        </is>
      </c>
      <c r="C132" s="24" t="inlineStr">
        <is>
          <t>Basic span to depth ratio</t>
        </is>
      </c>
      <c r="D132" s="27" t="inlineStr">
        <is>
          <r>
            <rPr>
              <rFont val="Calibri"/>
              <i val="1"/>
              <color rgb="002B2B2B"/>
              <sz val="10"/>
            </rPr>
            <t>l/d</t>
          </r>
        </is>
      </c>
      <c r="E132" s="42">
        <f>K_dtw*IF(rho_tw&lt;=rho0_tw,11+1.5*SQRT(f_ck)*rho0_tw/rho_tw+3.2*SQRT(f_ck)*(rho0_tw/rho_tw-1)^1.5,11+1.5*SQRT(f_ck)*rho0_tw/rho_tw)</f>
        <v/>
      </c>
      <c r="F132" s="23" t="n"/>
      <c r="G132" s="23" t="n"/>
    </row>
    <row r="133" ht="17" customHeight="1">
      <c r="B133" s="26" t="inlineStr">
        <is>
          <t>7.4.2(2)</t>
        </is>
      </c>
      <c r="C133" s="24" t="inlineStr">
        <is>
          <t>Steel stress factor  (As,prov / As,req)(500 / fyk)  (UK ≤ 1.5)</t>
        </is>
      </c>
      <c r="D133" s="27" t="inlineStr">
        <is>
          <r>
            <rPr>
              <rFont val="Calibri"/>
              <i val="1"/>
              <color rgb="002B2B2B"/>
              <sz val="10"/>
            </rPr>
            <t>F</t>
          </r>
          <r>
            <rPr>
              <rFont val="Calibri"/>
              <i val="1"/>
              <color rgb="002B2B2B"/>
              <sz val="10"/>
              <vertAlign val="subscript"/>
            </rPr>
            <t>3</t>
          </r>
        </is>
      </c>
      <c r="E133" s="40">
        <f>IF(ld_mod_max&gt;0,MIN(ld_mod_max,Asp_xp/(rho_tw*1000*d_xp)*500/f_yk),Asp_xp/(rho_tw*1000*d_xp)*500/f_yk)</f>
        <v/>
      </c>
      <c r="F133" s="23" t="n"/>
      <c r="G133" s="23" t="n"/>
    </row>
    <row r="134" ht="17" customHeight="1">
      <c r="B134" s="26" t="inlineStr">
        <is>
          <t>7.4.2(2)</t>
        </is>
      </c>
      <c r="C134" s="24" t="inlineStr">
        <is>
          <t>Long span factor  7 / lx  (lx &gt; 7 m, brittle partitions)</t>
        </is>
      </c>
      <c r="D134" s="27" t="inlineStr">
        <is>
          <r>
            <rPr>
              <rFont val="Calibri"/>
              <i val="1"/>
              <color rgb="002B2B2B"/>
              <sz val="10"/>
            </rPr>
            <t>F</t>
          </r>
          <r>
            <rPr>
              <rFont val="Calibri"/>
              <i val="1"/>
              <color rgb="002B2B2B"/>
              <sz val="10"/>
              <vertAlign val="subscript"/>
            </rPr>
            <t>2</t>
          </r>
        </is>
      </c>
      <c r="E134" s="40">
        <f>IF(AND(partitions="Yes",lx_tw&gt;7000),7000/lx_tw,1)</f>
        <v/>
      </c>
      <c r="F134" s="23" t="n"/>
      <c r="G134" s="23" t="n"/>
    </row>
    <row r="135" ht="17" customHeight="1">
      <c r="B135" s="26" t="inlineStr">
        <is>
          <t>7.4.2</t>
        </is>
      </c>
      <c r="C135" s="24" t="inlineStr">
        <is>
          <t>Limiting span to depth ratio  (UK NA: ≤ 40 K)</t>
        </is>
      </c>
      <c r="D135" s="27" t="inlineStr">
        <is>
          <r>
            <rPr>
              <rFont val="Calibri"/>
              <i val="1"/>
              <color rgb="002B2B2B"/>
              <sz val="10"/>
            </rPr>
            <t>l/d</t>
          </r>
          <r>
            <rPr>
              <rFont val="Calibri"/>
              <i val="1"/>
              <color rgb="002B2B2B"/>
              <sz val="10"/>
              <vertAlign val="subscript"/>
            </rPr>
            <t>lim</t>
          </r>
        </is>
      </c>
      <c r="E135" s="44">
        <f>IF(ld_cap_40K=1,MIN(40*K_dtw,ldb_tw*F2_tw*F3_tw),ldb_tw*F2_tw*F3_tw)</f>
        <v/>
      </c>
      <c r="F135" s="23" t="n"/>
      <c r="G135" s="23" t="n"/>
    </row>
    <row r="136" ht="17" customHeight="1">
      <c r="B136" s="23" t="n"/>
      <c r="C136" s="24" t="inlineStr">
        <is>
          <t>Actual  lx / d</t>
        </is>
      </c>
      <c r="D136" s="27" t="inlineStr">
        <is>
          <r>
            <rPr>
              <rFont val="Calibri"/>
              <i val="1"/>
              <color rgb="002B2B2B"/>
              <sz val="10"/>
            </rPr>
            <t>l/d</t>
          </r>
        </is>
      </c>
      <c r="E136" s="42">
        <f>lx_tw/d_xp</f>
        <v/>
      </c>
      <c r="F136" s="23" t="n"/>
      <c r="G136" s="23" t="n"/>
    </row>
    <row r="137" ht="17" customHeight="1">
      <c r="B137" s="26" t="inlineStr">
        <is>
          <t>7.4.2</t>
        </is>
      </c>
      <c r="C137" s="24" t="inlineStr">
        <is>
          <t>Deflection  l/d ≤ limit  (with every bending check passing)</t>
        </is>
      </c>
      <c r="D137" s="27" t="inlineStr">
        <is>
          <r>
            <rPr>
              <rFont val="Calibri"/>
              <i val="1"/>
              <color rgb="002B2B2B"/>
              <sz val="10"/>
            </rPr>
            <t>l/d</t>
          </r>
        </is>
      </c>
      <c r="E137" s="42">
        <f>ld_act</f>
        <v/>
      </c>
      <c r="F137" s="23" t="n"/>
      <c r="G137" s="30">
        <f>IF(NOT(inputs_ok),"FAIL",IF(AND(tw_range,bend_tw,IFERROR(ld_act&lt;=ld_lim,FALSE)),"OK","FAIL"))</f>
        <v/>
      </c>
    </row>
    <row r="138" ht="17" customHeight="1">
      <c r="B138" s="26" t="inlineStr">
        <is>
          <t>9.3.1.1(3)</t>
        </is>
      </c>
      <c r="C138" s="24" t="inlineStr">
        <is>
          <t>Maximum bar spacing at maximum moments  min(2h; 250)</t>
        </is>
      </c>
      <c r="D138" s="27" t="inlineStr">
        <is>
          <r>
            <rPr>
              <rFont val="Calibri"/>
              <i val="1"/>
              <color rgb="002B2B2B"/>
              <sz val="10"/>
            </rPr>
            <t>s</t>
          </r>
          <r>
            <rPr>
              <rFont val="Calibri"/>
              <i val="1"/>
              <color rgb="002B2B2B"/>
              <sz val="10"/>
              <vertAlign val="subscript"/>
            </rPr>
            <t>max</t>
          </r>
        </is>
      </c>
      <c r="E138" s="41">
        <f>MIN(2*h_tw,250)</f>
        <v/>
      </c>
      <c r="F138" s="28" t="inlineStr">
        <is>
          <t>mm</t>
        </is>
      </c>
      <c r="G138" s="23" t="n"/>
    </row>
    <row r="139" ht="17" customHeight="1">
      <c r="B139" s="26" t="inlineStr">
        <is>
          <t>8.2(2)</t>
        </is>
      </c>
      <c r="C139" s="24" t="inlineStr">
        <is>
          <t>Minimum clear gap  max(φ; dg + 5; 20)</t>
        </is>
      </c>
      <c r="D139" s="27" t="inlineStr">
        <is>
          <r>
            <rPr>
              <rFont val="Calibri"/>
              <i val="1"/>
              <color rgb="002B2B2B"/>
              <sz val="10"/>
            </rPr>
            <t>a</t>
          </r>
          <r>
            <rPr>
              <rFont val="Calibri"/>
              <i val="1"/>
              <color rgb="002B2B2B"/>
              <sz val="10"/>
              <vertAlign val="subscript"/>
            </rPr>
            <t>min</t>
          </r>
        </is>
      </c>
      <c r="E139" s="41">
        <f>MAX(phi_x,phi_y,phi_tx,phi_ty,d_g+5,20)</f>
        <v/>
      </c>
      <c r="F139" s="28" t="inlineStr">
        <is>
          <t>mm</t>
        </is>
      </c>
      <c r="G139" s="23" t="n"/>
    </row>
    <row r="140" ht="17" customHeight="1">
      <c r="B140" s="26" t="inlineStr">
        <is>
          <t>9.3.1.1(3)</t>
        </is>
      </c>
      <c r="C140" s="24" t="inlineStr">
        <is>
          <t>Spacing, clear gap and As,max</t>
        </is>
      </c>
      <c r="D140" s="27" t="inlineStr">
        <is>
          <r>
            <rPr>
              <rFont val="Calibri"/>
              <i val="1"/>
              <color rgb="002B2B2B"/>
              <sz val="10"/>
            </rPr>
            <t>s</t>
          </r>
        </is>
      </c>
      <c r="E140" s="41">
        <f>MAX(s_x,s_y,s_tx,s_ty)</f>
        <v/>
      </c>
      <c r="F140" s="28" t="inlineStr">
        <is>
          <t>mm</t>
        </is>
      </c>
      <c r="G140" s="30">
        <f>IF(NOT(inputs_ok),"FAIL",IF(AND(tw_range,det_tw),"OK","FAIL"))</f>
        <v/>
      </c>
    </row>
    <row r="141" ht="41.5" customHeight="1">
      <c r="B141" s="38" t="inlineStr">
        <is>
          <t>Curtail and anchor the top bars over continuous edges for the support moments (9.2.1.3). Where an edge taken as discontinuous has partial fixity, provide top bars for 25 % of the adjacent span moment extending 0.2 of that span (9.3.1.2(2)), and torsion reinforcement at the corners.</t>
        </is>
      </c>
    </row>
    <row r="143" ht="29" customHeight="1">
      <c r="B143" s="3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141:G141"/>
    <mergeCell ref="E5:G5"/>
    <mergeCell ref="B67:G67"/>
    <mergeCell ref="B143:G143"/>
    <mergeCell ref="D2:G2"/>
    <mergeCell ref="E7:G7"/>
    <mergeCell ref="E6:G6"/>
    <mergeCell ref="C3:G3"/>
  </mergeCells>
  <conditionalFormatting sqref="G9:G144">
    <cfRule type="expression" priority="1" dxfId="0">
      <formula>G9="OK"</formula>
    </cfRule>
    <cfRule type="expression" priority="2" dxfId="1">
      <formula>G9="FAIL"</formula>
    </cfRule>
    <cfRule type="expression" priority="3" dxfId="2">
      <formula>LEFT(G9,1)="!"</formula>
    </cfRule>
  </conditionalFormatting>
  <dataValidations count="1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Pick a value from the list." type="list" errorStyle="stop">
      <formula1>'Lists'!$B$2:$B$10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E22 E24 E26"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 0." type="decimal" errorStyle="stop" operator="greaterThanOrEqual">
      <formula1>0</formula1>
    </dataValidation>
    <dataValidation sqref="E32" showDropDown="0" showInputMessage="0" showErrorMessage="1" allowBlank="0" errorTitle="NA Engineering" error="Enter a number greater than 0." type="decimal" errorStyle="stop" operator="greaterThan">
      <formula1>0</formula1>
    </dataValidation>
    <dataValidation sqref="E33"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Pick a value from the list." type="list" errorStyle="stop">
      <formula1>"No,Yes"</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&amp;K8A8A8ANAE-RC-013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sheetData>
    <row r="1">
      <c r="A1" t="inlineStr">
        <is>
          <t>Drop-down lists. Generated - do not edit.</t>
        </is>
      </c>
    </row>
    <row r="2">
      <c r="B2" t="inlineStr">
        <is>
          <t>Interior panel</t>
        </is>
      </c>
    </row>
    <row r="3">
      <c r="B3" t="inlineStr">
        <is>
          <t>One short edge discontinuous</t>
        </is>
      </c>
    </row>
    <row r="4">
      <c r="B4" t="inlineStr">
        <is>
          <t>One long edge discontinuous</t>
        </is>
      </c>
    </row>
    <row r="5">
      <c r="B5" t="inlineStr">
        <is>
          <t>Two adjacent edges discontinuous</t>
        </is>
      </c>
    </row>
    <row r="6">
      <c r="B6" t="inlineStr">
        <is>
          <t>Two short edges discontinuous</t>
        </is>
      </c>
    </row>
    <row r="7">
      <c r="B7" t="inlineStr">
        <is>
          <t>Two long edges discontinuous</t>
        </is>
      </c>
    </row>
    <row r="8">
      <c r="B8" t="inlineStr">
        <is>
          <t>Three edges discontinuous – one long continuous</t>
        </is>
      </c>
    </row>
    <row r="9">
      <c r="B9" t="inlineStr">
        <is>
          <t>Three edges discontinuous – one short continuous</t>
        </is>
      </c>
    </row>
    <row r="10">
      <c r="B10" t="inlineStr">
        <is>
          <t>Four edges discontinuous</t>
        </is>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D4"/>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left edge</t>
        </is>
      </c>
      <c r="D2" t="inlineStr">
        <is>
          <t>left continuity</t>
        </is>
      </c>
      <c r="G2" t="inlineStr">
        <is>
          <t>right edge</t>
        </is>
      </c>
      <c r="J2" t="inlineStr">
        <is>
          <t>right continuity</t>
        </is>
      </c>
      <c r="M2" t="inlineStr">
        <is>
          <t>bottom edge</t>
        </is>
      </c>
      <c r="P2" t="inlineStr">
        <is>
          <t>bottom continuity</t>
        </is>
      </c>
      <c r="S2" t="inlineStr">
        <is>
          <t>top edge</t>
        </is>
      </c>
      <c r="V2" t="inlineStr">
        <is>
          <t>top continuity</t>
        </is>
      </c>
      <c r="Y2" t="inlineStr">
        <is>
          <t>short span</t>
        </is>
      </c>
      <c r="AB2" t="inlineStr">
        <is>
          <t>long span</t>
        </is>
      </c>
      <c r="AE2">
        <f>"msx+ = "&amp;TEXT(m_sxp,"0.0")</f>
        <v/>
      </c>
      <c r="AH2">
        <f>"msy+ = "&amp;TEXT(m_syp,"0.0")</f>
        <v/>
      </c>
      <c r="AK2">
        <f>IF(m_sxn&gt;0,"msx− = "&amp;TEXT(m_sxn,"0.0"),"")</f>
        <v/>
      </c>
      <c r="AN2">
        <f>IF(m_syn&gt;0,"msy− = "&amp;TEXT(m_syn,"0.0"),"")</f>
        <v/>
      </c>
      <c r="AQ2" t="inlineStr">
        <is>
          <t>dim</t>
        </is>
      </c>
      <c r="AT2">
        <f>"lx = "&amp;TEXT(lx_tw,"0")</f>
        <v/>
      </c>
      <c r="AW2" t="inlineStr">
        <is>
          <t>dim</t>
        </is>
      </c>
      <c r="AZ2">
        <f>"ly = "&amp;TEXT(ly_tw,"0")</f>
        <v/>
      </c>
      <c r="BC2" t="inlineStr">
        <is>
          <t>frame</t>
        </is>
      </c>
    </row>
    <row r="3">
      <c r="A3">
        <f>0</f>
        <v/>
      </c>
      <c r="B3">
        <f>0</f>
        <v/>
      </c>
      <c r="D3">
        <f>IF(INDEX({1,1,0,0,1,0,0,0,0},tw_i)=1,0+-1*0.025*MAX(lx_tw,ly_tw),NA())</f>
        <v/>
      </c>
      <c r="E3">
        <f>0+0*0.025*MAX(lx_tw,ly_tw)</f>
        <v/>
      </c>
      <c r="G3">
        <f>lx_tw</f>
        <v/>
      </c>
      <c r="H3">
        <f>0</f>
        <v/>
      </c>
      <c r="J3">
        <f>IF(INDEX({1,1,1,1,1,0,1,0,0},tw_i)=1,lx_tw+1*0.025*MAX(lx_tw,ly_tw),NA())</f>
        <v/>
      </c>
      <c r="K3">
        <f>0+0*0.025*MAX(lx_tw,ly_tw)</f>
        <v/>
      </c>
      <c r="M3">
        <f>0</f>
        <v/>
      </c>
      <c r="N3">
        <f>0</f>
        <v/>
      </c>
      <c r="P3">
        <f>IF(INDEX({1,1,1,1,0,1,0,1,0},tw_i)=1,0+0*0.025*MAX(lx_tw,ly_tw),NA())</f>
        <v/>
      </c>
      <c r="Q3">
        <f>0+-1*0.025*MAX(lx_tw,ly_tw)</f>
        <v/>
      </c>
      <c r="S3">
        <f>0</f>
        <v/>
      </c>
      <c r="T3">
        <f>ly_tw</f>
        <v/>
      </c>
      <c r="V3">
        <f>IF(INDEX({1,0,1,0,0,1,0,0,0},tw_i)=1,0+0*0.025*MAX(lx_tw,ly_tw),NA())</f>
        <v/>
      </c>
      <c r="W3">
        <f>ly_tw+1*0.025*MAX(lx_tw,ly_tw)</f>
        <v/>
      </c>
      <c r="Y3">
        <f>0.1*lx_tw</f>
        <v/>
      </c>
      <c r="Z3">
        <f>0.5*ly_tw</f>
        <v/>
      </c>
      <c r="AB3">
        <f>0.5*lx_tw</f>
        <v/>
      </c>
      <c r="AC3">
        <f>0.1*ly_tw</f>
        <v/>
      </c>
      <c r="AE3">
        <f>0.5*lx_tw</f>
        <v/>
      </c>
      <c r="AF3">
        <f>0.5*ly_tw</f>
        <v/>
      </c>
      <c r="AH3">
        <f>0.5*lx_tw</f>
        <v/>
      </c>
      <c r="AI3">
        <f>0.3*ly_tw</f>
        <v/>
      </c>
      <c r="AK3">
        <f>IF(INDEX({1,1,1,1,1,0,1,0,0},tw_i)=1,0.8*lx_tw,0.2*lx_tw)</f>
        <v/>
      </c>
      <c r="AL3">
        <f>0.68*ly_tw</f>
        <v/>
      </c>
      <c r="AN3">
        <f>0.5*lx_tw</f>
        <v/>
      </c>
      <c r="AO3">
        <f>IF(INDEX({1,1,1,1,0,1,0,1,0},tw_i)=1,0.05*ly_tw,0.95*ly_tw)</f>
        <v/>
      </c>
      <c r="AQ3">
        <f>IF(TRUE,0,NA())</f>
        <v/>
      </c>
      <c r="AR3">
        <f>IF(TRUE,-0.09*MAX(lx_tw,ly_tw),NA())</f>
        <v/>
      </c>
      <c r="AT3">
        <f>IF(TRUE,((0)+(lx_tw))/2,NA())</f>
        <v/>
      </c>
      <c r="AU3">
        <f>IF(TRUE,((-0.09*MAX(lx_tw,ly_tw))+(-0.09*MAX(lx_tw,ly_tw)))/2,NA())</f>
        <v/>
      </c>
      <c r="AW3">
        <f>IF(TRUE,-0.09*MAX(lx_tw,ly_tw),NA())</f>
        <v/>
      </c>
      <c r="AX3">
        <f>IF(TRUE,0,NA())</f>
        <v/>
      </c>
      <c r="AZ3">
        <f>IF(TRUE,((-0.09*MAX(lx_tw,ly_tw))+(-0.09*MAX(lx_tw,ly_tw)))/2,NA())</f>
        <v/>
      </c>
      <c r="BA3">
        <f>IF(TRUE,((0)+(ly_tw))/2,NA())</f>
        <v/>
      </c>
      <c r="BC3">
        <f>((-0.25*MAX(lx_tw,ly_tw))+(lx_tw+0.15*MAX(lx_tw,ly_tw)))/2-MAX((ly_tw+0.1*MAX(lx_tw,ly_tw))-(-0.2*MAX(lx_tw,ly_tw)),((lx_tw+0.15*MAX(lx_tw,ly_tw))-(-0.25*MAX(lx_tw,ly_tw)))/1.55)*0.58*1.55</f>
        <v/>
      </c>
      <c r="BD3">
        <f>((-0.2*MAX(lx_tw,ly_tw))+(ly_tw+0.1*MAX(lx_tw,ly_tw)))/2-MAX((ly_tw+0.1*MAX(lx_tw,ly_tw))-(-0.2*MAX(lx_tw,ly_tw)),((lx_tw+0.15*MAX(lx_tw,ly_tw))-(-0.25*MAX(lx_tw,ly_tw)))/1.55)*0.58</f>
        <v/>
      </c>
    </row>
    <row r="4">
      <c r="A4">
        <f>0</f>
        <v/>
      </c>
      <c r="B4">
        <f>ly_tw</f>
        <v/>
      </c>
      <c r="D4">
        <f>IF(INDEX({1,1,0,0,1,0,0,0,0},tw_i)=1,0+-1*0.025*MAX(lx_tw,ly_tw),NA())</f>
        <v/>
      </c>
      <c r="E4">
        <f>ly_tw+0*0.025*MAX(lx_tw,ly_tw)</f>
        <v/>
      </c>
      <c r="G4">
        <f>lx_tw</f>
        <v/>
      </c>
      <c r="H4">
        <f>ly_tw</f>
        <v/>
      </c>
      <c r="J4">
        <f>IF(INDEX({1,1,1,1,1,0,1,0,0},tw_i)=1,lx_tw+1*0.025*MAX(lx_tw,ly_tw),NA())</f>
        <v/>
      </c>
      <c r="K4">
        <f>ly_tw+0*0.025*MAX(lx_tw,ly_tw)</f>
        <v/>
      </c>
      <c r="M4">
        <f>lx_tw</f>
        <v/>
      </c>
      <c r="N4">
        <f>0</f>
        <v/>
      </c>
      <c r="P4">
        <f>IF(INDEX({1,1,1,1,0,1,0,1,0},tw_i)=1,lx_tw+0*0.025*MAX(lx_tw,ly_tw),NA())</f>
        <v/>
      </c>
      <c r="Q4">
        <f>0+-1*0.025*MAX(lx_tw,ly_tw)</f>
        <v/>
      </c>
      <c r="S4">
        <f>lx_tw</f>
        <v/>
      </c>
      <c r="T4">
        <f>ly_tw</f>
        <v/>
      </c>
      <c r="V4">
        <f>IF(INDEX({1,0,1,0,0,1,0,0,0},tw_i)=1,lx_tw+0*0.025*MAX(lx_tw,ly_tw),NA())</f>
        <v/>
      </c>
      <c r="W4">
        <f>ly_tw+1*0.025*MAX(lx_tw,ly_tw)</f>
        <v/>
      </c>
      <c r="Y4">
        <f>0.9*lx_tw</f>
        <v/>
      </c>
      <c r="Z4">
        <f>0.5*ly_tw</f>
        <v/>
      </c>
      <c r="AB4">
        <f>0.5*lx_tw</f>
        <v/>
      </c>
      <c r="AC4">
        <f>0.9*ly_tw</f>
        <v/>
      </c>
      <c r="AQ4">
        <f>IF(TRUE,lx_tw,NA())</f>
        <v/>
      </c>
      <c r="AR4">
        <f>IF(TRUE,-0.09*MAX(lx_tw,ly_tw),NA())</f>
        <v/>
      </c>
      <c r="AW4">
        <f>IF(TRUE,-0.09*MAX(lx_tw,ly_tw),NA())</f>
        <v/>
      </c>
      <c r="AX4">
        <f>IF(TRUE,ly_tw,NA())</f>
        <v/>
      </c>
      <c r="BC4">
        <f>((-0.25*MAX(lx_tw,ly_tw))+(lx_tw+0.15*MAX(lx_tw,ly_tw)))/2+MAX((ly_tw+0.1*MAX(lx_tw,ly_tw))-(-0.2*MAX(lx_tw,ly_tw)),((lx_tw+0.15*MAX(lx_tw,ly_tw))-(-0.25*MAX(lx_tw,ly_tw)))/1.55)*0.58*1.55</f>
        <v/>
      </c>
      <c r="BD4">
        <f>((-0.2*MAX(lx_tw,ly_tw))+(ly_tw+0.1*MAX(lx_tw,ly_tw)))/2+MAX((ly_tw+0.1*MAX(lx_tw,ly_tw))-(-0.2*MAX(lx_tw,ly_tw)),((lx_tw+0.15*MAX(lx_tw,ly_tw))-(-0.25*MAX(lx_tw,ly_tw)))/1.55)*0.58</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B2:L63"/>
  <sheetViews>
    <sheetView showGridLines="0" tabSelected="0" workbookViewId="0">
      <selection activeCell="A1" sqref="A1"/>
    </sheetView>
  </sheetViews>
  <sheetFormatPr baseColWidth="8" defaultRowHeight="15"/>
  <cols>
    <col width="2" customWidth="1" min="1" max="1"/>
    <col width="44" customWidth="1" min="2" max="2"/>
    <col width="10"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s>
  <sheetData>
    <row r="2">
      <c r="B2" s="46" t="inlineStr">
        <is>
          <t>Bending moment coefficients for two-way slabs  (corners held down)</t>
        </is>
      </c>
    </row>
    <row r="3">
      <c r="B3" s="47" t="inlineStr">
        <is>
          <t>BS 8110-1 Table 3.14 (moments) and Table 3.15 (shears, below). The IStructE Manual for EC2 (5.2.3.3, Table 5.3) uses the same method:  m = β n lx²,  v = βv n lx</t>
        </is>
      </c>
    </row>
    <row r="5">
      <c r="B5" s="48" t="inlineStr">
        <is>
          <t>Panel</t>
        </is>
      </c>
      <c r="C5" s="48" t="inlineStr">
        <is>
          <t>moment</t>
        </is>
      </c>
      <c r="D5" s="49" t="n">
        <v>1</v>
      </c>
      <c r="E5" s="49" t="n">
        <v>1.1</v>
      </c>
      <c r="F5" s="49" t="n">
        <v>1.2</v>
      </c>
      <c r="G5" s="49" t="n">
        <v>1.3</v>
      </c>
      <c r="H5" s="49" t="n">
        <v>1.4</v>
      </c>
      <c r="I5" s="49" t="n">
        <v>1.5</v>
      </c>
      <c r="J5" s="49" t="n">
        <v>1.75</v>
      </c>
      <c r="K5" s="49" t="n">
        <v>2</v>
      </c>
      <c r="L5" s="50" t="inlineStr">
        <is>
          <t>βsy</t>
        </is>
      </c>
    </row>
    <row r="6">
      <c r="B6" s="51" t="inlineStr">
        <is>
          <t>1  Interior panel</t>
        </is>
      </c>
      <c r="C6" s="51" t="inlineStr">
        <is>
          <t>negative</t>
        </is>
      </c>
      <c r="D6" s="52" t="n">
        <v>0.031</v>
      </c>
      <c r="E6" s="52" t="n">
        <v>0.037</v>
      </c>
      <c r="F6" s="52" t="n">
        <v>0.042</v>
      </c>
      <c r="G6" s="52" t="n">
        <v>0.046</v>
      </c>
      <c r="H6" s="52" t="n">
        <v>0.05</v>
      </c>
      <c r="I6" s="52" t="n">
        <v>0.053</v>
      </c>
      <c r="J6" s="52" t="n">
        <v>0.059</v>
      </c>
      <c r="K6" s="52" t="n">
        <v>0.063</v>
      </c>
      <c r="L6" s="52" t="n">
        <v>0.032</v>
      </c>
    </row>
    <row r="7">
      <c r="B7" s="51" t="inlineStr"/>
      <c r="C7" s="51" t="inlineStr">
        <is>
          <t>positive</t>
        </is>
      </c>
      <c r="D7" s="52" t="n">
        <v>0.024</v>
      </c>
      <c r="E7" s="52" t="n">
        <v>0.028</v>
      </c>
      <c r="F7" s="52" t="n">
        <v>0.032</v>
      </c>
      <c r="G7" s="52" t="n">
        <v>0.035</v>
      </c>
      <c r="H7" s="52" t="n">
        <v>0.037</v>
      </c>
      <c r="I7" s="52" t="n">
        <v>0.04</v>
      </c>
      <c r="J7" s="52" t="n">
        <v>0.044</v>
      </c>
      <c r="K7" s="52" t="n">
        <v>0.048</v>
      </c>
      <c r="L7" s="52" t="n">
        <v>0.024</v>
      </c>
    </row>
    <row r="8">
      <c r="B8" s="51" t="inlineStr">
        <is>
          <t>2  One short edge discontinuous</t>
        </is>
      </c>
      <c r="C8" s="51" t="inlineStr">
        <is>
          <t>negative</t>
        </is>
      </c>
      <c r="D8" s="52" t="n">
        <v>0.039</v>
      </c>
      <c r="E8" s="52" t="n">
        <v>0.044</v>
      </c>
      <c r="F8" s="52" t="n">
        <v>0.048</v>
      </c>
      <c r="G8" s="52" t="n">
        <v>0.052</v>
      </c>
      <c r="H8" s="52" t="n">
        <v>0.055</v>
      </c>
      <c r="I8" s="52" t="n">
        <v>0.058</v>
      </c>
      <c r="J8" s="52" t="n">
        <v>0.063</v>
      </c>
      <c r="K8" s="52" t="n">
        <v>0.067</v>
      </c>
      <c r="L8" s="52" t="n">
        <v>0.037</v>
      </c>
    </row>
    <row r="9">
      <c r="B9" s="51" t="inlineStr"/>
      <c r="C9" s="51" t="inlineStr">
        <is>
          <t>positive</t>
        </is>
      </c>
      <c r="D9" s="52" t="n">
        <v>0.029</v>
      </c>
      <c r="E9" s="52" t="n">
        <v>0.033</v>
      </c>
      <c r="F9" s="52" t="n">
        <v>0.036</v>
      </c>
      <c r="G9" s="52" t="n">
        <v>0.039</v>
      </c>
      <c r="H9" s="52" t="n">
        <v>0.041</v>
      </c>
      <c r="I9" s="52" t="n">
        <v>0.043</v>
      </c>
      <c r="J9" s="52" t="n">
        <v>0.047</v>
      </c>
      <c r="K9" s="52" t="n">
        <v>0.05</v>
      </c>
      <c r="L9" s="52" t="n">
        <v>0.028</v>
      </c>
    </row>
    <row r="10">
      <c r="B10" s="51" t="inlineStr">
        <is>
          <t>3  One long edge discontinuous</t>
        </is>
      </c>
      <c r="C10" s="51" t="inlineStr">
        <is>
          <t>negative</t>
        </is>
      </c>
      <c r="D10" s="52" t="n">
        <v>0.039</v>
      </c>
      <c r="E10" s="52" t="n">
        <v>0.049</v>
      </c>
      <c r="F10" s="52" t="n">
        <v>0.056</v>
      </c>
      <c r="G10" s="52" t="n">
        <v>0.062</v>
      </c>
      <c r="H10" s="52" t="n">
        <v>0.068</v>
      </c>
      <c r="I10" s="52" t="n">
        <v>0.073</v>
      </c>
      <c r="J10" s="52" t="n">
        <v>0.082</v>
      </c>
      <c r="K10" s="52" t="n">
        <v>0.089</v>
      </c>
      <c r="L10" s="52" t="n">
        <v>0.037</v>
      </c>
    </row>
    <row r="11">
      <c r="B11" s="51" t="inlineStr"/>
      <c r="C11" s="51" t="inlineStr">
        <is>
          <t>positive</t>
        </is>
      </c>
      <c r="D11" s="52" t="n">
        <v>0.03</v>
      </c>
      <c r="E11" s="52" t="n">
        <v>0.036</v>
      </c>
      <c r="F11" s="52" t="n">
        <v>0.042</v>
      </c>
      <c r="G11" s="52" t="n">
        <v>0.047</v>
      </c>
      <c r="H11" s="52" t="n">
        <v>0.051</v>
      </c>
      <c r="I11" s="52" t="n">
        <v>0.055</v>
      </c>
      <c r="J11" s="52" t="n">
        <v>0.062</v>
      </c>
      <c r="K11" s="52" t="n">
        <v>0.067</v>
      </c>
      <c r="L11" s="52" t="n">
        <v>0.028</v>
      </c>
    </row>
    <row r="12">
      <c r="B12" s="51" t="inlineStr">
        <is>
          <t>4  Two adjacent edges discontinuous</t>
        </is>
      </c>
      <c r="C12" s="51" t="inlineStr">
        <is>
          <t>negative</t>
        </is>
      </c>
      <c r="D12" s="52" t="n">
        <v>0.047</v>
      </c>
      <c r="E12" s="52" t="n">
        <v>0.056</v>
      </c>
      <c r="F12" s="52" t="n">
        <v>0.063</v>
      </c>
      <c r="G12" s="52" t="n">
        <v>0.06900000000000001</v>
      </c>
      <c r="H12" s="52" t="n">
        <v>0.074</v>
      </c>
      <c r="I12" s="52" t="n">
        <v>0.078</v>
      </c>
      <c r="J12" s="52" t="n">
        <v>0.08699999999999999</v>
      </c>
      <c r="K12" s="52" t="n">
        <v>0.093</v>
      </c>
      <c r="L12" s="52" t="n">
        <v>0.045</v>
      </c>
    </row>
    <row r="13">
      <c r="B13" s="51" t="inlineStr"/>
      <c r="C13" s="51" t="inlineStr">
        <is>
          <t>positive</t>
        </is>
      </c>
      <c r="D13" s="52" t="n">
        <v>0.036</v>
      </c>
      <c r="E13" s="52" t="n">
        <v>0.042</v>
      </c>
      <c r="F13" s="52" t="n">
        <v>0.047</v>
      </c>
      <c r="G13" s="52" t="n">
        <v>0.051</v>
      </c>
      <c r="H13" s="52" t="n">
        <v>0.055</v>
      </c>
      <c r="I13" s="52" t="n">
        <v>0.059</v>
      </c>
      <c r="J13" s="52" t="n">
        <v>0.065</v>
      </c>
      <c r="K13" s="52" t="n">
        <v>0.07000000000000001</v>
      </c>
      <c r="L13" s="52" t="n">
        <v>0.034</v>
      </c>
    </row>
    <row r="14">
      <c r="B14" s="51" t="inlineStr">
        <is>
          <t>5  Two short edges discontinuous</t>
        </is>
      </c>
      <c r="C14" s="51" t="inlineStr">
        <is>
          <t>negative</t>
        </is>
      </c>
      <c r="D14" s="52" t="n">
        <v>0.046</v>
      </c>
      <c r="E14" s="52" t="n">
        <v>0.05</v>
      </c>
      <c r="F14" s="52" t="n">
        <v>0.054</v>
      </c>
      <c r="G14" s="52" t="n">
        <v>0.057</v>
      </c>
      <c r="H14" s="52" t="n">
        <v>0.06</v>
      </c>
      <c r="I14" s="52" t="n">
        <v>0.062</v>
      </c>
      <c r="J14" s="52" t="n">
        <v>0.067</v>
      </c>
      <c r="K14" s="52" t="n">
        <v>0.07000000000000001</v>
      </c>
      <c r="L14" s="52" t="n">
        <v>0</v>
      </c>
    </row>
    <row r="15">
      <c r="B15" s="51" t="inlineStr"/>
      <c r="C15" s="51" t="inlineStr">
        <is>
          <t>positive</t>
        </is>
      </c>
      <c r="D15" s="52" t="n">
        <v>0.034</v>
      </c>
      <c r="E15" s="52" t="n">
        <v>0.038</v>
      </c>
      <c r="F15" s="52" t="n">
        <v>0.04</v>
      </c>
      <c r="G15" s="52" t="n">
        <v>0.043</v>
      </c>
      <c r="H15" s="52" t="n">
        <v>0.045</v>
      </c>
      <c r="I15" s="52" t="n">
        <v>0.047</v>
      </c>
      <c r="J15" s="52" t="n">
        <v>0.05</v>
      </c>
      <c r="K15" s="52" t="n">
        <v>0.053</v>
      </c>
      <c r="L15" s="52" t="n">
        <v>0.034</v>
      </c>
    </row>
    <row r="16">
      <c r="B16" s="51" t="inlineStr">
        <is>
          <t>6  Two long edges discontinuous</t>
        </is>
      </c>
      <c r="C16" s="51" t="inlineStr">
        <is>
          <t>negative</t>
        </is>
      </c>
      <c r="D16" s="52" t="n">
        <v>0</v>
      </c>
      <c r="E16" s="52" t="n">
        <v>0</v>
      </c>
      <c r="F16" s="52" t="n">
        <v>0</v>
      </c>
      <c r="G16" s="52" t="n">
        <v>0</v>
      </c>
      <c r="H16" s="52" t="n">
        <v>0</v>
      </c>
      <c r="I16" s="52" t="n">
        <v>0</v>
      </c>
      <c r="J16" s="52" t="n">
        <v>0</v>
      </c>
      <c r="K16" s="52" t="n">
        <v>0</v>
      </c>
      <c r="L16" s="52" t="n">
        <v>0.045</v>
      </c>
    </row>
    <row r="17">
      <c r="B17" s="51" t="inlineStr"/>
      <c r="C17" s="51" t="inlineStr">
        <is>
          <t>positive</t>
        </is>
      </c>
      <c r="D17" s="52" t="n">
        <v>0.034</v>
      </c>
      <c r="E17" s="52" t="n">
        <v>0.046</v>
      </c>
      <c r="F17" s="52" t="n">
        <v>0.056</v>
      </c>
      <c r="G17" s="52" t="n">
        <v>0.065</v>
      </c>
      <c r="H17" s="52" t="n">
        <v>0.07199999999999999</v>
      </c>
      <c r="I17" s="52" t="n">
        <v>0.078</v>
      </c>
      <c r="J17" s="52" t="n">
        <v>0.091</v>
      </c>
      <c r="K17" s="52" t="n">
        <v>0.1</v>
      </c>
      <c r="L17" s="52" t="n">
        <v>0.034</v>
      </c>
    </row>
    <row r="18">
      <c r="B18" s="51" t="inlineStr">
        <is>
          <t>7  Three edges discontinuous – one long continuous</t>
        </is>
      </c>
      <c r="C18" s="51" t="inlineStr">
        <is>
          <t>negative</t>
        </is>
      </c>
      <c r="D18" s="52" t="n">
        <v>0.057</v>
      </c>
      <c r="E18" s="52" t="n">
        <v>0.065</v>
      </c>
      <c r="F18" s="52" t="n">
        <v>0.07099999999999999</v>
      </c>
      <c r="G18" s="52" t="n">
        <v>0.076</v>
      </c>
      <c r="H18" s="52" t="n">
        <v>0.081</v>
      </c>
      <c r="I18" s="52" t="n">
        <v>0.08400000000000001</v>
      </c>
      <c r="J18" s="52" t="n">
        <v>0.092</v>
      </c>
      <c r="K18" s="52" t="n">
        <v>0.098</v>
      </c>
      <c r="L18" s="52" t="n">
        <v>0</v>
      </c>
    </row>
    <row r="19">
      <c r="B19" s="51" t="inlineStr"/>
      <c r="C19" s="51" t="inlineStr">
        <is>
          <t>positive</t>
        </is>
      </c>
      <c r="D19" s="52" t="n">
        <v>0.043</v>
      </c>
      <c r="E19" s="52" t="n">
        <v>0.048</v>
      </c>
      <c r="F19" s="52" t="n">
        <v>0.053</v>
      </c>
      <c r="G19" s="52" t="n">
        <v>0.057</v>
      </c>
      <c r="H19" s="52" t="n">
        <v>0.06</v>
      </c>
      <c r="I19" s="52" t="n">
        <v>0.063</v>
      </c>
      <c r="J19" s="52" t="n">
        <v>0.06900000000000001</v>
      </c>
      <c r="K19" s="52" t="n">
        <v>0.074</v>
      </c>
      <c r="L19" s="52" t="n">
        <v>0.044</v>
      </c>
    </row>
    <row r="20">
      <c r="B20" s="51" t="inlineStr">
        <is>
          <t>8  Three edges discontinuous – one short continuous</t>
        </is>
      </c>
      <c r="C20" s="51" t="inlineStr">
        <is>
          <t>negative</t>
        </is>
      </c>
      <c r="D20" s="52" t="n">
        <v>0</v>
      </c>
      <c r="E20" s="52" t="n">
        <v>0</v>
      </c>
      <c r="F20" s="52" t="n">
        <v>0</v>
      </c>
      <c r="G20" s="52" t="n">
        <v>0</v>
      </c>
      <c r="H20" s="52" t="n">
        <v>0</v>
      </c>
      <c r="I20" s="52" t="n">
        <v>0</v>
      </c>
      <c r="J20" s="52" t="n">
        <v>0</v>
      </c>
      <c r="K20" s="52" t="n">
        <v>0</v>
      </c>
      <c r="L20" s="52" t="n">
        <v>0.058</v>
      </c>
    </row>
    <row r="21">
      <c r="B21" s="51" t="inlineStr"/>
      <c r="C21" s="51" t="inlineStr">
        <is>
          <t>positive</t>
        </is>
      </c>
      <c r="D21" s="52" t="n">
        <v>0.042</v>
      </c>
      <c r="E21" s="52" t="n">
        <v>0.054</v>
      </c>
      <c r="F21" s="52" t="n">
        <v>0.063</v>
      </c>
      <c r="G21" s="52" t="n">
        <v>0.07099999999999999</v>
      </c>
      <c r="H21" s="52" t="n">
        <v>0.078</v>
      </c>
      <c r="I21" s="52" t="n">
        <v>0.08400000000000001</v>
      </c>
      <c r="J21" s="52" t="n">
        <v>0.096</v>
      </c>
      <c r="K21" s="52" t="n">
        <v>0.105</v>
      </c>
      <c r="L21" s="52" t="n">
        <v>0.044</v>
      </c>
    </row>
    <row r="22">
      <c r="B22" s="51" t="inlineStr">
        <is>
          <t>9  Four edges discontinuous</t>
        </is>
      </c>
      <c r="C22" s="51" t="inlineStr">
        <is>
          <t>negative</t>
        </is>
      </c>
      <c r="D22" s="52" t="n">
        <v>0</v>
      </c>
      <c r="E22" s="52" t="n">
        <v>0</v>
      </c>
      <c r="F22" s="52" t="n">
        <v>0</v>
      </c>
      <c r="G22" s="52" t="n">
        <v>0</v>
      </c>
      <c r="H22" s="52" t="n">
        <v>0</v>
      </c>
      <c r="I22" s="52" t="n">
        <v>0</v>
      </c>
      <c r="J22" s="52" t="n">
        <v>0</v>
      </c>
      <c r="K22" s="52" t="n">
        <v>0</v>
      </c>
      <c r="L22" s="52" t="n">
        <v>0</v>
      </c>
    </row>
    <row r="23">
      <c r="B23" s="51" t="inlineStr"/>
      <c r="C23" s="51" t="inlineStr">
        <is>
          <t>positive</t>
        </is>
      </c>
      <c r="D23" s="52" t="n">
        <v>0.055</v>
      </c>
      <c r="E23" s="52" t="n">
        <v>0.065</v>
      </c>
      <c r="F23" s="52" t="n">
        <v>0.074</v>
      </c>
      <c r="G23" s="52" t="n">
        <v>0.081</v>
      </c>
      <c r="H23" s="52" t="n">
        <v>0.08699999999999999</v>
      </c>
      <c r="I23" s="52" t="n">
        <v>0.092</v>
      </c>
      <c r="J23" s="52" t="n">
        <v>0.103</v>
      </c>
      <c r="K23" s="52" t="n">
        <v>0.111</v>
      </c>
      <c r="L23" s="52" t="n">
        <v>0.056</v>
      </c>
    </row>
    <row r="25">
      <c r="B25" s="53" t="inlineStr">
        <is>
          <t>Shear coefficients βv  (Table 3.15)</t>
        </is>
      </c>
    </row>
    <row r="26">
      <c r="B26" s="51" t="inlineStr">
        <is>
          <t>1  Interior panel</t>
        </is>
      </c>
      <c r="C26" s="51" t="inlineStr">
        <is>
          <t>βvx continuous</t>
        </is>
      </c>
      <c r="D26" s="54" t="n">
        <v>0.33</v>
      </c>
      <c r="E26" s="54" t="n">
        <v>0.36</v>
      </c>
      <c r="F26" s="54" t="n">
        <v>0.39</v>
      </c>
      <c r="G26" s="54" t="n">
        <v>0.41</v>
      </c>
      <c r="H26" s="54" t="n">
        <v>0.43</v>
      </c>
      <c r="I26" s="54" t="n">
        <v>0.45</v>
      </c>
      <c r="J26" s="54" t="n">
        <v>0.48</v>
      </c>
      <c r="K26" s="54" t="n">
        <v>0.5</v>
      </c>
    </row>
    <row r="27">
      <c r="B27" s="51" t="inlineStr"/>
      <c r="C27" s="51" t="inlineStr">
        <is>
          <t>βvx discontinuous</t>
        </is>
      </c>
      <c r="D27" s="54" t="n">
        <v>0</v>
      </c>
      <c r="E27" s="54" t="n">
        <v>0</v>
      </c>
      <c r="F27" s="54" t="n">
        <v>0</v>
      </c>
      <c r="G27" s="54" t="n">
        <v>0</v>
      </c>
      <c r="H27" s="54" t="n">
        <v>0</v>
      </c>
      <c r="I27" s="54" t="n">
        <v>0</v>
      </c>
      <c r="J27" s="54" t="n">
        <v>0</v>
      </c>
      <c r="K27" s="54" t="n">
        <v>0</v>
      </c>
    </row>
    <row r="28">
      <c r="B28" s="51" t="inlineStr"/>
      <c r="C28" s="51" t="inlineStr">
        <is>
          <t>βvy continuous</t>
        </is>
      </c>
      <c r="D28" s="54" t="n">
        <v>0.33</v>
      </c>
      <c r="E28" s="54" t="n">
        <v>0.33</v>
      </c>
      <c r="F28" s="54" t="n">
        <v>0.33</v>
      </c>
      <c r="G28" s="54" t="n">
        <v>0.33</v>
      </c>
      <c r="H28" s="54" t="n">
        <v>0.33</v>
      </c>
      <c r="I28" s="54" t="n">
        <v>0.33</v>
      </c>
      <c r="J28" s="54" t="n">
        <v>0.33</v>
      </c>
      <c r="K28" s="54" t="n">
        <v>0.33</v>
      </c>
    </row>
    <row r="29">
      <c r="B29" s="51" t="inlineStr"/>
      <c r="C29" s="51" t="inlineStr">
        <is>
          <t>βvy discontinuous</t>
        </is>
      </c>
      <c r="D29" s="54" t="n">
        <v>0</v>
      </c>
      <c r="E29" s="54" t="n">
        <v>0</v>
      </c>
      <c r="F29" s="54" t="n">
        <v>0</v>
      </c>
      <c r="G29" s="54" t="n">
        <v>0</v>
      </c>
      <c r="H29" s="54" t="n">
        <v>0</v>
      </c>
      <c r="I29" s="54" t="n">
        <v>0</v>
      </c>
      <c r="J29" s="54" t="n">
        <v>0</v>
      </c>
      <c r="K29" s="54" t="n">
        <v>0</v>
      </c>
    </row>
    <row r="30">
      <c r="B30" s="51" t="inlineStr">
        <is>
          <t>2  One short edge discontinuous</t>
        </is>
      </c>
      <c r="C30" s="51" t="inlineStr">
        <is>
          <t>βvx continuous</t>
        </is>
      </c>
      <c r="D30" s="54" t="n">
        <v>0.36</v>
      </c>
      <c r="E30" s="54" t="n">
        <v>0.39</v>
      </c>
      <c r="F30" s="54" t="n">
        <v>0.42</v>
      </c>
      <c r="G30" s="54" t="n">
        <v>0.44</v>
      </c>
      <c r="H30" s="54" t="n">
        <v>0.45</v>
      </c>
      <c r="I30" s="54" t="n">
        <v>0.47</v>
      </c>
      <c r="J30" s="54" t="n">
        <v>0.5</v>
      </c>
      <c r="K30" s="54" t="n">
        <v>0.52</v>
      </c>
    </row>
    <row r="31">
      <c r="B31" s="51" t="inlineStr"/>
      <c r="C31" s="51" t="inlineStr">
        <is>
          <t>βvx discontinuous</t>
        </is>
      </c>
      <c r="D31" s="54" t="n">
        <v>0</v>
      </c>
      <c r="E31" s="54" t="n">
        <v>0</v>
      </c>
      <c r="F31" s="54" t="n">
        <v>0</v>
      </c>
      <c r="G31" s="54" t="n">
        <v>0</v>
      </c>
      <c r="H31" s="54" t="n">
        <v>0</v>
      </c>
      <c r="I31" s="54" t="n">
        <v>0</v>
      </c>
      <c r="J31" s="54" t="n">
        <v>0</v>
      </c>
      <c r="K31" s="54" t="n">
        <v>0</v>
      </c>
    </row>
    <row r="32">
      <c r="B32" s="51" t="inlineStr"/>
      <c r="C32" s="51" t="inlineStr">
        <is>
          <t>βvy continuous</t>
        </is>
      </c>
      <c r="D32" s="54" t="n">
        <v>0.36</v>
      </c>
      <c r="E32" s="54" t="n">
        <v>0.36</v>
      </c>
      <c r="F32" s="54" t="n">
        <v>0.36</v>
      </c>
      <c r="G32" s="54" t="n">
        <v>0.36</v>
      </c>
      <c r="H32" s="54" t="n">
        <v>0.36</v>
      </c>
      <c r="I32" s="54" t="n">
        <v>0.36</v>
      </c>
      <c r="J32" s="54" t="n">
        <v>0.36</v>
      </c>
      <c r="K32" s="54" t="n">
        <v>0.36</v>
      </c>
    </row>
    <row r="33">
      <c r="B33" s="51" t="inlineStr"/>
      <c r="C33" s="51" t="inlineStr">
        <is>
          <t>βvy discontinuous</t>
        </is>
      </c>
      <c r="D33" s="54" t="n">
        <v>0.24</v>
      </c>
      <c r="E33" s="54" t="n">
        <v>0.24</v>
      </c>
      <c r="F33" s="54" t="n">
        <v>0.24</v>
      </c>
      <c r="G33" s="54" t="n">
        <v>0.24</v>
      </c>
      <c r="H33" s="54" t="n">
        <v>0.24</v>
      </c>
      <c r="I33" s="54" t="n">
        <v>0.24</v>
      </c>
      <c r="J33" s="54" t="n">
        <v>0.24</v>
      </c>
      <c r="K33" s="54" t="n">
        <v>0.24</v>
      </c>
    </row>
    <row r="34">
      <c r="B34" s="51" t="inlineStr">
        <is>
          <t>3  One long edge discontinuous</t>
        </is>
      </c>
      <c r="C34" s="51" t="inlineStr">
        <is>
          <t>βvx continuous</t>
        </is>
      </c>
      <c r="D34" s="54" t="n">
        <v>0.36</v>
      </c>
      <c r="E34" s="54" t="n">
        <v>0.4</v>
      </c>
      <c r="F34" s="54" t="n">
        <v>0.44</v>
      </c>
      <c r="G34" s="54" t="n">
        <v>0.47</v>
      </c>
      <c r="H34" s="54" t="n">
        <v>0.49</v>
      </c>
      <c r="I34" s="54" t="n">
        <v>0.51</v>
      </c>
      <c r="J34" s="54" t="n">
        <v>0.55</v>
      </c>
      <c r="K34" s="54" t="n">
        <v>0.59</v>
      </c>
    </row>
    <row r="35">
      <c r="B35" s="51" t="inlineStr"/>
      <c r="C35" s="51" t="inlineStr">
        <is>
          <t>βvx discontinuous</t>
        </is>
      </c>
      <c r="D35" s="54" t="n">
        <v>0.24</v>
      </c>
      <c r="E35" s="54" t="n">
        <v>0.27</v>
      </c>
      <c r="F35" s="54" t="n">
        <v>0.29</v>
      </c>
      <c r="G35" s="54" t="n">
        <v>0.31</v>
      </c>
      <c r="H35" s="54" t="n">
        <v>0.32</v>
      </c>
      <c r="I35" s="54" t="n">
        <v>0.34</v>
      </c>
      <c r="J35" s="54" t="n">
        <v>0.36</v>
      </c>
      <c r="K35" s="54" t="n">
        <v>0.38</v>
      </c>
    </row>
    <row r="36">
      <c r="B36" s="51" t="inlineStr"/>
      <c r="C36" s="51" t="inlineStr">
        <is>
          <t>βvy continuous</t>
        </is>
      </c>
      <c r="D36" s="54" t="n">
        <v>0.36</v>
      </c>
      <c r="E36" s="54" t="n">
        <v>0.36</v>
      </c>
      <c r="F36" s="54" t="n">
        <v>0.36</v>
      </c>
      <c r="G36" s="54" t="n">
        <v>0.36</v>
      </c>
      <c r="H36" s="54" t="n">
        <v>0.36</v>
      </c>
      <c r="I36" s="54" t="n">
        <v>0.36</v>
      </c>
      <c r="J36" s="54" t="n">
        <v>0.36</v>
      </c>
      <c r="K36" s="54" t="n">
        <v>0.36</v>
      </c>
    </row>
    <row r="37">
      <c r="B37" s="51" t="inlineStr"/>
      <c r="C37" s="51" t="inlineStr">
        <is>
          <t>βvy discontinuous</t>
        </is>
      </c>
      <c r="D37" s="54" t="n">
        <v>0</v>
      </c>
      <c r="E37" s="54" t="n">
        <v>0</v>
      </c>
      <c r="F37" s="54" t="n">
        <v>0</v>
      </c>
      <c r="G37" s="54" t="n">
        <v>0</v>
      </c>
      <c r="H37" s="54" t="n">
        <v>0</v>
      </c>
      <c r="I37" s="54" t="n">
        <v>0</v>
      </c>
      <c r="J37" s="54" t="n">
        <v>0</v>
      </c>
      <c r="K37" s="54" t="n">
        <v>0</v>
      </c>
    </row>
    <row r="38">
      <c r="B38" s="51" t="inlineStr">
        <is>
          <t>4  Two adjacent edges discontinuous</t>
        </is>
      </c>
      <c r="C38" s="51" t="inlineStr">
        <is>
          <t>βvx continuous</t>
        </is>
      </c>
      <c r="D38" s="54" t="n">
        <v>0.4</v>
      </c>
      <c r="E38" s="54" t="n">
        <v>0.44</v>
      </c>
      <c r="F38" s="54" t="n">
        <v>0.47</v>
      </c>
      <c r="G38" s="54" t="n">
        <v>0.5</v>
      </c>
      <c r="H38" s="54" t="n">
        <v>0.52</v>
      </c>
      <c r="I38" s="54" t="n">
        <v>0.54</v>
      </c>
      <c r="J38" s="54" t="n">
        <v>0.57</v>
      </c>
      <c r="K38" s="54" t="n">
        <v>0.6</v>
      </c>
    </row>
    <row r="39">
      <c r="B39" s="51" t="inlineStr"/>
      <c r="C39" s="51" t="inlineStr">
        <is>
          <t>βvx discontinuous</t>
        </is>
      </c>
      <c r="D39" s="54" t="n">
        <v>0.26</v>
      </c>
      <c r="E39" s="54" t="n">
        <v>0.29</v>
      </c>
      <c r="F39" s="54" t="n">
        <v>0.31</v>
      </c>
      <c r="G39" s="54" t="n">
        <v>0.33</v>
      </c>
      <c r="H39" s="54" t="n">
        <v>0.34</v>
      </c>
      <c r="I39" s="54" t="n">
        <v>0.35</v>
      </c>
      <c r="J39" s="54" t="n">
        <v>0.38</v>
      </c>
      <c r="K39" s="54" t="n">
        <v>0.4</v>
      </c>
    </row>
    <row r="40">
      <c r="B40" s="51" t="inlineStr"/>
      <c r="C40" s="51" t="inlineStr">
        <is>
          <t>βvy continuous</t>
        </is>
      </c>
      <c r="D40" s="54" t="n">
        <v>0.4</v>
      </c>
      <c r="E40" s="54" t="n">
        <v>0.4</v>
      </c>
      <c r="F40" s="54" t="n">
        <v>0.4</v>
      </c>
      <c r="G40" s="54" t="n">
        <v>0.4</v>
      </c>
      <c r="H40" s="54" t="n">
        <v>0.4</v>
      </c>
      <c r="I40" s="54" t="n">
        <v>0.4</v>
      </c>
      <c r="J40" s="54" t="n">
        <v>0.4</v>
      </c>
      <c r="K40" s="54" t="n">
        <v>0.4</v>
      </c>
    </row>
    <row r="41">
      <c r="B41" s="51" t="inlineStr"/>
      <c r="C41" s="51" t="inlineStr">
        <is>
          <t>βvy discontinuous</t>
        </is>
      </c>
      <c r="D41" s="54" t="n">
        <v>0.26</v>
      </c>
      <c r="E41" s="54" t="n">
        <v>0.26</v>
      </c>
      <c r="F41" s="54" t="n">
        <v>0.26</v>
      </c>
      <c r="G41" s="54" t="n">
        <v>0.26</v>
      </c>
      <c r="H41" s="54" t="n">
        <v>0.26</v>
      </c>
      <c r="I41" s="54" t="n">
        <v>0.26</v>
      </c>
      <c r="J41" s="54" t="n">
        <v>0.26</v>
      </c>
      <c r="K41" s="54" t="n">
        <v>0.26</v>
      </c>
    </row>
    <row r="42">
      <c r="B42" s="51" t="inlineStr">
        <is>
          <t>5  Two short edges discontinuous</t>
        </is>
      </c>
      <c r="C42" s="51" t="inlineStr">
        <is>
          <t>βvx continuous</t>
        </is>
      </c>
      <c r="D42" s="54" t="n">
        <v>0.4</v>
      </c>
      <c r="E42" s="54" t="n">
        <v>0.43</v>
      </c>
      <c r="F42" s="54" t="n">
        <v>0.45</v>
      </c>
      <c r="G42" s="54" t="n">
        <v>0.47</v>
      </c>
      <c r="H42" s="54" t="n">
        <v>0.48</v>
      </c>
      <c r="I42" s="54" t="n">
        <v>0.49</v>
      </c>
      <c r="J42" s="54" t="n">
        <v>0.52</v>
      </c>
      <c r="K42" s="54" t="n">
        <v>0.54</v>
      </c>
    </row>
    <row r="43">
      <c r="B43" s="51" t="inlineStr"/>
      <c r="C43" s="51" t="inlineStr">
        <is>
          <t>βvx discontinuous</t>
        </is>
      </c>
      <c r="D43" s="54" t="n">
        <v>0</v>
      </c>
      <c r="E43" s="54" t="n">
        <v>0</v>
      </c>
      <c r="F43" s="54" t="n">
        <v>0</v>
      </c>
      <c r="G43" s="54" t="n">
        <v>0</v>
      </c>
      <c r="H43" s="54" t="n">
        <v>0</v>
      </c>
      <c r="I43" s="54" t="n">
        <v>0</v>
      </c>
      <c r="J43" s="54" t="n">
        <v>0</v>
      </c>
      <c r="K43" s="54" t="n">
        <v>0</v>
      </c>
    </row>
    <row r="44">
      <c r="B44" s="51" t="inlineStr"/>
      <c r="C44" s="51" t="inlineStr">
        <is>
          <t>βvy continuous</t>
        </is>
      </c>
      <c r="D44" s="54" t="n">
        <v>0</v>
      </c>
      <c r="E44" s="54" t="n">
        <v>0</v>
      </c>
      <c r="F44" s="54" t="n">
        <v>0</v>
      </c>
      <c r="G44" s="54" t="n">
        <v>0</v>
      </c>
      <c r="H44" s="54" t="n">
        <v>0</v>
      </c>
      <c r="I44" s="54" t="n">
        <v>0</v>
      </c>
      <c r="J44" s="54" t="n">
        <v>0</v>
      </c>
      <c r="K44" s="54" t="n">
        <v>0</v>
      </c>
    </row>
    <row r="45">
      <c r="B45" s="51" t="inlineStr"/>
      <c r="C45" s="51" t="inlineStr">
        <is>
          <t>βvy discontinuous</t>
        </is>
      </c>
      <c r="D45" s="54" t="n">
        <v>0.26</v>
      </c>
      <c r="E45" s="54" t="n">
        <v>0.26</v>
      </c>
      <c r="F45" s="54" t="n">
        <v>0.26</v>
      </c>
      <c r="G45" s="54" t="n">
        <v>0.26</v>
      </c>
      <c r="H45" s="54" t="n">
        <v>0.26</v>
      </c>
      <c r="I45" s="54" t="n">
        <v>0.26</v>
      </c>
      <c r="J45" s="54" t="n">
        <v>0.26</v>
      </c>
      <c r="K45" s="54" t="n">
        <v>0.26</v>
      </c>
    </row>
    <row r="46">
      <c r="B46" s="51" t="inlineStr">
        <is>
          <t>6  Two long edges discontinuous</t>
        </is>
      </c>
      <c r="C46" s="51" t="inlineStr">
        <is>
          <t>βvx continuous</t>
        </is>
      </c>
      <c r="D46" s="54" t="n">
        <v>0</v>
      </c>
      <c r="E46" s="54" t="n">
        <v>0</v>
      </c>
      <c r="F46" s="54" t="n">
        <v>0</v>
      </c>
      <c r="G46" s="54" t="n">
        <v>0</v>
      </c>
      <c r="H46" s="54" t="n">
        <v>0</v>
      </c>
      <c r="I46" s="54" t="n">
        <v>0</v>
      </c>
      <c r="J46" s="54" t="n">
        <v>0</v>
      </c>
      <c r="K46" s="54" t="n">
        <v>0</v>
      </c>
    </row>
    <row r="47">
      <c r="B47" s="51" t="inlineStr"/>
      <c r="C47" s="51" t="inlineStr">
        <is>
          <t>βvx discontinuous</t>
        </is>
      </c>
      <c r="D47" s="54" t="n">
        <v>0.26</v>
      </c>
      <c r="E47" s="54" t="n">
        <v>0.3</v>
      </c>
      <c r="F47" s="54" t="n">
        <v>0.33</v>
      </c>
      <c r="G47" s="54" t="n">
        <v>0.36</v>
      </c>
      <c r="H47" s="54" t="n">
        <v>0.38</v>
      </c>
      <c r="I47" s="54" t="n">
        <v>0.4</v>
      </c>
      <c r="J47" s="54" t="n">
        <v>0.44</v>
      </c>
      <c r="K47" s="54" t="n">
        <v>0.47</v>
      </c>
    </row>
    <row r="48">
      <c r="B48" s="51" t="inlineStr"/>
      <c r="C48" s="51" t="inlineStr">
        <is>
          <t>βvy continuous</t>
        </is>
      </c>
      <c r="D48" s="54" t="n">
        <v>0.4</v>
      </c>
      <c r="E48" s="54" t="n">
        <v>0.4</v>
      </c>
      <c r="F48" s="54" t="n">
        <v>0.4</v>
      </c>
      <c r="G48" s="54" t="n">
        <v>0.4</v>
      </c>
      <c r="H48" s="54" t="n">
        <v>0.4</v>
      </c>
      <c r="I48" s="54" t="n">
        <v>0.4</v>
      </c>
      <c r="J48" s="54" t="n">
        <v>0.4</v>
      </c>
      <c r="K48" s="54" t="n">
        <v>0.4</v>
      </c>
    </row>
    <row r="49">
      <c r="B49" s="51" t="inlineStr"/>
      <c r="C49" s="51" t="inlineStr">
        <is>
          <t>βvy discontinuous</t>
        </is>
      </c>
      <c r="D49" s="54" t="n">
        <v>0</v>
      </c>
      <c r="E49" s="54" t="n">
        <v>0</v>
      </c>
      <c r="F49" s="54" t="n">
        <v>0</v>
      </c>
      <c r="G49" s="54" t="n">
        <v>0</v>
      </c>
      <c r="H49" s="54" t="n">
        <v>0</v>
      </c>
      <c r="I49" s="54" t="n">
        <v>0</v>
      </c>
      <c r="J49" s="54" t="n">
        <v>0</v>
      </c>
      <c r="K49" s="54" t="n">
        <v>0</v>
      </c>
    </row>
    <row r="50">
      <c r="B50" s="51" t="inlineStr">
        <is>
          <t>7  Three edges discontinuous – one long continuous</t>
        </is>
      </c>
      <c r="C50" s="51" t="inlineStr">
        <is>
          <t>βvx continuous</t>
        </is>
      </c>
      <c r="D50" s="54" t="n">
        <v>0.45</v>
      </c>
      <c r="E50" s="54" t="n">
        <v>0.48</v>
      </c>
      <c r="F50" s="54" t="n">
        <v>0.51</v>
      </c>
      <c r="G50" s="54" t="n">
        <v>0.53</v>
      </c>
      <c r="H50" s="54" t="n">
        <v>0.55</v>
      </c>
      <c r="I50" s="54" t="n">
        <v>0.57</v>
      </c>
      <c r="J50" s="54" t="n">
        <v>0.6</v>
      </c>
      <c r="K50" s="54" t="n">
        <v>0.63</v>
      </c>
    </row>
    <row r="51">
      <c r="B51" s="51" t="inlineStr"/>
      <c r="C51" s="51" t="inlineStr">
        <is>
          <t>βvx discontinuous</t>
        </is>
      </c>
      <c r="D51" s="54" t="n">
        <v>0.3</v>
      </c>
      <c r="E51" s="54" t="n">
        <v>0.32</v>
      </c>
      <c r="F51" s="54" t="n">
        <v>0.34</v>
      </c>
      <c r="G51" s="54" t="n">
        <v>0.35</v>
      </c>
      <c r="H51" s="54" t="n">
        <v>0.36</v>
      </c>
      <c r="I51" s="54" t="n">
        <v>0.37</v>
      </c>
      <c r="J51" s="54" t="n">
        <v>0.39</v>
      </c>
      <c r="K51" s="54" t="n">
        <v>0.41</v>
      </c>
    </row>
    <row r="52">
      <c r="B52" s="51" t="inlineStr"/>
      <c r="C52" s="51" t="inlineStr">
        <is>
          <t>βvy continuous</t>
        </is>
      </c>
      <c r="D52" s="54" t="n">
        <v>0</v>
      </c>
      <c r="E52" s="54" t="n">
        <v>0</v>
      </c>
      <c r="F52" s="54" t="n">
        <v>0</v>
      </c>
      <c r="G52" s="54" t="n">
        <v>0</v>
      </c>
      <c r="H52" s="54" t="n">
        <v>0</v>
      </c>
      <c r="I52" s="54" t="n">
        <v>0</v>
      </c>
      <c r="J52" s="54" t="n">
        <v>0</v>
      </c>
      <c r="K52" s="54" t="n">
        <v>0</v>
      </c>
    </row>
    <row r="53">
      <c r="B53" s="51" t="inlineStr"/>
      <c r="C53" s="51" t="inlineStr">
        <is>
          <t>βvy discontinuous</t>
        </is>
      </c>
      <c r="D53" s="54" t="n">
        <v>0.29</v>
      </c>
      <c r="E53" s="54" t="n">
        <v>0.29</v>
      </c>
      <c r="F53" s="54" t="n">
        <v>0.29</v>
      </c>
      <c r="G53" s="54" t="n">
        <v>0.29</v>
      </c>
      <c r="H53" s="54" t="n">
        <v>0.29</v>
      </c>
      <c r="I53" s="54" t="n">
        <v>0.29</v>
      </c>
      <c r="J53" s="54" t="n">
        <v>0.29</v>
      </c>
      <c r="K53" s="54" t="n">
        <v>0.29</v>
      </c>
    </row>
    <row r="54">
      <c r="B54" s="51" t="inlineStr">
        <is>
          <t>8  Three edges discontinuous – one short continuous</t>
        </is>
      </c>
      <c r="C54" s="51" t="inlineStr">
        <is>
          <t>βvx continuous</t>
        </is>
      </c>
      <c r="D54" s="54" t="n">
        <v>0</v>
      </c>
      <c r="E54" s="54" t="n">
        <v>0</v>
      </c>
      <c r="F54" s="54" t="n">
        <v>0</v>
      </c>
      <c r="G54" s="54" t="n">
        <v>0</v>
      </c>
      <c r="H54" s="54" t="n">
        <v>0</v>
      </c>
      <c r="I54" s="54" t="n">
        <v>0</v>
      </c>
      <c r="J54" s="54" t="n">
        <v>0</v>
      </c>
      <c r="K54" s="54" t="n">
        <v>0</v>
      </c>
    </row>
    <row r="55">
      <c r="B55" s="51" t="inlineStr"/>
      <c r="C55" s="51" t="inlineStr">
        <is>
          <t>βvx discontinuous</t>
        </is>
      </c>
      <c r="D55" s="54" t="n">
        <v>0.29</v>
      </c>
      <c r="E55" s="54" t="n">
        <v>0.33</v>
      </c>
      <c r="F55" s="54" t="n">
        <v>0.36</v>
      </c>
      <c r="G55" s="54" t="n">
        <v>0.38</v>
      </c>
      <c r="H55" s="54" t="n">
        <v>0.4</v>
      </c>
      <c r="I55" s="54" t="n">
        <v>0.42</v>
      </c>
      <c r="J55" s="54" t="n">
        <v>0.45</v>
      </c>
      <c r="K55" s="54" t="n">
        <v>0.48</v>
      </c>
    </row>
    <row r="56">
      <c r="B56" s="51" t="inlineStr"/>
      <c r="C56" s="51" t="inlineStr">
        <is>
          <t>βvy continuous</t>
        </is>
      </c>
      <c r="D56" s="54" t="n">
        <v>0.45</v>
      </c>
      <c r="E56" s="54" t="n">
        <v>0.45</v>
      </c>
      <c r="F56" s="54" t="n">
        <v>0.45</v>
      </c>
      <c r="G56" s="54" t="n">
        <v>0.45</v>
      </c>
      <c r="H56" s="54" t="n">
        <v>0.45</v>
      </c>
      <c r="I56" s="54" t="n">
        <v>0.45</v>
      </c>
      <c r="J56" s="54" t="n">
        <v>0.45</v>
      </c>
      <c r="K56" s="54" t="n">
        <v>0.45</v>
      </c>
    </row>
    <row r="57">
      <c r="B57" s="51" t="inlineStr"/>
      <c r="C57" s="51" t="inlineStr">
        <is>
          <t>βvy discontinuous</t>
        </is>
      </c>
      <c r="D57" s="54" t="n">
        <v>0.3</v>
      </c>
      <c r="E57" s="54" t="n">
        <v>0.3</v>
      </c>
      <c r="F57" s="54" t="n">
        <v>0.3</v>
      </c>
      <c r="G57" s="54" t="n">
        <v>0.3</v>
      </c>
      <c r="H57" s="54" t="n">
        <v>0.3</v>
      </c>
      <c r="I57" s="54" t="n">
        <v>0.3</v>
      </c>
      <c r="J57" s="54" t="n">
        <v>0.3</v>
      </c>
      <c r="K57" s="54" t="n">
        <v>0.3</v>
      </c>
    </row>
    <row r="58">
      <c r="B58" s="51" t="inlineStr">
        <is>
          <t>9  Four edges discontinuous</t>
        </is>
      </c>
      <c r="C58" s="51" t="inlineStr">
        <is>
          <t>βvx continuous</t>
        </is>
      </c>
      <c r="D58" s="54" t="n">
        <v>0</v>
      </c>
      <c r="E58" s="54" t="n">
        <v>0</v>
      </c>
      <c r="F58" s="54" t="n">
        <v>0</v>
      </c>
      <c r="G58" s="54" t="n">
        <v>0</v>
      </c>
      <c r="H58" s="54" t="n">
        <v>0</v>
      </c>
      <c r="I58" s="54" t="n">
        <v>0</v>
      </c>
      <c r="J58" s="54" t="n">
        <v>0</v>
      </c>
      <c r="K58" s="54" t="n">
        <v>0</v>
      </c>
    </row>
    <row r="59">
      <c r="B59" s="51" t="inlineStr"/>
      <c r="C59" s="51" t="inlineStr">
        <is>
          <t>βvx discontinuous</t>
        </is>
      </c>
      <c r="D59" s="54" t="n">
        <v>0.33</v>
      </c>
      <c r="E59" s="54" t="n">
        <v>0.36</v>
      </c>
      <c r="F59" s="54" t="n">
        <v>0.39</v>
      </c>
      <c r="G59" s="54" t="n">
        <v>0.41</v>
      </c>
      <c r="H59" s="54" t="n">
        <v>0.43</v>
      </c>
      <c r="I59" s="54" t="n">
        <v>0.45</v>
      </c>
      <c r="J59" s="54" t="n">
        <v>0.48</v>
      </c>
      <c r="K59" s="54" t="n">
        <v>0.5</v>
      </c>
    </row>
    <row r="60">
      <c r="B60" s="51" t="inlineStr"/>
      <c r="C60" s="51" t="inlineStr">
        <is>
          <t>βvy continuous</t>
        </is>
      </c>
      <c r="D60" s="54" t="n">
        <v>0</v>
      </c>
      <c r="E60" s="54" t="n">
        <v>0</v>
      </c>
      <c r="F60" s="54" t="n">
        <v>0</v>
      </c>
      <c r="G60" s="54" t="n">
        <v>0</v>
      </c>
      <c r="H60" s="54" t="n">
        <v>0</v>
      </c>
      <c r="I60" s="54" t="n">
        <v>0</v>
      </c>
      <c r="J60" s="54" t="n">
        <v>0</v>
      </c>
      <c r="K60" s="54" t="n">
        <v>0</v>
      </c>
    </row>
    <row r="61">
      <c r="B61" s="51" t="inlineStr"/>
      <c r="C61" s="51" t="inlineStr">
        <is>
          <t>βvy discontinuous</t>
        </is>
      </c>
      <c r="D61" s="54" t="n">
        <v>0.33</v>
      </c>
      <c r="E61" s="54" t="n">
        <v>0.33</v>
      </c>
      <c r="F61" s="54" t="n">
        <v>0.33</v>
      </c>
      <c r="G61" s="54" t="n">
        <v>0.33</v>
      </c>
      <c r="H61" s="54" t="n">
        <v>0.33</v>
      </c>
      <c r="I61" s="54" t="n">
        <v>0.33</v>
      </c>
      <c r="J61" s="54" t="n">
        <v>0.33</v>
      </c>
      <c r="K61" s="54" t="n">
        <v>0.33</v>
      </c>
    </row>
    <row r="63">
      <c r="B63" s="47" t="inlineStr">
        <is>
          <t>Coefficients apply to panels with corners prevented from lifting and torsion reinforcement at the corners, under uniform load, with 1 ≤ ly / lx ≤ 2; '–' means no such edge.</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&amp;K8A8A8ANAE-RC-013  v1.0</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5"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6" t="inlineStr">
        <is>
          <t>Parameter</t>
        </is>
      </c>
      <c r="C5" s="56" t="inlineStr">
        <is>
          <t>Clause</t>
        </is>
      </c>
      <c r="D5" s="56" t="inlineStr">
        <is>
          <t>UK NA</t>
        </is>
      </c>
      <c r="E5" s="56" t="inlineStr">
        <is>
          <t>PL NA</t>
        </is>
      </c>
      <c r="F5" s="56" t="inlineStr">
        <is>
          <t>Notes</t>
        </is>
      </c>
    </row>
    <row r="6">
      <c r="B6" s="57" t="inlineStr">
        <is>
          <t>Partial factor, concrete  γc</t>
        </is>
      </c>
      <c r="C6" s="58" t="inlineStr">
        <is>
          <t>2.4.2.4(1)</t>
        </is>
      </c>
      <c r="D6" s="59" t="n">
        <v>1.5</v>
      </c>
      <c r="E6" s="59" t="n">
        <v>1.4</v>
      </c>
      <c r="F6" s="58" t="inlineStr">
        <is>
          <t>Persistent &amp; transient. UK NA: recommended; PL: NA.2, Table NA.2</t>
        </is>
      </c>
    </row>
    <row r="7">
      <c r="B7" s="57" t="inlineStr">
        <is>
          <t>Partial factor, reinforcement  γs</t>
        </is>
      </c>
      <c r="C7" s="58" t="inlineStr">
        <is>
          <t>2.4.2.4(1)</t>
        </is>
      </c>
      <c r="D7" s="59" t="n">
        <v>1.15</v>
      </c>
      <c r="E7" s="59" t="n">
        <v>1.15</v>
      </c>
      <c r="F7" s="58" t="inlineStr">
        <is>
          <t>UK NA: recommended; PL: NA.2, Table NA.2</t>
        </is>
      </c>
    </row>
    <row r="8">
      <c r="B8" s="57" t="inlineStr">
        <is>
          <t>αcc  (compression in flexure / axial)</t>
        </is>
      </c>
      <c r="C8" s="58" t="inlineStr">
        <is>
          <t>3.1.6(1)</t>
        </is>
      </c>
      <c r="D8" s="59" t="n">
        <v>0.85</v>
      </c>
      <c r="E8" s="59" t="n">
        <v>1</v>
      </c>
      <c r="F8" s="58" t="inlineStr">
        <is>
          <t>UK NA: 0.85; PL: recommended (NA.9)</t>
        </is>
      </c>
    </row>
    <row r="9">
      <c r="B9" s="57" t="inlineStr">
        <is>
          <t>αcc,pl  (plain concrete, compression)</t>
        </is>
      </c>
      <c r="C9" s="58" t="inlineStr">
        <is>
          <t>12.3.1(1)</t>
        </is>
      </c>
      <c r="D9" s="59" t="n">
        <v>0.6</v>
      </c>
      <c r="E9" s="59" t="n">
        <v>0.8</v>
      </c>
      <c r="F9" s="58" t="inlineStr">
        <is>
          <t>UK NA Table NA.1: 0.6; PL: recommended (NA.9)</t>
        </is>
      </c>
    </row>
    <row r="10">
      <c r="B10" s="57" t="inlineStr">
        <is>
          <t>αcc  (shear and punching)</t>
        </is>
      </c>
      <c r="C10" s="58" t="inlineStr">
        <is>
          <t>3.1.6(1)</t>
        </is>
      </c>
      <c r="D10" s="59" t="n">
        <v>1</v>
      </c>
      <c r="E10" s="59" t="n">
        <v>1</v>
      </c>
      <c r="F10" s="58" t="inlineStr">
        <is>
          <t>UK NA: 1.0 for other phenomena; PL: recommended (NA.9)</t>
        </is>
      </c>
    </row>
    <row r="11">
      <c r="B11" s="57" t="inlineStr">
        <is>
          <t>αct  (design tensile strength)</t>
        </is>
      </c>
      <c r="C11" s="58" t="inlineStr">
        <is>
          <t>3.1.6(2)</t>
        </is>
      </c>
      <c r="D11" s="59" t="n">
        <v>1</v>
      </c>
      <c r="E11" s="59" t="n">
        <v>1</v>
      </c>
      <c r="F11" s="58" t="inlineStr">
        <is>
          <t>Recommended value in both annexes</t>
        </is>
      </c>
    </row>
    <row r="12">
      <c r="B12" s="57" t="inlineStr">
        <is>
          <t>CRd,c numerator  (CRd,c = value / γc)</t>
        </is>
      </c>
      <c r="C12" s="58" t="inlineStr">
        <is>
          <t>6.2.2(1), 6.4.4(1)</t>
        </is>
      </c>
      <c r="D12" s="59" t="n">
        <v>0.18</v>
      </c>
      <c r="E12" s="59" t="n">
        <v>0.18</v>
      </c>
      <c r="F12" s="58" t="inlineStr">
        <is>
          <t>Recommended value in both annexes</t>
        </is>
      </c>
    </row>
    <row r="13">
      <c r="B13" s="57" t="inlineStr">
        <is>
          <t>k1  (axial stress term, punching)</t>
        </is>
      </c>
      <c r="C13" s="58" t="inlineStr">
        <is>
          <t>6.4.4(1)</t>
        </is>
      </c>
      <c r="D13" s="59" t="n">
        <v>0.1</v>
      </c>
      <c r="E13" s="59" t="n">
        <v>0.1</v>
      </c>
      <c r="F13" s="58" t="inlineStr">
        <is>
          <t>Recommended value in both annexes</t>
        </is>
      </c>
    </row>
    <row r="14">
      <c r="B14" s="57" t="inlineStr">
        <is>
          <t>vRd,max factor  (vRd,max = factor · ν · fcd)</t>
        </is>
      </c>
      <c r="C14" s="58" t="inlineStr">
        <is>
          <t>6.4.5(3)</t>
        </is>
      </c>
      <c r="D14" s="59" t="n">
        <v>0.5</v>
      </c>
      <c r="E14" s="59" t="n">
        <v>0.4</v>
      </c>
      <c r="F14" s="58" t="inlineStr">
        <is>
          <t>UK NA: 0.5 ν fcd; PL: recommended value (NA.9), 0.4 ν fcd since EN 1992-1-1 AC:2010 (PN-EN 1992-1-1:2008/AC:2011)</t>
        </is>
      </c>
    </row>
    <row r="15">
      <c r="B15" s="57" t="inlineStr">
        <is>
          <t>kmax  (vEd ≤ kmax · vRd,c at u1)</t>
        </is>
      </c>
      <c r="C15" s="58" t="inlineStr">
        <is>
          <t>6.4.5</t>
        </is>
      </c>
      <c r="D15" s="59" t="n">
        <v>2</v>
      </c>
      <c r="E15" s="59" t="n">
        <v>1.5</v>
      </c>
      <c r="F15" s="58" t="inlineStr">
        <is>
          <t>UK NA 6.4.5(3): 2 vRd,c. PL: no limit in PN-EN 1992-1-1:2008; 1.5 (A1:2014 recommendation) applied conservatively</t>
        </is>
      </c>
    </row>
    <row r="16">
      <c r="B16" s="57" t="inlineStr">
        <is>
          <t>φlarge  (large bar threshold, mm)</t>
        </is>
      </c>
      <c r="C16" s="58" t="inlineStr">
        <is>
          <t>8.8(1)</t>
        </is>
      </c>
      <c r="D16" s="59" t="n">
        <v>40</v>
      </c>
      <c r="E16" s="59" t="n">
        <v>32</v>
      </c>
      <c r="F16" s="58" t="inlineStr">
        <is>
          <t>UK NA: 40 mm; PL: 32 mm recommended (NA.9)</t>
        </is>
      </c>
    </row>
    <row r="17">
      <c r="B17" s="57" t="inlineStr">
        <is>
          <t>cot θ upper limit  (variable strut)</t>
        </is>
      </c>
      <c r="C17" s="58" t="inlineStr">
        <is>
          <t>6.2.3(2)</t>
        </is>
      </c>
      <c r="D17" s="59" t="n">
        <v>2.5</v>
      </c>
      <c r="E17" s="59" t="n">
        <v>2</v>
      </c>
      <c r="F17" s="58" t="inlineStr">
        <is>
          <t>UK NA: 2.5 (1.25 with axial tension); PL: NA.4, 1 ≤ cot θ ≤ 2.0</t>
        </is>
      </c>
    </row>
    <row r="18">
      <c r="B18" s="57" t="inlineStr">
        <is>
          <t>k1  (x/d limit, δ ≥ k1 + k2 xu/d)</t>
        </is>
      </c>
      <c r="C18" s="58" t="inlineStr">
        <is>
          <t>5.5(4)</t>
        </is>
      </c>
      <c r="D18" s="59" t="n">
        <v>0.4</v>
      </c>
      <c r="E18" s="59" t="n">
        <v>0.44</v>
      </c>
      <c r="F18" s="58" t="inlineStr">
        <is>
          <t>UK NA for fyk ≤ 500 MPa; PL: recommended (NA.9)</t>
        </is>
      </c>
    </row>
    <row r="19">
      <c r="B19" s="57" t="inlineStr">
        <is>
          <t>k2  (x/d limit, εcu2 = 0.0035)</t>
        </is>
      </c>
      <c r="C19" s="58" t="inlineStr">
        <is>
          <t>5.5(4)</t>
        </is>
      </c>
      <c r="D19" s="59" t="n">
        <v>1</v>
      </c>
      <c r="E19" s="59" t="n">
        <v>1.25</v>
      </c>
      <c r="F19" s="58" t="inlineStr">
        <is>
          <t>UK NA: 0.6 + 0.0014/εcu2; PL: 1.25(0.6 + 0.0014/εcu2)</t>
        </is>
      </c>
    </row>
    <row r="20">
      <c r="B20" s="57" t="inlineStr">
        <is>
          <t>Upper limit on the (310/σs) factor  (0 = none)</t>
        </is>
      </c>
      <c r="C20" s="58" t="inlineStr">
        <is>
          <t>7.4.2(2)</t>
        </is>
      </c>
      <c r="D20" s="59" t="n">
        <v>1.5</v>
      </c>
      <c r="E20" s="59" t="n">
        <v>0</v>
      </c>
      <c r="F20" s="58" t="inlineStr">
        <is>
          <t>UK NA Table NA.5 Note 5: (310/σs) or (500/fyk)(As,prov/As,req) ≤ 1.5; PL: none</t>
        </is>
      </c>
    </row>
    <row r="21">
      <c r="B21" s="57" t="inlineStr">
        <is>
          <t>L/d not to exceed 40 K  (1 = applies)</t>
        </is>
      </c>
      <c r="C21" s="58" t="inlineStr">
        <is>
          <t>7.4.2(2)</t>
        </is>
      </c>
      <c r="D21" s="59" t="n">
        <v>1</v>
      </c>
      <c r="E21" s="59" t="n">
        <v>0</v>
      </c>
      <c r="F21" s="58" t="inlineStr">
        <is>
          <t>UK NA Table NA.5 Note 6; not in EN text</t>
        </is>
      </c>
    </row>
    <row r="22">
      <c r="B22" s="57" t="inlineStr">
        <is>
          <t>φmin  (longitudinal bars in columns, mm)</t>
        </is>
      </c>
      <c r="C22" s="58" t="inlineStr">
        <is>
          <t>9.5.2(1)</t>
        </is>
      </c>
      <c r="D22" s="59" t="n">
        <v>12</v>
      </c>
      <c r="E22" s="59" t="n">
        <v>6</v>
      </c>
      <c r="F22" s="58" t="inlineStr">
        <is>
          <t>UK NA: 12 mm; PL: NA.6, 6 mm</t>
        </is>
      </c>
    </row>
    <row r="23">
      <c r="B23" s="57" t="inlineStr">
        <is>
          <t>k3  (crack spacing)</t>
        </is>
      </c>
      <c r="C23" s="58" t="inlineStr">
        <is>
          <t>7.3.4(3)</t>
        </is>
      </c>
      <c r="D23" s="59" t="n">
        <v>3.4</v>
      </c>
      <c r="E23" s="59" t="n">
        <v>3.4</v>
      </c>
      <c r="F23" s="58" t="inlineStr">
        <is>
          <t>Recommended value in both annexes</t>
        </is>
      </c>
    </row>
    <row r="24">
      <c r="B24" s="57" t="inlineStr">
        <is>
          <t>k4  (crack spacing)</t>
        </is>
      </c>
      <c r="C24" s="58" t="inlineStr">
        <is>
          <t>7.3.4(3)</t>
        </is>
      </c>
      <c r="D24" s="59" t="n">
        <v>0.425</v>
      </c>
      <c r="E24" s="59" t="n">
        <v>0.425</v>
      </c>
      <c r="F24" s="58" t="inlineStr">
        <is>
          <t>Recommended value in both annexes</t>
        </is>
      </c>
    </row>
    <row r="25">
      <c r="B25" s="57" t="inlineStr">
        <is>
          <t>k1  (concrete stress, characteristic; XD, XF, XS)</t>
        </is>
      </c>
      <c r="C25" s="58" t="inlineStr">
        <is>
          <t>7.2(2)</t>
        </is>
      </c>
      <c r="D25" s="59" t="n">
        <v>0.6</v>
      </c>
      <c r="E25" s="59" t="n">
        <v>1</v>
      </c>
      <c r="F25" s="58" t="inlineStr">
        <is>
          <t>UK NA: recommended; PL: NA.5, k1 = 1.0</t>
        </is>
      </c>
    </row>
    <row r="26">
      <c r="B26" s="57" t="inlineStr">
        <is>
          <t>k2  (concrete stress, quasi-permanent; linear creep)</t>
        </is>
      </c>
      <c r="C26" s="58" t="inlineStr">
        <is>
          <t>7.2(3)</t>
        </is>
      </c>
      <c r="D26" s="59" t="n">
        <v>0.45</v>
      </c>
      <c r="E26" s="59" t="n">
        <v>0.45</v>
      </c>
      <c r="F26" s="58" t="inlineStr">
        <is>
          <t>Recommended value in both annexes (UK NA; PL NA.9)</t>
        </is>
      </c>
    </row>
    <row r="27">
      <c r="B27" s="57" t="inlineStr">
        <is>
          <t>k3  (steel stress, characteristic)</t>
        </is>
      </c>
      <c r="C27" s="58" t="inlineStr">
        <is>
          <t>7.2(5)</t>
        </is>
      </c>
      <c r="D27" s="59" t="n">
        <v>0.8</v>
      </c>
      <c r="E27" s="59" t="n">
        <v>0.8</v>
      </c>
      <c r="F27" s="58" t="inlineStr">
        <is>
          <t>Recommended value in both annexes (UK NA; PL NA.9)</t>
        </is>
      </c>
    </row>
    <row r="28">
      <c r="B28" s="57" t="inlineStr">
        <is>
          <t>k4  (steel stress, imposed deformation)</t>
        </is>
      </c>
      <c r="C28" s="58" t="inlineStr">
        <is>
          <t>7.2(5)</t>
        </is>
      </c>
      <c r="D28" s="59" t="n">
        <v>1</v>
      </c>
      <c r="E28" s="59" t="n">
        <v>1</v>
      </c>
      <c r="F28" s="58"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&amp;K8A8A8ANAE-RC-013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NAE-RC-013 Two-way slab</dc:title>
  <dc:subject xmlns:dc="http://purl.org/dc/elements/1.1/">Solid slabs on four supports  ·  coefficient method  ·  EN 1992-1-1 §6.1, §6.2, §7.4, §9.3  ·  UK NA / PN-EN</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