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d_g">'Calculation'!$E$14</definedName>
    <definedName name="system">'Calculation'!$E$15</definedName>
    <definedName name="coef_conf">'Calculation'!$E$16</definedName>
    <definedName name="L_sl">'Calculation'!$E$17</definedName>
    <definedName name="h_sl">'Calculation'!$E$18</definedName>
    <definedName name="c_nom">'Calculation'!$E$19</definedName>
    <definedName name="phi_b">'Calculation'!$E$20</definedName>
    <definedName name="s_b">'Calculation'!$E$21</definedName>
    <definedName name="phi_t">'Calculation'!$E$22</definedName>
    <definedName name="s_tp">'Calculation'!$E$23</definedName>
    <definedName name="phi_d">'Calculation'!$E$24</definedName>
    <definedName name="s_d">'Calculation'!$E$25</definedName>
    <definedName name="gk_sl">'Calculation'!$E$28</definedName>
    <definedName name="qk_sl">'Calculation'!$E$29</definedName>
    <definedName name="gamma_G">'Calculation'!$E$30</definedName>
    <definedName name="gamma_Q">'Calculation'!$E$31</definedName>
    <definedName name="partitions">'Calculation'!$E$32</definedName>
    <definedName name="inputs_ok">IFERROR(AND(OR(NA_sel="UK NA (BS EN)",NA_sel="PL NA (PN-EN)"),OR(conc_class="C20/25",conc_class="C25/30",conc_class="C28/35",conc_class="C30/37",conc_class="C32/40",conc_class="C35/45",conc_class="C40/50",conc_class="C45/55",conc_class="C50/60"),ISNUMBER(f_yk),f_yk&gt;0,ISNUMBER(d_g),d_g&gt;0,OR(system="Simply supported",system="End span – pinned end",system="End span – continuous end",system="Interior span next to an end span",system="Interior span",system="Cantilever",system="Interior span between two end spans"),OR(coef_conf="Yes",coef_conf="No"),ISNUMBER(L_sl),L_sl&gt;0,ISNUMBER(h_sl),h_sl&gt;0,ISNUMBER(c_nom),c_nom&gt;0,OR(AND(ISNUMBER(phi_b),phi_b=8),AND(ISNUMBER(phi_b),phi_b=10),AND(ISNUMBER(phi_b),phi_b=12),AND(ISNUMBER(phi_b),phi_b=16),AND(ISNUMBER(phi_b),phi_b=20),AND(ISNUMBER(phi_b),phi_b=25),AND(ISNUMBER(phi_b),phi_b=32),AND(ISNUMBER(phi_b),phi_b=40)),ISNUMBER(s_b),s_b&gt;0,OR(AND(ISNUMBER(phi_t),phi_t=8),AND(ISNUMBER(phi_t),phi_t=10),AND(ISNUMBER(phi_t),phi_t=12),AND(ISNUMBER(phi_t),phi_t=16),AND(ISNUMBER(phi_t),phi_t=20),AND(ISNUMBER(phi_t),phi_t=25),AND(ISNUMBER(phi_t),phi_t=32),AND(ISNUMBER(phi_t),phi_t=40)),ISNUMBER(s_tp),s_tp&gt;0,OR(AND(ISNUMBER(phi_d),phi_d=8),AND(ISNUMBER(phi_d),phi_d=10),AND(ISNUMBER(phi_d),phi_d=12),AND(ISNUMBER(phi_d),phi_d=16),AND(ISNUMBER(phi_d),phi_d=20),AND(ISNUMBER(phi_d),phi_d=25),AND(ISNUMBER(phi_d),phi_d=32),AND(ISNUMBER(phi_d),phi_d=40)),ISNUMBER(s_d),s_d&gt;0,ISNUMBER(gk_sl),gk_sl&gt;=0,ISNUMBER(qk_sl),qk_sl&gt;=0,ISNUMBER(gamma_G),gamma_G&gt;0,ISNUMBER(gamma_Q),gamma_Q&gt;0,OR(partitions="No",partitions="Yes"),AND(f_yk&gt;=400,f_yk&lt;=500,h_sl&gt;2*c_nom+phi_b+phi_t+2*phi_d,s_b&gt;=50,s_tp&gt;=50,s_d&gt;=50)),FALSE)</definedName>
    <definedName name="input_status">'Calculation'!$G$33</definedName>
    <definedName name="sys_i">MATCH(system,{"Simply supported","End span – pinned end","End span – continuous end","Interior span next to an end span","Interior span","Cantilever","Interior span between two end spans"},0)</definedName>
    <definedName name="cont">CHOOSE(sys_i,0,1,1,1,1,0,1)=1</definedName>
    <definedName name="coef_ok">OR(NOT(cont),AND(coef_conf="Yes",qk_sl&lt;=1.25*(gk_sl+g_sw),qk_sl&lt;=5))</definedName>
    <definedName name="span_ok">IFERROR(AND(Asp_sp&gt;=MAX(Asr_sp,As_minb),s_b&lt;=s_maxm),FALSE)</definedName>
    <definedName name="span_status">'Calculation'!$G$74</definedName>
    <definedName name="sup_ok">IFERROR(IF(M_su&gt;0,AND(Asp_su&gt;=MAX(Asr_su,As_mint),OR(NOT(cont),xd_su&lt;=xi_sl),s_tp&lt;=s_maxm),AND(Asp_su&gt;=0.25*Asr_sp,s_tp&lt;=s_maxd)),FALSE)</definedName>
    <definedName name="support_status">'Calculation'!$G$75</definedName>
    <definedName name="shear_status">'Calculation'!$G$76</definedName>
    <definedName name="defl_status">'Calculation'!$G$77</definedName>
    <definedName name="gap_vsl">h_sl-2*c_nom-phi_b-phi_t-2*phi_d</definedName>
    <definedName name="det_sl">AND(gap_vsl&gt;=MAX(phi_b,phi_t,phi_d,d_g+5,20),Asp_sp&lt;=As_maxsl,Asp_su&lt;=As_maxsl,s_d&lt;=s_maxd,Asp_d&gt;=0.2*Asp_main,s_b-phi_b&gt;=gap_sl,s_tp-phi_t&gt;=gap_sl,s_d-phi_d&gt;=gap_d)</definedName>
    <definedName name="det_status">'Calculation'!$G$78</definedName>
    <definedName name="coef_status">'Calculation'!$G$79</definedName>
    <definedName name="gamma_c">'Calculation'!$E$83</definedName>
    <definedName name="gamma_s">'Calculation'!$E$84</definedName>
    <definedName name="alpha_cc">'Calculation'!$E$85</definedName>
    <definedName name="C_Rdc">'Calculation'!$E$86</definedName>
    <definedName name="k1_red">'Calculation'!$E$87</definedName>
    <definedName name="k2_red">'Calculation'!$E$88</definedName>
    <definedName name="ld_mod_max">'Calculation'!$E$89</definedName>
    <definedName name="ld_cap_40K">'Calculation'!$E$90</definedName>
    <definedName name="f_ck">'Calculation'!$E$91</definedName>
    <definedName name="f_ctm">'Calculation'!$E$92</definedName>
    <definedName name="f_cd">'Calculation'!$E$93</definedName>
    <definedName name="f_yd">'Calculation'!$E$94</definedName>
    <definedName name="g_sw">'Calculation'!$E$95</definedName>
    <definedName name="n_sl">'Calculation'!$E$96</definedName>
    <definedName name="F_sl">'Calculation'!$E$97</definedName>
    <definedName name="M_sp">'Calculation'!$E$98</definedName>
    <definedName name="M_lt">'Calculation'!$E$99</definedName>
    <definedName name="M_rt">'Calculation'!$E$100</definedName>
    <definedName name="M_su">MAX(M_lt,M_rt)</definedName>
    <definedName name="V_lt">'Calculation'!$E$101</definedName>
    <definedName name="V_rt">'Calculation'!$E$102</definedName>
    <definedName name="delta_sl">'Calculation'!$E$105</definedName>
    <definedName name="xi_sl">'Calculation'!$E$106</definedName>
    <definedName name="K_sl">'Calculation'!$E$107</definedName>
    <definedName name="d_b">'Calculation'!$E$108</definedName>
    <definedName name="d_t">'Calculation'!$E$109</definedName>
    <definedName name="As_maxsl">'Calculation'!$E$110</definedName>
    <definedName name="K_sp">'Calculation'!$E$111</definedName>
    <definedName name="z_sp">'Calculation'!$E$112</definedName>
    <definedName name="Asr_sp">'Calculation'!$E$113</definedName>
    <definedName name="As_minb">'Calculation'!$E$114</definedName>
    <definedName name="Asp_sp">'Calculation'!$E$115</definedName>
    <definedName name="xd_sp">'Calculation'!$E$116</definedName>
    <definedName name="K_su">'Calculation'!$E$117</definedName>
    <definedName name="z_su">'Calculation'!$E$118</definedName>
    <definedName name="Asr_su">'Calculation'!$E$119</definedName>
    <definedName name="As_mint">'Calculation'!$E$120</definedName>
    <definedName name="Asp_su">'Calculation'!$E$121</definedName>
    <definedName name="xd_su">'Calculation'!$E$122</definedName>
    <definedName name="chk_span">'Calculation'!$G$123</definedName>
    <definedName name="chk_sup">'Calculation'!$G$124</definedName>
    <definedName name="d_vlt">IF(CHOOSE(sys_i,0,0,1,1,1,1,1)=1,d_t,d_b)</definedName>
    <definedName name="rho_lt">'Calculation'!$E$127</definedName>
    <definedName name="VRc_lt">'Calculation'!$E$128</definedName>
    <definedName name="d_vrt">IF(CHOOSE(sys_i,0,1,1,1,1,1,1)=1,d_t,d_b)</definedName>
    <definedName name="rho_rt">'Calculation'!$E$129</definedName>
    <definedName name="VRc_rt">'Calculation'!$E$130</definedName>
    <definedName name="v_ut">'Calculation'!$E$131</definedName>
    <definedName name="rho_d">'Calculation'!$E$132</definedName>
    <definedName name="rho_0">'Calculation'!$E$133</definedName>
    <definedName name="K_d">'Calculation'!$E$134</definedName>
    <definedName name="ld_bas">'Calculation'!$E$135</definedName>
    <definedName name="F3_sl">'Calculation'!$E$136</definedName>
    <definedName name="F2_sl">'Calculation'!$E$137</definedName>
    <definedName name="ld_lim">'Calculation'!$E$138</definedName>
    <definedName name="ld_act">'Calculation'!$E$139</definedName>
    <definedName name="chk_defl">'Calculation'!$G$140</definedName>
    <definedName name="s_maxm">'Calculation'!$E$143</definedName>
    <definedName name="s_maxd">'Calculation'!$E$144</definedName>
    <definedName name="gap_sl">'Calculation'!$E$145</definedName>
    <definedName name="gap_d">'Calculation'!$E$146</definedName>
    <definedName name="Asp_main">'Calculation'!$E$147</definedName>
    <definedName name="Asp_d">'Calculation'!$E$148</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'Calculation'!$A$1:$H$157</definedName>
    <definedName name="_xlnm.Print_Area" localSheetId="3">'NDP'!$A$1:$G$29</definedName>
  </definedNames>
  <calcPr calcId="124519" fullCalcOnLoad="1"/>
</workbook>
</file>

<file path=xl/styles.xml><?xml version="1.0" encoding="utf-8"?>
<styleSheet xmlns="http://schemas.openxmlformats.org/spreadsheetml/2006/main">
  <numFmts count="5">
    <numFmt numFmtId="164" formatCode="dd mmm yyyy"/>
    <numFmt numFmtId="165" formatCode="0.000"/>
    <numFmt numFmtId="166" formatCode="0.0"/>
    <numFmt numFmtId="167" formatCode="0.0000"/>
    <numFmt numFmtId="168" formatCode="0.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family val="2"/>
      <i val="1"/>
      <color rgb="008A8A8A"/>
      <sz val="9"/>
      <scheme val="minor"/>
    </font>
    <font>
      <name val="Calibri"/>
      <color rgb="002B2B2B"/>
      <sz val="11"/>
    </font>
    <font>
      <name val="Calibri"/>
      <b val="1"/>
      <color rgb="002B2B2B"/>
      <sz val="15"/>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1">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15" fillId="0" borderId="0" pivotButton="0" quotePrefix="0" xfId="0"/>
    <xf numFmtId="0" fontId="0" fillId="4" borderId="0" pivotButton="0" quotePrefix="0" xfId="0"/>
    <xf numFmtId="0" fontId="16" fillId="4" borderId="0" applyAlignment="1" pivotButton="0" quotePrefix="0" xfId="0">
      <alignment vertical="center"/>
    </xf>
    <xf numFmtId="2"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1" fontId="17" fillId="4" borderId="0" applyAlignment="1" pivotButton="0" quotePrefix="0" xfId="0">
      <alignment horizontal="center" vertical="center"/>
    </xf>
    <xf numFmtId="0" fontId="18" fillId="0" borderId="0" applyAlignment="1" pivotButton="0" quotePrefix="0" xfId="0">
      <alignment vertical="top" wrapText="1"/>
    </xf>
    <xf numFmtId="2" fontId="5" fillId="0" borderId="1" applyAlignment="1" pivotButton="0" quotePrefix="0" xfId="0">
      <alignment horizontal="center" vertical="center"/>
    </xf>
    <xf numFmtId="165" fontId="5" fillId="0" borderId="1" applyAlignment="1" pivotButton="0" quotePrefix="0" xfId="0">
      <alignment horizontal="center" vertical="center"/>
    </xf>
    <xf numFmtId="1" fontId="5" fillId="0" borderId="1" applyAlignment="1" pivotButton="0" quotePrefix="0" xfId="0">
      <alignment horizontal="center" vertical="center"/>
    </xf>
    <xf numFmtId="166" fontId="5" fillId="0" borderId="1" applyAlignment="1" pivotButton="0" quotePrefix="0" xfId="0">
      <alignment horizontal="center" vertical="center"/>
    </xf>
    <xf numFmtId="166" fontId="12" fillId="0" borderId="1" applyAlignment="1" pivotButton="0" quotePrefix="0" xfId="0">
      <alignment horizontal="center" vertical="center"/>
    </xf>
    <xf numFmtId="167" fontId="5" fillId="0" borderId="1" applyAlignment="1" pivotButton="0" quotePrefix="0" xfId="0">
      <alignment horizontal="center" vertical="center"/>
    </xf>
    <xf numFmtId="168" fontId="5" fillId="0" borderId="1" applyAlignment="1" pivotButton="0" quotePrefix="0" xfId="0">
      <alignment horizontal="center" vertical="center"/>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v>slab</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'Geometry'!$A$3:$A$7</f>
            </numRef>
          </xVal>
          <yVal>
            <numRef>
              <f>'Geometry'!$B$3:$B$7</f>
            </numRef>
          </yVal>
          <smooth val="0"/>
        </ser>
        <ser>
          <idx val="1"/>
          <order val="1"/>
          <tx>
            <v>left support</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'Geometry'!$D$3:$D$6</f>
            </numRef>
          </xVal>
          <yVal>
            <numRef>
              <f>'Geometry'!$E$3:$E$6</f>
            </numRef>
          </yVal>
          <smooth val="0"/>
        </ser>
        <ser>
          <idx val="2"/>
          <order val="2"/>
          <tx>
            <v>right support</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'Geometry'!$G$3:$G$6</f>
            </numRef>
          </xVal>
          <yVal>
            <numRef>
              <f>'Geometry'!$H$3:$H$6</f>
            </numRef>
          </yVal>
          <smooth val="0"/>
        </ser>
        <ser>
          <idx val="3"/>
          <order val="3"/>
          <tx>
            <v>wall</v>
          </tx>
          <spPr>
            <a:ln xmlns:a="http://schemas.openxmlformats.org/drawingml/2006/main" w="50800">
              <a:solidFill>
                <a:srgbClr val="2B2B2B"/>
              </a:solidFill>
              <a:prstDash val="solid"/>
            </a:ln>
          </spPr>
          <marker>
            <symbol val="none"/>
            <spPr>
              <a:ln xmlns:a="http://schemas.openxmlformats.org/drawingml/2006/main">
                <a:prstDash val="solid"/>
              </a:ln>
            </spPr>
          </marker>
          <xVal>
            <numRef>
              <f>'Geometry'!$J$3:$J$4</f>
            </numRef>
          </xVal>
          <yVal>
            <numRef>
              <f>'Geometry'!$K$3:$K$4</f>
            </numRef>
          </yVal>
          <smooth val="0"/>
        </ser>
        <ser>
          <idx val="4"/>
          <order val="4"/>
          <tx>
            <v>continuity left</v>
          </tx>
          <spPr>
            <a:ln xmlns:a="http://schemas.openxmlformats.org/drawingml/2006/main" w="12700">
              <a:solidFill>
                <a:srgbClr val="9A9A9A"/>
              </a:solidFill>
              <a:prstDash val="dash"/>
            </a:ln>
          </spPr>
          <marker>
            <symbol val="none"/>
            <spPr>
              <a:ln xmlns:a="http://schemas.openxmlformats.org/drawingml/2006/main">
                <a:prstDash val="solid"/>
              </a:ln>
            </spPr>
          </marker>
          <xVal>
            <numRef>
              <f>'Geometry'!$M$3:$M$4</f>
            </numRef>
          </xVal>
          <yVal>
            <numRef>
              <f>'Geometry'!$N$3:$N$4</f>
            </numRef>
          </yVal>
          <smooth val="0"/>
        </ser>
        <ser>
          <idx val="5"/>
          <order val="5"/>
          <tx>
            <v>continuity right</v>
          </tx>
          <spPr>
            <a:ln xmlns:a="http://schemas.openxmlformats.org/drawingml/2006/main" w="12700">
              <a:solidFill>
                <a:srgbClr val="9A9A9A"/>
              </a:solidFill>
              <a:prstDash val="dash"/>
            </a:ln>
          </spPr>
          <marker>
            <symbol val="none"/>
            <spPr>
              <a:ln xmlns:a="http://schemas.openxmlformats.org/drawingml/2006/main">
                <a:prstDash val="solid"/>
              </a:ln>
            </spPr>
          </marker>
          <xVal>
            <numRef>
              <f>'Geometry'!$P$3:$P$4</f>
            </numRef>
          </xVal>
          <yVal>
            <numRef>
              <f>'Geometry'!$Q$3:$Q$4</f>
            </numRef>
          </yVal>
          <smooth val="0"/>
        </ser>
        <ser>
          <idx val="6"/>
          <order val="6"/>
          <tx>
            <v>load 0</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'Geometry'!$S$3:$S$4</f>
            </numRef>
          </xVal>
          <yVal>
            <numRef>
              <f>'Geometry'!$T$3:$T$4</f>
            </numRef>
          </yVal>
          <smooth val="0"/>
        </ser>
        <ser>
          <idx val="7"/>
          <order val="7"/>
          <tx>
            <v>load 1</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'Geometry'!$V$3:$V$4</f>
            </numRef>
          </xVal>
          <yVal>
            <numRef>
              <f>'Geometry'!$W$3:$W$4</f>
            </numRef>
          </yVal>
          <smooth val="0"/>
        </ser>
        <ser>
          <idx val="8"/>
          <order val="8"/>
          <tx>
            <v>load 2</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'Geometry'!$Y$3:$Y$4</f>
            </numRef>
          </xVal>
          <yVal>
            <numRef>
              <f>'Geometry'!$Z$3:$Z$4</f>
            </numRef>
          </yVal>
          <smooth val="0"/>
        </ser>
        <ser>
          <idx val="9"/>
          <order val="9"/>
          <tx>
            <v>load 3</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'Geometry'!$AB$3:$AB$4</f>
            </numRef>
          </xVal>
          <yVal>
            <numRef>
              <f>'Geometry'!$AC$3:$AC$4</f>
            </numRef>
          </yVal>
          <smooth val="0"/>
        </ser>
        <ser>
          <idx val="10"/>
          <order val="10"/>
          <tx>
            <v>load 4</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'Geometry'!$AE$3:$AE$4</f>
            </numRef>
          </xVal>
          <yVal>
            <numRef>
              <f>'Geometry'!$AF$3:$AF$4</f>
            </numRef>
          </yVal>
          <smooth val="0"/>
        </ser>
        <ser>
          <idx val="11"/>
          <order val="11"/>
          <tx>
            <v>load 5</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'Geometry'!$AH$3:$AH$4</f>
            </numRef>
          </xVal>
          <yVal>
            <numRef>
              <f>'Geometry'!$AI$3:$AI$4</f>
            </numRef>
          </yVal>
          <smooth val="0"/>
        </ser>
        <ser>
          <idx val="12"/>
          <order val="12"/>
          <tx>
            <v>load 6</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'Geometry'!$AK$3:$AK$4</f>
            </numRef>
          </xVal>
          <yVal>
            <numRef>
              <f>'Geometry'!$AL$3:$AL$4</f>
            </numRef>
          </yVal>
          <smooth val="0"/>
        </ser>
        <ser>
          <idx val="13"/>
          <order val="13"/>
          <tx>
            <v>load 7</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'Geometry'!$AN$3:$AN$4</f>
            </numRef>
          </xVal>
          <yVal>
            <numRef>
              <f>'Geometry'!$AO$3:$AO$4</f>
            </numRef>
          </yVal>
          <smooth val="0"/>
        </ser>
        <ser>
          <idx val="14"/>
          <order val="14"/>
          <tx>
            <v>load 8</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'Geometry'!$AQ$3:$AQ$4</f>
            </numRef>
          </xVal>
          <yVal>
            <numRef>
              <f>'Geometry'!$AR$3:$AR$4</f>
            </numRef>
          </yVal>
          <smooth val="0"/>
        </ser>
        <ser>
          <idx val="15"/>
          <order val="15"/>
          <tx>
            <v>load line</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'Geometry'!$AT$3:$AT$4</f>
            </numRef>
          </xVal>
          <yVal>
            <numRef>
              <f>'Geometry'!$AU$3:$AU$4</f>
            </numRef>
          </yVal>
          <smooth val="0"/>
        </ser>
        <ser>
          <idx val="16"/>
          <order val="16"/>
          <tx>
            <v>BMD</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'Geometry'!$AW$3:$AW$29</f>
            </numRef>
          </xVal>
          <yVal>
            <numRef>
              <f>'Geometry'!$AX$3:$AX$29</f>
            </numRef>
          </yVal>
          <smooth val="0"/>
        </ser>
        <ser>
          <idx val="17"/>
          <order val="17"/>
          <tx>
            <v>BMD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'Geometry'!$AZ$3:$AZ$4</f>
            </numRef>
          </xVal>
          <yVal>
            <numRef>
              <f>'Geometry'!$BA$3:$BA$4</f>
            </numRef>
          </yVal>
          <smooth val="0"/>
        </ser>
        <ser>
          <idx val="18"/>
          <order val="18"/>
          <tx>
            <strRef>
              <f>'Geometry'!$BC$2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t"/>
            <showLegendKey val="0"/>
            <showVal val="0"/>
            <showCatName val="0"/>
            <showSerName val="1"/>
            <showPercent val="0"/>
          </dLbls>
          <xVal>
            <numRef>
              <f>'Geometry'!$BC$3</f>
            </numRef>
          </xVal>
          <yVal>
            <numRef>
              <f>'Geometry'!$BD$3</f>
            </numRef>
          </yVal>
          <smooth val="0"/>
        </ser>
        <ser>
          <idx val="19"/>
          <order val="19"/>
          <tx>
            <strRef>
              <f>'Geometry'!$BF$2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b"/>
            <showLegendKey val="0"/>
            <showVal val="0"/>
            <showCatName val="0"/>
            <showSerName val="1"/>
            <showPercent val="0"/>
          </dLbls>
          <xVal>
            <numRef>
              <f>'Geometry'!$BF$3</f>
            </numRef>
          </xVal>
          <yVal>
            <numRef>
              <f>'Geometry'!$BG$3</f>
            </numRef>
          </yVal>
          <smooth val="0"/>
        </ser>
        <ser>
          <idx val="20"/>
          <order val="20"/>
          <tx>
            <strRef>
              <f>'Geometry'!$BI$2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t"/>
            <showLegendKey val="0"/>
            <showVal val="0"/>
            <showCatName val="0"/>
            <showSerName val="1"/>
            <showPercent val="0"/>
          </dLbls>
          <xVal>
            <numRef>
              <f>'Geometry'!$BI$3</f>
            </numRef>
          </xVal>
          <yVal>
            <numRef>
              <f>'Geometry'!$BJ$3</f>
            </numRef>
          </yVal>
          <smooth val="0"/>
        </ser>
        <ser>
          <idx val="21"/>
          <order val="21"/>
          <tx>
            <strRef>
              <f>'Geometry'!$BL$2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t"/>
            <showLegendKey val="0"/>
            <showVal val="0"/>
            <showCatName val="0"/>
            <showSerName val="1"/>
            <showPercent val="0"/>
          </dLbls>
          <xVal>
            <numRef>
              <f>'Geometry'!$BL$3</f>
            </numRef>
          </xVal>
          <yVal>
            <numRef>
              <f>'Geometry'!$BM$3</f>
            </numRef>
          </yVal>
          <smooth val="0"/>
        </ser>
        <ser>
          <idx val="22"/>
          <order val="22"/>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'Geometry'!$BO$3:$BO$4</f>
            </numRef>
          </xVal>
          <yVal>
            <numRef>
              <f>'Geometry'!$BP$3:$BP$4</f>
            </numRef>
          </yVal>
          <smooth val="0"/>
        </ser>
        <ser>
          <idx val="23"/>
          <order val="23"/>
          <tx>
            <strRef>
              <f>'Geometry'!$BR$2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'Geometry'!$BR$3</f>
            </numRef>
          </xVal>
          <yVal>
            <numRef>
              <f>'Geometry'!$BS$3</f>
            </numRef>
          </yVal>
          <smooth val="0"/>
        </ser>
        <ser>
          <idx val="24"/>
          <order val="24"/>
          <tx>
            <v>frame</v>
          </tx>
          <spPr>
            <a:ln xmlns:a="http://schemas.openxmlformats.org/drawingml/2006/main">
              <a:noFill/>
              <a:prstDash val="solid"/>
            </a:ln>
          </spPr>
          <marker>
            <symbol val="none"/>
            <spPr>
              <a:ln xmlns:a="http://schemas.openxmlformats.org/drawingml/2006/main">
                <a:prstDash val="solid"/>
              </a:ln>
            </spPr>
          </marker>
          <xVal>
            <numRef>
              <f>'Geometry'!$BU$3:$BU$4</f>
            </numRef>
          </xVal>
          <yVal>
            <numRef>
              <f>'Geometry'!$BV$3:$BV$4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charts/chart2.xml><?xml version="1.0" encoding="utf-8"?>
<chartSpace xmlns="http://schemas.openxmlformats.org/drawingml/2006/chart">
  <style val="1"/>
  <chart>
    <plotArea>
      <scatterChart>
        <scatterStyle val="lineMarker"/>
        <ser>
          <idx val="0"/>
          <order val="0"/>
          <tx>
            <v>section</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'Geometry'!$BX$3:$BX$7</f>
            </numRef>
          </xVal>
          <yVal>
            <numRef>
              <f>'Geometry'!$BY$3:$BY$7</f>
            </numRef>
          </yVal>
          <smooth val="0"/>
        </ser>
        <ser>
          <idx val="1"/>
          <order val="1"/>
          <tx>
            <v>bottom 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'Geometry'!$CA$3:$CA$13</f>
            </numRef>
          </xVal>
          <yVal>
            <numRef>
              <f>'Geometry'!$CB$3:$CB$13</f>
            </numRef>
          </yVal>
          <smooth val="0"/>
        </ser>
        <ser>
          <idx val="2"/>
          <order val="2"/>
          <tx>
            <v>top 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'Geometry'!$CD$3:$CD$13</f>
            </numRef>
          </xVal>
          <yVal>
            <numRef>
              <f>'Geometry'!$CE$3:$CE$13</f>
            </numRef>
          </yVal>
          <smooth val="0"/>
        </ser>
        <ser>
          <idx val="3"/>
          <order val="3"/>
          <tx>
            <v>bottom 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'Geometry'!$CG$3:$CG$13</f>
            </numRef>
          </xVal>
          <yVal>
            <numRef>
              <f>'Geometry'!$CH$3:$CH$13</f>
            </numRef>
          </yVal>
          <smooth val="0"/>
        </ser>
        <ser>
          <idx val="4"/>
          <order val="4"/>
          <tx>
            <v>top 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'Geometry'!$CJ$3:$CJ$13</f>
            </numRef>
          </xVal>
          <yVal>
            <numRef>
              <f>'Geometry'!$CK$3:$CK$13</f>
            </numRef>
          </yVal>
          <smooth val="0"/>
        </ser>
        <ser>
          <idx val="5"/>
          <order val="5"/>
          <tx>
            <v>bottom 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'Geometry'!$CM$3:$CM$13</f>
            </numRef>
          </xVal>
          <yVal>
            <numRef>
              <f>'Geometry'!$CN$3:$CN$13</f>
            </numRef>
          </yVal>
          <smooth val="0"/>
        </ser>
        <ser>
          <idx val="6"/>
          <order val="6"/>
          <tx>
            <v>top 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'Geometry'!$CP$3:$CP$13</f>
            </numRef>
          </xVal>
          <yVal>
            <numRef>
              <f>'Geometry'!$CQ$3:$CQ$13</f>
            </numRef>
          </yVal>
          <smooth val="0"/>
        </ser>
        <ser>
          <idx val="7"/>
          <order val="7"/>
          <tx>
            <v>bottom 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'Geometry'!$CS$3:$CS$13</f>
            </numRef>
          </xVal>
          <yVal>
            <numRef>
              <f>'Geometry'!$CT$3:$CT$13</f>
            </numRef>
          </yVal>
          <smooth val="0"/>
        </ser>
        <ser>
          <idx val="8"/>
          <order val="8"/>
          <tx>
            <v>top 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'Geometry'!$CV$3:$CV$13</f>
            </numRef>
          </xVal>
          <yVal>
            <numRef>
              <f>'Geometry'!$CW$3:$CW$13</f>
            </numRef>
          </yVal>
          <smooth val="0"/>
        </ser>
        <ser>
          <idx val="9"/>
          <order val="9"/>
          <tx>
            <v>bottom 4</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'Geometry'!$CY$3:$CY$13</f>
            </numRef>
          </xVal>
          <yVal>
            <numRef>
              <f>'Geometry'!$CZ$3:$CZ$13</f>
            </numRef>
          </yVal>
          <smooth val="0"/>
        </ser>
        <ser>
          <idx val="10"/>
          <order val="10"/>
          <tx>
            <v>top 4</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'Geometry'!$DB$3:$DB$13</f>
            </numRef>
          </xVal>
          <yVal>
            <numRef>
              <f>'Geometry'!$DC$3:$DC$13</f>
            </numRef>
          </yVal>
          <smooth val="0"/>
        </ser>
        <ser>
          <idx val="11"/>
          <order val="11"/>
          <tx>
            <v>bottom 5</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'Geometry'!$DE$3:$DE$13</f>
            </numRef>
          </xVal>
          <yVal>
            <numRef>
              <f>'Geometry'!$DF$3:$DF$13</f>
            </numRef>
          </yVal>
          <smooth val="0"/>
        </ser>
        <ser>
          <idx val="12"/>
          <order val="12"/>
          <tx>
            <v>top 5</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'Geometry'!$DH$3:$DH$13</f>
            </numRef>
          </xVal>
          <yVal>
            <numRef>
              <f>'Geometry'!$DI$3:$DI$13</f>
            </numRef>
          </yVal>
          <smooth val="0"/>
        </ser>
        <ser>
          <idx val="13"/>
          <order val="13"/>
          <tx>
            <v>bottom 6</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'Geometry'!$DK$3:$DK$13</f>
            </numRef>
          </xVal>
          <yVal>
            <numRef>
              <f>'Geometry'!$DL$3:$DL$13</f>
            </numRef>
          </yVal>
          <smooth val="0"/>
        </ser>
        <ser>
          <idx val="14"/>
          <order val="14"/>
          <tx>
            <v>top 6</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'Geometry'!$DN$3:$DN$13</f>
            </numRef>
          </xVal>
          <yVal>
            <numRef>
              <f>'Geometry'!$DO$3:$DO$13</f>
            </numRef>
          </yVal>
          <smooth val="0"/>
        </ser>
        <ser>
          <idx val="15"/>
          <order val="15"/>
          <tx>
            <v>bottom 7</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'Geometry'!$DQ$3:$DQ$13</f>
            </numRef>
          </xVal>
          <yVal>
            <numRef>
              <f>'Geometry'!$DR$3:$DR$13</f>
            </numRef>
          </yVal>
          <smooth val="0"/>
        </ser>
        <ser>
          <idx val="16"/>
          <order val="16"/>
          <tx>
            <v>top 7</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'Geometry'!$DT$3:$DT$13</f>
            </numRef>
          </xVal>
          <yVal>
            <numRef>
              <f>'Geometry'!$DU$3:$DU$13</f>
            </numRef>
          </yVal>
          <smooth val="0"/>
        </ser>
        <ser>
          <idx val="17"/>
          <order val="17"/>
          <tx>
            <v>bottom 8</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'Geometry'!$DW$3:$DW$13</f>
            </numRef>
          </xVal>
          <yVal>
            <numRef>
              <f>'Geometry'!$DX$3:$DX$13</f>
            </numRef>
          </yVal>
          <smooth val="0"/>
        </ser>
        <ser>
          <idx val="18"/>
          <order val="18"/>
          <tx>
            <v>top 8</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'Geometry'!$DZ$3:$DZ$13</f>
            </numRef>
          </xVal>
          <yVal>
            <numRef>
              <f>'Geometry'!$EA$3:$EA$13</f>
            </numRef>
          </yVal>
          <smooth val="0"/>
        </ser>
        <ser>
          <idx val="19"/>
          <order val="19"/>
          <tx>
            <v>bottom 9</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'Geometry'!$EC$3:$EC$13</f>
            </numRef>
          </xVal>
          <yVal>
            <numRef>
              <f>'Geometry'!$ED$3:$ED$13</f>
            </numRef>
          </yVal>
          <smooth val="0"/>
        </ser>
        <ser>
          <idx val="20"/>
          <order val="20"/>
          <tx>
            <v>top 9</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'Geometry'!$EF$3:$EF$13</f>
            </numRef>
          </xVal>
          <yVal>
            <numRef>
              <f>'Geometry'!$EG$3:$EG$13</f>
            </numRef>
          </yVal>
          <smooth val="0"/>
        </ser>
        <ser>
          <idx val="21"/>
          <order val="21"/>
          <tx>
            <v>bottom 10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'Geometry'!$EI$3:$EI$13</f>
            </numRef>
          </xVal>
          <yVal>
            <numRef>
              <f>'Geometry'!$EJ$3:$EJ$13</f>
            </numRef>
          </yVal>
          <smooth val="0"/>
        </ser>
        <ser>
          <idx val="22"/>
          <order val="22"/>
          <tx>
            <v>top 10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'Geometry'!$EL$3:$EL$13</f>
            </numRef>
          </xVal>
          <yVal>
            <numRef>
              <f>'Geometry'!$EM$3:$EM$13</f>
            </numRef>
          </yVal>
          <smooth val="0"/>
        </ser>
        <ser>
          <idx val="23"/>
          <order val="23"/>
          <tx>
            <v>bottom 11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'Geometry'!$EO$3:$EO$13</f>
            </numRef>
          </xVal>
          <yVal>
            <numRef>
              <f>'Geometry'!$EP$3:$EP$13</f>
            </numRef>
          </yVal>
          <smooth val="0"/>
        </ser>
        <ser>
          <idx val="24"/>
          <order val="24"/>
          <tx>
            <v>top 11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'Geometry'!$ER$3:$ER$13</f>
            </numRef>
          </xVal>
          <yVal>
            <numRef>
              <f>'Geometry'!$ES$3:$ES$13</f>
            </numRef>
          </yVal>
          <smooth val="0"/>
        </ser>
        <ser>
          <idx val="25"/>
          <order val="25"/>
          <tx>
            <v>bottom 12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'Geometry'!$EU$3:$EU$13</f>
            </numRef>
          </xVal>
          <yVal>
            <numRef>
              <f>'Geometry'!$EV$3:$EV$13</f>
            </numRef>
          </yVal>
          <smooth val="0"/>
        </ser>
        <ser>
          <idx val="26"/>
          <order val="26"/>
          <tx>
            <v>top 12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'Geometry'!$EX$3:$EX$13</f>
            </numRef>
          </xVal>
          <yVal>
            <numRef>
              <f>'Geometry'!$EY$3:$EY$13</f>
            </numRef>
          </yVal>
          <smooth val="0"/>
        </ser>
        <ser>
          <idx val="27"/>
          <order val="27"/>
          <tx>
            <v>bottom 13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'Geometry'!$FA$3:$FA$13</f>
            </numRef>
          </xVal>
          <yVal>
            <numRef>
              <f>'Geometry'!$FB$3:$FB$13</f>
            </numRef>
          </yVal>
          <smooth val="0"/>
        </ser>
        <ser>
          <idx val="28"/>
          <order val="28"/>
          <tx>
            <v>top 13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'Geometry'!$FD$3:$FD$13</f>
            </numRef>
          </xVal>
          <yVal>
            <numRef>
              <f>'Geometry'!$FE$3:$FE$13</f>
            </numRef>
          </yVal>
          <smooth val="0"/>
        </ser>
        <ser>
          <idx val="29"/>
          <order val="29"/>
          <tx>
            <v>bottom 14</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'Geometry'!$FG$3:$FG$13</f>
            </numRef>
          </xVal>
          <yVal>
            <numRef>
              <f>'Geometry'!$FH$3:$FH$13</f>
            </numRef>
          </yVal>
          <smooth val="0"/>
        </ser>
        <ser>
          <idx val="30"/>
          <order val="30"/>
          <tx>
            <v>top 14</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'Geometry'!$FJ$3:$FJ$13</f>
            </numRef>
          </xVal>
          <yVal>
            <numRef>
              <f>'Geometry'!$FK$3:$FK$13</f>
            </numRef>
          </yVal>
          <smooth val="0"/>
        </ser>
        <ser>
          <idx val="31"/>
          <order val="31"/>
          <tx>
            <v>bottom 15</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'Geometry'!$FM$3:$FM$13</f>
            </numRef>
          </xVal>
          <yVal>
            <numRef>
              <f>'Geometry'!$FN$3:$FN$13</f>
            </numRef>
          </yVal>
          <smooth val="0"/>
        </ser>
        <ser>
          <idx val="32"/>
          <order val="32"/>
          <tx>
            <v>top 15</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'Geometry'!$FP$3:$FP$13</f>
            </numRef>
          </xVal>
          <yVal>
            <numRef>
              <f>'Geometry'!$FQ$3:$FQ$13</f>
            </numRef>
          </yVal>
          <smooth val="0"/>
        </ser>
        <ser>
          <idx val="33"/>
          <order val="33"/>
          <tx>
            <v>bottom 16</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'Geometry'!$FS$3:$FS$13</f>
            </numRef>
          </xVal>
          <yVal>
            <numRef>
              <f>'Geometry'!$FT$3:$FT$13</f>
            </numRef>
          </yVal>
          <smooth val="0"/>
        </ser>
        <ser>
          <idx val="34"/>
          <order val="34"/>
          <tx>
            <v>top 16</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'Geometry'!$FV$3:$FV$13</f>
            </numRef>
          </xVal>
          <yVal>
            <numRef>
              <f>'Geometry'!$FW$3:$FW$13</f>
            </numRef>
          </yVal>
          <smooth val="0"/>
        </ser>
        <ser>
          <idx val="35"/>
          <order val="35"/>
          <tx>
            <v>bottom 17</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'Geometry'!$FY$3:$FY$13</f>
            </numRef>
          </xVal>
          <yVal>
            <numRef>
              <f>'Geometry'!$FZ$3:$FZ$13</f>
            </numRef>
          </yVal>
          <smooth val="0"/>
        </ser>
        <ser>
          <idx val="36"/>
          <order val="36"/>
          <tx>
            <v>top 17</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'Geometry'!$GB$3:$GB$13</f>
            </numRef>
          </xVal>
          <yVal>
            <numRef>
              <f>'Geometry'!$GC$3:$GC$13</f>
            </numRef>
          </yVal>
          <smooth val="0"/>
        </ser>
        <ser>
          <idx val="37"/>
          <order val="37"/>
          <tx>
            <v>bottom 18</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'Geometry'!$GE$3:$GE$13</f>
            </numRef>
          </xVal>
          <yVal>
            <numRef>
              <f>'Geometry'!$GF$3:$GF$13</f>
            </numRef>
          </yVal>
          <smooth val="0"/>
        </ser>
        <ser>
          <idx val="38"/>
          <order val="38"/>
          <tx>
            <v>top 18</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'Geometry'!$GH$3:$GH$13</f>
            </numRef>
          </xVal>
          <yVal>
            <numRef>
              <f>'Geometry'!$GI$3:$GI$13</f>
            </numRef>
          </yVal>
          <smooth val="0"/>
        </ser>
        <ser>
          <idx val="39"/>
          <order val="39"/>
          <tx>
            <v>bottom 19</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'Geometry'!$GK$3:$GK$13</f>
            </numRef>
          </xVal>
          <yVal>
            <numRef>
              <f>'Geometry'!$GL$3:$GL$13</f>
            </numRef>
          </yVal>
          <smooth val="0"/>
        </ser>
        <ser>
          <idx val="40"/>
          <order val="40"/>
          <tx>
            <v>top 19</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'Geometry'!$GN$3:$GN$13</f>
            </numRef>
          </xVal>
          <yVal>
            <numRef>
              <f>'Geometry'!$GO$3:$GO$13</f>
            </numRef>
          </yVal>
          <smooth val="0"/>
        </ser>
        <ser>
          <idx val="41"/>
          <order val="41"/>
          <tx>
            <v>bottom 20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'Geometry'!$GQ$3:$GQ$13</f>
            </numRef>
          </xVal>
          <yVal>
            <numRef>
              <f>'Geometry'!$GR$3:$GR$13</f>
            </numRef>
          </yVal>
          <smooth val="0"/>
        </ser>
        <ser>
          <idx val="42"/>
          <order val="42"/>
          <tx>
            <v>top 20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'Geometry'!$GT$3:$GT$13</f>
            </numRef>
          </xVal>
          <yVal>
            <numRef>
              <f>'Geometry'!$GU$3:$GU$13</f>
            </numRef>
          </yVal>
          <smooth val="0"/>
        </ser>
        <ser>
          <idx val="43"/>
          <order val="43"/>
          <tx>
            <v>bottom 21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'Geometry'!$GW$3:$GW$13</f>
            </numRef>
          </xVal>
          <yVal>
            <numRef>
              <f>'Geometry'!$GX$3:$GX$13</f>
            </numRef>
          </yVal>
          <smooth val="0"/>
        </ser>
        <ser>
          <idx val="44"/>
          <order val="44"/>
          <tx>
            <v>top 21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'Geometry'!$GZ$3:$GZ$13</f>
            </numRef>
          </xVal>
          <yVal>
            <numRef>
              <f>'Geometry'!$HA$3:$HA$13</f>
            </numRef>
          </yVal>
          <smooth val="0"/>
        </ser>
        <ser>
          <idx val="45"/>
          <order val="45"/>
          <tx>
            <v>bottom 22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'Geometry'!$HC$3:$HC$13</f>
            </numRef>
          </xVal>
          <yVal>
            <numRef>
              <f>'Geometry'!$HD$3:$HD$13</f>
            </numRef>
          </yVal>
          <smooth val="0"/>
        </ser>
        <ser>
          <idx val="46"/>
          <order val="46"/>
          <tx>
            <v>top 22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'Geometry'!$HF$3:$HF$13</f>
            </numRef>
          </xVal>
          <yVal>
            <numRef>
              <f>'Geometry'!$HG$3:$HG$13</f>
            </numRef>
          </yVal>
          <smooth val="0"/>
        </ser>
        <ser>
          <idx val="47"/>
          <order val="47"/>
          <tx>
            <v>bottom 23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'Geometry'!$HI$3:$HI$13</f>
            </numRef>
          </xVal>
          <yVal>
            <numRef>
              <f>'Geometry'!$HJ$3:$HJ$13</f>
            </numRef>
          </yVal>
          <smooth val="0"/>
        </ser>
        <ser>
          <idx val="48"/>
          <order val="48"/>
          <tx>
            <v>top 23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'Geometry'!$HL$3:$HL$13</f>
            </numRef>
          </xVal>
          <yVal>
            <numRef>
              <f>'Geometry'!$HM$3:$HM$13</f>
            </numRef>
          </yVal>
          <smooth val="0"/>
        </ser>
        <ser>
          <idx val="49"/>
          <order val="49"/>
          <tx>
            <v>bottom 24</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'Geometry'!$HO$3:$HO$13</f>
            </numRef>
          </xVal>
          <yVal>
            <numRef>
              <f>'Geometry'!$HP$3:$HP$13</f>
            </numRef>
          </yVal>
          <smooth val="0"/>
        </ser>
        <ser>
          <idx val="50"/>
          <order val="50"/>
          <tx>
            <v>top 24</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'Geometry'!$HR$3:$HR$13</f>
            </numRef>
          </xVal>
          <yVal>
            <numRef>
              <f>'Geometry'!$HS$3:$HS$13</f>
            </numRef>
          </yVal>
          <smooth val="0"/>
        </ser>
        <ser>
          <idx val="51"/>
          <order val="51"/>
          <tx>
            <v>bottom 25</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'Geometry'!$HU$3:$HU$13</f>
            </numRef>
          </xVal>
          <yVal>
            <numRef>
              <f>'Geometry'!$HV$3:$HV$13</f>
            </numRef>
          </yVal>
          <smooth val="0"/>
        </ser>
        <ser>
          <idx val="52"/>
          <order val="52"/>
          <tx>
            <v>top 25</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'Geometry'!$HX$3:$HX$13</f>
            </numRef>
          </xVal>
          <yVal>
            <numRef>
              <f>'Geometry'!$HY$3:$HY$13</f>
            </numRef>
          </yVal>
          <smooth val="0"/>
        </ser>
        <ser>
          <idx val="53"/>
          <order val="53"/>
          <tx>
            <v>bottom 26</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'Geometry'!$IA$3:$IA$13</f>
            </numRef>
          </xVal>
          <yVal>
            <numRef>
              <f>'Geometry'!$IB$3:$IB$13</f>
            </numRef>
          </yVal>
          <smooth val="0"/>
        </ser>
        <ser>
          <idx val="54"/>
          <order val="54"/>
          <tx>
            <v>top 26</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'Geometry'!$ID$3:$ID$13</f>
            </numRef>
          </xVal>
          <yVal>
            <numRef>
              <f>'Geometry'!$IE$3:$IE$13</f>
            </numRef>
          </yVal>
          <smooth val="0"/>
        </ser>
        <ser>
          <idx val="55"/>
          <order val="55"/>
          <tx>
            <v>bottom 27</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'Geometry'!$IG$3:$IG$13</f>
            </numRef>
          </xVal>
          <yVal>
            <numRef>
              <f>'Geometry'!$IH$3:$IH$13</f>
            </numRef>
          </yVal>
          <smooth val="0"/>
        </ser>
        <ser>
          <idx val="56"/>
          <order val="56"/>
          <tx>
            <v>top 27</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'Geometry'!$IJ$3:$IJ$13</f>
            </numRef>
          </xVal>
          <yVal>
            <numRef>
              <f>'Geometry'!$IK$3:$IK$13</f>
            </numRef>
          </yVal>
          <smooth val="0"/>
        </ser>
        <ser>
          <idx val="57"/>
          <order val="57"/>
          <tx>
            <v>bottom 28</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'Geometry'!$IM$3:$IM$13</f>
            </numRef>
          </xVal>
          <yVal>
            <numRef>
              <f>'Geometry'!$IN$3:$IN$13</f>
            </numRef>
          </yVal>
          <smooth val="0"/>
        </ser>
        <ser>
          <idx val="58"/>
          <order val="58"/>
          <tx>
            <v>top 28</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'Geometry'!$IP$3:$IP$13</f>
            </numRef>
          </xVal>
          <yVal>
            <numRef>
              <f>'Geometry'!$IQ$3:$IQ$13</f>
            </numRef>
          </yVal>
          <smooth val="0"/>
        </ser>
        <ser>
          <idx val="59"/>
          <order val="59"/>
          <tx>
            <v>bottom 29</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'Geometry'!$IS$3:$IS$13</f>
            </numRef>
          </xVal>
          <yVal>
            <numRef>
              <f>'Geometry'!$IT$3:$IT$13</f>
            </numRef>
          </yVal>
          <smooth val="0"/>
        </ser>
        <ser>
          <idx val="60"/>
          <order val="60"/>
          <tx>
            <v>top 29</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'Geometry'!$IV$3:$IV$13</f>
            </numRef>
          </xVal>
          <yVal>
            <numRef>
              <f>'Geometry'!$IW$3:$IW$13</f>
            </numRef>
          </yVal>
          <smooth val="0"/>
        </ser>
        <ser>
          <idx val="61"/>
          <order val="61"/>
          <tx>
            <v>bottom 30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'Geometry'!$IY$3:$IY$13</f>
            </numRef>
          </xVal>
          <yVal>
            <numRef>
              <f>'Geometry'!$IZ$3:$IZ$13</f>
            </numRef>
          </yVal>
          <smooth val="0"/>
        </ser>
        <ser>
          <idx val="62"/>
          <order val="62"/>
          <tx>
            <v>top 30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'Geometry'!$JB$3:$JB$13</f>
            </numRef>
          </xVal>
          <yVal>
            <numRef>
              <f>'Geometry'!$JC$3:$JC$13</f>
            </numRef>
          </yVal>
          <smooth val="0"/>
        </ser>
        <ser>
          <idx val="63"/>
          <order val="63"/>
          <tx>
            <v>bottom 31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'Geometry'!$JE$3:$JE$13</f>
            </numRef>
          </xVal>
          <yVal>
            <numRef>
              <f>'Geometry'!$JF$3:$JF$13</f>
            </numRef>
          </yVal>
          <smooth val="0"/>
        </ser>
        <ser>
          <idx val="64"/>
          <order val="64"/>
          <tx>
            <v>top 31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'Geometry'!$JH$3:$JH$13</f>
            </numRef>
          </xVal>
          <yVal>
            <numRef>
              <f>'Geometry'!$JI$3:$JI$13</f>
            </numRef>
          </yVal>
          <smooth val="0"/>
        </ser>
        <ser>
          <idx val="65"/>
          <order val="65"/>
          <tx>
            <v>bottom 32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'Geometry'!$JK$3:$JK$13</f>
            </numRef>
          </xVal>
          <yVal>
            <numRef>
              <f>'Geometry'!$JL$3:$JL$13</f>
            </numRef>
          </yVal>
          <smooth val="0"/>
        </ser>
        <ser>
          <idx val="66"/>
          <order val="66"/>
          <tx>
            <v>top 32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'Geometry'!$JN$3:$JN$13</f>
            </numRef>
          </xVal>
          <yVal>
            <numRef>
              <f>'Geometry'!$JO$3:$JO$13</f>
            </numRef>
          </yVal>
          <smooth val="0"/>
        </ser>
        <ser>
          <idx val="67"/>
          <order val="67"/>
          <tx>
            <v>bottom 33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'Geometry'!$JQ$3:$JQ$13</f>
            </numRef>
          </xVal>
          <yVal>
            <numRef>
              <f>'Geometry'!$JR$3:$JR$13</f>
            </numRef>
          </yVal>
          <smooth val="0"/>
        </ser>
        <ser>
          <idx val="68"/>
          <order val="68"/>
          <tx>
            <v>top 33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'Geometry'!$JT$3:$JT$13</f>
            </numRef>
          </xVal>
          <yVal>
            <numRef>
              <f>'Geometry'!$JU$3:$JU$13</f>
            </numRef>
          </yVal>
          <smooth val="0"/>
        </ser>
        <ser>
          <idx val="69"/>
          <order val="69"/>
          <tx>
            <v>distribution</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'Geometry'!$JW$3:$JW$4</f>
            </numRef>
          </xVal>
          <yVal>
            <numRef>
              <f>'Geometry'!$JX$3:$JX$4</f>
            </numRef>
          </yVal>
          <smooth val="0"/>
        </ser>
        <ser>
          <idx val="70"/>
          <order val="70"/>
          <tx>
            <strRef>
              <f>'Geometry'!$JZ$2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b"/>
            <showLegendKey val="0"/>
            <showVal val="0"/>
            <showCatName val="0"/>
            <showSerName val="1"/>
            <showPercent val="0"/>
          </dLbls>
          <xVal>
            <numRef>
              <f>'Geometry'!$JZ$3</f>
            </numRef>
          </xVal>
          <yVal>
            <numRef>
              <f>'Geometry'!$KA$3</f>
            </numRef>
          </yVal>
          <smooth val="0"/>
        </ser>
        <ser>
          <idx val="71"/>
          <order val="71"/>
          <tx>
            <strRef>
              <f>'Geometry'!$KC$2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t"/>
            <showLegendKey val="0"/>
            <showVal val="0"/>
            <showCatName val="0"/>
            <showSerName val="1"/>
            <showPercent val="0"/>
          </dLbls>
          <xVal>
            <numRef>
              <f>'Geometry'!$KC$3</f>
            </numRef>
          </xVal>
          <yVal>
            <numRef>
              <f>'Geometry'!$KD$3</f>
            </numRef>
          </yVal>
          <smooth val="0"/>
        </ser>
        <ser>
          <idx val="72"/>
          <order val="72"/>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'Geometry'!$KF$3:$KF$4</f>
            </numRef>
          </xVal>
          <yVal>
            <numRef>
              <f>'Geometry'!$KG$3:$KG$4</f>
            </numRef>
          </yVal>
          <smooth val="0"/>
        </ser>
        <ser>
          <idx val="73"/>
          <order val="73"/>
          <tx>
            <strRef>
              <f>'Geometry'!$KI$2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'Geometry'!$KI$3</f>
            </numRef>
          </xVal>
          <yVal>
            <numRef>
              <f>'Geometry'!$KJ$3</f>
            </numRef>
          </yVal>
          <smooth val="0"/>
        </ser>
        <ser>
          <idx val="74"/>
          <order val="74"/>
          <tx>
            <v>frame</v>
          </tx>
          <spPr>
            <a:ln xmlns:a="http://schemas.openxmlformats.org/drawingml/2006/main">
              <a:noFill/>
              <a:prstDash val="solid"/>
            </a:ln>
          </spPr>
          <marker>
            <symbol val="none"/>
            <spPr>
              <a:ln xmlns:a="http://schemas.openxmlformats.org/drawingml/2006/main">
                <a:prstDash val="solid"/>
              </a:ln>
            </spPr>
          </marker>
          <xVal>
            <numRef>
              <f>'Geometry'!$KL$3:$KL$4</f>
            </numRef>
          </xVal>
          <yVal>
            <numRef>
              <f>'Geometry'!$KM$3:$KM$4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image" Target="/xl/media/image2.png" Id="rId3"/></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35</row>
      <rowOff>0</rowOff>
    </from>
    <ext cx="5301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2</col>
      <colOff>0</colOff>
      <row>56</row>
      <rowOff>0</rowOff>
    </from>
    <ext cx="4185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1</row>
      <rowOff>0</rowOff>
    </from>
    <ext cx="1514475" cy="32385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One-way slab</t>
        </is>
      </c>
    </row>
    <row r="8" ht="20" customHeight="1">
      <c r="B8" s="4" t="inlineStr">
        <is>
          <t>Solid slabs spanning one way  ·  EN 1992-1-1 §6.1, §6.2, §7.4, §9.3  ·  UK NA / PN-EN</t>
        </is>
      </c>
    </row>
    <row r="10">
      <c r="B10" s="5" t="inlineStr">
        <is>
          <t>Reference</t>
        </is>
      </c>
      <c r="C10" s="6" t="inlineStr">
        <is>
          <t>NAE-RC-012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Design of a 1 m strip of a solid slab spanning one way: design moments and shears for a simply supported, continuous or cantilever span, bottom and top reinforcement, shear without links at both supports, deflection by the span to depth ratio and the detailing rules for slabs.</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192.5" customHeight="1">
      <c r="B22" s="7" t="inlineStr">
        <is>
          <t>Uniformly loaded solid slab, 1 m strip. Simply supported and cantilever spans from statics; continuous spans from the coefficients of Concise Eurocode 2 Table 15.2 (TCC How to: Slabs, Table 3), which include 20 % redistribution (δ = 0.8, 5.5) and apply only where the bays exceed 30 m², Qk ≤ 1.25 Gk, qk ≤ 5 kN/m², the load is substantially uniform and there are at least three spans with the shortest ≥ 0.85 the longest: the load ratios are checked and the rest must be confirmed with the input provided, otherwise every coefficient result fails. The coefficient method is a UK simplification of a redistributed linear analysis (5.5); its use under the PL annex is the designer's decision. For redistributed supports the x/d of the bars provided is checked against the 5.5(4) limit. Rectangular stress block, no compression reinforcement. Shear without links (6.2.2) at both supports with the bars in tension there, assumed anchored beyond the section (bottom bars at an end support to 9.3.1.2(1)). Deflection by (7.16) with K of Table 7.4N, the (As,prov / As,req)(500 / fyk) factor (UK: ≤ 1.5) and the 7/l factor for spans over 7 m with brittle partitions (7.4.2(2)); not assessed where the bending check fails. At a simple support top bars for 25 % of the span moment are checked (9.3.1.2(2)). Concrete classes up to C50/60, fyk ≤ 500 MPa. Crack widths, fire and punching are separate checks.
The second-generation EN 1992-1-1:2023 is not yet implemented.</t>
        </is>
      </c>
    </row>
    <row r="24" ht="20" customHeight="1">
      <c r="B24" s="8" t="inlineStr">
        <is>
          <t>Further reading and independent cross-check</t>
        </is>
      </c>
      <c r="C24" s="9" t="n"/>
    </row>
    <row r="25" ht="91" customHeight="1">
      <c r="B25" s="10" t="inlineStr">
        <is>
          <t>•  The Concrete Centre, How to design concrete structures using Eurocode 2: Slabs.
•  The Concrete Centre, Concise Eurocode 2, Table 15.2.
•  The Concrete Centre, RC Spreadsheets v4, TCC31 One-way slabs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&amp;K8A8A8ANAE-RC-012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56"/>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One-way slab</t>
        </is>
      </c>
      <c r="H2" s="1" t="n"/>
    </row>
    <row r="3" ht="16" customHeight="1">
      <c r="A3" s="1" t="n"/>
      <c r="B3" s="1" t="n"/>
      <c r="C3" s="15" t="inlineStr">
        <is>
          <t>NAE-RC-012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slab</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8.2(2)</t>
        </is>
      </c>
      <c r="C14" s="24" t="inlineStr">
        <is>
          <t>Maximum aggregate size</t>
        </is>
      </c>
      <c r="D14" s="27" t="inlineStr">
        <is>
          <r>
            <rPr>
              <rFont val="Calibri"/>
              <i val="1"/>
              <color rgb="002B2B2B"/>
              <sz val="10"/>
            </rPr>
            <t>d</t>
          </r>
          <r>
            <rPr>
              <rFont val="Calibri"/>
              <i val="1"/>
              <color rgb="002B2B2B"/>
              <sz val="10"/>
              <vertAlign val="subscript"/>
            </rPr>
            <t>g</t>
          </r>
        </is>
      </c>
      <c r="E14" s="25" t="n">
        <v>20</v>
      </c>
      <c r="F14" s="28" t="inlineStr">
        <is>
          <t>mm</t>
        </is>
      </c>
      <c r="G14" s="23" t="n"/>
    </row>
    <row r="15" ht="17" customHeight="1">
      <c r="B15" s="23" t="n"/>
      <c r="C15" s="24" t="inlineStr">
        <is>
          <t>Span type</t>
        </is>
      </c>
      <c r="D15" s="23" t="n"/>
      <c r="E15" s="25" t="inlineStr">
        <is>
          <t>Interior span</t>
        </is>
      </c>
      <c r="F15" s="23" t="n"/>
      <c r="G15" s="26" t="inlineStr">
        <is>
          <t>Continuous: Concise EC2 Table 15.2</t>
        </is>
      </c>
    </row>
    <row r="16" ht="17" customHeight="1">
      <c r="B16" s="23" t="n"/>
      <c r="C16" s="24" t="inlineStr">
        <is>
          <t>Table 15.2 conditions met  (bays &gt; 30 m², ≥ 3 similar spans, uniform load)</t>
        </is>
      </c>
      <c r="D16" s="23" t="n"/>
      <c r="E16" s="25" t="inlineStr">
        <is>
          <t>Yes</t>
        </is>
      </c>
      <c r="F16" s="23" t="n"/>
      <c r="G16" s="26" t="inlineStr">
        <is>
          <t>Continuous spans only</t>
        </is>
      </c>
    </row>
    <row r="17" ht="17" customHeight="1">
      <c r="B17" s="26" t="inlineStr">
        <is>
          <t>5.3.2.2</t>
        </is>
      </c>
      <c r="C17" s="24" t="inlineStr">
        <is>
          <t>Effective span</t>
        </is>
      </c>
      <c r="D17" s="27" t="inlineStr">
        <is>
          <r>
            <rPr>
              <rFont val="Calibri"/>
              <i val="1"/>
              <color rgb="002B2B2B"/>
              <sz val="10"/>
            </rPr>
            <t>l</t>
          </r>
        </is>
      </c>
      <c r="E17" s="25" t="n">
        <v>4500</v>
      </c>
      <c r="F17" s="28" t="inlineStr">
        <is>
          <t>mm</t>
        </is>
      </c>
      <c r="G17" s="23" t="n"/>
    </row>
    <row r="18" ht="17" customHeight="1">
      <c r="B18" s="23" t="n"/>
      <c r="C18" s="24" t="inlineStr">
        <is>
          <t>Slab thickness</t>
        </is>
      </c>
      <c r="D18" s="27" t="inlineStr">
        <is>
          <r>
            <rPr>
              <rFont val="Calibri"/>
              <i val="1"/>
              <color rgb="002B2B2B"/>
              <sz val="10"/>
            </rPr>
            <t>h</t>
          </r>
        </is>
      </c>
      <c r="E18" s="25" t="n">
        <v>200</v>
      </c>
      <c r="F18" s="28" t="inlineStr">
        <is>
          <t>mm</t>
        </is>
      </c>
      <c r="G18" s="23" t="n"/>
    </row>
    <row r="19" ht="17" customHeight="1">
      <c r="B19" s="26" t="inlineStr">
        <is>
          <t>4.4.1</t>
        </is>
      </c>
      <c r="C19" s="24" t="inlineStr">
        <is>
          <t>Nominal cover</t>
        </is>
      </c>
      <c r="D19" s="27" t="inlineStr">
        <is>
          <r>
            <rPr>
              <rFont val="Calibri"/>
              <i val="1"/>
              <color rgb="002B2B2B"/>
              <sz val="10"/>
            </rPr>
            <t>c</t>
          </r>
          <r>
            <rPr>
              <rFont val="Calibri"/>
              <i val="1"/>
              <color rgb="002B2B2B"/>
              <sz val="10"/>
              <vertAlign val="subscript"/>
            </rPr>
            <t>nom</t>
          </r>
        </is>
      </c>
      <c r="E19" s="25" t="n">
        <v>25</v>
      </c>
      <c r="F19" s="28" t="inlineStr">
        <is>
          <t>mm</t>
        </is>
      </c>
      <c r="G19" s="23" t="n"/>
    </row>
    <row r="20" ht="17" customHeight="1">
      <c r="B20" s="23" t="n"/>
      <c r="C20" s="24" t="inlineStr">
        <is>
          <t>Bottom bars (span): diameter</t>
        </is>
      </c>
      <c r="D20" s="27" t="inlineStr">
        <is>
          <r>
            <rPr>
              <rFont val="Calibri"/>
              <i val="1"/>
              <color rgb="002B2B2B"/>
              <sz val="10"/>
            </rPr>
            <t>φ</t>
          </r>
          <r>
            <rPr>
              <rFont val="Calibri"/>
              <i val="1"/>
              <color rgb="002B2B2B"/>
              <sz val="10"/>
              <vertAlign val="subscript"/>
            </rPr>
            <t>b</t>
          </r>
        </is>
      </c>
      <c r="E20" s="25" t="n">
        <v>12</v>
      </c>
      <c r="F20" s="28" t="inlineStr">
        <is>
          <t>mm</t>
        </is>
      </c>
      <c r="G20" s="23" t="n"/>
    </row>
    <row r="21" ht="17" customHeight="1">
      <c r="B21" s="23" t="n"/>
      <c r="C21" s="24" t="inlineStr">
        <is>
          <t>Bottom bars: spacing</t>
        </is>
      </c>
      <c r="D21" s="27" t="inlineStr">
        <is>
          <r>
            <rPr>
              <rFont val="Calibri"/>
              <i val="1"/>
              <color rgb="002B2B2B"/>
              <sz val="10"/>
            </rPr>
            <t>s</t>
          </r>
          <r>
            <rPr>
              <rFont val="Calibri"/>
              <i val="1"/>
              <color rgb="002B2B2B"/>
              <sz val="10"/>
              <vertAlign val="subscript"/>
            </rPr>
            <t>b</t>
          </r>
        </is>
      </c>
      <c r="E21" s="25" t="n">
        <v>200</v>
      </c>
      <c r="F21" s="28" t="inlineStr">
        <is>
          <t>mm</t>
        </is>
      </c>
      <c r="G21" s="23" t="n"/>
    </row>
    <row r="22" ht="17" customHeight="1">
      <c r="B22" s="23" t="n"/>
      <c r="C22" s="24" t="inlineStr">
        <is>
          <t>Top bars (supports): diameter</t>
        </is>
      </c>
      <c r="D22" s="27" t="inlineStr">
        <is>
          <r>
            <rPr>
              <rFont val="Calibri"/>
              <i val="1"/>
              <color rgb="002B2B2B"/>
              <sz val="10"/>
            </rPr>
            <t>φ</t>
          </r>
          <r>
            <rPr>
              <rFont val="Calibri"/>
              <i val="1"/>
              <color rgb="002B2B2B"/>
              <sz val="10"/>
              <vertAlign val="subscript"/>
            </rPr>
            <t>t</t>
          </r>
        </is>
      </c>
      <c r="E22" s="25" t="n">
        <v>12</v>
      </c>
      <c r="F22" s="28" t="inlineStr">
        <is>
          <t>mm</t>
        </is>
      </c>
      <c r="G22" s="23" t="n"/>
    </row>
    <row r="23" ht="17" customHeight="1">
      <c r="B23" s="23" t="n"/>
      <c r="C23" s="24" t="inlineStr">
        <is>
          <t>Top bars: spacing</t>
        </is>
      </c>
      <c r="D23" s="27" t="inlineStr">
        <is>
          <r>
            <rPr>
              <rFont val="Calibri"/>
              <i val="1"/>
              <color rgb="002B2B2B"/>
              <sz val="10"/>
            </rPr>
            <t>s</t>
          </r>
          <r>
            <rPr>
              <rFont val="Calibri"/>
              <i val="1"/>
              <color rgb="002B2B2B"/>
              <sz val="10"/>
              <vertAlign val="subscript"/>
            </rPr>
            <t>t</t>
          </r>
        </is>
      </c>
      <c r="E23" s="25" t="n">
        <v>175</v>
      </c>
      <c r="F23" s="28" t="inlineStr">
        <is>
          <t>mm</t>
        </is>
      </c>
      <c r="G23" s="23" t="n"/>
    </row>
    <row r="24" ht="17" customHeight="1">
      <c r="B24" s="23" t="n"/>
      <c r="C24" s="24" t="inlineStr">
        <is>
          <t>Distribution bars: diameter</t>
        </is>
      </c>
      <c r="D24" s="27" t="inlineStr">
        <is>
          <r>
            <rPr>
              <rFont val="Calibri"/>
              <i val="1"/>
              <color rgb="002B2B2B"/>
              <sz val="10"/>
            </rPr>
            <t>φ</t>
          </r>
          <r>
            <rPr>
              <rFont val="Calibri"/>
              <i val="1"/>
              <color rgb="002B2B2B"/>
              <sz val="10"/>
              <vertAlign val="subscript"/>
            </rPr>
            <t>d</t>
          </r>
        </is>
      </c>
      <c r="E24" s="25" t="n">
        <v>10</v>
      </c>
      <c r="F24" s="28" t="inlineStr">
        <is>
          <t>mm</t>
        </is>
      </c>
      <c r="G24" s="23" t="n"/>
    </row>
    <row r="25" ht="17" customHeight="1">
      <c r="B25" s="23" t="n"/>
      <c r="C25" s="24" t="inlineStr">
        <is>
          <t>Distribution bars: spacing</t>
        </is>
      </c>
      <c r="D25" s="27" t="inlineStr">
        <is>
          <r>
            <rPr>
              <rFont val="Calibri"/>
              <i val="1"/>
              <color rgb="002B2B2B"/>
              <sz val="10"/>
            </rPr>
            <t>s</t>
          </r>
          <r>
            <rPr>
              <rFont val="Calibri"/>
              <i val="1"/>
              <color rgb="002B2B2B"/>
              <sz val="10"/>
              <vertAlign val="subscript"/>
            </rPr>
            <t>d</t>
          </r>
        </is>
      </c>
      <c r="E25" s="25" t="n">
        <v>300</v>
      </c>
      <c r="F25" s="28" t="inlineStr">
        <is>
          <t>mm</t>
        </is>
      </c>
      <c r="G25" s="23" t="n"/>
    </row>
    <row r="27" ht="22" customHeight="1">
      <c r="B27" s="20" t="inlineStr">
        <is>
          <t>Inputs  ·  loads</t>
        </is>
      </c>
      <c r="C27" s="21" t="n"/>
      <c r="D27" s="21" t="n"/>
      <c r="E27" s="21" t="n"/>
      <c r="F27" s="21" t="n"/>
      <c r="G27" s="22" t="inlineStr">
        <is>
          <t>Characteristic, per m²</t>
        </is>
      </c>
    </row>
    <row r="28" ht="17" customHeight="1">
      <c r="B28" s="23" t="n"/>
      <c r="C28" s="24" t="inlineStr">
        <is>
          <t>Permanent load in addition to the self weight</t>
        </is>
      </c>
      <c r="D28" s="27" t="inlineStr">
        <is>
          <r>
            <rPr>
              <rFont val="Calibri"/>
              <i val="1"/>
              <color rgb="002B2B2B"/>
              <sz val="10"/>
            </rPr>
            <t>g</t>
          </r>
          <r>
            <rPr>
              <rFont val="Calibri"/>
              <i val="1"/>
              <color rgb="002B2B2B"/>
              <sz val="10"/>
              <vertAlign val="subscript"/>
            </rPr>
            <t>k</t>
          </r>
        </is>
      </c>
      <c r="E28" s="29" t="n">
        <v>1.5</v>
      </c>
      <c r="F28" s="28" t="inlineStr">
        <is>
          <t>kN/m²</t>
        </is>
      </c>
      <c r="G28" s="23" t="n"/>
    </row>
    <row r="29" ht="17" customHeight="1">
      <c r="B29" s="23" t="n"/>
      <c r="C29" s="24" t="inlineStr">
        <is>
          <t>Variable load</t>
        </is>
      </c>
      <c r="D29" s="27" t="inlineStr">
        <is>
          <r>
            <rPr>
              <rFont val="Calibri"/>
              <i val="1"/>
              <color rgb="002B2B2B"/>
              <sz val="10"/>
            </rPr>
            <t>q</t>
          </r>
          <r>
            <rPr>
              <rFont val="Calibri"/>
              <i val="1"/>
              <color rgb="002B2B2B"/>
              <sz val="10"/>
              <vertAlign val="subscript"/>
            </rPr>
            <t>k</t>
          </r>
        </is>
      </c>
      <c r="E29" s="29" t="n">
        <v>2.5</v>
      </c>
      <c r="F29" s="28" t="inlineStr">
        <is>
          <t>kN/m²</t>
        </is>
      </c>
      <c r="G29" s="23" t="n"/>
    </row>
    <row r="30" ht="17" customHeight="1">
      <c r="B30" s="26" t="inlineStr">
        <is>
          <t>EN 1990 A1.2(B)</t>
        </is>
      </c>
      <c r="C30" s="24" t="inlineStr">
        <is>
          <t>Partial factor, permanent</t>
        </is>
      </c>
      <c r="D30" s="27" t="inlineStr">
        <is>
          <r>
            <rPr>
              <rFont val="Calibri"/>
              <i val="1"/>
              <color rgb="002B2B2B"/>
              <sz val="10"/>
            </rPr>
            <t>γ</t>
          </r>
          <r>
            <rPr>
              <rFont val="Calibri"/>
              <i val="1"/>
              <color rgb="002B2B2B"/>
              <sz val="10"/>
              <vertAlign val="subscript"/>
            </rPr>
            <t>G</t>
          </r>
        </is>
      </c>
      <c r="E30" s="29" t="n">
        <v>1.35</v>
      </c>
      <c r="F30" s="23" t="n"/>
      <c r="G30" s="23" t="n"/>
    </row>
    <row r="31" ht="17" customHeight="1">
      <c r="B31" s="26" t="inlineStr">
        <is>
          <t>EN 1990 A1.2(B)</t>
        </is>
      </c>
      <c r="C31" s="24" t="inlineStr">
        <is>
          <t>Partial factor, variable</t>
        </is>
      </c>
      <c r="D31" s="27" t="inlineStr">
        <is>
          <r>
            <rPr>
              <rFont val="Calibri"/>
              <i val="1"/>
              <color rgb="002B2B2B"/>
              <sz val="10"/>
            </rPr>
            <t>γ</t>
          </r>
          <r>
            <rPr>
              <rFont val="Calibri"/>
              <i val="1"/>
              <color rgb="002B2B2B"/>
              <sz val="10"/>
              <vertAlign val="subscript"/>
            </rPr>
            <t>Q</t>
          </r>
        </is>
      </c>
      <c r="E31" s="29" t="n">
        <v>1.5</v>
      </c>
      <c r="F31" s="23" t="n"/>
      <c r="G31" s="23" t="n"/>
    </row>
    <row r="32" ht="17" customHeight="1">
      <c r="B32" s="26" t="inlineStr">
        <is>
          <t>7.4.2(2)</t>
        </is>
      </c>
      <c r="C32" s="24" t="inlineStr">
        <is>
          <t>Brittle partitions on a span over 7 m?</t>
        </is>
      </c>
      <c r="D32" s="23" t="n"/>
      <c r="E32" s="25" t="inlineStr">
        <is>
          <t>No</t>
        </is>
      </c>
      <c r="F32" s="23" t="n"/>
      <c r="G32" s="23" t="n"/>
    </row>
    <row r="33" ht="17" customHeight="1">
      <c r="B33" s="23" t="n"/>
      <c r="C33" s="24" t="inlineStr">
        <is>
          <t>Inputs valid and consistent</t>
        </is>
      </c>
      <c r="D33" s="23" t="n"/>
      <c r="E33" s="9" t="n"/>
      <c r="F33" s="23" t="n"/>
      <c r="G33" s="30">
        <f>IF(inputs_ok,"OK","FAIL")</f>
        <v/>
      </c>
    </row>
    <row r="35">
      <c r="B35" s="31" t="inlineStr">
        <is>
          <t>Your slab strip, to scale  ·  elevation, load and design moments (schematic envelope: sagging below, hogging above)</t>
        </is>
      </c>
    </row>
    <row r="56">
      <c r="B56" s="31" t="inlineStr">
        <is>
          <t>1 m strip, to scale  ·  main bars (span bottom, support top) and distribution bars on the main tension face</t>
        </is>
      </c>
    </row>
    <row r="73" ht="22" customHeight="1">
      <c r="B73" s="20" t="inlineStr">
        <is>
          <t>Results</t>
        </is>
      </c>
      <c r="C73" s="21" t="n"/>
      <c r="D73" s="21" t="n"/>
      <c r="E73" s="21" t="n"/>
      <c r="F73" s="21" t="n"/>
      <c r="G73" s="21" t="n"/>
    </row>
    <row r="74" ht="26" customHeight="1">
      <c r="B74" s="32" t="n"/>
      <c r="C74" s="33" t="inlineStr">
        <is>
          <t>Span bending  As,req / As,prov</t>
        </is>
      </c>
      <c r="D74" s="32" t="n"/>
      <c r="E74" s="34">
        <f>IF(sys_i=6,"–",IFERROR(MAX(Asr_sp,As_minb)/Asp_sp,"–"))</f>
        <v/>
      </c>
      <c r="F74" s="35" t="inlineStr"/>
      <c r="G74" s="36">
        <f>IF(NOT(inputs_ok),"FAIL",IF(NOT(coef_ok),"FAIL",IF(sys_i=6,"n/a",IF(span_ok,"OK","FAIL"))))</f>
        <v/>
      </c>
    </row>
    <row r="75" ht="26" customHeight="1">
      <c r="B75" s="32" t="n"/>
      <c r="C75" s="33" t="inlineStr">
        <is>
          <t>Support bending  As,req / As,prov  (simple support: 25 % of the span bars)</t>
        </is>
      </c>
      <c r="D75" s="32" t="n"/>
      <c r="E75" s="34">
        <f>IFERROR(IF(M_su&gt;0,MAX(Asr_su,As_mint),0.25*Asr_sp)/Asp_su,"–")</f>
        <v/>
      </c>
      <c r="F75" s="35" t="inlineStr"/>
      <c r="G75" s="36">
        <f>IF(NOT(inputs_ok),"FAIL",IF(NOT(coef_ok),"FAIL",IF(sup_ok,"OK","FAIL")))</f>
        <v/>
      </c>
    </row>
    <row r="76" ht="26" customHeight="1">
      <c r="B76" s="32" t="n"/>
      <c r="C76" s="33" t="inlineStr">
        <is>
          <t>Shear without links  VEd / VRd,c  (worse support)</t>
        </is>
      </c>
      <c r="D76" s="32" t="n"/>
      <c r="E76" s="34">
        <f>v_ut</f>
        <v/>
      </c>
      <c r="F76" s="35" t="inlineStr"/>
      <c r="G76" s="36">
        <f>IF(NOT(inputs_ok),"FAIL",IF(NOT(coef_ok),"FAIL",IF(v_ut&lt;=1,"OK","FAIL")))</f>
        <v/>
      </c>
    </row>
    <row r="77" ht="26" customHeight="1">
      <c r="B77" s="32" t="n"/>
      <c r="C77" s="33" t="inlineStr">
        <is>
          <t>Deflection  actual l/d ÷ limiting l/d</t>
        </is>
      </c>
      <c r="D77" s="32" t="n"/>
      <c r="E77" s="34">
        <f>IFERROR(ld_act/ld_lim,"–")</f>
        <v/>
      </c>
      <c r="F77" s="35" t="inlineStr"/>
      <c r="G77" s="36">
        <f>IF(NOT(inputs_ok),"FAIL",IF(NOT(coef_ok),"FAIL",IF(AND(IF(sys_i=6,TRUE,span_ok),sup_ok,IFERROR(ld_act&lt;=ld_lim,FALSE)),"OK","FAIL")))</f>
        <v/>
      </c>
    </row>
    <row r="78" ht="26" customHeight="1">
      <c r="B78" s="32" t="n"/>
      <c r="C78" s="33" t="inlineStr">
        <is>
          <t>Detailing  (distribution bars, clear gaps, As,max)</t>
        </is>
      </c>
      <c r="D78" s="32" t="n"/>
      <c r="E78" s="37">
        <f>Asp_d</f>
        <v/>
      </c>
      <c r="F78" s="35" t="inlineStr">
        <is>
          <t>mm²/m</t>
        </is>
      </c>
      <c r="G78" s="36">
        <f>IF(NOT(inputs_ok),"FAIL",IF(det_sl,"OK","FAIL"))</f>
        <v/>
      </c>
    </row>
    <row r="79" ht="26" customHeight="1">
      <c r="B79" s="32" t="n"/>
      <c r="C79" s="33" t="inlineStr">
        <is>
          <t>Table 15.2 conditions  (continuous spans)  Qk / Gk</t>
        </is>
      </c>
      <c r="D79" s="32" t="n"/>
      <c r="E79" s="34">
        <f>qk_sl/(gk_sl+g_sw)</f>
        <v/>
      </c>
      <c r="F79" s="35" t="inlineStr"/>
      <c r="G79" s="36">
        <f>IF(NOT(inputs_ok),"FAIL",IF(NOT(cont),"n/a",IF(coef_ok,"OK","FAIL")))</f>
        <v/>
      </c>
    </row>
    <row r="80" ht="29" customHeight="1">
      <c r="B80" s="38" t="inlineStr">
        <is>
          <t>If the Table 15.2 conditions are not met, every result based on the coefficients fails: analyse the slab (e.g. continuous beam analysis) instead.</t>
        </is>
      </c>
    </row>
    <row r="82" ht="22" customHeight="1">
      <c r="B82" s="20" t="inlineStr">
        <is>
          <t>Calculation  ·  loads and actions  (per m width)</t>
        </is>
      </c>
      <c r="C82" s="21" t="n"/>
      <c r="D82" s="21" t="n"/>
      <c r="E82" s="21" t="n"/>
      <c r="F82" s="21" t="n"/>
      <c r="G82" s="21" t="n"/>
    </row>
    <row r="83" ht="17" customHeight="1">
      <c r="B83" s="26" t="inlineStr">
        <is>
          <t>2.4.2.4(1)</t>
        </is>
      </c>
      <c r="C83" s="24" t="inlineStr">
        <is>
          <t>Partial factor, concrete</t>
        </is>
      </c>
      <c r="D83" s="27" t="inlineStr">
        <is>
          <r>
            <rPr>
              <rFont val="Calibri"/>
              <i val="1"/>
              <color rgb="002B2B2B"/>
              <sz val="10"/>
            </rPr>
            <t>γ</t>
          </r>
          <r>
            <rPr>
              <rFont val="Calibri"/>
              <i val="1"/>
              <color rgb="002B2B2B"/>
              <sz val="10"/>
              <vertAlign val="subscript"/>
            </rPr>
            <t>c</t>
          </r>
        </is>
      </c>
      <c r="E83" s="39">
        <f>ndp_gamma_c</f>
        <v/>
      </c>
      <c r="F83" s="23" t="n"/>
      <c r="G83" s="26" t="inlineStr">
        <is>
          <t>NDP sheet</t>
        </is>
      </c>
    </row>
    <row r="84" ht="17" customHeight="1">
      <c r="B84" s="26" t="inlineStr">
        <is>
          <t>2.4.2.4(1)</t>
        </is>
      </c>
      <c r="C84" s="24" t="inlineStr">
        <is>
          <t>Partial factor, reinforcement</t>
        </is>
      </c>
      <c r="D84" s="27" t="inlineStr">
        <is>
          <r>
            <rPr>
              <rFont val="Calibri"/>
              <i val="1"/>
              <color rgb="002B2B2B"/>
              <sz val="10"/>
            </rPr>
            <t>γ</t>
          </r>
          <r>
            <rPr>
              <rFont val="Calibri"/>
              <i val="1"/>
              <color rgb="002B2B2B"/>
              <sz val="10"/>
              <vertAlign val="subscript"/>
            </rPr>
            <t>s</t>
          </r>
        </is>
      </c>
      <c r="E84" s="39">
        <f>ndp_gamma_s</f>
        <v/>
      </c>
      <c r="F84" s="23" t="n"/>
      <c r="G84" s="26" t="inlineStr">
        <is>
          <t>NDP sheet</t>
        </is>
      </c>
    </row>
    <row r="85" ht="17" customHeight="1">
      <c r="B85" s="26" t="inlineStr">
        <is>
          <t>3.1.6(1)</t>
        </is>
      </c>
      <c r="C85" s="24" t="inlineStr">
        <is>
          <t>Coefficient on compressive strength (flexure)</t>
        </is>
      </c>
      <c r="D85" s="27" t="inlineStr">
        <is>
          <r>
            <rPr>
              <rFont val="Calibri"/>
              <i val="1"/>
              <color rgb="002B2B2B"/>
              <sz val="10"/>
            </rPr>
            <t>α</t>
          </r>
          <r>
            <rPr>
              <rFont val="Calibri"/>
              <i val="1"/>
              <color rgb="002B2B2B"/>
              <sz val="10"/>
              <vertAlign val="subscript"/>
            </rPr>
            <t>cc</t>
          </r>
        </is>
      </c>
      <c r="E85" s="39">
        <f>ndp_alpha_cc</f>
        <v/>
      </c>
      <c r="F85" s="23" t="n"/>
      <c r="G85" s="26" t="inlineStr">
        <is>
          <t>NDP sheet</t>
        </is>
      </c>
    </row>
    <row r="86" ht="17" customHeight="1">
      <c r="B86" s="26" t="inlineStr">
        <is>
          <t>6.2.2(1), 6.4.4(1)</t>
        </is>
      </c>
      <c r="C86" s="24" t="inlineStr">
        <is>
          <t>Coefficient  0.18 / γc</t>
        </is>
      </c>
      <c r="D86" s="27" t="inlineStr">
        <is>
          <r>
            <rPr>
              <rFont val="Calibri"/>
              <i val="1"/>
              <color rgb="002B2B2B"/>
              <sz val="10"/>
            </rPr>
            <t>C</t>
          </r>
          <r>
            <rPr>
              <rFont val="Calibri"/>
              <i val="1"/>
              <color rgb="002B2B2B"/>
              <sz val="10"/>
              <vertAlign val="subscript"/>
            </rPr>
            <t>Rd,c</t>
          </r>
        </is>
      </c>
      <c r="E86" s="40">
        <f>ndp_C_Rdc/ndp_gamma_c</f>
        <v/>
      </c>
      <c r="F86" s="23" t="n"/>
      <c r="G86" s="26" t="inlineStr">
        <is>
          <t>NDP sheet</t>
        </is>
      </c>
    </row>
    <row r="87" ht="17" customHeight="1">
      <c r="B87" s="26" t="inlineStr">
        <is>
          <t>5.5(4)</t>
        </is>
      </c>
      <c r="C87" s="24" t="inlineStr">
        <is>
          <t>Coefficient for x/d limit</t>
        </is>
      </c>
      <c r="D87" s="27" t="inlineStr">
        <is>
          <r>
            <rPr>
              <rFont val="Calibri"/>
              <i val="1"/>
              <color rgb="002B2B2B"/>
              <sz val="10"/>
            </rPr>
            <t>k</t>
          </r>
          <r>
            <rPr>
              <rFont val="Calibri"/>
              <i val="1"/>
              <color rgb="002B2B2B"/>
              <sz val="10"/>
              <vertAlign val="subscript"/>
            </rPr>
            <t>1</t>
          </r>
        </is>
      </c>
      <c r="E87" s="39">
        <f>ndp_k1_red</f>
        <v/>
      </c>
      <c r="F87" s="23" t="n"/>
      <c r="G87" s="26" t="inlineStr">
        <is>
          <t>NDP sheet</t>
        </is>
      </c>
    </row>
    <row r="88" ht="17" customHeight="1">
      <c r="B88" s="26" t="inlineStr">
        <is>
          <t>5.5(4)</t>
        </is>
      </c>
      <c r="C88" s="24" t="inlineStr">
        <is>
          <t>Coefficient for x/d limit</t>
        </is>
      </c>
      <c r="D88" s="27" t="inlineStr">
        <is>
          <r>
            <rPr>
              <rFont val="Calibri"/>
              <i val="1"/>
              <color rgb="002B2B2B"/>
              <sz val="10"/>
            </rPr>
            <t>k</t>
          </r>
          <r>
            <rPr>
              <rFont val="Calibri"/>
              <i val="1"/>
              <color rgb="002B2B2B"/>
              <sz val="10"/>
              <vertAlign val="subscript"/>
            </rPr>
            <t>2</t>
          </r>
        </is>
      </c>
      <c r="E88" s="39">
        <f>ndp_k2_red</f>
        <v/>
      </c>
      <c r="F88" s="23" t="n"/>
      <c r="G88" s="26" t="inlineStr">
        <is>
          <t>NDP sheet</t>
        </is>
      </c>
    </row>
    <row r="89" ht="17" customHeight="1">
      <c r="B89" s="26" t="inlineStr">
        <is>
          <t>7.4.2(2)</t>
        </is>
      </c>
      <c r="C89" s="24" t="inlineStr">
        <is>
          <t>Upper limit on the stress / area factor</t>
        </is>
      </c>
      <c r="D89" s="23" t="n"/>
      <c r="E89" s="39">
        <f>ndp_ld_mod_max</f>
        <v/>
      </c>
      <c r="F89" s="23" t="n"/>
      <c r="G89" s="26" t="inlineStr">
        <is>
          <t>NDP sheet</t>
        </is>
      </c>
    </row>
    <row r="90" ht="17" customHeight="1">
      <c r="B90" s="26" t="inlineStr">
        <is>
          <t>7.4.2(2)</t>
        </is>
      </c>
      <c r="C90" s="24" t="inlineStr">
        <is>
          <t>L/d ≤ 40K applies (1 = yes)</t>
        </is>
      </c>
      <c r="D90" s="23" t="n"/>
      <c r="E90" s="39">
        <f>ndp_ld_cap_40K</f>
        <v/>
      </c>
      <c r="F90" s="23" t="n"/>
      <c r="G90" s="26" t="inlineStr">
        <is>
          <t>NDP sheet</t>
        </is>
      </c>
    </row>
    <row r="91" ht="17" customHeight="1">
      <c r="B91" s="26" t="inlineStr">
        <is>
          <t>Table 3.1</t>
        </is>
      </c>
      <c r="C91" s="24" t="inlineStr">
        <is>
          <t>Characteristic cylinder strength</t>
        </is>
      </c>
      <c r="D91" s="27" t="inlineStr">
        <is>
          <r>
            <rPr>
              <rFont val="Calibri"/>
              <i val="1"/>
              <color rgb="002B2B2B"/>
              <sz val="10"/>
            </rPr>
            <t>f</t>
          </r>
          <r>
            <rPr>
              <rFont val="Calibri"/>
              <i val="1"/>
              <color rgb="002B2B2B"/>
              <sz val="10"/>
              <vertAlign val="subscript"/>
            </rPr>
            <t>ck</t>
          </r>
        </is>
      </c>
      <c r="E91" s="41">
        <f>VALUE(MID(conc_class,2,FIND("/",conc_class)-2))</f>
        <v/>
      </c>
      <c r="F91" s="28" t="inlineStr">
        <is>
          <t>MPa</t>
        </is>
      </c>
      <c r="G91" s="23" t="n"/>
    </row>
    <row r="92" ht="17" customHeight="1">
      <c r="B92" s="26" t="inlineStr">
        <is>
          <t>Table 3.1</t>
        </is>
      </c>
      <c r="C92" s="24" t="inlineStr">
        <is>
          <t>Mean tensile strength</t>
        </is>
      </c>
      <c r="D92" s="27" t="inlineStr">
        <is>
          <r>
            <rPr>
              <rFont val="Calibri"/>
              <i val="1"/>
              <color rgb="002B2B2B"/>
              <sz val="10"/>
            </rPr>
            <t>f</t>
          </r>
          <r>
            <rPr>
              <rFont val="Calibri"/>
              <i val="1"/>
              <color rgb="002B2B2B"/>
              <sz val="10"/>
              <vertAlign val="subscript"/>
            </rPr>
            <t>ctm</t>
          </r>
        </is>
      </c>
      <c r="E92" s="39">
        <f>IF(f_ck&lt;=50,0.3*f_ck^(2/3),2.12*LN(1+(f_ck+8)/10))</f>
        <v/>
      </c>
      <c r="F92" s="28" t="inlineStr">
        <is>
          <t>MPa</t>
        </is>
      </c>
      <c r="G92" s="23" t="n"/>
    </row>
    <row r="93" ht="17" customHeight="1">
      <c r="B93" s="26" t="inlineStr">
        <is>
          <t>3.1.6(1)</t>
        </is>
      </c>
      <c r="C93" s="24" t="inlineStr">
        <is>
          <t>Design compressive strength  αcc fck / γc</t>
        </is>
      </c>
      <c r="D93" s="27" t="inlineStr">
        <is>
          <r>
            <rPr>
              <rFont val="Calibri"/>
              <i val="1"/>
              <color rgb="002B2B2B"/>
              <sz val="10"/>
            </rPr>
            <t>f</t>
          </r>
          <r>
            <rPr>
              <rFont val="Calibri"/>
              <i val="1"/>
              <color rgb="002B2B2B"/>
              <sz val="10"/>
              <vertAlign val="subscript"/>
            </rPr>
            <t>cd</t>
          </r>
        </is>
      </c>
      <c r="E93" s="39">
        <f>alpha_cc*f_ck/gamma_c</f>
        <v/>
      </c>
      <c r="F93" s="28" t="inlineStr">
        <is>
          <t>MPa</t>
        </is>
      </c>
      <c r="G93" s="23" t="n"/>
    </row>
    <row r="94" ht="17" customHeight="1">
      <c r="B94" s="26" t="inlineStr">
        <is>
          <t>3.2.7</t>
        </is>
      </c>
      <c r="C94" s="24" t="inlineStr">
        <is>
          <t>Design yield strength</t>
        </is>
      </c>
      <c r="D94" s="27" t="inlineStr">
        <is>
          <r>
            <rPr>
              <rFont val="Calibri"/>
              <i val="1"/>
              <color rgb="002B2B2B"/>
              <sz val="10"/>
            </rPr>
            <t>f</t>
          </r>
          <r>
            <rPr>
              <rFont val="Calibri"/>
              <i val="1"/>
              <color rgb="002B2B2B"/>
              <sz val="10"/>
              <vertAlign val="subscript"/>
            </rPr>
            <t>yd</t>
          </r>
        </is>
      </c>
      <c r="E94" s="42">
        <f>f_yk/gamma_s</f>
        <v/>
      </c>
      <c r="F94" s="28" t="inlineStr">
        <is>
          <t>MPa</t>
        </is>
      </c>
      <c r="G94" s="23" t="n"/>
    </row>
    <row r="95" ht="17" customHeight="1">
      <c r="B95" s="23" t="n"/>
      <c r="C95" s="24" t="inlineStr">
        <is>
          <t>Self weight  25 h</t>
        </is>
      </c>
      <c r="D95" s="27" t="inlineStr">
        <is>
          <r>
            <rPr>
              <rFont val="Calibri"/>
              <i val="1"/>
              <color rgb="002B2B2B"/>
              <sz val="10"/>
            </rPr>
            <t>g</t>
          </r>
          <r>
            <rPr>
              <rFont val="Calibri"/>
              <i val="1"/>
              <color rgb="002B2B2B"/>
              <sz val="10"/>
              <vertAlign val="subscript"/>
            </rPr>
            <t>sw</t>
          </r>
        </is>
      </c>
      <c r="E95" s="39">
        <f>25*h_sl/1000</f>
        <v/>
      </c>
      <c r="F95" s="28" t="inlineStr">
        <is>
          <t>kN/m²</t>
        </is>
      </c>
      <c r="G95" s="23" t="n"/>
    </row>
    <row r="96" ht="17" customHeight="1">
      <c r="B96" s="26" t="inlineStr">
        <is>
          <t>EN 1990 (6.10)</t>
        </is>
      </c>
      <c r="C96" s="24" t="inlineStr">
        <is>
          <t>Design load  γG (gk + gsw) + γQ qk</t>
        </is>
      </c>
      <c r="D96" s="27" t="inlineStr">
        <is>
          <r>
            <rPr>
              <rFont val="Calibri"/>
              <i val="1"/>
              <color rgb="002B2B2B"/>
              <sz val="10"/>
            </rPr>
            <t>n</t>
          </r>
        </is>
      </c>
      <c r="E96" s="39">
        <f>gamma_G*(gk_sl+g_sw)+gamma_Q*qk_sl</f>
        <v/>
      </c>
      <c r="F96" s="28" t="inlineStr">
        <is>
          <t>kN/m²</t>
        </is>
      </c>
      <c r="G96" s="23" t="n"/>
    </row>
    <row r="97" ht="17" customHeight="1">
      <c r="B97" s="23" t="n"/>
      <c r="C97" s="24" t="inlineStr">
        <is>
          <t>Total load on the span  F = n l</t>
        </is>
      </c>
      <c r="D97" s="27" t="inlineStr">
        <is>
          <r>
            <rPr>
              <rFont val="Calibri"/>
              <i val="1"/>
              <color rgb="002B2B2B"/>
              <sz val="10"/>
            </rPr>
            <t>F</t>
          </r>
        </is>
      </c>
      <c r="E97" s="42">
        <f>n_sl*L_sl/1000</f>
        <v/>
      </c>
      <c r="F97" s="28" t="inlineStr">
        <is>
          <t>kN/m</t>
        </is>
      </c>
      <c r="G97" s="23" t="n"/>
    </row>
    <row r="98" ht="17" customHeight="1">
      <c r="B98" s="26" t="inlineStr">
        <is>
          <t>Table 15.2</t>
        </is>
      </c>
      <c r="C98" s="24" t="inlineStr">
        <is>
          <t>Span moment  (coefficient × F l)</t>
        </is>
      </c>
      <c r="D98" s="27" t="inlineStr">
        <is>
          <r>
            <rPr>
              <rFont val="Calibri"/>
              <i val="1"/>
              <color rgb="002B2B2B"/>
              <sz val="10"/>
            </rPr>
            <t>M</t>
          </r>
          <r>
            <rPr>
              <rFont val="Calibri"/>
              <i val="1"/>
              <color rgb="002B2B2B"/>
              <sz val="10"/>
              <vertAlign val="subscript"/>
            </rPr>
            <t>span</t>
          </r>
        </is>
      </c>
      <c r="E98" s="43">
        <f>CHOOSE(sys_i,0.125,0.086,0.075,0.063,0.063,0,0.063)*F_sl*L_sl/1000</f>
        <v/>
      </c>
      <c r="F98" s="28" t="inlineStr">
        <is>
          <t>kNm/m</t>
        </is>
      </c>
      <c r="G98" s="23" t="n"/>
    </row>
    <row r="99" ht="17" customHeight="1">
      <c r="B99" s="26" t="inlineStr">
        <is>
          <t>Table 15.2</t>
        </is>
      </c>
      <c r="C99" s="24" t="inlineStr">
        <is>
          <t>Left support moment  (hogging; cantilever: at the root)</t>
        </is>
      </c>
      <c r="D99" s="27" t="inlineStr">
        <is>
          <r>
            <rPr>
              <rFont val="Calibri"/>
              <i val="1"/>
              <color rgb="002B2B2B"/>
              <sz val="10"/>
            </rPr>
            <t>M</t>
          </r>
          <r>
            <rPr>
              <rFont val="Calibri"/>
              <i val="1"/>
              <color rgb="002B2B2B"/>
              <sz val="10"/>
              <vertAlign val="subscript"/>
            </rPr>
            <t>left</t>
          </r>
        </is>
      </c>
      <c r="E99" s="42">
        <f>CHOOSE(sys_i,0,0,0.04,0.086,0.063,0.5,0.086)*F_sl*L_sl/1000</f>
        <v/>
      </c>
      <c r="F99" s="28" t="inlineStr">
        <is>
          <t>kNm/m</t>
        </is>
      </c>
      <c r="G99" s="23" t="n"/>
    </row>
    <row r="100" ht="17" customHeight="1">
      <c r="B100" s="26" t="inlineStr">
        <is>
          <t>Table 15.2</t>
        </is>
      </c>
      <c r="C100" s="24" t="inlineStr">
        <is>
          <t>Right support moment  (hogging)</t>
        </is>
      </c>
      <c r="D100" s="27" t="inlineStr">
        <is>
          <r>
            <rPr>
              <rFont val="Calibri"/>
              <i val="1"/>
              <color rgb="002B2B2B"/>
              <sz val="10"/>
            </rPr>
            <t>M</t>
          </r>
          <r>
            <rPr>
              <rFont val="Calibri"/>
              <i val="1"/>
              <color rgb="002B2B2B"/>
              <sz val="10"/>
              <vertAlign val="subscript"/>
            </rPr>
            <t>right</t>
          </r>
        </is>
      </c>
      <c r="E100" s="42">
        <f>CHOOSE(sys_i,0,0.086,0.086,0.063,0.063,0,0.086)*F_sl*L_sl/1000</f>
        <v/>
      </c>
      <c r="F100" s="28" t="inlineStr">
        <is>
          <t>kNm/m</t>
        </is>
      </c>
      <c r="G100" s="23" t="n"/>
    </row>
    <row r="101" ht="17" customHeight="1">
      <c r="B101" s="26" t="inlineStr">
        <is>
          <t>Table 15.2</t>
        </is>
      </c>
      <c r="C101" s="24" t="inlineStr">
        <is>
          <t>Shear at the left support</t>
        </is>
      </c>
      <c r="D101" s="27" t="inlineStr">
        <is>
          <r>
            <rPr>
              <rFont val="Calibri"/>
              <i val="1"/>
              <color rgb="002B2B2B"/>
              <sz val="10"/>
            </rPr>
            <t>V</t>
          </r>
          <r>
            <rPr>
              <rFont val="Calibri"/>
              <i val="1"/>
              <color rgb="002B2B2B"/>
              <sz val="10"/>
              <vertAlign val="subscript"/>
            </rPr>
            <t>left</t>
          </r>
        </is>
      </c>
      <c r="E101" s="42">
        <f>CHOOSE(sys_i,0.5,0.4,0.46,0.6,0.5,1.0,0.6)*F_sl</f>
        <v/>
      </c>
      <c r="F101" s="28" t="inlineStr">
        <is>
          <t>kN/m</t>
        </is>
      </c>
      <c r="G101" s="23" t="n"/>
    </row>
    <row r="102" ht="17" customHeight="1">
      <c r="B102" s="26" t="inlineStr">
        <is>
          <t>Table 15.2</t>
        </is>
      </c>
      <c r="C102" s="24" t="inlineStr">
        <is>
          <t>Shear at the right support</t>
        </is>
      </c>
      <c r="D102" s="27" t="inlineStr">
        <is>
          <r>
            <rPr>
              <rFont val="Calibri"/>
              <i val="1"/>
              <color rgb="002B2B2B"/>
              <sz val="10"/>
            </rPr>
            <t>V</t>
          </r>
          <r>
            <rPr>
              <rFont val="Calibri"/>
              <i val="1"/>
              <color rgb="002B2B2B"/>
              <sz val="10"/>
              <vertAlign val="subscript"/>
            </rPr>
            <t>right</t>
          </r>
        </is>
      </c>
      <c r="E102" s="42">
        <f>CHOOSE(sys_i,0.5,0.6,0.6,0.5,0.5,0,0.6)*F_sl</f>
        <v/>
      </c>
      <c r="F102" s="28" t="inlineStr">
        <is>
          <t>kN/m</t>
        </is>
      </c>
      <c r="G102" s="23" t="n"/>
    </row>
    <row r="104" ht="22" customHeight="1">
      <c r="B104" s="20" t="inlineStr">
        <is>
          <t>Calculation  ·  bending</t>
        </is>
      </c>
      <c r="C104" s="21" t="n"/>
      <c r="D104" s="21" t="n"/>
      <c r="E104" s="21" t="n"/>
      <c r="F104" s="21" t="n"/>
      <c r="G104" s="21" t="n"/>
    </row>
    <row r="105" ht="17" customHeight="1">
      <c r="B105" s="26" t="inlineStr">
        <is>
          <t>5.5(4)</t>
        </is>
      </c>
      <c r="C105" s="24" t="inlineStr">
        <is>
          <t>Redistribution ratio implied  (1.0, or 0.8 for Table 15.2)</t>
        </is>
      </c>
      <c r="D105" s="27" t="inlineStr">
        <is>
          <r>
            <rPr>
              <rFont val="Calibri"/>
              <i val="1"/>
              <color rgb="002B2B2B"/>
              <sz val="10"/>
            </rPr>
            <t>δ</t>
          </r>
        </is>
      </c>
      <c r="E105" s="39">
        <f>CHOOSE(sys_i,1.0,0.8,0.8,0.8,0.8,1.0,0.8)</f>
        <v/>
      </c>
      <c r="F105" s="23" t="n"/>
      <c r="G105" s="23" t="n"/>
    </row>
    <row r="106" ht="17" customHeight="1">
      <c r="B106" s="26" t="inlineStr">
        <is>
          <t>5.5(4)</t>
        </is>
      </c>
      <c r="C106" s="24" t="inlineStr">
        <is>
          <t>Limiting neutral axis depth  min((δ − k1)/k2; εcu/(εcu + εyd))</t>
        </is>
      </c>
      <c r="D106" s="27" t="inlineStr">
        <is>
          <r>
            <rPr>
              <rFont val="Calibri"/>
              <i val="1"/>
              <color rgb="002B2B2B"/>
              <sz val="10"/>
            </rPr>
            <t>x</t>
          </r>
          <r>
            <rPr>
              <rFont val="Calibri"/>
              <i val="1"/>
              <color rgb="002B2B2B"/>
              <sz val="10"/>
              <vertAlign val="subscript"/>
            </rPr>
            <t>u/d</t>
          </r>
        </is>
      </c>
      <c r="E106" s="40">
        <f>MIN((delta_sl-k1_red)/k2_red,0.0035/(0.0035+f_yd/200000))</f>
        <v/>
      </c>
      <c r="F106" s="23" t="n"/>
      <c r="G106" s="23" t="n"/>
    </row>
    <row r="107" ht="17" customHeight="1">
      <c r="B107" s="26" t="inlineStr">
        <is>
          <t>3.1.7(3)</t>
        </is>
      </c>
      <c r="C107" s="24" t="inlineStr">
        <is>
          <t>Limiting K  (αcc/γc) 0.8ξ (1 − 0.4ξ)</t>
        </is>
      </c>
      <c r="D107" s="27" t="inlineStr">
        <is>
          <r>
            <rPr>
              <rFont val="Calibri"/>
              <i val="1"/>
              <color rgb="002B2B2B"/>
              <sz val="10"/>
            </rPr>
            <t>K'</t>
          </r>
        </is>
      </c>
      <c r="E107" s="40">
        <f>alpha_cc/gamma_c*0.8*xi_sl*(1-0.4*xi_sl)</f>
        <v/>
      </c>
      <c r="F107" s="23" t="n"/>
      <c r="G107" s="23" t="n"/>
    </row>
    <row r="108" ht="17" customHeight="1">
      <c r="B108" s="23" t="n"/>
      <c r="C108" s="24" t="inlineStr">
        <is>
          <t>Effective depth, bottom bars  h − c − φb/2</t>
        </is>
      </c>
      <c r="D108" s="27" t="inlineStr">
        <is>
          <r>
            <rPr>
              <rFont val="Calibri"/>
              <i val="1"/>
              <color rgb="002B2B2B"/>
              <sz val="10"/>
            </rPr>
            <t>d</t>
          </r>
          <r>
            <rPr>
              <rFont val="Calibri"/>
              <i val="1"/>
              <color rgb="002B2B2B"/>
              <sz val="10"/>
              <vertAlign val="subscript"/>
            </rPr>
            <t>b</t>
          </r>
        </is>
      </c>
      <c r="E108" s="41">
        <f>h_sl-c_nom-phi_b/2</f>
        <v/>
      </c>
      <c r="F108" s="28" t="inlineStr">
        <is>
          <t>mm</t>
        </is>
      </c>
      <c r="G108" s="23" t="n"/>
    </row>
    <row r="109" ht="17" customHeight="1">
      <c r="B109" s="23" t="n"/>
      <c r="C109" s="24" t="inlineStr">
        <is>
          <t>Effective depth, top bars  h − c − φt/2</t>
        </is>
      </c>
      <c r="D109" s="27" t="inlineStr">
        <is>
          <r>
            <rPr>
              <rFont val="Calibri"/>
              <i val="1"/>
              <color rgb="002B2B2B"/>
              <sz val="10"/>
            </rPr>
            <t>d</t>
          </r>
          <r>
            <rPr>
              <rFont val="Calibri"/>
              <i val="1"/>
              <color rgb="002B2B2B"/>
              <sz val="10"/>
              <vertAlign val="subscript"/>
            </rPr>
            <t>t</t>
          </r>
        </is>
      </c>
      <c r="E109" s="41">
        <f>h_sl-c_nom-phi_t/2</f>
        <v/>
      </c>
      <c r="F109" s="28" t="inlineStr">
        <is>
          <t>mm</t>
        </is>
      </c>
      <c r="G109" s="23" t="n"/>
    </row>
    <row r="110" ht="17" customHeight="1">
      <c r="B110" s="26" t="inlineStr">
        <is>
          <t>9.2.1.1(3)</t>
        </is>
      </c>
      <c r="C110" s="24" t="inlineStr">
        <is>
          <t>Maximum reinforcement  0.04 Ac</t>
        </is>
      </c>
      <c r="D110" s="27" t="inlineStr">
        <is>
          <r>
            <rPr>
              <rFont val="Calibri"/>
              <i val="1"/>
              <color rgb="002B2B2B"/>
              <sz val="10"/>
            </rPr>
            <t>A</t>
          </r>
          <r>
            <rPr>
              <rFont val="Calibri"/>
              <i val="1"/>
              <color rgb="002B2B2B"/>
              <sz val="10"/>
              <vertAlign val="subscript"/>
            </rPr>
            <t>s,max</t>
          </r>
        </is>
      </c>
      <c r="E110" s="41">
        <f>0.04*1000*h_sl</f>
        <v/>
      </c>
      <c r="F110" s="28" t="inlineStr">
        <is>
          <t>mm²/m</t>
        </is>
      </c>
      <c r="G110" s="23" t="n"/>
    </row>
    <row r="111" ht="17" customHeight="1">
      <c r="B111" s="23" t="n"/>
      <c r="C111" s="24" t="inlineStr">
        <is>
          <t>Span (bottom): K = M / (b d² fck)</t>
        </is>
      </c>
      <c r="D111" s="27" t="inlineStr">
        <is>
          <r>
            <rPr>
              <rFont val="Calibri"/>
              <i val="1"/>
              <color rgb="002B2B2B"/>
              <sz val="10"/>
            </rPr>
            <t>K</t>
          </r>
        </is>
      </c>
      <c r="E111" s="40">
        <f>MAX(0,M_sp)*1E6/(1000*d_b^2*f_ck)</f>
        <v/>
      </c>
      <c r="F111" s="23" t="n"/>
      <c r="G111" s="23" t="n"/>
    </row>
    <row r="112" ht="17" customHeight="1">
      <c r="B112" s="26" t="inlineStr">
        <is>
          <t>3.1.7(3)</t>
        </is>
      </c>
      <c r="C112" s="24" t="inlineStr">
        <is>
          <t>Span (bottom): lever arm  d (1 − 0.4ξ) ≤ 0.95 d</t>
        </is>
      </c>
      <c r="D112" s="27" t="inlineStr">
        <is>
          <r>
            <rPr>
              <rFont val="Calibri"/>
              <i val="1"/>
              <color rgb="002B2B2B"/>
              <sz val="10"/>
            </rPr>
            <t>z</t>
          </r>
        </is>
      </c>
      <c r="E112" s="41">
        <f>IF(K_sp&lt;=K_sl,MIN(0.95*d_b,d_b*(1-0.5*(1-SQRT(1-2*K_sp/(alpha_cc/gamma_c))))),NA())</f>
        <v/>
      </c>
      <c r="F112" s="28" t="inlineStr">
        <is>
          <t>mm</t>
        </is>
      </c>
      <c r="G112" s="23" t="n"/>
    </row>
    <row r="113" ht="17" customHeight="1">
      <c r="B113" s="23" t="n"/>
      <c r="C113" s="24" t="inlineStr">
        <is>
          <t>Span (bottom): As required  M / (fyd z)</t>
        </is>
      </c>
      <c r="D113" s="27" t="inlineStr">
        <is>
          <r>
            <rPr>
              <rFont val="Calibri"/>
              <i val="1"/>
              <color rgb="002B2B2B"/>
              <sz val="10"/>
            </rPr>
            <t>A</t>
          </r>
          <r>
            <rPr>
              <rFont val="Calibri"/>
              <i val="1"/>
              <color rgb="002B2B2B"/>
              <sz val="10"/>
              <vertAlign val="subscript"/>
            </rPr>
            <t>s,req</t>
          </r>
        </is>
      </c>
      <c r="E113" s="41">
        <f>IF(K_sp&lt;=K_sl,MAX(0,M_sp)*1E6/(f_yd*z_sp),NA())</f>
        <v/>
      </c>
      <c r="F113" s="28" t="inlineStr">
        <is>
          <t>mm²/m</t>
        </is>
      </c>
      <c r="G113" s="23" t="n"/>
    </row>
    <row r="114" ht="17" customHeight="1">
      <c r="B114" s="26" t="inlineStr">
        <is>
          <t>(9.1N)</t>
        </is>
      </c>
      <c r="C114" s="24" t="inlineStr">
        <is>
          <t>Span (bottom): As,min  max(0.26 fctm/fyk; 0.0013) b d</t>
        </is>
      </c>
      <c r="D114" s="27" t="inlineStr">
        <is>
          <r>
            <rPr>
              <rFont val="Calibri"/>
              <i val="1"/>
              <color rgb="002B2B2B"/>
              <sz val="10"/>
            </rPr>
            <t>A</t>
          </r>
          <r>
            <rPr>
              <rFont val="Calibri"/>
              <i val="1"/>
              <color rgb="002B2B2B"/>
              <sz val="10"/>
              <vertAlign val="subscript"/>
            </rPr>
            <t>s,min</t>
          </r>
        </is>
      </c>
      <c r="E114" s="41">
        <f>MAX(0.26*f_ctm/f_yk,0.0013)*1000*d_b</f>
        <v/>
      </c>
      <c r="F114" s="28" t="inlineStr">
        <is>
          <t>mm²/m</t>
        </is>
      </c>
      <c r="G114" s="23" t="n"/>
    </row>
    <row r="115" ht="17" customHeight="1">
      <c r="B115" s="23" t="n"/>
      <c r="C115" s="24" t="inlineStr">
        <is>
          <t>Span (bottom): As provided  1000 π φ² / (4 s)</t>
        </is>
      </c>
      <c r="D115" s="27" t="inlineStr">
        <is>
          <r>
            <rPr>
              <rFont val="Calibri"/>
              <i val="1"/>
              <color rgb="002B2B2B"/>
              <sz val="10"/>
            </rPr>
            <t>A</t>
          </r>
          <r>
            <rPr>
              <rFont val="Calibri"/>
              <i val="1"/>
              <color rgb="002B2B2B"/>
              <sz val="10"/>
              <vertAlign val="subscript"/>
            </rPr>
            <t>s,prov</t>
          </r>
        </is>
      </c>
      <c r="E115" s="41">
        <f>1000*PI()*phi_b^2/4/s_b</f>
        <v/>
      </c>
      <c r="F115" s="28" t="inlineStr">
        <is>
          <t>mm²/m</t>
        </is>
      </c>
      <c r="G115" s="23" t="n"/>
    </row>
    <row r="116" ht="17" customHeight="1">
      <c r="B116" s="26" t="inlineStr">
        <is>
          <t>5.5(4)</t>
        </is>
      </c>
      <c r="C116" s="24" t="inlineStr">
        <is>
          <t>Span (bottom): x/d of the bars provided  As fyd / (0.8 b fcd d)</t>
        </is>
      </c>
      <c r="D116" s="27" t="inlineStr">
        <is>
          <r>
            <rPr>
              <rFont val="Calibri"/>
              <i val="1"/>
              <color rgb="002B2B2B"/>
              <sz val="10"/>
            </rPr>
            <t>x/d</t>
          </r>
        </is>
      </c>
      <c r="E116" s="40">
        <f>Asp_sp*f_yd/(0.8*1000*f_cd*d_b)</f>
        <v/>
      </c>
      <c r="F116" s="23" t="n"/>
      <c r="G116" s="23" t="n"/>
    </row>
    <row r="117" ht="17" customHeight="1">
      <c r="B117" s="23" t="n"/>
      <c r="C117" s="24" t="inlineStr">
        <is>
          <t>Support (top): K = M / (b d² fck)</t>
        </is>
      </c>
      <c r="D117" s="27" t="inlineStr">
        <is>
          <r>
            <rPr>
              <rFont val="Calibri"/>
              <i val="1"/>
              <color rgb="002B2B2B"/>
              <sz val="10"/>
            </rPr>
            <t>K</t>
          </r>
        </is>
      </c>
      <c r="E117" s="40">
        <f>MAX(0,M_su)*1E6/(1000*d_t^2*f_ck)</f>
        <v/>
      </c>
      <c r="F117" s="23" t="n"/>
      <c r="G117" s="23" t="n"/>
    </row>
    <row r="118" ht="17" customHeight="1">
      <c r="B118" s="26" t="inlineStr">
        <is>
          <t>3.1.7(3)</t>
        </is>
      </c>
      <c r="C118" s="24" t="inlineStr">
        <is>
          <t>Support (top): lever arm  d (1 − 0.4ξ) ≤ 0.95 d</t>
        </is>
      </c>
      <c r="D118" s="27" t="inlineStr">
        <is>
          <r>
            <rPr>
              <rFont val="Calibri"/>
              <i val="1"/>
              <color rgb="002B2B2B"/>
              <sz val="10"/>
            </rPr>
            <t>z</t>
          </r>
        </is>
      </c>
      <c r="E118" s="41">
        <f>IF(K_su&lt;=K_sl,MIN(0.95*d_t,d_t*(1-0.5*(1-SQRT(1-2*K_su/(alpha_cc/gamma_c))))),NA())</f>
        <v/>
      </c>
      <c r="F118" s="28" t="inlineStr">
        <is>
          <t>mm</t>
        </is>
      </c>
      <c r="G118" s="23" t="n"/>
    </row>
    <row r="119" ht="17" customHeight="1">
      <c r="B119" s="23" t="n"/>
      <c r="C119" s="24" t="inlineStr">
        <is>
          <t>Support (top): As required  M / (fyd z)</t>
        </is>
      </c>
      <c r="D119" s="27" t="inlineStr">
        <is>
          <r>
            <rPr>
              <rFont val="Calibri"/>
              <i val="1"/>
              <color rgb="002B2B2B"/>
              <sz val="10"/>
            </rPr>
            <t>A</t>
          </r>
          <r>
            <rPr>
              <rFont val="Calibri"/>
              <i val="1"/>
              <color rgb="002B2B2B"/>
              <sz val="10"/>
              <vertAlign val="subscript"/>
            </rPr>
            <t>s,req</t>
          </r>
        </is>
      </c>
      <c r="E119" s="41">
        <f>IF(K_su&lt;=K_sl,MAX(0,M_su)*1E6/(f_yd*z_su),NA())</f>
        <v/>
      </c>
      <c r="F119" s="28" t="inlineStr">
        <is>
          <t>mm²/m</t>
        </is>
      </c>
      <c r="G119" s="23" t="n"/>
    </row>
    <row r="120" ht="17" customHeight="1">
      <c r="B120" s="26" t="inlineStr">
        <is>
          <t>(9.1N)</t>
        </is>
      </c>
      <c r="C120" s="24" t="inlineStr">
        <is>
          <t>Support (top): As,min  max(0.26 fctm/fyk; 0.0013) b d</t>
        </is>
      </c>
      <c r="D120" s="27" t="inlineStr">
        <is>
          <r>
            <rPr>
              <rFont val="Calibri"/>
              <i val="1"/>
              <color rgb="002B2B2B"/>
              <sz val="10"/>
            </rPr>
            <t>A</t>
          </r>
          <r>
            <rPr>
              <rFont val="Calibri"/>
              <i val="1"/>
              <color rgb="002B2B2B"/>
              <sz val="10"/>
              <vertAlign val="subscript"/>
            </rPr>
            <t>s,min</t>
          </r>
        </is>
      </c>
      <c r="E120" s="41">
        <f>MAX(0.26*f_ctm/f_yk,0.0013)*1000*d_t</f>
        <v/>
      </c>
      <c r="F120" s="28" t="inlineStr">
        <is>
          <t>mm²/m</t>
        </is>
      </c>
      <c r="G120" s="23" t="n"/>
    </row>
    <row r="121" ht="17" customHeight="1">
      <c r="B121" s="23" t="n"/>
      <c r="C121" s="24" t="inlineStr">
        <is>
          <t>Support (top): As provided  1000 π φ² / (4 s)</t>
        </is>
      </c>
      <c r="D121" s="27" t="inlineStr">
        <is>
          <r>
            <rPr>
              <rFont val="Calibri"/>
              <i val="1"/>
              <color rgb="002B2B2B"/>
              <sz val="10"/>
            </rPr>
            <t>A</t>
          </r>
          <r>
            <rPr>
              <rFont val="Calibri"/>
              <i val="1"/>
              <color rgb="002B2B2B"/>
              <sz val="10"/>
              <vertAlign val="subscript"/>
            </rPr>
            <t>s,prov</t>
          </r>
        </is>
      </c>
      <c r="E121" s="41">
        <f>1000*PI()*phi_t^2/4/s_tp</f>
        <v/>
      </c>
      <c r="F121" s="28" t="inlineStr">
        <is>
          <t>mm²/m</t>
        </is>
      </c>
      <c r="G121" s="23" t="n"/>
    </row>
    <row r="122" ht="17" customHeight="1">
      <c r="B122" s="26" t="inlineStr">
        <is>
          <t>5.5(4)</t>
        </is>
      </c>
      <c r="C122" s="24" t="inlineStr">
        <is>
          <t>Support (top): x/d of the bars provided  As fyd / (0.8 b fcd d)</t>
        </is>
      </c>
      <c r="D122" s="27" t="inlineStr">
        <is>
          <r>
            <rPr>
              <rFont val="Calibri"/>
              <i val="1"/>
              <color rgb="002B2B2B"/>
              <sz val="10"/>
            </rPr>
            <t>x/d</t>
          </r>
        </is>
      </c>
      <c r="E122" s="40">
        <f>Asp_su*f_yd/(0.8*1000*f_cd*d_t)</f>
        <v/>
      </c>
      <c r="F122" s="23" t="n"/>
      <c r="G122" s="23" t="n"/>
    </row>
    <row r="123" ht="17" customHeight="1">
      <c r="B123" s="23" t="n"/>
      <c r="C123" s="24" t="inlineStr">
        <is>
          <t>Span: As,prov ≥ max(As,req; As,min)  (coefficients applicable)</t>
        </is>
      </c>
      <c r="D123" s="27" t="inlineStr">
        <is>
          <r>
            <rPr>
              <rFont val="Calibri"/>
              <i val="1"/>
              <color rgb="002B2B2B"/>
              <sz val="10"/>
            </rPr>
            <t>A</t>
          </r>
          <r>
            <rPr>
              <rFont val="Calibri"/>
              <i val="1"/>
              <color rgb="002B2B2B"/>
              <sz val="10"/>
              <vertAlign val="subscript"/>
            </rPr>
            <t>s</t>
          </r>
        </is>
      </c>
      <c r="E123" s="41">
        <f>Asp_sp</f>
        <v/>
      </c>
      <c r="F123" s="28" t="inlineStr">
        <is>
          <t>mm²/m</t>
        </is>
      </c>
      <c r="G123" s="30">
        <f>IF(NOT(inputs_ok),"FAIL",IF(AND(coef_ok,OR(sys_i=6,span_ok)),"OK","FAIL"))</f>
        <v/>
      </c>
    </row>
    <row r="124" ht="17" customHeight="1">
      <c r="B124" s="26" t="inlineStr">
        <is>
          <t>5.5(4), 9.3.1.2(2)</t>
        </is>
      </c>
      <c r="C124" s="24" t="inlineStr">
        <is>
          <t>Support: As,prov ≥ max(As,req; As,min), x/d ≤ limit; simple support: 25 % of the span bars</t>
        </is>
      </c>
      <c r="D124" s="27" t="inlineStr">
        <is>
          <r>
            <rPr>
              <rFont val="Calibri"/>
              <i val="1"/>
              <color rgb="002B2B2B"/>
              <sz val="10"/>
            </rPr>
            <t>A</t>
          </r>
          <r>
            <rPr>
              <rFont val="Calibri"/>
              <i val="1"/>
              <color rgb="002B2B2B"/>
              <sz val="10"/>
              <vertAlign val="subscript"/>
            </rPr>
            <t>s</t>
          </r>
        </is>
      </c>
      <c r="E124" s="41">
        <f>Asp_su</f>
        <v/>
      </c>
      <c r="F124" s="28" t="inlineStr">
        <is>
          <t>mm²/m</t>
        </is>
      </c>
      <c r="G124" s="30">
        <f>IF(NOT(inputs_ok),"FAIL",IF(AND(coef_ok,sup_ok),"OK","FAIL"))</f>
        <v/>
      </c>
    </row>
    <row r="126" ht="22" customHeight="1">
      <c r="B126" s="20" t="inlineStr">
        <is>
          <t>Calculation  ·  shear and deflection</t>
        </is>
      </c>
      <c r="C126" s="21" t="n"/>
      <c r="D126" s="21" t="n"/>
      <c r="E126" s="21" t="n"/>
      <c r="F126" s="21" t="n"/>
      <c r="G126" s="21" t="n"/>
    </row>
    <row r="127" ht="17" customHeight="1">
      <c r="B127" s="26" t="inlineStr">
        <is>
          <t>6.2.2(1)</t>
        </is>
      </c>
      <c r="C127" s="24" t="inlineStr">
        <is>
          <t>Left support: ρl of the bars in tension there</t>
        </is>
      </c>
      <c r="D127" s="27" t="inlineStr">
        <is>
          <r>
            <rPr>
              <rFont val="Calibri"/>
              <i val="1"/>
              <color rgb="002B2B2B"/>
              <sz val="10"/>
            </rPr>
            <t>ρ</t>
          </r>
          <r>
            <rPr>
              <rFont val="Calibri"/>
              <i val="1"/>
              <color rgb="002B2B2B"/>
              <sz val="10"/>
              <vertAlign val="subscript"/>
            </rPr>
            <t>l</t>
          </r>
        </is>
      </c>
      <c r="E127" s="44">
        <f>MIN(0.02,IF(CHOOSE(sys_i,0,0,1,1,1,1,1)=1,Asp_su,Asp_sp)/(1000*d_vlt))</f>
        <v/>
      </c>
      <c r="F127" s="23" t="n"/>
      <c r="G127" s="23" t="n"/>
    </row>
    <row r="128" ht="17" customHeight="1">
      <c r="B128" s="26" t="inlineStr">
        <is>
          <t>(6.2)</t>
        </is>
      </c>
      <c r="C128" s="24" t="inlineStr">
        <is>
          <t>Left support: VRd,c</t>
        </is>
      </c>
      <c r="D128" s="27" t="inlineStr">
        <is>
          <r>
            <rPr>
              <rFont val="Calibri"/>
              <i val="1"/>
              <color rgb="002B2B2B"/>
              <sz val="10"/>
            </rPr>
            <t>V</t>
          </r>
          <r>
            <rPr>
              <rFont val="Calibri"/>
              <i val="1"/>
              <color rgb="002B2B2B"/>
              <sz val="10"/>
              <vertAlign val="subscript"/>
            </rPr>
            <t>Rd,c</t>
          </r>
        </is>
      </c>
      <c r="E128" s="42">
        <f>MAX(C_Rdc*MIN(2,1+SQRT(200/d_vlt))*(100*rho_lt*f_ck)^(1/3),0.035*MIN(2,1+SQRT(200/d_vlt))^1.5*SQRT(f_ck))*d_vlt</f>
        <v/>
      </c>
      <c r="F128" s="28" t="inlineStr">
        <is>
          <t>kN/m</t>
        </is>
      </c>
      <c r="G128" s="23" t="n"/>
    </row>
    <row r="129" ht="17" customHeight="1">
      <c r="B129" s="26" t="inlineStr">
        <is>
          <t>6.2.2(1)</t>
        </is>
      </c>
      <c r="C129" s="24" t="inlineStr">
        <is>
          <t>Right support: ρl of the bars in tension there</t>
        </is>
      </c>
      <c r="D129" s="27" t="inlineStr">
        <is>
          <r>
            <rPr>
              <rFont val="Calibri"/>
              <i val="1"/>
              <color rgb="002B2B2B"/>
              <sz val="10"/>
            </rPr>
            <t>ρ</t>
          </r>
          <r>
            <rPr>
              <rFont val="Calibri"/>
              <i val="1"/>
              <color rgb="002B2B2B"/>
              <sz val="10"/>
              <vertAlign val="subscript"/>
            </rPr>
            <t>l</t>
          </r>
        </is>
      </c>
      <c r="E129" s="44">
        <f>MIN(0.02,IF(CHOOSE(sys_i,0,1,1,1,1,1,1)=1,Asp_su,Asp_sp)/(1000*d_vrt))</f>
        <v/>
      </c>
      <c r="F129" s="23" t="n"/>
      <c r="G129" s="23" t="n"/>
    </row>
    <row r="130" ht="17" customHeight="1">
      <c r="B130" s="26" t="inlineStr">
        <is>
          <t>(6.2)</t>
        </is>
      </c>
      <c r="C130" s="24" t="inlineStr">
        <is>
          <t>Right support: VRd,c</t>
        </is>
      </c>
      <c r="D130" s="27" t="inlineStr">
        <is>
          <r>
            <rPr>
              <rFont val="Calibri"/>
              <i val="1"/>
              <color rgb="002B2B2B"/>
              <sz val="10"/>
            </rPr>
            <t>V</t>
          </r>
          <r>
            <rPr>
              <rFont val="Calibri"/>
              <i val="1"/>
              <color rgb="002B2B2B"/>
              <sz val="10"/>
              <vertAlign val="subscript"/>
            </rPr>
            <t>Rd,c</t>
          </r>
        </is>
      </c>
      <c r="E130" s="42">
        <f>MAX(C_Rdc*MIN(2,1+SQRT(200/d_vrt))*(100*rho_rt*f_ck)^(1/3),0.035*MIN(2,1+SQRT(200/d_vrt))^1.5*SQRT(f_ck))*d_vrt</f>
        <v/>
      </c>
      <c r="F130" s="28" t="inlineStr">
        <is>
          <t>kN/m</t>
        </is>
      </c>
      <c r="G130" s="23" t="n"/>
    </row>
    <row r="131" ht="17" customHeight="1">
      <c r="B131" s="26" t="inlineStr">
        <is>
          <t>(6.2)</t>
        </is>
      </c>
      <c r="C131" s="24" t="inlineStr">
        <is>
          <t>Shear utilisation  max(VEd / VRd,c) of the two supports</t>
        </is>
      </c>
      <c r="D131" s="23" t="n"/>
      <c r="E131" s="39">
        <f>MAX(V_lt/VRc_lt,V_rt/VRc_rt)</f>
        <v/>
      </c>
      <c r="F131" s="23" t="n"/>
      <c r="G131" s="23" t="n"/>
    </row>
    <row r="132" ht="17" customHeight="1">
      <c r="B132" s="26" t="inlineStr">
        <is>
          <t>7.4.2</t>
        </is>
      </c>
      <c r="C132" s="24" t="inlineStr">
        <is>
          <t>Tension bars for deflection  As,req / (b d)  (span; cantilever: support)</t>
        </is>
      </c>
      <c r="D132" s="27" t="inlineStr">
        <is>
          <r>
            <rPr>
              <rFont val="Calibri"/>
              <i val="1"/>
              <color rgb="002B2B2B"/>
              <sz val="10"/>
            </rPr>
            <t>ρ</t>
          </r>
        </is>
      </c>
      <c r="E132" s="45">
        <f>MAX(IF(sys_i=6,Asr_su,Asr_sp),IF(sys_i=6,As_mint,As_minb))/(1000*IF(sys_i=6,d_t,d_b))</f>
        <v/>
      </c>
      <c r="F132" s="23" t="n"/>
      <c r="G132" s="26" t="inlineStr">
        <is>
          <t>N/A: bending fails</t>
        </is>
      </c>
    </row>
    <row r="133" ht="17" customHeight="1">
      <c r="B133" s="26" t="inlineStr">
        <is>
          <t>(7.16)</t>
        </is>
      </c>
      <c r="C133" s="24" t="inlineStr">
        <is>
          <t>Reference ratio  ρ0 = √fck · 10⁻³</t>
        </is>
      </c>
      <c r="D133" s="27" t="inlineStr">
        <is>
          <r>
            <rPr>
              <rFont val="Calibri"/>
              <i val="1"/>
              <color rgb="002B2B2B"/>
              <sz val="10"/>
            </rPr>
            <t>ρ</t>
          </r>
          <r>
            <rPr>
              <rFont val="Calibri"/>
              <i val="1"/>
              <color rgb="002B2B2B"/>
              <sz val="10"/>
              <vertAlign val="subscript"/>
            </rPr>
            <t>0</t>
          </r>
        </is>
      </c>
      <c r="E133" s="45">
        <f>SQRT(f_ck)/1000</f>
        <v/>
      </c>
      <c r="F133" s="23" t="n"/>
      <c r="G133" s="23" t="n"/>
    </row>
    <row r="134" ht="17" customHeight="1">
      <c r="B134" s="26" t="inlineStr">
        <is>
          <t>Table 7.4N</t>
        </is>
      </c>
      <c r="C134" s="24" t="inlineStr">
        <is>
          <t>K for the structural system</t>
        </is>
      </c>
      <c r="D134" s="27" t="inlineStr">
        <is>
          <r>
            <rPr>
              <rFont val="Calibri"/>
              <i val="1"/>
              <color rgb="002B2B2B"/>
              <sz val="10"/>
            </rPr>
            <t>K</t>
          </r>
        </is>
      </c>
      <c r="E134" s="42">
        <f>CHOOSE(sys_i,1.0,1.3,1.3,1.5,1.5,0.4,1.5)</f>
        <v/>
      </c>
      <c r="F134" s="23" t="n"/>
      <c r="G134" s="23" t="n"/>
    </row>
    <row r="135" ht="17" customHeight="1">
      <c r="B135" s="26" t="inlineStr">
        <is>
          <t>(7.16)</t>
        </is>
      </c>
      <c r="C135" s="24" t="inlineStr">
        <is>
          <t>Basic span to depth ratio</t>
        </is>
      </c>
      <c r="D135" s="27" t="inlineStr">
        <is>
          <r>
            <rPr>
              <rFont val="Calibri"/>
              <i val="1"/>
              <color rgb="002B2B2B"/>
              <sz val="10"/>
            </rPr>
            <t>l/d</t>
          </r>
        </is>
      </c>
      <c r="E135" s="42">
        <f>K_d*IF(rho_d&lt;=rho_0,11+1.5*SQRT(f_ck)*rho_0/rho_d+3.2*SQRT(f_ck)*(rho_0/rho_d-1)^1.5,11+1.5*SQRT(f_ck)*rho_0/rho_d)</f>
        <v/>
      </c>
      <c r="F135" s="23" t="n"/>
      <c r="G135" s="23" t="n"/>
    </row>
    <row r="136" ht="17" customHeight="1">
      <c r="B136" s="26" t="inlineStr">
        <is>
          <t>7.4.2(2)</t>
        </is>
      </c>
      <c r="C136" s="24" t="inlineStr">
        <is>
          <t>Steel stress factor  (As,prov / As,req)(500 / fyk)  (UK ≤ 1.5)</t>
        </is>
      </c>
      <c r="D136" s="27" t="inlineStr">
        <is>
          <r>
            <rPr>
              <rFont val="Calibri"/>
              <i val="1"/>
              <color rgb="002B2B2B"/>
              <sz val="10"/>
            </rPr>
            <t>F</t>
          </r>
          <r>
            <rPr>
              <rFont val="Calibri"/>
              <i val="1"/>
              <color rgb="002B2B2B"/>
              <sz val="10"/>
              <vertAlign val="subscript"/>
            </rPr>
            <t>3</t>
          </r>
        </is>
      </c>
      <c r="E136" s="40">
        <f>IF(ld_mod_max&gt;0,MIN(ld_mod_max,IF(sys_i=6,Asp_su,Asp_sp)/(rho_d*1000*IF(sys_i=6,d_t,d_b))*500/f_yk),IF(sys_i=6,Asp_su,Asp_sp)/(rho_d*1000*IF(sys_i=6,d_t,d_b))*500/f_yk)</f>
        <v/>
      </c>
      <c r="F136" s="23" t="n"/>
      <c r="G136" s="23" t="n"/>
    </row>
    <row r="137" ht="17" customHeight="1">
      <c r="B137" s="26" t="inlineStr">
        <is>
          <t>7.4.2(2)</t>
        </is>
      </c>
      <c r="C137" s="24" t="inlineStr">
        <is>
          <t>Long span factor  7 / l  (l &gt; 7 m, brittle partitions)</t>
        </is>
      </c>
      <c r="D137" s="27" t="inlineStr">
        <is>
          <r>
            <rPr>
              <rFont val="Calibri"/>
              <i val="1"/>
              <color rgb="002B2B2B"/>
              <sz val="10"/>
            </rPr>
            <t>F</t>
          </r>
          <r>
            <rPr>
              <rFont val="Calibri"/>
              <i val="1"/>
              <color rgb="002B2B2B"/>
              <sz val="10"/>
              <vertAlign val="subscript"/>
            </rPr>
            <t>2</t>
          </r>
        </is>
      </c>
      <c r="E137" s="40">
        <f>IF(AND(partitions="Yes",L_sl&gt;7000),7000/L_sl,1)</f>
        <v/>
      </c>
      <c r="F137" s="23" t="n"/>
      <c r="G137" s="23" t="n"/>
    </row>
    <row r="138" ht="17" customHeight="1">
      <c r="B138" s="26" t="inlineStr">
        <is>
          <t>7.4.2</t>
        </is>
      </c>
      <c r="C138" s="24" t="inlineStr">
        <is>
          <t>Limiting span to depth ratio  (UK NA: ≤ 40 K)</t>
        </is>
      </c>
      <c r="D138" s="27" t="inlineStr">
        <is>
          <r>
            <rPr>
              <rFont val="Calibri"/>
              <i val="1"/>
              <color rgb="002B2B2B"/>
              <sz val="10"/>
            </rPr>
            <t>l/d</t>
          </r>
          <r>
            <rPr>
              <rFont val="Calibri"/>
              <i val="1"/>
              <color rgb="002B2B2B"/>
              <sz val="10"/>
              <vertAlign val="subscript"/>
            </rPr>
            <t>lim</t>
          </r>
        </is>
      </c>
      <c r="E138" s="43">
        <f>IF(ld_cap_40K=1,MIN(40*K_d,ld_bas*F2_sl*F3_sl),ld_bas*F2_sl*F3_sl)</f>
        <v/>
      </c>
      <c r="F138" s="23" t="n"/>
      <c r="G138" s="23" t="n"/>
    </row>
    <row r="139" ht="17" customHeight="1">
      <c r="B139" s="23" t="n"/>
      <c r="C139" s="24" t="inlineStr">
        <is>
          <t>Actual span to depth ratio</t>
        </is>
      </c>
      <c r="D139" s="27" t="inlineStr">
        <is>
          <r>
            <rPr>
              <rFont val="Calibri"/>
              <i val="1"/>
              <color rgb="002B2B2B"/>
              <sz val="10"/>
            </rPr>
            <t>l/d</t>
          </r>
        </is>
      </c>
      <c r="E139" s="42">
        <f>L_sl/IF(sys_i=6,d_t,d_b)</f>
        <v/>
      </c>
      <c r="F139" s="23" t="n"/>
      <c r="G139" s="23" t="n"/>
    </row>
    <row r="140" ht="17" customHeight="1">
      <c r="B140" s="26" t="inlineStr">
        <is>
          <t>7.4.2</t>
        </is>
      </c>
      <c r="C140" s="24" t="inlineStr">
        <is>
          <t>Deflection  l/d ≤ limit  (with every bending check passing)</t>
        </is>
      </c>
      <c r="D140" s="27" t="inlineStr">
        <is>
          <r>
            <rPr>
              <rFont val="Calibri"/>
              <i val="1"/>
              <color rgb="002B2B2B"/>
              <sz val="10"/>
            </rPr>
            <t>l/d</t>
          </r>
        </is>
      </c>
      <c r="E140" s="42">
        <f>ld_act</f>
        <v/>
      </c>
      <c r="F140" s="23" t="n"/>
      <c r="G140" s="30">
        <f>IF(NOT(inputs_ok),"FAIL",IF(AND(coef_ok,IF(sys_i=6,TRUE,span_ok),sup_ok,IFERROR(ld_act&lt;=ld_lim,FALSE)),"OK","FAIL"))</f>
        <v/>
      </c>
    </row>
    <row r="142" ht="22" customHeight="1">
      <c r="B142" s="20" t="inlineStr">
        <is>
          <t>Calculation  ·  detailing  (9.3)</t>
        </is>
      </c>
      <c r="C142" s="21" t="n"/>
      <c r="D142" s="21" t="n"/>
      <c r="E142" s="21" t="n"/>
      <c r="F142" s="21" t="n"/>
      <c r="G142" s="21" t="n"/>
    </row>
    <row r="143" ht="17" customHeight="1">
      <c r="B143" s="26" t="inlineStr">
        <is>
          <t>9.3.1.1(3)</t>
        </is>
      </c>
      <c r="C143" s="24" t="inlineStr">
        <is>
          <t>Maximum spacing of main bars at maximum moments  min(2h; 250)</t>
        </is>
      </c>
      <c r="D143" s="27" t="inlineStr">
        <is>
          <r>
            <rPr>
              <rFont val="Calibri"/>
              <i val="1"/>
              <color rgb="002B2B2B"/>
              <sz val="10"/>
            </rPr>
            <t>s</t>
          </r>
          <r>
            <rPr>
              <rFont val="Calibri"/>
              <i val="1"/>
              <color rgb="002B2B2B"/>
              <sz val="10"/>
              <vertAlign val="subscript"/>
            </rPr>
            <t>max</t>
          </r>
        </is>
      </c>
      <c r="E143" s="41">
        <f>MIN(2*h_sl,250)</f>
        <v/>
      </c>
      <c r="F143" s="28" t="inlineStr">
        <is>
          <t>mm</t>
        </is>
      </c>
      <c r="G143" s="23" t="n"/>
    </row>
    <row r="144" ht="17" customHeight="1">
      <c r="B144" s="26" t="inlineStr">
        <is>
          <t>9.3.1.1(3)</t>
        </is>
      </c>
      <c r="C144" s="24" t="inlineStr">
        <is>
          <t>Maximum spacing of secondary bars at maximum moments  min(3h; 400)</t>
        </is>
      </c>
      <c r="D144" s="27" t="inlineStr">
        <is>
          <r>
            <rPr>
              <rFont val="Calibri"/>
              <i val="1"/>
              <color rgb="002B2B2B"/>
              <sz val="10"/>
            </rPr>
            <t>s</t>
          </r>
          <r>
            <rPr>
              <rFont val="Calibri"/>
              <i val="1"/>
              <color rgb="002B2B2B"/>
              <sz val="10"/>
              <vertAlign val="subscript"/>
            </rPr>
            <t>max,d</t>
          </r>
        </is>
      </c>
      <c r="E144" s="41">
        <f>MIN(3*h_sl,400)</f>
        <v/>
      </c>
      <c r="F144" s="28" t="inlineStr">
        <is>
          <t>mm</t>
        </is>
      </c>
      <c r="G144" s="23" t="n"/>
    </row>
    <row r="145" ht="17" customHeight="1">
      <c r="B145" s="26" t="inlineStr">
        <is>
          <t>8.2(2)</t>
        </is>
      </c>
      <c r="C145" s="24" t="inlineStr">
        <is>
          <t>Minimum clear gap, main bars  max(φ; dg + 5; 20)</t>
        </is>
      </c>
      <c r="D145" s="27" t="inlineStr">
        <is>
          <r>
            <rPr>
              <rFont val="Calibri"/>
              <i val="1"/>
              <color rgb="002B2B2B"/>
              <sz val="10"/>
            </rPr>
            <t>a</t>
          </r>
          <r>
            <rPr>
              <rFont val="Calibri"/>
              <i val="1"/>
              <color rgb="002B2B2B"/>
              <sz val="10"/>
              <vertAlign val="subscript"/>
            </rPr>
            <t>min</t>
          </r>
        </is>
      </c>
      <c r="E145" s="41">
        <f>MAX(phi_b,phi_t,d_g+5,20)</f>
        <v/>
      </c>
      <c r="F145" s="28" t="inlineStr">
        <is>
          <t>mm</t>
        </is>
      </c>
      <c r="G145" s="23" t="n"/>
    </row>
    <row r="146" ht="17" customHeight="1">
      <c r="B146" s="26" t="inlineStr">
        <is>
          <t>8.2(2)</t>
        </is>
      </c>
      <c r="C146" s="24" t="inlineStr">
        <is>
          <t>Minimum clear gap, distribution bars  max(φd; dg + 5; 20)</t>
        </is>
      </c>
      <c r="D146" s="27" t="inlineStr">
        <is>
          <r>
            <rPr>
              <rFont val="Calibri"/>
              <i val="1"/>
              <color rgb="002B2B2B"/>
              <sz val="10"/>
            </rPr>
            <t>a</t>
          </r>
          <r>
            <rPr>
              <rFont val="Calibri"/>
              <i val="1"/>
              <color rgb="002B2B2B"/>
              <sz val="10"/>
              <vertAlign val="subscript"/>
            </rPr>
            <t>min,d</t>
          </r>
        </is>
      </c>
      <c r="E146" s="41">
        <f>MAX(phi_d,d_g+5,20)</f>
        <v/>
      </c>
      <c r="F146" s="28" t="inlineStr">
        <is>
          <t>mm</t>
        </is>
      </c>
      <c r="G146" s="23" t="n"/>
    </row>
    <row r="147" ht="17" customHeight="1">
      <c r="B147" s="23" t="n"/>
      <c r="C147" s="24" t="inlineStr">
        <is>
          <t>Main bars for the distribution rule  (span; cantilever: top)</t>
        </is>
      </c>
      <c r="D147" s="27" t="inlineStr">
        <is>
          <r>
            <rPr>
              <rFont val="Calibri"/>
              <i val="1"/>
              <color rgb="002B2B2B"/>
              <sz val="10"/>
            </rPr>
            <t>A</t>
          </r>
          <r>
            <rPr>
              <rFont val="Calibri"/>
              <i val="1"/>
              <color rgb="002B2B2B"/>
              <sz val="10"/>
              <vertAlign val="subscript"/>
            </rPr>
            <t>s,main</t>
          </r>
        </is>
      </c>
      <c r="E147" s="41">
        <f>IF(sys_i=6,Asp_su,Asp_sp)</f>
        <v/>
      </c>
      <c r="F147" s="28" t="inlineStr">
        <is>
          <t>mm²/m</t>
        </is>
      </c>
      <c r="G147" s="23" t="n"/>
    </row>
    <row r="148" ht="17" customHeight="1">
      <c r="B148" s="23" t="n"/>
      <c r="C148" s="24" t="inlineStr">
        <is>
          <t>Distribution bars provided</t>
        </is>
      </c>
      <c r="D148" s="27" t="inlineStr">
        <is>
          <r>
            <rPr>
              <rFont val="Calibri"/>
              <i val="1"/>
              <color rgb="002B2B2B"/>
              <sz val="10"/>
            </rPr>
            <t>A</t>
          </r>
          <r>
            <rPr>
              <rFont val="Calibri"/>
              <i val="1"/>
              <color rgb="002B2B2B"/>
              <sz val="10"/>
              <vertAlign val="subscript"/>
            </rPr>
            <t>s,d</t>
          </r>
        </is>
      </c>
      <c r="E148" s="41">
        <f>1000*PI()*phi_d^2/4/s_d</f>
        <v/>
      </c>
      <c r="F148" s="28" t="inlineStr">
        <is>
          <t>mm²/m</t>
        </is>
      </c>
      <c r="G148" s="23" t="n"/>
    </row>
    <row r="149" ht="17" customHeight="1">
      <c r="B149" s="26" t="inlineStr">
        <is>
          <t>9.3.1.1(2)</t>
        </is>
      </c>
      <c r="C149" s="24" t="inlineStr">
        <is>
          <t>Distribution bars  ≥ 20 % of the main bars</t>
        </is>
      </c>
      <c r="D149" s="27" t="inlineStr">
        <is>
          <r>
            <rPr>
              <rFont val="Calibri"/>
              <i val="1"/>
              <color rgb="002B2B2B"/>
              <sz val="10"/>
            </rPr>
            <t>A</t>
          </r>
          <r>
            <rPr>
              <rFont val="Calibri"/>
              <i val="1"/>
              <color rgb="002B2B2B"/>
              <sz val="10"/>
              <vertAlign val="subscript"/>
            </rPr>
            <t>s,d</t>
          </r>
        </is>
      </c>
      <c r="E149" s="41">
        <f>Asp_d</f>
        <v/>
      </c>
      <c r="F149" s="28" t="inlineStr">
        <is>
          <t>mm²/m</t>
        </is>
      </c>
      <c r="G149" s="30">
        <f>IF(NOT(inputs_ok),"FAIL",IF(Asp_d&gt;=0.2*Asp_main,"OK","FAIL"))</f>
        <v/>
      </c>
    </row>
    <row r="150" ht="17" customHeight="1">
      <c r="B150" s="26" t="inlineStr">
        <is>
          <t>9.3.1.1(3)</t>
        </is>
      </c>
      <c r="C150" s="24" t="inlineStr">
        <is>
          <t>Main bar spacing at maximum moments  ≤ s_max</t>
        </is>
      </c>
      <c r="D150" s="27" t="inlineStr">
        <is>
          <r>
            <rPr>
              <rFont val="Calibri"/>
              <i val="1"/>
              <color rgb="002B2B2B"/>
              <sz val="10"/>
            </rPr>
            <t>s</t>
          </r>
        </is>
      </c>
      <c r="E150" s="41">
        <f>MAX(IF(sys_i=6,0,s_b),IF(M_su&gt;0,s_tp,0))</f>
        <v/>
      </c>
      <c r="F150" s="28" t="inlineStr">
        <is>
          <t>mm</t>
        </is>
      </c>
      <c r="G150" s="30">
        <f>IF(NOT(inputs_ok),"FAIL",IF(AND(OR(sys_i=6,s_b&lt;=s_maxm),OR(M_su=0,s_tp&lt;=s_maxm)),"OK","FAIL"))</f>
        <v/>
      </c>
    </row>
    <row r="151" ht="17" customHeight="1">
      <c r="B151" s="26" t="inlineStr">
        <is>
          <t>9.3.1.1(3)</t>
        </is>
      </c>
      <c r="C151" s="24" t="inlineStr">
        <is>
          <t>Distribution bar spacing  ≤ s_max,d</t>
        </is>
      </c>
      <c r="D151" s="27" t="inlineStr">
        <is>
          <r>
            <rPr>
              <rFont val="Calibri"/>
              <i val="1"/>
              <color rgb="002B2B2B"/>
              <sz val="10"/>
            </rPr>
            <t>s</t>
          </r>
          <r>
            <rPr>
              <rFont val="Calibri"/>
              <i val="1"/>
              <color rgb="002B2B2B"/>
              <sz val="10"/>
              <vertAlign val="subscript"/>
            </rPr>
            <t>d</t>
          </r>
        </is>
      </c>
      <c r="E151" s="41">
        <f>s_d</f>
        <v/>
      </c>
      <c r="F151" s="28" t="inlineStr">
        <is>
          <t>mm</t>
        </is>
      </c>
      <c r="G151" s="30">
        <f>IF(NOT(inputs_ok),"FAIL",IF(s_d&lt;=s_maxd,"OK","FAIL"))</f>
        <v/>
      </c>
    </row>
    <row r="152" ht="17" customHeight="1">
      <c r="B152" s="26" t="inlineStr">
        <is>
          <t>8.2(2)</t>
        </is>
      </c>
      <c r="C152" s="24" t="inlineStr">
        <is>
          <t>Clear gaps of main and distribution bars</t>
        </is>
      </c>
      <c r="D152" s="27" t="inlineStr">
        <is>
          <r>
            <rPr>
              <rFont val="Calibri"/>
              <i val="1"/>
              <color rgb="002B2B2B"/>
              <sz val="10"/>
            </rPr>
            <t>a</t>
          </r>
        </is>
      </c>
      <c r="E152" s="41">
        <f>MIN(s_b-phi_b,s_tp-phi_t,s_d-phi_d)</f>
        <v/>
      </c>
      <c r="F152" s="28" t="inlineStr">
        <is>
          <t>mm</t>
        </is>
      </c>
      <c r="G152" s="30">
        <f>IF(NOT(inputs_ok),"FAIL",IF(AND(s_b-phi_b&gt;=gap_sl,s_tp-phi_t&gt;=gap_sl,s_d-phi_d&gt;=gap_d),"OK","FAIL"))</f>
        <v/>
      </c>
    </row>
    <row r="153" ht="17" customHeight="1">
      <c r="B153" s="26" t="inlineStr">
        <is>
          <t>9.2.1.1(3)</t>
        </is>
      </c>
      <c r="C153" s="24" t="inlineStr">
        <is>
          <t>Main reinforcement  ≤ As,max</t>
        </is>
      </c>
      <c r="D153" s="27" t="inlineStr">
        <is>
          <r>
            <rPr>
              <rFont val="Calibri"/>
              <i val="1"/>
              <color rgb="002B2B2B"/>
              <sz val="10"/>
            </rPr>
            <t>A</t>
          </r>
          <r>
            <rPr>
              <rFont val="Calibri"/>
              <i val="1"/>
              <color rgb="002B2B2B"/>
              <sz val="10"/>
              <vertAlign val="subscript"/>
            </rPr>
            <t>s</t>
          </r>
        </is>
      </c>
      <c r="E153" s="41">
        <f>MAX(Asp_sp,Asp_su)</f>
        <v/>
      </c>
      <c r="F153" s="28" t="inlineStr">
        <is>
          <t>mm²/m</t>
        </is>
      </c>
      <c r="G153" s="30">
        <f>IF(NOT(inputs_ok),"FAIL",IF(MAX(Asp_sp,Asp_su)&lt;=As_maxsl,"OK","FAIL"))</f>
        <v/>
      </c>
    </row>
    <row r="154" ht="41.5" customHeight="1">
      <c r="B154" s="38" t="inlineStr">
        <is>
          <t>Curtail and anchor the support bars for the design moments (9.2.1.3); 9.3.1.2(2) gives only the nominal top steel at a simple support (25 % of the span moment, extending at least 0.2 of the span). At an end support at least half the span bottom bars should continue and be anchored (9.3.1.2(1)).</t>
        </is>
      </c>
    </row>
    <row r="156" ht="29" customHeight="1">
      <c r="B156" s="38"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8">
    <mergeCell ref="B80:G80"/>
    <mergeCell ref="B156:G156"/>
    <mergeCell ref="E5:G5"/>
    <mergeCell ref="B154:G154"/>
    <mergeCell ref="D2:G2"/>
    <mergeCell ref="E7:G7"/>
    <mergeCell ref="E6:G6"/>
    <mergeCell ref="C3:G3"/>
  </mergeCells>
  <conditionalFormatting sqref="G9:G157">
    <cfRule type="expression" priority="1" dxfId="0">
      <formula>G9="OK"</formula>
    </cfRule>
    <cfRule type="expression" priority="2" dxfId="1">
      <formula>G9="FAIL"</formula>
    </cfRule>
    <cfRule type="expression" priority="3" dxfId="2">
      <formula>LEFT(G9,1)="!"</formula>
    </cfRule>
  </conditionalFormatting>
  <dataValidations count="18">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Pick a value from the list." type="list" errorStyle="stop">
      <formula1>"Simply supported,End span – pinned end,End span – continuous end,Interior span next to an end span,Interior span,Cantilever,Interior span between two end spans"</formula1>
    </dataValidation>
    <dataValidation sqref="E16" showDropDown="0" showInputMessage="0" showErrorMessage="1" allowBlank="0" errorTitle="NA Engineering" error="Pick a value from the list." type="list" errorStyle="stop">
      <formula1>"Yes,No"</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E22 E24" showDropDown="0" showInputMessage="0" showErrorMessage="1" allowBlank="0" errorTitle="NA Engineering" error="Pick a value from the list." type="list" errorStyle="stop">
      <formula1>"8,10,12,16,20,25,32,40"</formula1>
    </dataValidation>
    <dataValidation sqref="E21" showDropDown="0" showInputMessage="0" showErrorMessage="1" allowBlank="0" errorTitle="NA Engineering" error="Enter a number greater than 0." type="decimal" errorStyle="stop" operator="greaterThan">
      <formula1>0</formula1>
    </dataValidation>
    <dataValidation sqref="E23" showDropDown="0" showInputMessage="0" showErrorMessage="1" allowBlank="0" errorTitle="NA Engineering" error="Enter a number greater than 0." type="decimal" errorStyle="stop" operator="greaterThan">
      <formula1>0</formula1>
    </dataValidation>
    <dataValidation sqref="E25" showDropDown="0" showInputMessage="0" showErrorMessage="1" allowBlank="0" errorTitle="NA Engineering" error="Enter a number greater than 0." type="decimal" errorStyle="stop" operator="greaterThan">
      <formula1>0</formula1>
    </dataValidation>
    <dataValidation sqref="E28" showDropDown="0" showInputMessage="0" showErrorMessage="1" allowBlank="0" errorTitle="NA Engineering" error="Enter a number ≥ 0." type="decimal" errorStyle="stop" operator="greaterThanOrEqual">
      <formula1>0</formula1>
    </dataValidation>
    <dataValidation sqref="E29" showDropDown="0" showInputMessage="0" showErrorMessage="1" allowBlank="0" errorTitle="NA Engineering" error="Enter a number ≥ 0." type="decimal" errorStyle="stop" operator="greaterThanOrEqual">
      <formula1>0</formula1>
    </dataValidation>
    <dataValidation sqref="E30" showDropDown="0" showInputMessage="0" showErrorMessage="1" allowBlank="0" errorTitle="NA Engineering" error="Enter a number greater than 0." type="decimal" errorStyle="stop" operator="greaterThan">
      <formula1>0</formula1>
    </dataValidation>
    <dataValidation sqref="E31" showDropDown="0" showInputMessage="0" showErrorMessage="1" allowBlank="0" errorTitle="NA Engineering" error="Enter a number greater than 0." type="decimal" errorStyle="stop" operator="greaterThan">
      <formula1>0</formula1>
    </dataValidation>
    <dataValidation sqref="E32" showDropDown="0" showInputMessage="0" showErrorMessage="1" allowBlank="0" errorTitle="NA Engineering" error="Pick a value from the list." type="list" errorStyle="stop">
      <formula1>"No,Yes"</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&amp;K8A8A8ANAE-RC-012  v1.0</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KM29"/>
  <sheetViews>
    <sheetView tabSelected="0" workbookViewId="0">
      <selection activeCell="A1" sqref="A1"/>
    </sheetView>
  </sheetViews>
  <sheetFormatPr baseColWidth="8" defaultRowHeight="15"/>
  <sheetData>
    <row r="1">
      <c r="A1" t="inlineStr">
        <is>
          <t>Coordinates for the live drawings (mm). Generated - do not edit.</t>
        </is>
      </c>
    </row>
    <row r="2">
      <c r="A2" t="inlineStr">
        <is>
          <t>slab</t>
        </is>
      </c>
      <c r="D2" t="inlineStr">
        <is>
          <t>left support</t>
        </is>
      </c>
      <c r="G2" t="inlineStr">
        <is>
          <t>right support</t>
        </is>
      </c>
      <c r="J2" t="inlineStr">
        <is>
          <t>wall</t>
        </is>
      </c>
      <c r="M2" t="inlineStr">
        <is>
          <t>continuity left</t>
        </is>
      </c>
      <c r="P2" t="inlineStr">
        <is>
          <t>continuity right</t>
        </is>
      </c>
      <c r="S2" t="inlineStr">
        <is>
          <t>load 0</t>
        </is>
      </c>
      <c r="V2" t="inlineStr">
        <is>
          <t>load 1</t>
        </is>
      </c>
      <c r="Y2" t="inlineStr">
        <is>
          <t>load 2</t>
        </is>
      </c>
      <c r="AB2" t="inlineStr">
        <is>
          <t>load 3</t>
        </is>
      </c>
      <c r="AE2" t="inlineStr">
        <is>
          <t>load 4</t>
        </is>
      </c>
      <c r="AH2" t="inlineStr">
        <is>
          <t>load 5</t>
        </is>
      </c>
      <c r="AK2" t="inlineStr">
        <is>
          <t>load 6</t>
        </is>
      </c>
      <c r="AN2" t="inlineStr">
        <is>
          <t>load 7</t>
        </is>
      </c>
      <c r="AQ2" t="inlineStr">
        <is>
          <t>load 8</t>
        </is>
      </c>
      <c r="AT2" t="inlineStr">
        <is>
          <t>load line</t>
        </is>
      </c>
      <c r="AW2" t="inlineStr">
        <is>
          <t>BMD</t>
        </is>
      </c>
      <c r="AZ2" t="inlineStr">
        <is>
          <t>BMD axis</t>
        </is>
      </c>
      <c r="BC2">
        <f>"n = "&amp;TEXT(n_sl,"0.0")&amp;" kN/m²"</f>
        <v/>
      </c>
      <c r="BF2">
        <f>IF(M_sp&gt;0,"M = "&amp;TEXT(M_sp,"0.0"),"")</f>
        <v/>
      </c>
      <c r="BI2">
        <f>IF(M_lt&gt;0,"M = −"&amp;TEXT(M_lt,"0.0"),"")</f>
        <v/>
      </c>
      <c r="BL2">
        <f>IF(M_rt&gt;0,"M = −"&amp;TEXT(M_rt,"0.0"),"")</f>
        <v/>
      </c>
      <c r="BO2" t="inlineStr">
        <is>
          <t>dim</t>
        </is>
      </c>
      <c r="BR2">
        <f>"L = "&amp;TEXT(L_sl,"0")</f>
        <v/>
      </c>
      <c r="BU2" t="inlineStr">
        <is>
          <t>frame</t>
        </is>
      </c>
      <c r="BX2" t="inlineStr">
        <is>
          <t>section</t>
        </is>
      </c>
      <c r="CA2" t="inlineStr">
        <is>
          <t>bottom 0</t>
        </is>
      </c>
      <c r="CD2" t="inlineStr">
        <is>
          <t>top 0</t>
        </is>
      </c>
      <c r="CG2" t="inlineStr">
        <is>
          <t>bottom 1</t>
        </is>
      </c>
      <c r="CJ2" t="inlineStr">
        <is>
          <t>top 1</t>
        </is>
      </c>
      <c r="CM2" t="inlineStr">
        <is>
          <t>bottom 2</t>
        </is>
      </c>
      <c r="CP2" t="inlineStr">
        <is>
          <t>top 2</t>
        </is>
      </c>
      <c r="CS2" t="inlineStr">
        <is>
          <t>bottom 3</t>
        </is>
      </c>
      <c r="CV2" t="inlineStr">
        <is>
          <t>top 3</t>
        </is>
      </c>
      <c r="CY2" t="inlineStr">
        <is>
          <t>bottom 4</t>
        </is>
      </c>
      <c r="DB2" t="inlineStr">
        <is>
          <t>top 4</t>
        </is>
      </c>
      <c r="DE2" t="inlineStr">
        <is>
          <t>bottom 5</t>
        </is>
      </c>
      <c r="DH2" t="inlineStr">
        <is>
          <t>top 5</t>
        </is>
      </c>
      <c r="DK2" t="inlineStr">
        <is>
          <t>bottom 6</t>
        </is>
      </c>
      <c r="DN2" t="inlineStr">
        <is>
          <t>top 6</t>
        </is>
      </c>
      <c r="DQ2" t="inlineStr">
        <is>
          <t>bottom 7</t>
        </is>
      </c>
      <c r="DT2" t="inlineStr">
        <is>
          <t>top 7</t>
        </is>
      </c>
      <c r="DW2" t="inlineStr">
        <is>
          <t>bottom 8</t>
        </is>
      </c>
      <c r="DZ2" t="inlineStr">
        <is>
          <t>top 8</t>
        </is>
      </c>
      <c r="EC2" t="inlineStr">
        <is>
          <t>bottom 9</t>
        </is>
      </c>
      <c r="EF2" t="inlineStr">
        <is>
          <t>top 9</t>
        </is>
      </c>
      <c r="EI2" t="inlineStr">
        <is>
          <t>bottom 10</t>
        </is>
      </c>
      <c r="EL2" t="inlineStr">
        <is>
          <t>top 10</t>
        </is>
      </c>
      <c r="EO2" t="inlineStr">
        <is>
          <t>bottom 11</t>
        </is>
      </c>
      <c r="ER2" t="inlineStr">
        <is>
          <t>top 11</t>
        </is>
      </c>
      <c r="EU2" t="inlineStr">
        <is>
          <t>bottom 12</t>
        </is>
      </c>
      <c r="EX2" t="inlineStr">
        <is>
          <t>top 12</t>
        </is>
      </c>
      <c r="FA2" t="inlineStr">
        <is>
          <t>bottom 13</t>
        </is>
      </c>
      <c r="FD2" t="inlineStr">
        <is>
          <t>top 13</t>
        </is>
      </c>
      <c r="FG2" t="inlineStr">
        <is>
          <t>bottom 14</t>
        </is>
      </c>
      <c r="FJ2" t="inlineStr">
        <is>
          <t>top 14</t>
        </is>
      </c>
      <c r="FM2" t="inlineStr">
        <is>
          <t>bottom 15</t>
        </is>
      </c>
      <c r="FP2" t="inlineStr">
        <is>
          <t>top 15</t>
        </is>
      </c>
      <c r="FS2" t="inlineStr">
        <is>
          <t>bottom 16</t>
        </is>
      </c>
      <c r="FV2" t="inlineStr">
        <is>
          <t>top 16</t>
        </is>
      </c>
      <c r="FY2" t="inlineStr">
        <is>
          <t>bottom 17</t>
        </is>
      </c>
      <c r="GB2" t="inlineStr">
        <is>
          <t>top 17</t>
        </is>
      </c>
      <c r="GE2" t="inlineStr">
        <is>
          <t>bottom 18</t>
        </is>
      </c>
      <c r="GH2" t="inlineStr">
        <is>
          <t>top 18</t>
        </is>
      </c>
      <c r="GK2" t="inlineStr">
        <is>
          <t>bottom 19</t>
        </is>
      </c>
      <c r="GN2" t="inlineStr">
        <is>
          <t>top 19</t>
        </is>
      </c>
      <c r="GQ2" t="inlineStr">
        <is>
          <t>bottom 20</t>
        </is>
      </c>
      <c r="GT2" t="inlineStr">
        <is>
          <t>top 20</t>
        </is>
      </c>
      <c r="GW2" t="inlineStr">
        <is>
          <t>bottom 21</t>
        </is>
      </c>
      <c r="GZ2" t="inlineStr">
        <is>
          <t>top 21</t>
        </is>
      </c>
      <c r="HC2" t="inlineStr">
        <is>
          <t>bottom 22</t>
        </is>
      </c>
      <c r="HF2" t="inlineStr">
        <is>
          <t>top 22</t>
        </is>
      </c>
      <c r="HI2" t="inlineStr">
        <is>
          <t>bottom 23</t>
        </is>
      </c>
      <c r="HL2" t="inlineStr">
        <is>
          <t>top 23</t>
        </is>
      </c>
      <c r="HO2" t="inlineStr">
        <is>
          <t>bottom 24</t>
        </is>
      </c>
      <c r="HR2" t="inlineStr">
        <is>
          <t>top 24</t>
        </is>
      </c>
      <c r="HU2" t="inlineStr">
        <is>
          <t>bottom 25</t>
        </is>
      </c>
      <c r="HX2" t="inlineStr">
        <is>
          <t>top 25</t>
        </is>
      </c>
      <c r="IA2" t="inlineStr">
        <is>
          <t>bottom 26</t>
        </is>
      </c>
      <c r="ID2" t="inlineStr">
        <is>
          <t>top 26</t>
        </is>
      </c>
      <c r="IG2" t="inlineStr">
        <is>
          <t>bottom 27</t>
        </is>
      </c>
      <c r="IJ2" t="inlineStr">
        <is>
          <t>top 27</t>
        </is>
      </c>
      <c r="IM2" t="inlineStr">
        <is>
          <t>bottom 28</t>
        </is>
      </c>
      <c r="IP2" t="inlineStr">
        <is>
          <t>top 28</t>
        </is>
      </c>
      <c r="IS2" t="inlineStr">
        <is>
          <t>bottom 29</t>
        </is>
      </c>
      <c r="IV2" t="inlineStr">
        <is>
          <t>top 29</t>
        </is>
      </c>
      <c r="IY2" t="inlineStr">
        <is>
          <t>bottom 30</t>
        </is>
      </c>
      <c r="JB2" t="inlineStr">
        <is>
          <t>top 30</t>
        </is>
      </c>
      <c r="JE2" t="inlineStr">
        <is>
          <t>bottom 31</t>
        </is>
      </c>
      <c r="JH2" t="inlineStr">
        <is>
          <t>top 31</t>
        </is>
      </c>
      <c r="JK2" t="inlineStr">
        <is>
          <t>bottom 32</t>
        </is>
      </c>
      <c r="JN2" t="inlineStr">
        <is>
          <t>top 32</t>
        </is>
      </c>
      <c r="JQ2" t="inlineStr">
        <is>
          <t>bottom 33</t>
        </is>
      </c>
      <c r="JT2" t="inlineStr">
        <is>
          <t>top 33</t>
        </is>
      </c>
      <c r="JW2" t="inlineStr">
        <is>
          <t>distribution</t>
        </is>
      </c>
      <c r="JZ2">
        <f>"B φ"&amp;phi_b&amp;"@"&amp;s_b</f>
        <v/>
      </c>
      <c r="KC2">
        <f>"T φ"&amp;phi_t&amp;"@"&amp;s_tp&amp;IF(sys_i=1,"  (over the supports  ≥ 25 % of B)","")</f>
        <v/>
      </c>
      <c r="KF2" t="inlineStr">
        <is>
          <t>dim</t>
        </is>
      </c>
      <c r="KI2">
        <f>"h = "&amp;TEXT(h_sl,"0")</f>
        <v/>
      </c>
      <c r="KL2" t="inlineStr">
        <is>
          <t>frame</t>
        </is>
      </c>
    </row>
    <row r="3">
      <c r="A3">
        <f>0</f>
        <v/>
      </c>
      <c r="B3">
        <f>0</f>
        <v/>
      </c>
      <c r="D3">
        <f>IF(sys_i&lt;&gt;6,0-0.06*L_sl,NA())</f>
        <v/>
      </c>
      <c r="E3">
        <f>-0.06*L_sl</f>
        <v/>
      </c>
      <c r="G3">
        <f>IF(sys_i&lt;&gt;6,L_sl-0.06*L_sl,NA())</f>
        <v/>
      </c>
      <c r="H3">
        <f>-0.06*L_sl</f>
        <v/>
      </c>
      <c r="J3">
        <f>IF(sys_i=6,0,NA())</f>
        <v/>
      </c>
      <c r="K3">
        <f>-0.25*L_sl</f>
        <v/>
      </c>
      <c r="M3">
        <f>IF(OR(AND(sys_i&gt;2,sys_i&lt;6),sys_i=7),-0.12*L_sl,NA())</f>
        <v/>
      </c>
      <c r="N3">
        <f>h_sl/2</f>
        <v/>
      </c>
      <c r="P3">
        <f>IF(OR(AND(sys_i&gt;1,sys_i&lt;6),sys_i=7),L_sl,NA())</f>
        <v/>
      </c>
      <c r="Q3">
        <f>h_sl/2</f>
        <v/>
      </c>
      <c r="S3">
        <f>(0+0.5)*L_sl/9</f>
        <v/>
      </c>
      <c r="T3">
        <f>h_sl+0.12*L_sl</f>
        <v/>
      </c>
      <c r="V3">
        <f>(1+0.5)*L_sl/9</f>
        <v/>
      </c>
      <c r="W3">
        <f>h_sl+0.12*L_sl</f>
        <v/>
      </c>
      <c r="Y3">
        <f>(2+0.5)*L_sl/9</f>
        <v/>
      </c>
      <c r="Z3">
        <f>h_sl+0.12*L_sl</f>
        <v/>
      </c>
      <c r="AB3">
        <f>(3+0.5)*L_sl/9</f>
        <v/>
      </c>
      <c r="AC3">
        <f>h_sl+0.12*L_sl</f>
        <v/>
      </c>
      <c r="AE3">
        <f>(4+0.5)*L_sl/9</f>
        <v/>
      </c>
      <c r="AF3">
        <f>h_sl+0.12*L_sl</f>
        <v/>
      </c>
      <c r="AH3">
        <f>(5+0.5)*L_sl/9</f>
        <v/>
      </c>
      <c r="AI3">
        <f>h_sl+0.12*L_sl</f>
        <v/>
      </c>
      <c r="AK3">
        <f>(6+0.5)*L_sl/9</f>
        <v/>
      </c>
      <c r="AL3">
        <f>h_sl+0.12*L_sl</f>
        <v/>
      </c>
      <c r="AN3">
        <f>(7+0.5)*L_sl/9</f>
        <v/>
      </c>
      <c r="AO3">
        <f>h_sl+0.12*L_sl</f>
        <v/>
      </c>
      <c r="AQ3">
        <f>(8+0.5)*L_sl/9</f>
        <v/>
      </c>
      <c r="AR3">
        <f>h_sl+0.12*L_sl</f>
        <v/>
      </c>
      <c r="AT3">
        <f>0</f>
        <v/>
      </c>
      <c r="AU3">
        <f>h_sl+0.12*L_sl</f>
        <v/>
      </c>
      <c r="AW3">
        <f>0</f>
        <v/>
      </c>
      <c r="AX3">
        <f>(-0.35*L_sl)</f>
        <v/>
      </c>
      <c r="AZ3">
        <f>0</f>
        <v/>
      </c>
      <c r="BA3">
        <f>(-0.35*L_sl)</f>
        <v/>
      </c>
      <c r="BC3">
        <f>L_sl/2</f>
        <v/>
      </c>
      <c r="BD3">
        <f>h_sl+0.12*L_sl</f>
        <v/>
      </c>
      <c r="BF3">
        <f>L_sl/2</f>
        <v/>
      </c>
      <c r="BG3">
        <f>(-0.35*L_sl)-(0.22*L_sl/MAX(M_sp,M_su,0.001))*M_sp</f>
        <v/>
      </c>
      <c r="BI3">
        <f>0</f>
        <v/>
      </c>
      <c r="BJ3">
        <f>(-0.35*L_sl)+(0.22*L_sl/MAX(M_sp,M_su,0.001))*M_lt</f>
        <v/>
      </c>
      <c r="BL3">
        <f>L_sl</f>
        <v/>
      </c>
      <c r="BM3">
        <f>(-0.35*L_sl)+(0.22*L_sl/MAX(M_sp,M_su,0.001))*M_rt</f>
        <v/>
      </c>
      <c r="BO3">
        <f>IF(TRUE,0,NA())</f>
        <v/>
      </c>
      <c r="BP3">
        <f>IF(TRUE,h_sl+0.2*L_sl,NA())</f>
        <v/>
      </c>
      <c r="BR3">
        <f>IF(TRUE,((0)+(L_sl))/2,NA())</f>
        <v/>
      </c>
      <c r="BS3">
        <f>IF(TRUE,((h_sl+0.2*L_sl)+(h_sl+0.2*L_sl))/2,NA())</f>
        <v/>
      </c>
      <c r="BU3">
        <f>((-0.15*L_sl)+(1.15*L_sl))/2-MAX((0.3*L_sl)-(-0.65*L_sl),((1.15*L_sl)-(-0.15*L_sl))/1.55)*0.58*1.55</f>
        <v/>
      </c>
      <c r="BV3">
        <f>((-0.65*L_sl)+(0.3*L_sl))/2-MAX((0.3*L_sl)-(-0.65*L_sl),((1.15*L_sl)-(-0.15*L_sl))/1.55)*0.58</f>
        <v/>
      </c>
      <c r="BX3">
        <f>0</f>
        <v/>
      </c>
      <c r="BY3">
        <f>0</f>
        <v/>
      </c>
      <c r="CA3">
        <f>IF(s_b/2+0*s_b&lt;1000,(s_b/2+0*s_b)+(phi_b/2)*1.000000,NA())</f>
        <v/>
      </c>
      <c r="CB3">
        <f>IF(s_b/2+0*s_b&lt;1000,(c_nom+phi_b/2)+(phi_b/2)*0.000000,NA())</f>
        <v/>
      </c>
      <c r="CD3">
        <f>IF(s_tp/2+0*s_tp&lt;1000,(s_tp/2+0*s_tp)+(phi_t/2)*1.000000,NA())</f>
        <v/>
      </c>
      <c r="CE3">
        <f>IF(s_tp/2+0*s_tp&lt;1000,(h_sl-c_nom-phi_t/2)+(phi_t/2)*0.000000,NA())</f>
        <v/>
      </c>
      <c r="CG3">
        <f>IF(s_b/2+1*s_b&lt;1000,(s_b/2+1*s_b)+(phi_b/2)*1.000000,NA())</f>
        <v/>
      </c>
      <c r="CH3">
        <f>IF(s_b/2+1*s_b&lt;1000,(c_nom+phi_b/2)+(phi_b/2)*0.000000,NA())</f>
        <v/>
      </c>
      <c r="CJ3">
        <f>IF(s_tp/2+1*s_tp&lt;1000,(s_tp/2+1*s_tp)+(phi_t/2)*1.000000,NA())</f>
        <v/>
      </c>
      <c r="CK3">
        <f>IF(s_tp/2+1*s_tp&lt;1000,(h_sl-c_nom-phi_t/2)+(phi_t/2)*0.000000,NA())</f>
        <v/>
      </c>
      <c r="CM3">
        <f>IF(s_b/2+2*s_b&lt;1000,(s_b/2+2*s_b)+(phi_b/2)*1.000000,NA())</f>
        <v/>
      </c>
      <c r="CN3">
        <f>IF(s_b/2+2*s_b&lt;1000,(c_nom+phi_b/2)+(phi_b/2)*0.000000,NA())</f>
        <v/>
      </c>
      <c r="CP3">
        <f>IF(s_tp/2+2*s_tp&lt;1000,(s_tp/2+2*s_tp)+(phi_t/2)*1.000000,NA())</f>
        <v/>
      </c>
      <c r="CQ3">
        <f>IF(s_tp/2+2*s_tp&lt;1000,(h_sl-c_nom-phi_t/2)+(phi_t/2)*0.000000,NA())</f>
        <v/>
      </c>
      <c r="CS3">
        <f>IF(s_b/2+3*s_b&lt;1000,(s_b/2+3*s_b)+(phi_b/2)*1.000000,NA())</f>
        <v/>
      </c>
      <c r="CT3">
        <f>IF(s_b/2+3*s_b&lt;1000,(c_nom+phi_b/2)+(phi_b/2)*0.000000,NA())</f>
        <v/>
      </c>
      <c r="CV3">
        <f>IF(s_tp/2+3*s_tp&lt;1000,(s_tp/2+3*s_tp)+(phi_t/2)*1.000000,NA())</f>
        <v/>
      </c>
      <c r="CW3">
        <f>IF(s_tp/2+3*s_tp&lt;1000,(h_sl-c_nom-phi_t/2)+(phi_t/2)*0.000000,NA())</f>
        <v/>
      </c>
      <c r="CY3">
        <f>IF(s_b/2+4*s_b&lt;1000,(s_b/2+4*s_b)+(phi_b/2)*1.000000,NA())</f>
        <v/>
      </c>
      <c r="CZ3">
        <f>IF(s_b/2+4*s_b&lt;1000,(c_nom+phi_b/2)+(phi_b/2)*0.000000,NA())</f>
        <v/>
      </c>
      <c r="DB3">
        <f>IF(s_tp/2+4*s_tp&lt;1000,(s_tp/2+4*s_tp)+(phi_t/2)*1.000000,NA())</f>
        <v/>
      </c>
      <c r="DC3">
        <f>IF(s_tp/2+4*s_tp&lt;1000,(h_sl-c_nom-phi_t/2)+(phi_t/2)*0.000000,NA())</f>
        <v/>
      </c>
      <c r="DE3">
        <f>IF(s_b/2+5*s_b&lt;1000,(s_b/2+5*s_b)+(phi_b/2)*1.000000,NA())</f>
        <v/>
      </c>
      <c r="DF3">
        <f>IF(s_b/2+5*s_b&lt;1000,(c_nom+phi_b/2)+(phi_b/2)*0.000000,NA())</f>
        <v/>
      </c>
      <c r="DH3">
        <f>IF(s_tp/2+5*s_tp&lt;1000,(s_tp/2+5*s_tp)+(phi_t/2)*1.000000,NA())</f>
        <v/>
      </c>
      <c r="DI3">
        <f>IF(s_tp/2+5*s_tp&lt;1000,(h_sl-c_nom-phi_t/2)+(phi_t/2)*0.000000,NA())</f>
        <v/>
      </c>
      <c r="DK3">
        <f>IF(s_b/2+6*s_b&lt;1000,(s_b/2+6*s_b)+(phi_b/2)*1.000000,NA())</f>
        <v/>
      </c>
      <c r="DL3">
        <f>IF(s_b/2+6*s_b&lt;1000,(c_nom+phi_b/2)+(phi_b/2)*0.000000,NA())</f>
        <v/>
      </c>
      <c r="DN3">
        <f>IF(s_tp/2+6*s_tp&lt;1000,(s_tp/2+6*s_tp)+(phi_t/2)*1.000000,NA())</f>
        <v/>
      </c>
      <c r="DO3">
        <f>IF(s_tp/2+6*s_tp&lt;1000,(h_sl-c_nom-phi_t/2)+(phi_t/2)*0.000000,NA())</f>
        <v/>
      </c>
      <c r="DQ3">
        <f>IF(s_b/2+7*s_b&lt;1000,(s_b/2+7*s_b)+(phi_b/2)*1.000000,NA())</f>
        <v/>
      </c>
      <c r="DR3">
        <f>IF(s_b/2+7*s_b&lt;1000,(c_nom+phi_b/2)+(phi_b/2)*0.000000,NA())</f>
        <v/>
      </c>
      <c r="DT3">
        <f>IF(s_tp/2+7*s_tp&lt;1000,(s_tp/2+7*s_tp)+(phi_t/2)*1.000000,NA())</f>
        <v/>
      </c>
      <c r="DU3">
        <f>IF(s_tp/2+7*s_tp&lt;1000,(h_sl-c_nom-phi_t/2)+(phi_t/2)*0.000000,NA())</f>
        <v/>
      </c>
      <c r="DW3">
        <f>IF(s_b/2+8*s_b&lt;1000,(s_b/2+8*s_b)+(phi_b/2)*1.000000,NA())</f>
        <v/>
      </c>
      <c r="DX3">
        <f>IF(s_b/2+8*s_b&lt;1000,(c_nom+phi_b/2)+(phi_b/2)*0.000000,NA())</f>
        <v/>
      </c>
      <c r="DZ3">
        <f>IF(s_tp/2+8*s_tp&lt;1000,(s_tp/2+8*s_tp)+(phi_t/2)*1.000000,NA())</f>
        <v/>
      </c>
      <c r="EA3">
        <f>IF(s_tp/2+8*s_tp&lt;1000,(h_sl-c_nom-phi_t/2)+(phi_t/2)*0.000000,NA())</f>
        <v/>
      </c>
      <c r="EC3">
        <f>IF(s_b/2+9*s_b&lt;1000,(s_b/2+9*s_b)+(phi_b/2)*1.000000,NA())</f>
        <v/>
      </c>
      <c r="ED3">
        <f>IF(s_b/2+9*s_b&lt;1000,(c_nom+phi_b/2)+(phi_b/2)*0.000000,NA())</f>
        <v/>
      </c>
      <c r="EF3">
        <f>IF(s_tp/2+9*s_tp&lt;1000,(s_tp/2+9*s_tp)+(phi_t/2)*1.000000,NA())</f>
        <v/>
      </c>
      <c r="EG3">
        <f>IF(s_tp/2+9*s_tp&lt;1000,(h_sl-c_nom-phi_t/2)+(phi_t/2)*0.000000,NA())</f>
        <v/>
      </c>
      <c r="EI3">
        <f>IF(s_b/2+10*s_b&lt;1000,(s_b/2+10*s_b)+(phi_b/2)*1.000000,NA())</f>
        <v/>
      </c>
      <c r="EJ3">
        <f>IF(s_b/2+10*s_b&lt;1000,(c_nom+phi_b/2)+(phi_b/2)*0.000000,NA())</f>
        <v/>
      </c>
      <c r="EL3">
        <f>IF(s_tp/2+10*s_tp&lt;1000,(s_tp/2+10*s_tp)+(phi_t/2)*1.000000,NA())</f>
        <v/>
      </c>
      <c r="EM3">
        <f>IF(s_tp/2+10*s_tp&lt;1000,(h_sl-c_nom-phi_t/2)+(phi_t/2)*0.000000,NA())</f>
        <v/>
      </c>
      <c r="EO3">
        <f>IF(s_b/2+11*s_b&lt;1000,(s_b/2+11*s_b)+(phi_b/2)*1.000000,NA())</f>
        <v/>
      </c>
      <c r="EP3">
        <f>IF(s_b/2+11*s_b&lt;1000,(c_nom+phi_b/2)+(phi_b/2)*0.000000,NA())</f>
        <v/>
      </c>
      <c r="ER3">
        <f>IF(s_tp/2+11*s_tp&lt;1000,(s_tp/2+11*s_tp)+(phi_t/2)*1.000000,NA())</f>
        <v/>
      </c>
      <c r="ES3">
        <f>IF(s_tp/2+11*s_tp&lt;1000,(h_sl-c_nom-phi_t/2)+(phi_t/2)*0.000000,NA())</f>
        <v/>
      </c>
      <c r="EU3">
        <f>IF(s_b/2+12*s_b&lt;1000,(s_b/2+12*s_b)+(phi_b/2)*1.000000,NA())</f>
        <v/>
      </c>
      <c r="EV3">
        <f>IF(s_b/2+12*s_b&lt;1000,(c_nom+phi_b/2)+(phi_b/2)*0.000000,NA())</f>
        <v/>
      </c>
      <c r="EX3">
        <f>IF(s_tp/2+12*s_tp&lt;1000,(s_tp/2+12*s_tp)+(phi_t/2)*1.000000,NA())</f>
        <v/>
      </c>
      <c r="EY3">
        <f>IF(s_tp/2+12*s_tp&lt;1000,(h_sl-c_nom-phi_t/2)+(phi_t/2)*0.000000,NA())</f>
        <v/>
      </c>
      <c r="FA3">
        <f>IF(s_b/2+13*s_b&lt;1000,(s_b/2+13*s_b)+(phi_b/2)*1.000000,NA())</f>
        <v/>
      </c>
      <c r="FB3">
        <f>IF(s_b/2+13*s_b&lt;1000,(c_nom+phi_b/2)+(phi_b/2)*0.000000,NA())</f>
        <v/>
      </c>
      <c r="FD3">
        <f>IF(s_tp/2+13*s_tp&lt;1000,(s_tp/2+13*s_tp)+(phi_t/2)*1.000000,NA())</f>
        <v/>
      </c>
      <c r="FE3">
        <f>IF(s_tp/2+13*s_tp&lt;1000,(h_sl-c_nom-phi_t/2)+(phi_t/2)*0.000000,NA())</f>
        <v/>
      </c>
      <c r="FG3">
        <f>IF(s_b/2+14*s_b&lt;1000,(s_b/2+14*s_b)+(phi_b/2)*1.000000,NA())</f>
        <v/>
      </c>
      <c r="FH3">
        <f>IF(s_b/2+14*s_b&lt;1000,(c_nom+phi_b/2)+(phi_b/2)*0.000000,NA())</f>
        <v/>
      </c>
      <c r="FJ3">
        <f>IF(s_tp/2+14*s_tp&lt;1000,(s_tp/2+14*s_tp)+(phi_t/2)*1.000000,NA())</f>
        <v/>
      </c>
      <c r="FK3">
        <f>IF(s_tp/2+14*s_tp&lt;1000,(h_sl-c_nom-phi_t/2)+(phi_t/2)*0.000000,NA())</f>
        <v/>
      </c>
      <c r="FM3">
        <f>IF(s_b/2+15*s_b&lt;1000,(s_b/2+15*s_b)+(phi_b/2)*1.000000,NA())</f>
        <v/>
      </c>
      <c r="FN3">
        <f>IF(s_b/2+15*s_b&lt;1000,(c_nom+phi_b/2)+(phi_b/2)*0.000000,NA())</f>
        <v/>
      </c>
      <c r="FP3">
        <f>IF(s_tp/2+15*s_tp&lt;1000,(s_tp/2+15*s_tp)+(phi_t/2)*1.000000,NA())</f>
        <v/>
      </c>
      <c r="FQ3">
        <f>IF(s_tp/2+15*s_tp&lt;1000,(h_sl-c_nom-phi_t/2)+(phi_t/2)*0.000000,NA())</f>
        <v/>
      </c>
      <c r="FS3">
        <f>IF(s_b/2+16*s_b&lt;1000,(s_b/2+16*s_b)+(phi_b/2)*1.000000,NA())</f>
        <v/>
      </c>
      <c r="FT3">
        <f>IF(s_b/2+16*s_b&lt;1000,(c_nom+phi_b/2)+(phi_b/2)*0.000000,NA())</f>
        <v/>
      </c>
      <c r="FV3">
        <f>IF(s_tp/2+16*s_tp&lt;1000,(s_tp/2+16*s_tp)+(phi_t/2)*1.000000,NA())</f>
        <v/>
      </c>
      <c r="FW3">
        <f>IF(s_tp/2+16*s_tp&lt;1000,(h_sl-c_nom-phi_t/2)+(phi_t/2)*0.000000,NA())</f>
        <v/>
      </c>
      <c r="FY3">
        <f>IF(s_b/2+17*s_b&lt;1000,(s_b/2+17*s_b)+(phi_b/2)*1.000000,NA())</f>
        <v/>
      </c>
      <c r="FZ3">
        <f>IF(s_b/2+17*s_b&lt;1000,(c_nom+phi_b/2)+(phi_b/2)*0.000000,NA())</f>
        <v/>
      </c>
      <c r="GB3">
        <f>IF(s_tp/2+17*s_tp&lt;1000,(s_tp/2+17*s_tp)+(phi_t/2)*1.000000,NA())</f>
        <v/>
      </c>
      <c r="GC3">
        <f>IF(s_tp/2+17*s_tp&lt;1000,(h_sl-c_nom-phi_t/2)+(phi_t/2)*0.000000,NA())</f>
        <v/>
      </c>
      <c r="GE3">
        <f>IF(s_b/2+18*s_b&lt;1000,(s_b/2+18*s_b)+(phi_b/2)*1.000000,NA())</f>
        <v/>
      </c>
      <c r="GF3">
        <f>IF(s_b/2+18*s_b&lt;1000,(c_nom+phi_b/2)+(phi_b/2)*0.000000,NA())</f>
        <v/>
      </c>
      <c r="GH3">
        <f>IF(s_tp/2+18*s_tp&lt;1000,(s_tp/2+18*s_tp)+(phi_t/2)*1.000000,NA())</f>
        <v/>
      </c>
      <c r="GI3">
        <f>IF(s_tp/2+18*s_tp&lt;1000,(h_sl-c_nom-phi_t/2)+(phi_t/2)*0.000000,NA())</f>
        <v/>
      </c>
      <c r="GK3">
        <f>IF(s_b/2+19*s_b&lt;1000,(s_b/2+19*s_b)+(phi_b/2)*1.000000,NA())</f>
        <v/>
      </c>
      <c r="GL3">
        <f>IF(s_b/2+19*s_b&lt;1000,(c_nom+phi_b/2)+(phi_b/2)*0.000000,NA())</f>
        <v/>
      </c>
      <c r="GN3">
        <f>IF(s_tp/2+19*s_tp&lt;1000,(s_tp/2+19*s_tp)+(phi_t/2)*1.000000,NA())</f>
        <v/>
      </c>
      <c r="GO3">
        <f>IF(s_tp/2+19*s_tp&lt;1000,(h_sl-c_nom-phi_t/2)+(phi_t/2)*0.000000,NA())</f>
        <v/>
      </c>
      <c r="GQ3">
        <f>IF(s_b/2+20*s_b&lt;1000,(s_b/2+20*s_b)+(phi_b/2)*1.000000,NA())</f>
        <v/>
      </c>
      <c r="GR3">
        <f>IF(s_b/2+20*s_b&lt;1000,(c_nom+phi_b/2)+(phi_b/2)*0.000000,NA())</f>
        <v/>
      </c>
      <c r="GT3">
        <f>IF(s_tp/2+20*s_tp&lt;1000,(s_tp/2+20*s_tp)+(phi_t/2)*1.000000,NA())</f>
        <v/>
      </c>
      <c r="GU3">
        <f>IF(s_tp/2+20*s_tp&lt;1000,(h_sl-c_nom-phi_t/2)+(phi_t/2)*0.000000,NA())</f>
        <v/>
      </c>
      <c r="GW3">
        <f>IF(s_b/2+21*s_b&lt;1000,(s_b/2+21*s_b)+(phi_b/2)*1.000000,NA())</f>
        <v/>
      </c>
      <c r="GX3">
        <f>IF(s_b/2+21*s_b&lt;1000,(c_nom+phi_b/2)+(phi_b/2)*0.000000,NA())</f>
        <v/>
      </c>
      <c r="GZ3">
        <f>IF(s_tp/2+21*s_tp&lt;1000,(s_tp/2+21*s_tp)+(phi_t/2)*1.000000,NA())</f>
        <v/>
      </c>
      <c r="HA3">
        <f>IF(s_tp/2+21*s_tp&lt;1000,(h_sl-c_nom-phi_t/2)+(phi_t/2)*0.000000,NA())</f>
        <v/>
      </c>
      <c r="HC3">
        <f>IF(s_b/2+22*s_b&lt;1000,(s_b/2+22*s_b)+(phi_b/2)*1.000000,NA())</f>
        <v/>
      </c>
      <c r="HD3">
        <f>IF(s_b/2+22*s_b&lt;1000,(c_nom+phi_b/2)+(phi_b/2)*0.000000,NA())</f>
        <v/>
      </c>
      <c r="HF3">
        <f>IF(s_tp/2+22*s_tp&lt;1000,(s_tp/2+22*s_tp)+(phi_t/2)*1.000000,NA())</f>
        <v/>
      </c>
      <c r="HG3">
        <f>IF(s_tp/2+22*s_tp&lt;1000,(h_sl-c_nom-phi_t/2)+(phi_t/2)*0.000000,NA())</f>
        <v/>
      </c>
      <c r="HI3">
        <f>IF(s_b/2+23*s_b&lt;1000,(s_b/2+23*s_b)+(phi_b/2)*1.000000,NA())</f>
        <v/>
      </c>
      <c r="HJ3">
        <f>IF(s_b/2+23*s_b&lt;1000,(c_nom+phi_b/2)+(phi_b/2)*0.000000,NA())</f>
        <v/>
      </c>
      <c r="HL3">
        <f>IF(s_tp/2+23*s_tp&lt;1000,(s_tp/2+23*s_tp)+(phi_t/2)*1.000000,NA())</f>
        <v/>
      </c>
      <c r="HM3">
        <f>IF(s_tp/2+23*s_tp&lt;1000,(h_sl-c_nom-phi_t/2)+(phi_t/2)*0.000000,NA())</f>
        <v/>
      </c>
      <c r="HO3">
        <f>IF(s_b/2+24*s_b&lt;1000,(s_b/2+24*s_b)+(phi_b/2)*1.000000,NA())</f>
        <v/>
      </c>
      <c r="HP3">
        <f>IF(s_b/2+24*s_b&lt;1000,(c_nom+phi_b/2)+(phi_b/2)*0.000000,NA())</f>
        <v/>
      </c>
      <c r="HR3">
        <f>IF(s_tp/2+24*s_tp&lt;1000,(s_tp/2+24*s_tp)+(phi_t/2)*1.000000,NA())</f>
        <v/>
      </c>
      <c r="HS3">
        <f>IF(s_tp/2+24*s_tp&lt;1000,(h_sl-c_nom-phi_t/2)+(phi_t/2)*0.000000,NA())</f>
        <v/>
      </c>
      <c r="HU3">
        <f>IF(s_b/2+25*s_b&lt;1000,(s_b/2+25*s_b)+(phi_b/2)*1.000000,NA())</f>
        <v/>
      </c>
      <c r="HV3">
        <f>IF(s_b/2+25*s_b&lt;1000,(c_nom+phi_b/2)+(phi_b/2)*0.000000,NA())</f>
        <v/>
      </c>
      <c r="HX3">
        <f>IF(s_tp/2+25*s_tp&lt;1000,(s_tp/2+25*s_tp)+(phi_t/2)*1.000000,NA())</f>
        <v/>
      </c>
      <c r="HY3">
        <f>IF(s_tp/2+25*s_tp&lt;1000,(h_sl-c_nom-phi_t/2)+(phi_t/2)*0.000000,NA())</f>
        <v/>
      </c>
      <c r="IA3">
        <f>IF(s_b/2+26*s_b&lt;1000,(s_b/2+26*s_b)+(phi_b/2)*1.000000,NA())</f>
        <v/>
      </c>
      <c r="IB3">
        <f>IF(s_b/2+26*s_b&lt;1000,(c_nom+phi_b/2)+(phi_b/2)*0.000000,NA())</f>
        <v/>
      </c>
      <c r="ID3">
        <f>IF(s_tp/2+26*s_tp&lt;1000,(s_tp/2+26*s_tp)+(phi_t/2)*1.000000,NA())</f>
        <v/>
      </c>
      <c r="IE3">
        <f>IF(s_tp/2+26*s_tp&lt;1000,(h_sl-c_nom-phi_t/2)+(phi_t/2)*0.000000,NA())</f>
        <v/>
      </c>
      <c r="IG3">
        <f>IF(s_b/2+27*s_b&lt;1000,(s_b/2+27*s_b)+(phi_b/2)*1.000000,NA())</f>
        <v/>
      </c>
      <c r="IH3">
        <f>IF(s_b/2+27*s_b&lt;1000,(c_nom+phi_b/2)+(phi_b/2)*0.000000,NA())</f>
        <v/>
      </c>
      <c r="IJ3">
        <f>IF(s_tp/2+27*s_tp&lt;1000,(s_tp/2+27*s_tp)+(phi_t/2)*1.000000,NA())</f>
        <v/>
      </c>
      <c r="IK3">
        <f>IF(s_tp/2+27*s_tp&lt;1000,(h_sl-c_nom-phi_t/2)+(phi_t/2)*0.000000,NA())</f>
        <v/>
      </c>
      <c r="IM3">
        <f>IF(s_b/2+28*s_b&lt;1000,(s_b/2+28*s_b)+(phi_b/2)*1.000000,NA())</f>
        <v/>
      </c>
      <c r="IN3">
        <f>IF(s_b/2+28*s_b&lt;1000,(c_nom+phi_b/2)+(phi_b/2)*0.000000,NA())</f>
        <v/>
      </c>
      <c r="IP3">
        <f>IF(s_tp/2+28*s_tp&lt;1000,(s_tp/2+28*s_tp)+(phi_t/2)*1.000000,NA())</f>
        <v/>
      </c>
      <c r="IQ3">
        <f>IF(s_tp/2+28*s_tp&lt;1000,(h_sl-c_nom-phi_t/2)+(phi_t/2)*0.000000,NA())</f>
        <v/>
      </c>
      <c r="IS3">
        <f>IF(s_b/2+29*s_b&lt;1000,(s_b/2+29*s_b)+(phi_b/2)*1.000000,NA())</f>
        <v/>
      </c>
      <c r="IT3">
        <f>IF(s_b/2+29*s_b&lt;1000,(c_nom+phi_b/2)+(phi_b/2)*0.000000,NA())</f>
        <v/>
      </c>
      <c r="IV3">
        <f>IF(s_tp/2+29*s_tp&lt;1000,(s_tp/2+29*s_tp)+(phi_t/2)*1.000000,NA())</f>
        <v/>
      </c>
      <c r="IW3">
        <f>IF(s_tp/2+29*s_tp&lt;1000,(h_sl-c_nom-phi_t/2)+(phi_t/2)*0.000000,NA())</f>
        <v/>
      </c>
      <c r="IY3">
        <f>IF(s_b/2+30*s_b&lt;1000,(s_b/2+30*s_b)+(phi_b/2)*1.000000,NA())</f>
        <v/>
      </c>
      <c r="IZ3">
        <f>IF(s_b/2+30*s_b&lt;1000,(c_nom+phi_b/2)+(phi_b/2)*0.000000,NA())</f>
        <v/>
      </c>
      <c r="JB3">
        <f>IF(s_tp/2+30*s_tp&lt;1000,(s_tp/2+30*s_tp)+(phi_t/2)*1.000000,NA())</f>
        <v/>
      </c>
      <c r="JC3">
        <f>IF(s_tp/2+30*s_tp&lt;1000,(h_sl-c_nom-phi_t/2)+(phi_t/2)*0.000000,NA())</f>
        <v/>
      </c>
      <c r="JE3">
        <f>IF(s_b/2+31*s_b&lt;1000,(s_b/2+31*s_b)+(phi_b/2)*1.000000,NA())</f>
        <v/>
      </c>
      <c r="JF3">
        <f>IF(s_b/2+31*s_b&lt;1000,(c_nom+phi_b/2)+(phi_b/2)*0.000000,NA())</f>
        <v/>
      </c>
      <c r="JH3">
        <f>IF(s_tp/2+31*s_tp&lt;1000,(s_tp/2+31*s_tp)+(phi_t/2)*1.000000,NA())</f>
        <v/>
      </c>
      <c r="JI3">
        <f>IF(s_tp/2+31*s_tp&lt;1000,(h_sl-c_nom-phi_t/2)+(phi_t/2)*0.000000,NA())</f>
        <v/>
      </c>
      <c r="JK3">
        <f>IF(s_b/2+32*s_b&lt;1000,(s_b/2+32*s_b)+(phi_b/2)*1.000000,NA())</f>
        <v/>
      </c>
      <c r="JL3">
        <f>IF(s_b/2+32*s_b&lt;1000,(c_nom+phi_b/2)+(phi_b/2)*0.000000,NA())</f>
        <v/>
      </c>
      <c r="JN3">
        <f>IF(s_tp/2+32*s_tp&lt;1000,(s_tp/2+32*s_tp)+(phi_t/2)*1.000000,NA())</f>
        <v/>
      </c>
      <c r="JO3">
        <f>IF(s_tp/2+32*s_tp&lt;1000,(h_sl-c_nom-phi_t/2)+(phi_t/2)*0.000000,NA())</f>
        <v/>
      </c>
      <c r="JQ3">
        <f>IF(s_b/2+33*s_b&lt;1000,(s_b/2+33*s_b)+(phi_b/2)*1.000000,NA())</f>
        <v/>
      </c>
      <c r="JR3">
        <f>IF(s_b/2+33*s_b&lt;1000,(c_nom+phi_b/2)+(phi_b/2)*0.000000,NA())</f>
        <v/>
      </c>
      <c r="JT3">
        <f>IF(s_tp/2+33*s_tp&lt;1000,(s_tp/2+33*s_tp)+(phi_t/2)*1.000000,NA())</f>
        <v/>
      </c>
      <c r="JU3">
        <f>IF(s_tp/2+33*s_tp&lt;1000,(h_sl-c_nom-phi_t/2)+(phi_t/2)*0.000000,NA())</f>
        <v/>
      </c>
      <c r="JW3">
        <f>0</f>
        <v/>
      </c>
      <c r="JX3">
        <f>IF(sys_i=6,h_sl-c_nom-phi_t-phi_d/2,c_nom+phi_b+phi_d/2)</f>
        <v/>
      </c>
      <c r="JZ3">
        <f>500</f>
        <v/>
      </c>
      <c r="KA3">
        <f>0</f>
        <v/>
      </c>
      <c r="KC3">
        <f>500</f>
        <v/>
      </c>
      <c r="KD3">
        <f>h_sl</f>
        <v/>
      </c>
      <c r="KF3">
        <f>IF(TRUE,1040,NA())</f>
        <v/>
      </c>
      <c r="KG3">
        <f>IF(TRUE,0,NA())</f>
        <v/>
      </c>
      <c r="KI3">
        <f>IF(TRUE,((1040)+(1040))/2,NA())</f>
        <v/>
      </c>
      <c r="KJ3">
        <f>IF(TRUE,((0)+(h_sl))/2,NA())</f>
        <v/>
      </c>
      <c r="KL3">
        <f>((-20)+(1160))/2-MAX((1.6*h_sl)-(-0.6*h_sl),((1160)-(-20))/1.55)*0.52*1.55</f>
        <v/>
      </c>
      <c r="KM3">
        <f>((-0.6*h_sl)+(1.6*h_sl))/2-MAX((1.6*h_sl)-(-0.6*h_sl),((1160)-(-20))/1.55)*0.52</f>
        <v/>
      </c>
    </row>
    <row r="4">
      <c r="A4">
        <f>L_sl</f>
        <v/>
      </c>
      <c r="B4">
        <f>0</f>
        <v/>
      </c>
      <c r="D4">
        <f>IF(sys_i&lt;&gt;6,0,NA())</f>
        <v/>
      </c>
      <c r="E4">
        <f>0</f>
        <v/>
      </c>
      <c r="G4">
        <f>IF(sys_i&lt;&gt;6,L_sl,NA())</f>
        <v/>
      </c>
      <c r="H4">
        <f>0</f>
        <v/>
      </c>
      <c r="J4">
        <f>IF(sys_i=6,0,NA())</f>
        <v/>
      </c>
      <c r="K4">
        <f>0.25*L_sl</f>
        <v/>
      </c>
      <c r="M4">
        <f>IF(OR(AND(sys_i&gt;2,sys_i&lt;6),sys_i=7),0,NA())</f>
        <v/>
      </c>
      <c r="N4">
        <f>h_sl/2</f>
        <v/>
      </c>
      <c r="P4">
        <f>IF(OR(AND(sys_i&gt;1,sys_i&lt;6),sys_i=7),1.12*L_sl,NA())</f>
        <v/>
      </c>
      <c r="Q4">
        <f>h_sl/2</f>
        <v/>
      </c>
      <c r="S4">
        <f>(0+0.5)*L_sl/9</f>
        <v/>
      </c>
      <c r="T4">
        <f>h_sl+0.02*L_sl</f>
        <v/>
      </c>
      <c r="V4">
        <f>(1+0.5)*L_sl/9</f>
        <v/>
      </c>
      <c r="W4">
        <f>h_sl+0.02*L_sl</f>
        <v/>
      </c>
      <c r="Y4">
        <f>(2+0.5)*L_sl/9</f>
        <v/>
      </c>
      <c r="Z4">
        <f>h_sl+0.02*L_sl</f>
        <v/>
      </c>
      <c r="AB4">
        <f>(3+0.5)*L_sl/9</f>
        <v/>
      </c>
      <c r="AC4">
        <f>h_sl+0.02*L_sl</f>
        <v/>
      </c>
      <c r="AE4">
        <f>(4+0.5)*L_sl/9</f>
        <v/>
      </c>
      <c r="AF4">
        <f>h_sl+0.02*L_sl</f>
        <v/>
      </c>
      <c r="AH4">
        <f>(5+0.5)*L_sl/9</f>
        <v/>
      </c>
      <c r="AI4">
        <f>h_sl+0.02*L_sl</f>
        <v/>
      </c>
      <c r="AK4">
        <f>(6+0.5)*L_sl/9</f>
        <v/>
      </c>
      <c r="AL4">
        <f>h_sl+0.02*L_sl</f>
        <v/>
      </c>
      <c r="AN4">
        <f>(7+0.5)*L_sl/9</f>
        <v/>
      </c>
      <c r="AO4">
        <f>h_sl+0.02*L_sl</f>
        <v/>
      </c>
      <c r="AQ4">
        <f>(8+0.5)*L_sl/9</f>
        <v/>
      </c>
      <c r="AR4">
        <f>h_sl+0.02*L_sl</f>
        <v/>
      </c>
      <c r="AT4">
        <f>L_sl</f>
        <v/>
      </c>
      <c r="AU4">
        <f>h_sl+0.12*L_sl</f>
        <v/>
      </c>
      <c r="AW4">
        <f>0.000000*L_sl</f>
        <v/>
      </c>
      <c r="AX4">
        <f>(-0.35*L_sl)-(0.22*L_sl/MAX(M_sp,M_su,0.001))*(IF(sys_i=6,-M_lt*1.000000,-M_lt*1.000000+M_sp*0.000000-M_rt*-0.000000))</f>
        <v/>
      </c>
      <c r="AZ4">
        <f>L_sl</f>
        <v/>
      </c>
      <c r="BA4">
        <f>(-0.35*L_sl)</f>
        <v/>
      </c>
      <c r="BO4">
        <f>IF(TRUE,L_sl,NA())</f>
        <v/>
      </c>
      <c r="BP4">
        <f>IF(TRUE,h_sl+0.2*L_sl,NA())</f>
        <v/>
      </c>
      <c r="BU4">
        <f>((-0.15*L_sl)+(1.15*L_sl))/2+MAX((0.3*L_sl)-(-0.65*L_sl),((1.15*L_sl)-(-0.15*L_sl))/1.55)*0.58*1.55</f>
        <v/>
      </c>
      <c r="BV4">
        <f>((-0.65*L_sl)+(0.3*L_sl))/2+MAX((0.3*L_sl)-(-0.65*L_sl),((1.15*L_sl)-(-0.15*L_sl))/1.55)*0.58</f>
        <v/>
      </c>
      <c r="BX4">
        <f>1000</f>
        <v/>
      </c>
      <c r="BY4">
        <f>0</f>
        <v/>
      </c>
      <c r="CA4">
        <f>IF(s_b/2+0*s_b&lt;1000,(s_b/2+0*s_b)+(phi_b/2)*0.809017,NA())</f>
        <v/>
      </c>
      <c r="CB4">
        <f>IF(s_b/2+0*s_b&lt;1000,(c_nom+phi_b/2)+(phi_b/2)*0.587785,NA())</f>
        <v/>
      </c>
      <c r="CD4">
        <f>IF(s_tp/2+0*s_tp&lt;1000,(s_tp/2+0*s_tp)+(phi_t/2)*0.809017,NA())</f>
        <v/>
      </c>
      <c r="CE4">
        <f>IF(s_tp/2+0*s_tp&lt;1000,(h_sl-c_nom-phi_t/2)+(phi_t/2)*0.587785,NA())</f>
        <v/>
      </c>
      <c r="CG4">
        <f>IF(s_b/2+1*s_b&lt;1000,(s_b/2+1*s_b)+(phi_b/2)*0.809017,NA())</f>
        <v/>
      </c>
      <c r="CH4">
        <f>IF(s_b/2+1*s_b&lt;1000,(c_nom+phi_b/2)+(phi_b/2)*0.587785,NA())</f>
        <v/>
      </c>
      <c r="CJ4">
        <f>IF(s_tp/2+1*s_tp&lt;1000,(s_tp/2+1*s_tp)+(phi_t/2)*0.809017,NA())</f>
        <v/>
      </c>
      <c r="CK4">
        <f>IF(s_tp/2+1*s_tp&lt;1000,(h_sl-c_nom-phi_t/2)+(phi_t/2)*0.587785,NA())</f>
        <v/>
      </c>
      <c r="CM4">
        <f>IF(s_b/2+2*s_b&lt;1000,(s_b/2+2*s_b)+(phi_b/2)*0.809017,NA())</f>
        <v/>
      </c>
      <c r="CN4">
        <f>IF(s_b/2+2*s_b&lt;1000,(c_nom+phi_b/2)+(phi_b/2)*0.587785,NA())</f>
        <v/>
      </c>
      <c r="CP4">
        <f>IF(s_tp/2+2*s_tp&lt;1000,(s_tp/2+2*s_tp)+(phi_t/2)*0.809017,NA())</f>
        <v/>
      </c>
      <c r="CQ4">
        <f>IF(s_tp/2+2*s_tp&lt;1000,(h_sl-c_nom-phi_t/2)+(phi_t/2)*0.587785,NA())</f>
        <v/>
      </c>
      <c r="CS4">
        <f>IF(s_b/2+3*s_b&lt;1000,(s_b/2+3*s_b)+(phi_b/2)*0.809017,NA())</f>
        <v/>
      </c>
      <c r="CT4">
        <f>IF(s_b/2+3*s_b&lt;1000,(c_nom+phi_b/2)+(phi_b/2)*0.587785,NA())</f>
        <v/>
      </c>
      <c r="CV4">
        <f>IF(s_tp/2+3*s_tp&lt;1000,(s_tp/2+3*s_tp)+(phi_t/2)*0.809017,NA())</f>
        <v/>
      </c>
      <c r="CW4">
        <f>IF(s_tp/2+3*s_tp&lt;1000,(h_sl-c_nom-phi_t/2)+(phi_t/2)*0.587785,NA())</f>
        <v/>
      </c>
      <c r="CY4">
        <f>IF(s_b/2+4*s_b&lt;1000,(s_b/2+4*s_b)+(phi_b/2)*0.809017,NA())</f>
        <v/>
      </c>
      <c r="CZ4">
        <f>IF(s_b/2+4*s_b&lt;1000,(c_nom+phi_b/2)+(phi_b/2)*0.587785,NA())</f>
        <v/>
      </c>
      <c r="DB4">
        <f>IF(s_tp/2+4*s_tp&lt;1000,(s_tp/2+4*s_tp)+(phi_t/2)*0.809017,NA())</f>
        <v/>
      </c>
      <c r="DC4">
        <f>IF(s_tp/2+4*s_tp&lt;1000,(h_sl-c_nom-phi_t/2)+(phi_t/2)*0.587785,NA())</f>
        <v/>
      </c>
      <c r="DE4">
        <f>IF(s_b/2+5*s_b&lt;1000,(s_b/2+5*s_b)+(phi_b/2)*0.809017,NA())</f>
        <v/>
      </c>
      <c r="DF4">
        <f>IF(s_b/2+5*s_b&lt;1000,(c_nom+phi_b/2)+(phi_b/2)*0.587785,NA())</f>
        <v/>
      </c>
      <c r="DH4">
        <f>IF(s_tp/2+5*s_tp&lt;1000,(s_tp/2+5*s_tp)+(phi_t/2)*0.809017,NA())</f>
        <v/>
      </c>
      <c r="DI4">
        <f>IF(s_tp/2+5*s_tp&lt;1000,(h_sl-c_nom-phi_t/2)+(phi_t/2)*0.587785,NA())</f>
        <v/>
      </c>
      <c r="DK4">
        <f>IF(s_b/2+6*s_b&lt;1000,(s_b/2+6*s_b)+(phi_b/2)*0.809017,NA())</f>
        <v/>
      </c>
      <c r="DL4">
        <f>IF(s_b/2+6*s_b&lt;1000,(c_nom+phi_b/2)+(phi_b/2)*0.587785,NA())</f>
        <v/>
      </c>
      <c r="DN4">
        <f>IF(s_tp/2+6*s_tp&lt;1000,(s_tp/2+6*s_tp)+(phi_t/2)*0.809017,NA())</f>
        <v/>
      </c>
      <c r="DO4">
        <f>IF(s_tp/2+6*s_tp&lt;1000,(h_sl-c_nom-phi_t/2)+(phi_t/2)*0.587785,NA())</f>
        <v/>
      </c>
      <c r="DQ4">
        <f>IF(s_b/2+7*s_b&lt;1000,(s_b/2+7*s_b)+(phi_b/2)*0.809017,NA())</f>
        <v/>
      </c>
      <c r="DR4">
        <f>IF(s_b/2+7*s_b&lt;1000,(c_nom+phi_b/2)+(phi_b/2)*0.587785,NA())</f>
        <v/>
      </c>
      <c r="DT4">
        <f>IF(s_tp/2+7*s_tp&lt;1000,(s_tp/2+7*s_tp)+(phi_t/2)*0.809017,NA())</f>
        <v/>
      </c>
      <c r="DU4">
        <f>IF(s_tp/2+7*s_tp&lt;1000,(h_sl-c_nom-phi_t/2)+(phi_t/2)*0.587785,NA())</f>
        <v/>
      </c>
      <c r="DW4">
        <f>IF(s_b/2+8*s_b&lt;1000,(s_b/2+8*s_b)+(phi_b/2)*0.809017,NA())</f>
        <v/>
      </c>
      <c r="DX4">
        <f>IF(s_b/2+8*s_b&lt;1000,(c_nom+phi_b/2)+(phi_b/2)*0.587785,NA())</f>
        <v/>
      </c>
      <c r="DZ4">
        <f>IF(s_tp/2+8*s_tp&lt;1000,(s_tp/2+8*s_tp)+(phi_t/2)*0.809017,NA())</f>
        <v/>
      </c>
      <c r="EA4">
        <f>IF(s_tp/2+8*s_tp&lt;1000,(h_sl-c_nom-phi_t/2)+(phi_t/2)*0.587785,NA())</f>
        <v/>
      </c>
      <c r="EC4">
        <f>IF(s_b/2+9*s_b&lt;1000,(s_b/2+9*s_b)+(phi_b/2)*0.809017,NA())</f>
        <v/>
      </c>
      <c r="ED4">
        <f>IF(s_b/2+9*s_b&lt;1000,(c_nom+phi_b/2)+(phi_b/2)*0.587785,NA())</f>
        <v/>
      </c>
      <c r="EF4">
        <f>IF(s_tp/2+9*s_tp&lt;1000,(s_tp/2+9*s_tp)+(phi_t/2)*0.809017,NA())</f>
        <v/>
      </c>
      <c r="EG4">
        <f>IF(s_tp/2+9*s_tp&lt;1000,(h_sl-c_nom-phi_t/2)+(phi_t/2)*0.587785,NA())</f>
        <v/>
      </c>
      <c r="EI4">
        <f>IF(s_b/2+10*s_b&lt;1000,(s_b/2+10*s_b)+(phi_b/2)*0.809017,NA())</f>
        <v/>
      </c>
      <c r="EJ4">
        <f>IF(s_b/2+10*s_b&lt;1000,(c_nom+phi_b/2)+(phi_b/2)*0.587785,NA())</f>
        <v/>
      </c>
      <c r="EL4">
        <f>IF(s_tp/2+10*s_tp&lt;1000,(s_tp/2+10*s_tp)+(phi_t/2)*0.809017,NA())</f>
        <v/>
      </c>
      <c r="EM4">
        <f>IF(s_tp/2+10*s_tp&lt;1000,(h_sl-c_nom-phi_t/2)+(phi_t/2)*0.587785,NA())</f>
        <v/>
      </c>
      <c r="EO4">
        <f>IF(s_b/2+11*s_b&lt;1000,(s_b/2+11*s_b)+(phi_b/2)*0.809017,NA())</f>
        <v/>
      </c>
      <c r="EP4">
        <f>IF(s_b/2+11*s_b&lt;1000,(c_nom+phi_b/2)+(phi_b/2)*0.587785,NA())</f>
        <v/>
      </c>
      <c r="ER4">
        <f>IF(s_tp/2+11*s_tp&lt;1000,(s_tp/2+11*s_tp)+(phi_t/2)*0.809017,NA())</f>
        <v/>
      </c>
      <c r="ES4">
        <f>IF(s_tp/2+11*s_tp&lt;1000,(h_sl-c_nom-phi_t/2)+(phi_t/2)*0.587785,NA())</f>
        <v/>
      </c>
      <c r="EU4">
        <f>IF(s_b/2+12*s_b&lt;1000,(s_b/2+12*s_b)+(phi_b/2)*0.809017,NA())</f>
        <v/>
      </c>
      <c r="EV4">
        <f>IF(s_b/2+12*s_b&lt;1000,(c_nom+phi_b/2)+(phi_b/2)*0.587785,NA())</f>
        <v/>
      </c>
      <c r="EX4">
        <f>IF(s_tp/2+12*s_tp&lt;1000,(s_tp/2+12*s_tp)+(phi_t/2)*0.809017,NA())</f>
        <v/>
      </c>
      <c r="EY4">
        <f>IF(s_tp/2+12*s_tp&lt;1000,(h_sl-c_nom-phi_t/2)+(phi_t/2)*0.587785,NA())</f>
        <v/>
      </c>
      <c r="FA4">
        <f>IF(s_b/2+13*s_b&lt;1000,(s_b/2+13*s_b)+(phi_b/2)*0.809017,NA())</f>
        <v/>
      </c>
      <c r="FB4">
        <f>IF(s_b/2+13*s_b&lt;1000,(c_nom+phi_b/2)+(phi_b/2)*0.587785,NA())</f>
        <v/>
      </c>
      <c r="FD4">
        <f>IF(s_tp/2+13*s_tp&lt;1000,(s_tp/2+13*s_tp)+(phi_t/2)*0.809017,NA())</f>
        <v/>
      </c>
      <c r="FE4">
        <f>IF(s_tp/2+13*s_tp&lt;1000,(h_sl-c_nom-phi_t/2)+(phi_t/2)*0.587785,NA())</f>
        <v/>
      </c>
      <c r="FG4">
        <f>IF(s_b/2+14*s_b&lt;1000,(s_b/2+14*s_b)+(phi_b/2)*0.809017,NA())</f>
        <v/>
      </c>
      <c r="FH4">
        <f>IF(s_b/2+14*s_b&lt;1000,(c_nom+phi_b/2)+(phi_b/2)*0.587785,NA())</f>
        <v/>
      </c>
      <c r="FJ4">
        <f>IF(s_tp/2+14*s_tp&lt;1000,(s_tp/2+14*s_tp)+(phi_t/2)*0.809017,NA())</f>
        <v/>
      </c>
      <c r="FK4">
        <f>IF(s_tp/2+14*s_tp&lt;1000,(h_sl-c_nom-phi_t/2)+(phi_t/2)*0.587785,NA())</f>
        <v/>
      </c>
      <c r="FM4">
        <f>IF(s_b/2+15*s_b&lt;1000,(s_b/2+15*s_b)+(phi_b/2)*0.809017,NA())</f>
        <v/>
      </c>
      <c r="FN4">
        <f>IF(s_b/2+15*s_b&lt;1000,(c_nom+phi_b/2)+(phi_b/2)*0.587785,NA())</f>
        <v/>
      </c>
      <c r="FP4">
        <f>IF(s_tp/2+15*s_tp&lt;1000,(s_tp/2+15*s_tp)+(phi_t/2)*0.809017,NA())</f>
        <v/>
      </c>
      <c r="FQ4">
        <f>IF(s_tp/2+15*s_tp&lt;1000,(h_sl-c_nom-phi_t/2)+(phi_t/2)*0.587785,NA())</f>
        <v/>
      </c>
      <c r="FS4">
        <f>IF(s_b/2+16*s_b&lt;1000,(s_b/2+16*s_b)+(phi_b/2)*0.809017,NA())</f>
        <v/>
      </c>
      <c r="FT4">
        <f>IF(s_b/2+16*s_b&lt;1000,(c_nom+phi_b/2)+(phi_b/2)*0.587785,NA())</f>
        <v/>
      </c>
      <c r="FV4">
        <f>IF(s_tp/2+16*s_tp&lt;1000,(s_tp/2+16*s_tp)+(phi_t/2)*0.809017,NA())</f>
        <v/>
      </c>
      <c r="FW4">
        <f>IF(s_tp/2+16*s_tp&lt;1000,(h_sl-c_nom-phi_t/2)+(phi_t/2)*0.587785,NA())</f>
        <v/>
      </c>
      <c r="FY4">
        <f>IF(s_b/2+17*s_b&lt;1000,(s_b/2+17*s_b)+(phi_b/2)*0.809017,NA())</f>
        <v/>
      </c>
      <c r="FZ4">
        <f>IF(s_b/2+17*s_b&lt;1000,(c_nom+phi_b/2)+(phi_b/2)*0.587785,NA())</f>
        <v/>
      </c>
      <c r="GB4">
        <f>IF(s_tp/2+17*s_tp&lt;1000,(s_tp/2+17*s_tp)+(phi_t/2)*0.809017,NA())</f>
        <v/>
      </c>
      <c r="GC4">
        <f>IF(s_tp/2+17*s_tp&lt;1000,(h_sl-c_nom-phi_t/2)+(phi_t/2)*0.587785,NA())</f>
        <v/>
      </c>
      <c r="GE4">
        <f>IF(s_b/2+18*s_b&lt;1000,(s_b/2+18*s_b)+(phi_b/2)*0.809017,NA())</f>
        <v/>
      </c>
      <c r="GF4">
        <f>IF(s_b/2+18*s_b&lt;1000,(c_nom+phi_b/2)+(phi_b/2)*0.587785,NA())</f>
        <v/>
      </c>
      <c r="GH4">
        <f>IF(s_tp/2+18*s_tp&lt;1000,(s_tp/2+18*s_tp)+(phi_t/2)*0.809017,NA())</f>
        <v/>
      </c>
      <c r="GI4">
        <f>IF(s_tp/2+18*s_tp&lt;1000,(h_sl-c_nom-phi_t/2)+(phi_t/2)*0.587785,NA())</f>
        <v/>
      </c>
      <c r="GK4">
        <f>IF(s_b/2+19*s_b&lt;1000,(s_b/2+19*s_b)+(phi_b/2)*0.809017,NA())</f>
        <v/>
      </c>
      <c r="GL4">
        <f>IF(s_b/2+19*s_b&lt;1000,(c_nom+phi_b/2)+(phi_b/2)*0.587785,NA())</f>
        <v/>
      </c>
      <c r="GN4">
        <f>IF(s_tp/2+19*s_tp&lt;1000,(s_tp/2+19*s_tp)+(phi_t/2)*0.809017,NA())</f>
        <v/>
      </c>
      <c r="GO4">
        <f>IF(s_tp/2+19*s_tp&lt;1000,(h_sl-c_nom-phi_t/2)+(phi_t/2)*0.587785,NA())</f>
        <v/>
      </c>
      <c r="GQ4">
        <f>IF(s_b/2+20*s_b&lt;1000,(s_b/2+20*s_b)+(phi_b/2)*0.809017,NA())</f>
        <v/>
      </c>
      <c r="GR4">
        <f>IF(s_b/2+20*s_b&lt;1000,(c_nom+phi_b/2)+(phi_b/2)*0.587785,NA())</f>
        <v/>
      </c>
      <c r="GT4">
        <f>IF(s_tp/2+20*s_tp&lt;1000,(s_tp/2+20*s_tp)+(phi_t/2)*0.809017,NA())</f>
        <v/>
      </c>
      <c r="GU4">
        <f>IF(s_tp/2+20*s_tp&lt;1000,(h_sl-c_nom-phi_t/2)+(phi_t/2)*0.587785,NA())</f>
        <v/>
      </c>
      <c r="GW4">
        <f>IF(s_b/2+21*s_b&lt;1000,(s_b/2+21*s_b)+(phi_b/2)*0.809017,NA())</f>
        <v/>
      </c>
      <c r="GX4">
        <f>IF(s_b/2+21*s_b&lt;1000,(c_nom+phi_b/2)+(phi_b/2)*0.587785,NA())</f>
        <v/>
      </c>
      <c r="GZ4">
        <f>IF(s_tp/2+21*s_tp&lt;1000,(s_tp/2+21*s_tp)+(phi_t/2)*0.809017,NA())</f>
        <v/>
      </c>
      <c r="HA4">
        <f>IF(s_tp/2+21*s_tp&lt;1000,(h_sl-c_nom-phi_t/2)+(phi_t/2)*0.587785,NA())</f>
        <v/>
      </c>
      <c r="HC4">
        <f>IF(s_b/2+22*s_b&lt;1000,(s_b/2+22*s_b)+(phi_b/2)*0.809017,NA())</f>
        <v/>
      </c>
      <c r="HD4">
        <f>IF(s_b/2+22*s_b&lt;1000,(c_nom+phi_b/2)+(phi_b/2)*0.587785,NA())</f>
        <v/>
      </c>
      <c r="HF4">
        <f>IF(s_tp/2+22*s_tp&lt;1000,(s_tp/2+22*s_tp)+(phi_t/2)*0.809017,NA())</f>
        <v/>
      </c>
      <c r="HG4">
        <f>IF(s_tp/2+22*s_tp&lt;1000,(h_sl-c_nom-phi_t/2)+(phi_t/2)*0.587785,NA())</f>
        <v/>
      </c>
      <c r="HI4">
        <f>IF(s_b/2+23*s_b&lt;1000,(s_b/2+23*s_b)+(phi_b/2)*0.809017,NA())</f>
        <v/>
      </c>
      <c r="HJ4">
        <f>IF(s_b/2+23*s_b&lt;1000,(c_nom+phi_b/2)+(phi_b/2)*0.587785,NA())</f>
        <v/>
      </c>
      <c r="HL4">
        <f>IF(s_tp/2+23*s_tp&lt;1000,(s_tp/2+23*s_tp)+(phi_t/2)*0.809017,NA())</f>
        <v/>
      </c>
      <c r="HM4">
        <f>IF(s_tp/2+23*s_tp&lt;1000,(h_sl-c_nom-phi_t/2)+(phi_t/2)*0.587785,NA())</f>
        <v/>
      </c>
      <c r="HO4">
        <f>IF(s_b/2+24*s_b&lt;1000,(s_b/2+24*s_b)+(phi_b/2)*0.809017,NA())</f>
        <v/>
      </c>
      <c r="HP4">
        <f>IF(s_b/2+24*s_b&lt;1000,(c_nom+phi_b/2)+(phi_b/2)*0.587785,NA())</f>
        <v/>
      </c>
      <c r="HR4">
        <f>IF(s_tp/2+24*s_tp&lt;1000,(s_tp/2+24*s_tp)+(phi_t/2)*0.809017,NA())</f>
        <v/>
      </c>
      <c r="HS4">
        <f>IF(s_tp/2+24*s_tp&lt;1000,(h_sl-c_nom-phi_t/2)+(phi_t/2)*0.587785,NA())</f>
        <v/>
      </c>
      <c r="HU4">
        <f>IF(s_b/2+25*s_b&lt;1000,(s_b/2+25*s_b)+(phi_b/2)*0.809017,NA())</f>
        <v/>
      </c>
      <c r="HV4">
        <f>IF(s_b/2+25*s_b&lt;1000,(c_nom+phi_b/2)+(phi_b/2)*0.587785,NA())</f>
        <v/>
      </c>
      <c r="HX4">
        <f>IF(s_tp/2+25*s_tp&lt;1000,(s_tp/2+25*s_tp)+(phi_t/2)*0.809017,NA())</f>
        <v/>
      </c>
      <c r="HY4">
        <f>IF(s_tp/2+25*s_tp&lt;1000,(h_sl-c_nom-phi_t/2)+(phi_t/2)*0.587785,NA())</f>
        <v/>
      </c>
      <c r="IA4">
        <f>IF(s_b/2+26*s_b&lt;1000,(s_b/2+26*s_b)+(phi_b/2)*0.809017,NA())</f>
        <v/>
      </c>
      <c r="IB4">
        <f>IF(s_b/2+26*s_b&lt;1000,(c_nom+phi_b/2)+(phi_b/2)*0.587785,NA())</f>
        <v/>
      </c>
      <c r="ID4">
        <f>IF(s_tp/2+26*s_tp&lt;1000,(s_tp/2+26*s_tp)+(phi_t/2)*0.809017,NA())</f>
        <v/>
      </c>
      <c r="IE4">
        <f>IF(s_tp/2+26*s_tp&lt;1000,(h_sl-c_nom-phi_t/2)+(phi_t/2)*0.587785,NA())</f>
        <v/>
      </c>
      <c r="IG4">
        <f>IF(s_b/2+27*s_b&lt;1000,(s_b/2+27*s_b)+(phi_b/2)*0.809017,NA())</f>
        <v/>
      </c>
      <c r="IH4">
        <f>IF(s_b/2+27*s_b&lt;1000,(c_nom+phi_b/2)+(phi_b/2)*0.587785,NA())</f>
        <v/>
      </c>
      <c r="IJ4">
        <f>IF(s_tp/2+27*s_tp&lt;1000,(s_tp/2+27*s_tp)+(phi_t/2)*0.809017,NA())</f>
        <v/>
      </c>
      <c r="IK4">
        <f>IF(s_tp/2+27*s_tp&lt;1000,(h_sl-c_nom-phi_t/2)+(phi_t/2)*0.587785,NA())</f>
        <v/>
      </c>
      <c r="IM4">
        <f>IF(s_b/2+28*s_b&lt;1000,(s_b/2+28*s_b)+(phi_b/2)*0.809017,NA())</f>
        <v/>
      </c>
      <c r="IN4">
        <f>IF(s_b/2+28*s_b&lt;1000,(c_nom+phi_b/2)+(phi_b/2)*0.587785,NA())</f>
        <v/>
      </c>
      <c r="IP4">
        <f>IF(s_tp/2+28*s_tp&lt;1000,(s_tp/2+28*s_tp)+(phi_t/2)*0.809017,NA())</f>
        <v/>
      </c>
      <c r="IQ4">
        <f>IF(s_tp/2+28*s_tp&lt;1000,(h_sl-c_nom-phi_t/2)+(phi_t/2)*0.587785,NA())</f>
        <v/>
      </c>
      <c r="IS4">
        <f>IF(s_b/2+29*s_b&lt;1000,(s_b/2+29*s_b)+(phi_b/2)*0.809017,NA())</f>
        <v/>
      </c>
      <c r="IT4">
        <f>IF(s_b/2+29*s_b&lt;1000,(c_nom+phi_b/2)+(phi_b/2)*0.587785,NA())</f>
        <v/>
      </c>
      <c r="IV4">
        <f>IF(s_tp/2+29*s_tp&lt;1000,(s_tp/2+29*s_tp)+(phi_t/2)*0.809017,NA())</f>
        <v/>
      </c>
      <c r="IW4">
        <f>IF(s_tp/2+29*s_tp&lt;1000,(h_sl-c_nom-phi_t/2)+(phi_t/2)*0.587785,NA())</f>
        <v/>
      </c>
      <c r="IY4">
        <f>IF(s_b/2+30*s_b&lt;1000,(s_b/2+30*s_b)+(phi_b/2)*0.809017,NA())</f>
        <v/>
      </c>
      <c r="IZ4">
        <f>IF(s_b/2+30*s_b&lt;1000,(c_nom+phi_b/2)+(phi_b/2)*0.587785,NA())</f>
        <v/>
      </c>
      <c r="JB4">
        <f>IF(s_tp/2+30*s_tp&lt;1000,(s_tp/2+30*s_tp)+(phi_t/2)*0.809017,NA())</f>
        <v/>
      </c>
      <c r="JC4">
        <f>IF(s_tp/2+30*s_tp&lt;1000,(h_sl-c_nom-phi_t/2)+(phi_t/2)*0.587785,NA())</f>
        <v/>
      </c>
      <c r="JE4">
        <f>IF(s_b/2+31*s_b&lt;1000,(s_b/2+31*s_b)+(phi_b/2)*0.809017,NA())</f>
        <v/>
      </c>
      <c r="JF4">
        <f>IF(s_b/2+31*s_b&lt;1000,(c_nom+phi_b/2)+(phi_b/2)*0.587785,NA())</f>
        <v/>
      </c>
      <c r="JH4">
        <f>IF(s_tp/2+31*s_tp&lt;1000,(s_tp/2+31*s_tp)+(phi_t/2)*0.809017,NA())</f>
        <v/>
      </c>
      <c r="JI4">
        <f>IF(s_tp/2+31*s_tp&lt;1000,(h_sl-c_nom-phi_t/2)+(phi_t/2)*0.587785,NA())</f>
        <v/>
      </c>
      <c r="JK4">
        <f>IF(s_b/2+32*s_b&lt;1000,(s_b/2+32*s_b)+(phi_b/2)*0.809017,NA())</f>
        <v/>
      </c>
      <c r="JL4">
        <f>IF(s_b/2+32*s_b&lt;1000,(c_nom+phi_b/2)+(phi_b/2)*0.587785,NA())</f>
        <v/>
      </c>
      <c r="JN4">
        <f>IF(s_tp/2+32*s_tp&lt;1000,(s_tp/2+32*s_tp)+(phi_t/2)*0.809017,NA())</f>
        <v/>
      </c>
      <c r="JO4">
        <f>IF(s_tp/2+32*s_tp&lt;1000,(h_sl-c_nom-phi_t/2)+(phi_t/2)*0.587785,NA())</f>
        <v/>
      </c>
      <c r="JQ4">
        <f>IF(s_b/2+33*s_b&lt;1000,(s_b/2+33*s_b)+(phi_b/2)*0.809017,NA())</f>
        <v/>
      </c>
      <c r="JR4">
        <f>IF(s_b/2+33*s_b&lt;1000,(c_nom+phi_b/2)+(phi_b/2)*0.587785,NA())</f>
        <v/>
      </c>
      <c r="JT4">
        <f>IF(s_tp/2+33*s_tp&lt;1000,(s_tp/2+33*s_tp)+(phi_t/2)*0.809017,NA())</f>
        <v/>
      </c>
      <c r="JU4">
        <f>IF(s_tp/2+33*s_tp&lt;1000,(h_sl-c_nom-phi_t/2)+(phi_t/2)*0.587785,NA())</f>
        <v/>
      </c>
      <c r="JW4">
        <f>1000</f>
        <v/>
      </c>
      <c r="JX4">
        <f>IF(sys_i=6,h_sl-c_nom-phi_t-phi_d/2,c_nom+phi_b+phi_d/2)</f>
        <v/>
      </c>
      <c r="KF4">
        <f>IF(TRUE,1040,NA())</f>
        <v/>
      </c>
      <c r="KG4">
        <f>IF(TRUE,h_sl,NA())</f>
        <v/>
      </c>
      <c r="KL4">
        <f>((-20)+(1160))/2+MAX((1.6*h_sl)-(-0.6*h_sl),((1160)-(-20))/1.55)*0.52*1.55</f>
        <v/>
      </c>
      <c r="KM4">
        <f>((-0.6*h_sl)+(1.6*h_sl))/2+MAX((1.6*h_sl)-(-0.6*h_sl),((1160)-(-20))/1.55)*0.52</f>
        <v/>
      </c>
    </row>
    <row r="5">
      <c r="A5">
        <f>L_sl</f>
        <v/>
      </c>
      <c r="B5">
        <f>h_sl</f>
        <v/>
      </c>
      <c r="D5">
        <f>IF(sys_i&lt;&gt;6,0+0.06*L_sl,NA())</f>
        <v/>
      </c>
      <c r="E5">
        <f>-0.06*L_sl</f>
        <v/>
      </c>
      <c r="G5">
        <f>IF(sys_i&lt;&gt;6,L_sl+0.06*L_sl,NA())</f>
        <v/>
      </c>
      <c r="H5">
        <f>-0.06*L_sl</f>
        <v/>
      </c>
      <c r="AW5">
        <f>0.041667*L_sl</f>
        <v/>
      </c>
      <c r="AX5">
        <f>(-0.35*L_sl)-(0.22*L_sl/MAX(M_sp,M_su,0.001))*(IF(sys_i=6,-M_lt*0.918403,-M_lt*0.878472+M_sp*0.159722-M_rt*-0.038194))</f>
        <v/>
      </c>
      <c r="BX5">
        <f>1000</f>
        <v/>
      </c>
      <c r="BY5">
        <f>h_sl</f>
        <v/>
      </c>
      <c r="CA5">
        <f>IF(s_b/2+0*s_b&lt;1000,(s_b/2+0*s_b)+(phi_b/2)*0.309017,NA())</f>
        <v/>
      </c>
      <c r="CB5">
        <f>IF(s_b/2+0*s_b&lt;1000,(c_nom+phi_b/2)+(phi_b/2)*0.951057,NA())</f>
        <v/>
      </c>
      <c r="CD5">
        <f>IF(s_tp/2+0*s_tp&lt;1000,(s_tp/2+0*s_tp)+(phi_t/2)*0.309017,NA())</f>
        <v/>
      </c>
      <c r="CE5">
        <f>IF(s_tp/2+0*s_tp&lt;1000,(h_sl-c_nom-phi_t/2)+(phi_t/2)*0.951057,NA())</f>
        <v/>
      </c>
      <c r="CG5">
        <f>IF(s_b/2+1*s_b&lt;1000,(s_b/2+1*s_b)+(phi_b/2)*0.309017,NA())</f>
        <v/>
      </c>
      <c r="CH5">
        <f>IF(s_b/2+1*s_b&lt;1000,(c_nom+phi_b/2)+(phi_b/2)*0.951057,NA())</f>
        <v/>
      </c>
      <c r="CJ5">
        <f>IF(s_tp/2+1*s_tp&lt;1000,(s_tp/2+1*s_tp)+(phi_t/2)*0.309017,NA())</f>
        <v/>
      </c>
      <c r="CK5">
        <f>IF(s_tp/2+1*s_tp&lt;1000,(h_sl-c_nom-phi_t/2)+(phi_t/2)*0.951057,NA())</f>
        <v/>
      </c>
      <c r="CM5">
        <f>IF(s_b/2+2*s_b&lt;1000,(s_b/2+2*s_b)+(phi_b/2)*0.309017,NA())</f>
        <v/>
      </c>
      <c r="CN5">
        <f>IF(s_b/2+2*s_b&lt;1000,(c_nom+phi_b/2)+(phi_b/2)*0.951057,NA())</f>
        <v/>
      </c>
      <c r="CP5">
        <f>IF(s_tp/2+2*s_tp&lt;1000,(s_tp/2+2*s_tp)+(phi_t/2)*0.309017,NA())</f>
        <v/>
      </c>
      <c r="CQ5">
        <f>IF(s_tp/2+2*s_tp&lt;1000,(h_sl-c_nom-phi_t/2)+(phi_t/2)*0.951057,NA())</f>
        <v/>
      </c>
      <c r="CS5">
        <f>IF(s_b/2+3*s_b&lt;1000,(s_b/2+3*s_b)+(phi_b/2)*0.309017,NA())</f>
        <v/>
      </c>
      <c r="CT5">
        <f>IF(s_b/2+3*s_b&lt;1000,(c_nom+phi_b/2)+(phi_b/2)*0.951057,NA())</f>
        <v/>
      </c>
      <c r="CV5">
        <f>IF(s_tp/2+3*s_tp&lt;1000,(s_tp/2+3*s_tp)+(phi_t/2)*0.309017,NA())</f>
        <v/>
      </c>
      <c r="CW5">
        <f>IF(s_tp/2+3*s_tp&lt;1000,(h_sl-c_nom-phi_t/2)+(phi_t/2)*0.951057,NA())</f>
        <v/>
      </c>
      <c r="CY5">
        <f>IF(s_b/2+4*s_b&lt;1000,(s_b/2+4*s_b)+(phi_b/2)*0.309017,NA())</f>
        <v/>
      </c>
      <c r="CZ5">
        <f>IF(s_b/2+4*s_b&lt;1000,(c_nom+phi_b/2)+(phi_b/2)*0.951057,NA())</f>
        <v/>
      </c>
      <c r="DB5">
        <f>IF(s_tp/2+4*s_tp&lt;1000,(s_tp/2+4*s_tp)+(phi_t/2)*0.309017,NA())</f>
        <v/>
      </c>
      <c r="DC5">
        <f>IF(s_tp/2+4*s_tp&lt;1000,(h_sl-c_nom-phi_t/2)+(phi_t/2)*0.951057,NA())</f>
        <v/>
      </c>
      <c r="DE5">
        <f>IF(s_b/2+5*s_b&lt;1000,(s_b/2+5*s_b)+(phi_b/2)*0.309017,NA())</f>
        <v/>
      </c>
      <c r="DF5">
        <f>IF(s_b/2+5*s_b&lt;1000,(c_nom+phi_b/2)+(phi_b/2)*0.951057,NA())</f>
        <v/>
      </c>
      <c r="DH5">
        <f>IF(s_tp/2+5*s_tp&lt;1000,(s_tp/2+5*s_tp)+(phi_t/2)*0.309017,NA())</f>
        <v/>
      </c>
      <c r="DI5">
        <f>IF(s_tp/2+5*s_tp&lt;1000,(h_sl-c_nom-phi_t/2)+(phi_t/2)*0.951057,NA())</f>
        <v/>
      </c>
      <c r="DK5">
        <f>IF(s_b/2+6*s_b&lt;1000,(s_b/2+6*s_b)+(phi_b/2)*0.309017,NA())</f>
        <v/>
      </c>
      <c r="DL5">
        <f>IF(s_b/2+6*s_b&lt;1000,(c_nom+phi_b/2)+(phi_b/2)*0.951057,NA())</f>
        <v/>
      </c>
      <c r="DN5">
        <f>IF(s_tp/2+6*s_tp&lt;1000,(s_tp/2+6*s_tp)+(phi_t/2)*0.309017,NA())</f>
        <v/>
      </c>
      <c r="DO5">
        <f>IF(s_tp/2+6*s_tp&lt;1000,(h_sl-c_nom-phi_t/2)+(phi_t/2)*0.951057,NA())</f>
        <v/>
      </c>
      <c r="DQ5">
        <f>IF(s_b/2+7*s_b&lt;1000,(s_b/2+7*s_b)+(phi_b/2)*0.309017,NA())</f>
        <v/>
      </c>
      <c r="DR5">
        <f>IF(s_b/2+7*s_b&lt;1000,(c_nom+phi_b/2)+(phi_b/2)*0.951057,NA())</f>
        <v/>
      </c>
      <c r="DT5">
        <f>IF(s_tp/2+7*s_tp&lt;1000,(s_tp/2+7*s_tp)+(phi_t/2)*0.309017,NA())</f>
        <v/>
      </c>
      <c r="DU5">
        <f>IF(s_tp/2+7*s_tp&lt;1000,(h_sl-c_nom-phi_t/2)+(phi_t/2)*0.951057,NA())</f>
        <v/>
      </c>
      <c r="DW5">
        <f>IF(s_b/2+8*s_b&lt;1000,(s_b/2+8*s_b)+(phi_b/2)*0.309017,NA())</f>
        <v/>
      </c>
      <c r="DX5">
        <f>IF(s_b/2+8*s_b&lt;1000,(c_nom+phi_b/2)+(phi_b/2)*0.951057,NA())</f>
        <v/>
      </c>
      <c r="DZ5">
        <f>IF(s_tp/2+8*s_tp&lt;1000,(s_tp/2+8*s_tp)+(phi_t/2)*0.309017,NA())</f>
        <v/>
      </c>
      <c r="EA5">
        <f>IF(s_tp/2+8*s_tp&lt;1000,(h_sl-c_nom-phi_t/2)+(phi_t/2)*0.951057,NA())</f>
        <v/>
      </c>
      <c r="EC5">
        <f>IF(s_b/2+9*s_b&lt;1000,(s_b/2+9*s_b)+(phi_b/2)*0.309017,NA())</f>
        <v/>
      </c>
      <c r="ED5">
        <f>IF(s_b/2+9*s_b&lt;1000,(c_nom+phi_b/2)+(phi_b/2)*0.951057,NA())</f>
        <v/>
      </c>
      <c r="EF5">
        <f>IF(s_tp/2+9*s_tp&lt;1000,(s_tp/2+9*s_tp)+(phi_t/2)*0.309017,NA())</f>
        <v/>
      </c>
      <c r="EG5">
        <f>IF(s_tp/2+9*s_tp&lt;1000,(h_sl-c_nom-phi_t/2)+(phi_t/2)*0.951057,NA())</f>
        <v/>
      </c>
      <c r="EI5">
        <f>IF(s_b/2+10*s_b&lt;1000,(s_b/2+10*s_b)+(phi_b/2)*0.309017,NA())</f>
        <v/>
      </c>
      <c r="EJ5">
        <f>IF(s_b/2+10*s_b&lt;1000,(c_nom+phi_b/2)+(phi_b/2)*0.951057,NA())</f>
        <v/>
      </c>
      <c r="EL5">
        <f>IF(s_tp/2+10*s_tp&lt;1000,(s_tp/2+10*s_tp)+(phi_t/2)*0.309017,NA())</f>
        <v/>
      </c>
      <c r="EM5">
        <f>IF(s_tp/2+10*s_tp&lt;1000,(h_sl-c_nom-phi_t/2)+(phi_t/2)*0.951057,NA())</f>
        <v/>
      </c>
      <c r="EO5">
        <f>IF(s_b/2+11*s_b&lt;1000,(s_b/2+11*s_b)+(phi_b/2)*0.309017,NA())</f>
        <v/>
      </c>
      <c r="EP5">
        <f>IF(s_b/2+11*s_b&lt;1000,(c_nom+phi_b/2)+(phi_b/2)*0.951057,NA())</f>
        <v/>
      </c>
      <c r="ER5">
        <f>IF(s_tp/2+11*s_tp&lt;1000,(s_tp/2+11*s_tp)+(phi_t/2)*0.309017,NA())</f>
        <v/>
      </c>
      <c r="ES5">
        <f>IF(s_tp/2+11*s_tp&lt;1000,(h_sl-c_nom-phi_t/2)+(phi_t/2)*0.951057,NA())</f>
        <v/>
      </c>
      <c r="EU5">
        <f>IF(s_b/2+12*s_b&lt;1000,(s_b/2+12*s_b)+(phi_b/2)*0.309017,NA())</f>
        <v/>
      </c>
      <c r="EV5">
        <f>IF(s_b/2+12*s_b&lt;1000,(c_nom+phi_b/2)+(phi_b/2)*0.951057,NA())</f>
        <v/>
      </c>
      <c r="EX5">
        <f>IF(s_tp/2+12*s_tp&lt;1000,(s_tp/2+12*s_tp)+(phi_t/2)*0.309017,NA())</f>
        <v/>
      </c>
      <c r="EY5">
        <f>IF(s_tp/2+12*s_tp&lt;1000,(h_sl-c_nom-phi_t/2)+(phi_t/2)*0.951057,NA())</f>
        <v/>
      </c>
      <c r="FA5">
        <f>IF(s_b/2+13*s_b&lt;1000,(s_b/2+13*s_b)+(phi_b/2)*0.309017,NA())</f>
        <v/>
      </c>
      <c r="FB5">
        <f>IF(s_b/2+13*s_b&lt;1000,(c_nom+phi_b/2)+(phi_b/2)*0.951057,NA())</f>
        <v/>
      </c>
      <c r="FD5">
        <f>IF(s_tp/2+13*s_tp&lt;1000,(s_tp/2+13*s_tp)+(phi_t/2)*0.309017,NA())</f>
        <v/>
      </c>
      <c r="FE5">
        <f>IF(s_tp/2+13*s_tp&lt;1000,(h_sl-c_nom-phi_t/2)+(phi_t/2)*0.951057,NA())</f>
        <v/>
      </c>
      <c r="FG5">
        <f>IF(s_b/2+14*s_b&lt;1000,(s_b/2+14*s_b)+(phi_b/2)*0.309017,NA())</f>
        <v/>
      </c>
      <c r="FH5">
        <f>IF(s_b/2+14*s_b&lt;1000,(c_nom+phi_b/2)+(phi_b/2)*0.951057,NA())</f>
        <v/>
      </c>
      <c r="FJ5">
        <f>IF(s_tp/2+14*s_tp&lt;1000,(s_tp/2+14*s_tp)+(phi_t/2)*0.309017,NA())</f>
        <v/>
      </c>
      <c r="FK5">
        <f>IF(s_tp/2+14*s_tp&lt;1000,(h_sl-c_nom-phi_t/2)+(phi_t/2)*0.951057,NA())</f>
        <v/>
      </c>
      <c r="FM5">
        <f>IF(s_b/2+15*s_b&lt;1000,(s_b/2+15*s_b)+(phi_b/2)*0.309017,NA())</f>
        <v/>
      </c>
      <c r="FN5">
        <f>IF(s_b/2+15*s_b&lt;1000,(c_nom+phi_b/2)+(phi_b/2)*0.951057,NA())</f>
        <v/>
      </c>
      <c r="FP5">
        <f>IF(s_tp/2+15*s_tp&lt;1000,(s_tp/2+15*s_tp)+(phi_t/2)*0.309017,NA())</f>
        <v/>
      </c>
      <c r="FQ5">
        <f>IF(s_tp/2+15*s_tp&lt;1000,(h_sl-c_nom-phi_t/2)+(phi_t/2)*0.951057,NA())</f>
        <v/>
      </c>
      <c r="FS5">
        <f>IF(s_b/2+16*s_b&lt;1000,(s_b/2+16*s_b)+(phi_b/2)*0.309017,NA())</f>
        <v/>
      </c>
      <c r="FT5">
        <f>IF(s_b/2+16*s_b&lt;1000,(c_nom+phi_b/2)+(phi_b/2)*0.951057,NA())</f>
        <v/>
      </c>
      <c r="FV5">
        <f>IF(s_tp/2+16*s_tp&lt;1000,(s_tp/2+16*s_tp)+(phi_t/2)*0.309017,NA())</f>
        <v/>
      </c>
      <c r="FW5">
        <f>IF(s_tp/2+16*s_tp&lt;1000,(h_sl-c_nom-phi_t/2)+(phi_t/2)*0.951057,NA())</f>
        <v/>
      </c>
      <c r="FY5">
        <f>IF(s_b/2+17*s_b&lt;1000,(s_b/2+17*s_b)+(phi_b/2)*0.309017,NA())</f>
        <v/>
      </c>
      <c r="FZ5">
        <f>IF(s_b/2+17*s_b&lt;1000,(c_nom+phi_b/2)+(phi_b/2)*0.951057,NA())</f>
        <v/>
      </c>
      <c r="GB5">
        <f>IF(s_tp/2+17*s_tp&lt;1000,(s_tp/2+17*s_tp)+(phi_t/2)*0.309017,NA())</f>
        <v/>
      </c>
      <c r="GC5">
        <f>IF(s_tp/2+17*s_tp&lt;1000,(h_sl-c_nom-phi_t/2)+(phi_t/2)*0.951057,NA())</f>
        <v/>
      </c>
      <c r="GE5">
        <f>IF(s_b/2+18*s_b&lt;1000,(s_b/2+18*s_b)+(phi_b/2)*0.309017,NA())</f>
        <v/>
      </c>
      <c r="GF5">
        <f>IF(s_b/2+18*s_b&lt;1000,(c_nom+phi_b/2)+(phi_b/2)*0.951057,NA())</f>
        <v/>
      </c>
      <c r="GH5">
        <f>IF(s_tp/2+18*s_tp&lt;1000,(s_tp/2+18*s_tp)+(phi_t/2)*0.309017,NA())</f>
        <v/>
      </c>
      <c r="GI5">
        <f>IF(s_tp/2+18*s_tp&lt;1000,(h_sl-c_nom-phi_t/2)+(phi_t/2)*0.951057,NA())</f>
        <v/>
      </c>
      <c r="GK5">
        <f>IF(s_b/2+19*s_b&lt;1000,(s_b/2+19*s_b)+(phi_b/2)*0.309017,NA())</f>
        <v/>
      </c>
      <c r="GL5">
        <f>IF(s_b/2+19*s_b&lt;1000,(c_nom+phi_b/2)+(phi_b/2)*0.951057,NA())</f>
        <v/>
      </c>
      <c r="GN5">
        <f>IF(s_tp/2+19*s_tp&lt;1000,(s_tp/2+19*s_tp)+(phi_t/2)*0.309017,NA())</f>
        <v/>
      </c>
      <c r="GO5">
        <f>IF(s_tp/2+19*s_tp&lt;1000,(h_sl-c_nom-phi_t/2)+(phi_t/2)*0.951057,NA())</f>
        <v/>
      </c>
      <c r="GQ5">
        <f>IF(s_b/2+20*s_b&lt;1000,(s_b/2+20*s_b)+(phi_b/2)*0.309017,NA())</f>
        <v/>
      </c>
      <c r="GR5">
        <f>IF(s_b/2+20*s_b&lt;1000,(c_nom+phi_b/2)+(phi_b/2)*0.951057,NA())</f>
        <v/>
      </c>
      <c r="GT5">
        <f>IF(s_tp/2+20*s_tp&lt;1000,(s_tp/2+20*s_tp)+(phi_t/2)*0.309017,NA())</f>
        <v/>
      </c>
      <c r="GU5">
        <f>IF(s_tp/2+20*s_tp&lt;1000,(h_sl-c_nom-phi_t/2)+(phi_t/2)*0.951057,NA())</f>
        <v/>
      </c>
      <c r="GW5">
        <f>IF(s_b/2+21*s_b&lt;1000,(s_b/2+21*s_b)+(phi_b/2)*0.309017,NA())</f>
        <v/>
      </c>
      <c r="GX5">
        <f>IF(s_b/2+21*s_b&lt;1000,(c_nom+phi_b/2)+(phi_b/2)*0.951057,NA())</f>
        <v/>
      </c>
      <c r="GZ5">
        <f>IF(s_tp/2+21*s_tp&lt;1000,(s_tp/2+21*s_tp)+(phi_t/2)*0.309017,NA())</f>
        <v/>
      </c>
      <c r="HA5">
        <f>IF(s_tp/2+21*s_tp&lt;1000,(h_sl-c_nom-phi_t/2)+(phi_t/2)*0.951057,NA())</f>
        <v/>
      </c>
      <c r="HC5">
        <f>IF(s_b/2+22*s_b&lt;1000,(s_b/2+22*s_b)+(phi_b/2)*0.309017,NA())</f>
        <v/>
      </c>
      <c r="HD5">
        <f>IF(s_b/2+22*s_b&lt;1000,(c_nom+phi_b/2)+(phi_b/2)*0.951057,NA())</f>
        <v/>
      </c>
      <c r="HF5">
        <f>IF(s_tp/2+22*s_tp&lt;1000,(s_tp/2+22*s_tp)+(phi_t/2)*0.309017,NA())</f>
        <v/>
      </c>
      <c r="HG5">
        <f>IF(s_tp/2+22*s_tp&lt;1000,(h_sl-c_nom-phi_t/2)+(phi_t/2)*0.951057,NA())</f>
        <v/>
      </c>
      <c r="HI5">
        <f>IF(s_b/2+23*s_b&lt;1000,(s_b/2+23*s_b)+(phi_b/2)*0.309017,NA())</f>
        <v/>
      </c>
      <c r="HJ5">
        <f>IF(s_b/2+23*s_b&lt;1000,(c_nom+phi_b/2)+(phi_b/2)*0.951057,NA())</f>
        <v/>
      </c>
      <c r="HL5">
        <f>IF(s_tp/2+23*s_tp&lt;1000,(s_tp/2+23*s_tp)+(phi_t/2)*0.309017,NA())</f>
        <v/>
      </c>
      <c r="HM5">
        <f>IF(s_tp/2+23*s_tp&lt;1000,(h_sl-c_nom-phi_t/2)+(phi_t/2)*0.951057,NA())</f>
        <v/>
      </c>
      <c r="HO5">
        <f>IF(s_b/2+24*s_b&lt;1000,(s_b/2+24*s_b)+(phi_b/2)*0.309017,NA())</f>
        <v/>
      </c>
      <c r="HP5">
        <f>IF(s_b/2+24*s_b&lt;1000,(c_nom+phi_b/2)+(phi_b/2)*0.951057,NA())</f>
        <v/>
      </c>
      <c r="HR5">
        <f>IF(s_tp/2+24*s_tp&lt;1000,(s_tp/2+24*s_tp)+(phi_t/2)*0.309017,NA())</f>
        <v/>
      </c>
      <c r="HS5">
        <f>IF(s_tp/2+24*s_tp&lt;1000,(h_sl-c_nom-phi_t/2)+(phi_t/2)*0.951057,NA())</f>
        <v/>
      </c>
      <c r="HU5">
        <f>IF(s_b/2+25*s_b&lt;1000,(s_b/2+25*s_b)+(phi_b/2)*0.309017,NA())</f>
        <v/>
      </c>
      <c r="HV5">
        <f>IF(s_b/2+25*s_b&lt;1000,(c_nom+phi_b/2)+(phi_b/2)*0.951057,NA())</f>
        <v/>
      </c>
      <c r="HX5">
        <f>IF(s_tp/2+25*s_tp&lt;1000,(s_tp/2+25*s_tp)+(phi_t/2)*0.309017,NA())</f>
        <v/>
      </c>
      <c r="HY5">
        <f>IF(s_tp/2+25*s_tp&lt;1000,(h_sl-c_nom-phi_t/2)+(phi_t/2)*0.951057,NA())</f>
        <v/>
      </c>
      <c r="IA5">
        <f>IF(s_b/2+26*s_b&lt;1000,(s_b/2+26*s_b)+(phi_b/2)*0.309017,NA())</f>
        <v/>
      </c>
      <c r="IB5">
        <f>IF(s_b/2+26*s_b&lt;1000,(c_nom+phi_b/2)+(phi_b/2)*0.951057,NA())</f>
        <v/>
      </c>
      <c r="ID5">
        <f>IF(s_tp/2+26*s_tp&lt;1000,(s_tp/2+26*s_tp)+(phi_t/2)*0.309017,NA())</f>
        <v/>
      </c>
      <c r="IE5">
        <f>IF(s_tp/2+26*s_tp&lt;1000,(h_sl-c_nom-phi_t/2)+(phi_t/2)*0.951057,NA())</f>
        <v/>
      </c>
      <c r="IG5">
        <f>IF(s_b/2+27*s_b&lt;1000,(s_b/2+27*s_b)+(phi_b/2)*0.309017,NA())</f>
        <v/>
      </c>
      <c r="IH5">
        <f>IF(s_b/2+27*s_b&lt;1000,(c_nom+phi_b/2)+(phi_b/2)*0.951057,NA())</f>
        <v/>
      </c>
      <c r="IJ5">
        <f>IF(s_tp/2+27*s_tp&lt;1000,(s_tp/2+27*s_tp)+(phi_t/2)*0.309017,NA())</f>
        <v/>
      </c>
      <c r="IK5">
        <f>IF(s_tp/2+27*s_tp&lt;1000,(h_sl-c_nom-phi_t/2)+(phi_t/2)*0.951057,NA())</f>
        <v/>
      </c>
      <c r="IM5">
        <f>IF(s_b/2+28*s_b&lt;1000,(s_b/2+28*s_b)+(phi_b/2)*0.309017,NA())</f>
        <v/>
      </c>
      <c r="IN5">
        <f>IF(s_b/2+28*s_b&lt;1000,(c_nom+phi_b/2)+(phi_b/2)*0.951057,NA())</f>
        <v/>
      </c>
      <c r="IP5">
        <f>IF(s_tp/2+28*s_tp&lt;1000,(s_tp/2+28*s_tp)+(phi_t/2)*0.309017,NA())</f>
        <v/>
      </c>
      <c r="IQ5">
        <f>IF(s_tp/2+28*s_tp&lt;1000,(h_sl-c_nom-phi_t/2)+(phi_t/2)*0.951057,NA())</f>
        <v/>
      </c>
      <c r="IS5">
        <f>IF(s_b/2+29*s_b&lt;1000,(s_b/2+29*s_b)+(phi_b/2)*0.309017,NA())</f>
        <v/>
      </c>
      <c r="IT5">
        <f>IF(s_b/2+29*s_b&lt;1000,(c_nom+phi_b/2)+(phi_b/2)*0.951057,NA())</f>
        <v/>
      </c>
      <c r="IV5">
        <f>IF(s_tp/2+29*s_tp&lt;1000,(s_tp/2+29*s_tp)+(phi_t/2)*0.309017,NA())</f>
        <v/>
      </c>
      <c r="IW5">
        <f>IF(s_tp/2+29*s_tp&lt;1000,(h_sl-c_nom-phi_t/2)+(phi_t/2)*0.951057,NA())</f>
        <v/>
      </c>
      <c r="IY5">
        <f>IF(s_b/2+30*s_b&lt;1000,(s_b/2+30*s_b)+(phi_b/2)*0.309017,NA())</f>
        <v/>
      </c>
      <c r="IZ5">
        <f>IF(s_b/2+30*s_b&lt;1000,(c_nom+phi_b/2)+(phi_b/2)*0.951057,NA())</f>
        <v/>
      </c>
      <c r="JB5">
        <f>IF(s_tp/2+30*s_tp&lt;1000,(s_tp/2+30*s_tp)+(phi_t/2)*0.309017,NA())</f>
        <v/>
      </c>
      <c r="JC5">
        <f>IF(s_tp/2+30*s_tp&lt;1000,(h_sl-c_nom-phi_t/2)+(phi_t/2)*0.951057,NA())</f>
        <v/>
      </c>
      <c r="JE5">
        <f>IF(s_b/2+31*s_b&lt;1000,(s_b/2+31*s_b)+(phi_b/2)*0.309017,NA())</f>
        <v/>
      </c>
      <c r="JF5">
        <f>IF(s_b/2+31*s_b&lt;1000,(c_nom+phi_b/2)+(phi_b/2)*0.951057,NA())</f>
        <v/>
      </c>
      <c r="JH5">
        <f>IF(s_tp/2+31*s_tp&lt;1000,(s_tp/2+31*s_tp)+(phi_t/2)*0.309017,NA())</f>
        <v/>
      </c>
      <c r="JI5">
        <f>IF(s_tp/2+31*s_tp&lt;1000,(h_sl-c_nom-phi_t/2)+(phi_t/2)*0.951057,NA())</f>
        <v/>
      </c>
      <c r="JK5">
        <f>IF(s_b/2+32*s_b&lt;1000,(s_b/2+32*s_b)+(phi_b/2)*0.309017,NA())</f>
        <v/>
      </c>
      <c r="JL5">
        <f>IF(s_b/2+32*s_b&lt;1000,(c_nom+phi_b/2)+(phi_b/2)*0.951057,NA())</f>
        <v/>
      </c>
      <c r="JN5">
        <f>IF(s_tp/2+32*s_tp&lt;1000,(s_tp/2+32*s_tp)+(phi_t/2)*0.309017,NA())</f>
        <v/>
      </c>
      <c r="JO5">
        <f>IF(s_tp/2+32*s_tp&lt;1000,(h_sl-c_nom-phi_t/2)+(phi_t/2)*0.951057,NA())</f>
        <v/>
      </c>
      <c r="JQ5">
        <f>IF(s_b/2+33*s_b&lt;1000,(s_b/2+33*s_b)+(phi_b/2)*0.309017,NA())</f>
        <v/>
      </c>
      <c r="JR5">
        <f>IF(s_b/2+33*s_b&lt;1000,(c_nom+phi_b/2)+(phi_b/2)*0.951057,NA())</f>
        <v/>
      </c>
      <c r="JT5">
        <f>IF(s_tp/2+33*s_tp&lt;1000,(s_tp/2+33*s_tp)+(phi_t/2)*0.309017,NA())</f>
        <v/>
      </c>
      <c r="JU5">
        <f>IF(s_tp/2+33*s_tp&lt;1000,(h_sl-c_nom-phi_t/2)+(phi_t/2)*0.951057,NA())</f>
        <v/>
      </c>
    </row>
    <row r="6">
      <c r="A6">
        <f>0</f>
        <v/>
      </c>
      <c r="B6">
        <f>h_sl</f>
        <v/>
      </c>
      <c r="D6">
        <f>IF(sys_i&lt;&gt;6,0-0.06*L_sl,NA())</f>
        <v/>
      </c>
      <c r="E6">
        <f>-0.06*L_sl</f>
        <v/>
      </c>
      <c r="G6">
        <f>IF(sys_i&lt;&gt;6,L_sl-0.06*L_sl,NA())</f>
        <v/>
      </c>
      <c r="H6">
        <f>-0.06*L_sl</f>
        <v/>
      </c>
      <c r="AW6">
        <f>0.083333*L_sl</f>
        <v/>
      </c>
      <c r="AX6">
        <f>(-0.35*L_sl)-(0.22*L_sl/MAX(M_sp,M_su,0.001))*(IF(sys_i=6,-M_lt*0.840278,-M_lt*0.763889+M_sp*0.305556-M_rt*-0.069444))</f>
        <v/>
      </c>
      <c r="BX6">
        <f>0</f>
        <v/>
      </c>
      <c r="BY6">
        <f>h_sl</f>
        <v/>
      </c>
      <c r="CA6">
        <f>IF(s_b/2+0*s_b&lt;1000,(s_b/2+0*s_b)+(phi_b/2)*-0.309017,NA())</f>
        <v/>
      </c>
      <c r="CB6">
        <f>IF(s_b/2+0*s_b&lt;1000,(c_nom+phi_b/2)+(phi_b/2)*0.951057,NA())</f>
        <v/>
      </c>
      <c r="CD6">
        <f>IF(s_tp/2+0*s_tp&lt;1000,(s_tp/2+0*s_tp)+(phi_t/2)*-0.309017,NA())</f>
        <v/>
      </c>
      <c r="CE6">
        <f>IF(s_tp/2+0*s_tp&lt;1000,(h_sl-c_nom-phi_t/2)+(phi_t/2)*0.951057,NA())</f>
        <v/>
      </c>
      <c r="CG6">
        <f>IF(s_b/2+1*s_b&lt;1000,(s_b/2+1*s_b)+(phi_b/2)*-0.309017,NA())</f>
        <v/>
      </c>
      <c r="CH6">
        <f>IF(s_b/2+1*s_b&lt;1000,(c_nom+phi_b/2)+(phi_b/2)*0.951057,NA())</f>
        <v/>
      </c>
      <c r="CJ6">
        <f>IF(s_tp/2+1*s_tp&lt;1000,(s_tp/2+1*s_tp)+(phi_t/2)*-0.309017,NA())</f>
        <v/>
      </c>
      <c r="CK6">
        <f>IF(s_tp/2+1*s_tp&lt;1000,(h_sl-c_nom-phi_t/2)+(phi_t/2)*0.951057,NA())</f>
        <v/>
      </c>
      <c r="CM6">
        <f>IF(s_b/2+2*s_b&lt;1000,(s_b/2+2*s_b)+(phi_b/2)*-0.309017,NA())</f>
        <v/>
      </c>
      <c r="CN6">
        <f>IF(s_b/2+2*s_b&lt;1000,(c_nom+phi_b/2)+(phi_b/2)*0.951057,NA())</f>
        <v/>
      </c>
      <c r="CP6">
        <f>IF(s_tp/2+2*s_tp&lt;1000,(s_tp/2+2*s_tp)+(phi_t/2)*-0.309017,NA())</f>
        <v/>
      </c>
      <c r="CQ6">
        <f>IF(s_tp/2+2*s_tp&lt;1000,(h_sl-c_nom-phi_t/2)+(phi_t/2)*0.951057,NA())</f>
        <v/>
      </c>
      <c r="CS6">
        <f>IF(s_b/2+3*s_b&lt;1000,(s_b/2+3*s_b)+(phi_b/2)*-0.309017,NA())</f>
        <v/>
      </c>
      <c r="CT6">
        <f>IF(s_b/2+3*s_b&lt;1000,(c_nom+phi_b/2)+(phi_b/2)*0.951057,NA())</f>
        <v/>
      </c>
      <c r="CV6">
        <f>IF(s_tp/2+3*s_tp&lt;1000,(s_tp/2+3*s_tp)+(phi_t/2)*-0.309017,NA())</f>
        <v/>
      </c>
      <c r="CW6">
        <f>IF(s_tp/2+3*s_tp&lt;1000,(h_sl-c_nom-phi_t/2)+(phi_t/2)*0.951057,NA())</f>
        <v/>
      </c>
      <c r="CY6">
        <f>IF(s_b/2+4*s_b&lt;1000,(s_b/2+4*s_b)+(phi_b/2)*-0.309017,NA())</f>
        <v/>
      </c>
      <c r="CZ6">
        <f>IF(s_b/2+4*s_b&lt;1000,(c_nom+phi_b/2)+(phi_b/2)*0.951057,NA())</f>
        <v/>
      </c>
      <c r="DB6">
        <f>IF(s_tp/2+4*s_tp&lt;1000,(s_tp/2+4*s_tp)+(phi_t/2)*-0.309017,NA())</f>
        <v/>
      </c>
      <c r="DC6">
        <f>IF(s_tp/2+4*s_tp&lt;1000,(h_sl-c_nom-phi_t/2)+(phi_t/2)*0.951057,NA())</f>
        <v/>
      </c>
      <c r="DE6">
        <f>IF(s_b/2+5*s_b&lt;1000,(s_b/2+5*s_b)+(phi_b/2)*-0.309017,NA())</f>
        <v/>
      </c>
      <c r="DF6">
        <f>IF(s_b/2+5*s_b&lt;1000,(c_nom+phi_b/2)+(phi_b/2)*0.951057,NA())</f>
        <v/>
      </c>
      <c r="DH6">
        <f>IF(s_tp/2+5*s_tp&lt;1000,(s_tp/2+5*s_tp)+(phi_t/2)*-0.309017,NA())</f>
        <v/>
      </c>
      <c r="DI6">
        <f>IF(s_tp/2+5*s_tp&lt;1000,(h_sl-c_nom-phi_t/2)+(phi_t/2)*0.951057,NA())</f>
        <v/>
      </c>
      <c r="DK6">
        <f>IF(s_b/2+6*s_b&lt;1000,(s_b/2+6*s_b)+(phi_b/2)*-0.309017,NA())</f>
        <v/>
      </c>
      <c r="DL6">
        <f>IF(s_b/2+6*s_b&lt;1000,(c_nom+phi_b/2)+(phi_b/2)*0.951057,NA())</f>
        <v/>
      </c>
      <c r="DN6">
        <f>IF(s_tp/2+6*s_tp&lt;1000,(s_tp/2+6*s_tp)+(phi_t/2)*-0.309017,NA())</f>
        <v/>
      </c>
      <c r="DO6">
        <f>IF(s_tp/2+6*s_tp&lt;1000,(h_sl-c_nom-phi_t/2)+(phi_t/2)*0.951057,NA())</f>
        <v/>
      </c>
      <c r="DQ6">
        <f>IF(s_b/2+7*s_b&lt;1000,(s_b/2+7*s_b)+(phi_b/2)*-0.309017,NA())</f>
        <v/>
      </c>
      <c r="DR6">
        <f>IF(s_b/2+7*s_b&lt;1000,(c_nom+phi_b/2)+(phi_b/2)*0.951057,NA())</f>
        <v/>
      </c>
      <c r="DT6">
        <f>IF(s_tp/2+7*s_tp&lt;1000,(s_tp/2+7*s_tp)+(phi_t/2)*-0.309017,NA())</f>
        <v/>
      </c>
      <c r="DU6">
        <f>IF(s_tp/2+7*s_tp&lt;1000,(h_sl-c_nom-phi_t/2)+(phi_t/2)*0.951057,NA())</f>
        <v/>
      </c>
      <c r="DW6">
        <f>IF(s_b/2+8*s_b&lt;1000,(s_b/2+8*s_b)+(phi_b/2)*-0.309017,NA())</f>
        <v/>
      </c>
      <c r="DX6">
        <f>IF(s_b/2+8*s_b&lt;1000,(c_nom+phi_b/2)+(phi_b/2)*0.951057,NA())</f>
        <v/>
      </c>
      <c r="DZ6">
        <f>IF(s_tp/2+8*s_tp&lt;1000,(s_tp/2+8*s_tp)+(phi_t/2)*-0.309017,NA())</f>
        <v/>
      </c>
      <c r="EA6">
        <f>IF(s_tp/2+8*s_tp&lt;1000,(h_sl-c_nom-phi_t/2)+(phi_t/2)*0.951057,NA())</f>
        <v/>
      </c>
      <c r="EC6">
        <f>IF(s_b/2+9*s_b&lt;1000,(s_b/2+9*s_b)+(phi_b/2)*-0.309017,NA())</f>
        <v/>
      </c>
      <c r="ED6">
        <f>IF(s_b/2+9*s_b&lt;1000,(c_nom+phi_b/2)+(phi_b/2)*0.951057,NA())</f>
        <v/>
      </c>
      <c r="EF6">
        <f>IF(s_tp/2+9*s_tp&lt;1000,(s_tp/2+9*s_tp)+(phi_t/2)*-0.309017,NA())</f>
        <v/>
      </c>
      <c r="EG6">
        <f>IF(s_tp/2+9*s_tp&lt;1000,(h_sl-c_nom-phi_t/2)+(phi_t/2)*0.951057,NA())</f>
        <v/>
      </c>
      <c r="EI6">
        <f>IF(s_b/2+10*s_b&lt;1000,(s_b/2+10*s_b)+(phi_b/2)*-0.309017,NA())</f>
        <v/>
      </c>
      <c r="EJ6">
        <f>IF(s_b/2+10*s_b&lt;1000,(c_nom+phi_b/2)+(phi_b/2)*0.951057,NA())</f>
        <v/>
      </c>
      <c r="EL6">
        <f>IF(s_tp/2+10*s_tp&lt;1000,(s_tp/2+10*s_tp)+(phi_t/2)*-0.309017,NA())</f>
        <v/>
      </c>
      <c r="EM6">
        <f>IF(s_tp/2+10*s_tp&lt;1000,(h_sl-c_nom-phi_t/2)+(phi_t/2)*0.951057,NA())</f>
        <v/>
      </c>
      <c r="EO6">
        <f>IF(s_b/2+11*s_b&lt;1000,(s_b/2+11*s_b)+(phi_b/2)*-0.309017,NA())</f>
        <v/>
      </c>
      <c r="EP6">
        <f>IF(s_b/2+11*s_b&lt;1000,(c_nom+phi_b/2)+(phi_b/2)*0.951057,NA())</f>
        <v/>
      </c>
      <c r="ER6">
        <f>IF(s_tp/2+11*s_tp&lt;1000,(s_tp/2+11*s_tp)+(phi_t/2)*-0.309017,NA())</f>
        <v/>
      </c>
      <c r="ES6">
        <f>IF(s_tp/2+11*s_tp&lt;1000,(h_sl-c_nom-phi_t/2)+(phi_t/2)*0.951057,NA())</f>
        <v/>
      </c>
      <c r="EU6">
        <f>IF(s_b/2+12*s_b&lt;1000,(s_b/2+12*s_b)+(phi_b/2)*-0.309017,NA())</f>
        <v/>
      </c>
      <c r="EV6">
        <f>IF(s_b/2+12*s_b&lt;1000,(c_nom+phi_b/2)+(phi_b/2)*0.951057,NA())</f>
        <v/>
      </c>
      <c r="EX6">
        <f>IF(s_tp/2+12*s_tp&lt;1000,(s_tp/2+12*s_tp)+(phi_t/2)*-0.309017,NA())</f>
        <v/>
      </c>
      <c r="EY6">
        <f>IF(s_tp/2+12*s_tp&lt;1000,(h_sl-c_nom-phi_t/2)+(phi_t/2)*0.951057,NA())</f>
        <v/>
      </c>
      <c r="FA6">
        <f>IF(s_b/2+13*s_b&lt;1000,(s_b/2+13*s_b)+(phi_b/2)*-0.309017,NA())</f>
        <v/>
      </c>
      <c r="FB6">
        <f>IF(s_b/2+13*s_b&lt;1000,(c_nom+phi_b/2)+(phi_b/2)*0.951057,NA())</f>
        <v/>
      </c>
      <c r="FD6">
        <f>IF(s_tp/2+13*s_tp&lt;1000,(s_tp/2+13*s_tp)+(phi_t/2)*-0.309017,NA())</f>
        <v/>
      </c>
      <c r="FE6">
        <f>IF(s_tp/2+13*s_tp&lt;1000,(h_sl-c_nom-phi_t/2)+(phi_t/2)*0.951057,NA())</f>
        <v/>
      </c>
      <c r="FG6">
        <f>IF(s_b/2+14*s_b&lt;1000,(s_b/2+14*s_b)+(phi_b/2)*-0.309017,NA())</f>
        <v/>
      </c>
      <c r="FH6">
        <f>IF(s_b/2+14*s_b&lt;1000,(c_nom+phi_b/2)+(phi_b/2)*0.951057,NA())</f>
        <v/>
      </c>
      <c r="FJ6">
        <f>IF(s_tp/2+14*s_tp&lt;1000,(s_tp/2+14*s_tp)+(phi_t/2)*-0.309017,NA())</f>
        <v/>
      </c>
      <c r="FK6">
        <f>IF(s_tp/2+14*s_tp&lt;1000,(h_sl-c_nom-phi_t/2)+(phi_t/2)*0.951057,NA())</f>
        <v/>
      </c>
      <c r="FM6">
        <f>IF(s_b/2+15*s_b&lt;1000,(s_b/2+15*s_b)+(phi_b/2)*-0.309017,NA())</f>
        <v/>
      </c>
      <c r="FN6">
        <f>IF(s_b/2+15*s_b&lt;1000,(c_nom+phi_b/2)+(phi_b/2)*0.951057,NA())</f>
        <v/>
      </c>
      <c r="FP6">
        <f>IF(s_tp/2+15*s_tp&lt;1000,(s_tp/2+15*s_tp)+(phi_t/2)*-0.309017,NA())</f>
        <v/>
      </c>
      <c r="FQ6">
        <f>IF(s_tp/2+15*s_tp&lt;1000,(h_sl-c_nom-phi_t/2)+(phi_t/2)*0.951057,NA())</f>
        <v/>
      </c>
      <c r="FS6">
        <f>IF(s_b/2+16*s_b&lt;1000,(s_b/2+16*s_b)+(phi_b/2)*-0.309017,NA())</f>
        <v/>
      </c>
      <c r="FT6">
        <f>IF(s_b/2+16*s_b&lt;1000,(c_nom+phi_b/2)+(phi_b/2)*0.951057,NA())</f>
        <v/>
      </c>
      <c r="FV6">
        <f>IF(s_tp/2+16*s_tp&lt;1000,(s_tp/2+16*s_tp)+(phi_t/2)*-0.309017,NA())</f>
        <v/>
      </c>
      <c r="FW6">
        <f>IF(s_tp/2+16*s_tp&lt;1000,(h_sl-c_nom-phi_t/2)+(phi_t/2)*0.951057,NA())</f>
        <v/>
      </c>
      <c r="FY6">
        <f>IF(s_b/2+17*s_b&lt;1000,(s_b/2+17*s_b)+(phi_b/2)*-0.309017,NA())</f>
        <v/>
      </c>
      <c r="FZ6">
        <f>IF(s_b/2+17*s_b&lt;1000,(c_nom+phi_b/2)+(phi_b/2)*0.951057,NA())</f>
        <v/>
      </c>
      <c r="GB6">
        <f>IF(s_tp/2+17*s_tp&lt;1000,(s_tp/2+17*s_tp)+(phi_t/2)*-0.309017,NA())</f>
        <v/>
      </c>
      <c r="GC6">
        <f>IF(s_tp/2+17*s_tp&lt;1000,(h_sl-c_nom-phi_t/2)+(phi_t/2)*0.951057,NA())</f>
        <v/>
      </c>
      <c r="GE6">
        <f>IF(s_b/2+18*s_b&lt;1000,(s_b/2+18*s_b)+(phi_b/2)*-0.309017,NA())</f>
        <v/>
      </c>
      <c r="GF6">
        <f>IF(s_b/2+18*s_b&lt;1000,(c_nom+phi_b/2)+(phi_b/2)*0.951057,NA())</f>
        <v/>
      </c>
      <c r="GH6">
        <f>IF(s_tp/2+18*s_tp&lt;1000,(s_tp/2+18*s_tp)+(phi_t/2)*-0.309017,NA())</f>
        <v/>
      </c>
      <c r="GI6">
        <f>IF(s_tp/2+18*s_tp&lt;1000,(h_sl-c_nom-phi_t/2)+(phi_t/2)*0.951057,NA())</f>
        <v/>
      </c>
      <c r="GK6">
        <f>IF(s_b/2+19*s_b&lt;1000,(s_b/2+19*s_b)+(phi_b/2)*-0.309017,NA())</f>
        <v/>
      </c>
      <c r="GL6">
        <f>IF(s_b/2+19*s_b&lt;1000,(c_nom+phi_b/2)+(phi_b/2)*0.951057,NA())</f>
        <v/>
      </c>
      <c r="GN6">
        <f>IF(s_tp/2+19*s_tp&lt;1000,(s_tp/2+19*s_tp)+(phi_t/2)*-0.309017,NA())</f>
        <v/>
      </c>
      <c r="GO6">
        <f>IF(s_tp/2+19*s_tp&lt;1000,(h_sl-c_nom-phi_t/2)+(phi_t/2)*0.951057,NA())</f>
        <v/>
      </c>
      <c r="GQ6">
        <f>IF(s_b/2+20*s_b&lt;1000,(s_b/2+20*s_b)+(phi_b/2)*-0.309017,NA())</f>
        <v/>
      </c>
      <c r="GR6">
        <f>IF(s_b/2+20*s_b&lt;1000,(c_nom+phi_b/2)+(phi_b/2)*0.951057,NA())</f>
        <v/>
      </c>
      <c r="GT6">
        <f>IF(s_tp/2+20*s_tp&lt;1000,(s_tp/2+20*s_tp)+(phi_t/2)*-0.309017,NA())</f>
        <v/>
      </c>
      <c r="GU6">
        <f>IF(s_tp/2+20*s_tp&lt;1000,(h_sl-c_nom-phi_t/2)+(phi_t/2)*0.951057,NA())</f>
        <v/>
      </c>
      <c r="GW6">
        <f>IF(s_b/2+21*s_b&lt;1000,(s_b/2+21*s_b)+(phi_b/2)*-0.309017,NA())</f>
        <v/>
      </c>
      <c r="GX6">
        <f>IF(s_b/2+21*s_b&lt;1000,(c_nom+phi_b/2)+(phi_b/2)*0.951057,NA())</f>
        <v/>
      </c>
      <c r="GZ6">
        <f>IF(s_tp/2+21*s_tp&lt;1000,(s_tp/2+21*s_tp)+(phi_t/2)*-0.309017,NA())</f>
        <v/>
      </c>
      <c r="HA6">
        <f>IF(s_tp/2+21*s_tp&lt;1000,(h_sl-c_nom-phi_t/2)+(phi_t/2)*0.951057,NA())</f>
        <v/>
      </c>
      <c r="HC6">
        <f>IF(s_b/2+22*s_b&lt;1000,(s_b/2+22*s_b)+(phi_b/2)*-0.309017,NA())</f>
        <v/>
      </c>
      <c r="HD6">
        <f>IF(s_b/2+22*s_b&lt;1000,(c_nom+phi_b/2)+(phi_b/2)*0.951057,NA())</f>
        <v/>
      </c>
      <c r="HF6">
        <f>IF(s_tp/2+22*s_tp&lt;1000,(s_tp/2+22*s_tp)+(phi_t/2)*-0.309017,NA())</f>
        <v/>
      </c>
      <c r="HG6">
        <f>IF(s_tp/2+22*s_tp&lt;1000,(h_sl-c_nom-phi_t/2)+(phi_t/2)*0.951057,NA())</f>
        <v/>
      </c>
      <c r="HI6">
        <f>IF(s_b/2+23*s_b&lt;1000,(s_b/2+23*s_b)+(phi_b/2)*-0.309017,NA())</f>
        <v/>
      </c>
      <c r="HJ6">
        <f>IF(s_b/2+23*s_b&lt;1000,(c_nom+phi_b/2)+(phi_b/2)*0.951057,NA())</f>
        <v/>
      </c>
      <c r="HL6">
        <f>IF(s_tp/2+23*s_tp&lt;1000,(s_tp/2+23*s_tp)+(phi_t/2)*-0.309017,NA())</f>
        <v/>
      </c>
      <c r="HM6">
        <f>IF(s_tp/2+23*s_tp&lt;1000,(h_sl-c_nom-phi_t/2)+(phi_t/2)*0.951057,NA())</f>
        <v/>
      </c>
      <c r="HO6">
        <f>IF(s_b/2+24*s_b&lt;1000,(s_b/2+24*s_b)+(phi_b/2)*-0.309017,NA())</f>
        <v/>
      </c>
      <c r="HP6">
        <f>IF(s_b/2+24*s_b&lt;1000,(c_nom+phi_b/2)+(phi_b/2)*0.951057,NA())</f>
        <v/>
      </c>
      <c r="HR6">
        <f>IF(s_tp/2+24*s_tp&lt;1000,(s_tp/2+24*s_tp)+(phi_t/2)*-0.309017,NA())</f>
        <v/>
      </c>
      <c r="HS6">
        <f>IF(s_tp/2+24*s_tp&lt;1000,(h_sl-c_nom-phi_t/2)+(phi_t/2)*0.951057,NA())</f>
        <v/>
      </c>
      <c r="HU6">
        <f>IF(s_b/2+25*s_b&lt;1000,(s_b/2+25*s_b)+(phi_b/2)*-0.309017,NA())</f>
        <v/>
      </c>
      <c r="HV6">
        <f>IF(s_b/2+25*s_b&lt;1000,(c_nom+phi_b/2)+(phi_b/2)*0.951057,NA())</f>
        <v/>
      </c>
      <c r="HX6">
        <f>IF(s_tp/2+25*s_tp&lt;1000,(s_tp/2+25*s_tp)+(phi_t/2)*-0.309017,NA())</f>
        <v/>
      </c>
      <c r="HY6">
        <f>IF(s_tp/2+25*s_tp&lt;1000,(h_sl-c_nom-phi_t/2)+(phi_t/2)*0.951057,NA())</f>
        <v/>
      </c>
      <c r="IA6">
        <f>IF(s_b/2+26*s_b&lt;1000,(s_b/2+26*s_b)+(phi_b/2)*-0.309017,NA())</f>
        <v/>
      </c>
      <c r="IB6">
        <f>IF(s_b/2+26*s_b&lt;1000,(c_nom+phi_b/2)+(phi_b/2)*0.951057,NA())</f>
        <v/>
      </c>
      <c r="ID6">
        <f>IF(s_tp/2+26*s_tp&lt;1000,(s_tp/2+26*s_tp)+(phi_t/2)*-0.309017,NA())</f>
        <v/>
      </c>
      <c r="IE6">
        <f>IF(s_tp/2+26*s_tp&lt;1000,(h_sl-c_nom-phi_t/2)+(phi_t/2)*0.951057,NA())</f>
        <v/>
      </c>
      <c r="IG6">
        <f>IF(s_b/2+27*s_b&lt;1000,(s_b/2+27*s_b)+(phi_b/2)*-0.309017,NA())</f>
        <v/>
      </c>
      <c r="IH6">
        <f>IF(s_b/2+27*s_b&lt;1000,(c_nom+phi_b/2)+(phi_b/2)*0.951057,NA())</f>
        <v/>
      </c>
      <c r="IJ6">
        <f>IF(s_tp/2+27*s_tp&lt;1000,(s_tp/2+27*s_tp)+(phi_t/2)*-0.309017,NA())</f>
        <v/>
      </c>
      <c r="IK6">
        <f>IF(s_tp/2+27*s_tp&lt;1000,(h_sl-c_nom-phi_t/2)+(phi_t/2)*0.951057,NA())</f>
        <v/>
      </c>
      <c r="IM6">
        <f>IF(s_b/2+28*s_b&lt;1000,(s_b/2+28*s_b)+(phi_b/2)*-0.309017,NA())</f>
        <v/>
      </c>
      <c r="IN6">
        <f>IF(s_b/2+28*s_b&lt;1000,(c_nom+phi_b/2)+(phi_b/2)*0.951057,NA())</f>
        <v/>
      </c>
      <c r="IP6">
        <f>IF(s_tp/2+28*s_tp&lt;1000,(s_tp/2+28*s_tp)+(phi_t/2)*-0.309017,NA())</f>
        <v/>
      </c>
      <c r="IQ6">
        <f>IF(s_tp/2+28*s_tp&lt;1000,(h_sl-c_nom-phi_t/2)+(phi_t/2)*0.951057,NA())</f>
        <v/>
      </c>
      <c r="IS6">
        <f>IF(s_b/2+29*s_b&lt;1000,(s_b/2+29*s_b)+(phi_b/2)*-0.309017,NA())</f>
        <v/>
      </c>
      <c r="IT6">
        <f>IF(s_b/2+29*s_b&lt;1000,(c_nom+phi_b/2)+(phi_b/2)*0.951057,NA())</f>
        <v/>
      </c>
      <c r="IV6">
        <f>IF(s_tp/2+29*s_tp&lt;1000,(s_tp/2+29*s_tp)+(phi_t/2)*-0.309017,NA())</f>
        <v/>
      </c>
      <c r="IW6">
        <f>IF(s_tp/2+29*s_tp&lt;1000,(h_sl-c_nom-phi_t/2)+(phi_t/2)*0.951057,NA())</f>
        <v/>
      </c>
      <c r="IY6">
        <f>IF(s_b/2+30*s_b&lt;1000,(s_b/2+30*s_b)+(phi_b/2)*-0.309017,NA())</f>
        <v/>
      </c>
      <c r="IZ6">
        <f>IF(s_b/2+30*s_b&lt;1000,(c_nom+phi_b/2)+(phi_b/2)*0.951057,NA())</f>
        <v/>
      </c>
      <c r="JB6">
        <f>IF(s_tp/2+30*s_tp&lt;1000,(s_tp/2+30*s_tp)+(phi_t/2)*-0.309017,NA())</f>
        <v/>
      </c>
      <c r="JC6">
        <f>IF(s_tp/2+30*s_tp&lt;1000,(h_sl-c_nom-phi_t/2)+(phi_t/2)*0.951057,NA())</f>
        <v/>
      </c>
      <c r="JE6">
        <f>IF(s_b/2+31*s_b&lt;1000,(s_b/2+31*s_b)+(phi_b/2)*-0.309017,NA())</f>
        <v/>
      </c>
      <c r="JF6">
        <f>IF(s_b/2+31*s_b&lt;1000,(c_nom+phi_b/2)+(phi_b/2)*0.951057,NA())</f>
        <v/>
      </c>
      <c r="JH6">
        <f>IF(s_tp/2+31*s_tp&lt;1000,(s_tp/2+31*s_tp)+(phi_t/2)*-0.309017,NA())</f>
        <v/>
      </c>
      <c r="JI6">
        <f>IF(s_tp/2+31*s_tp&lt;1000,(h_sl-c_nom-phi_t/2)+(phi_t/2)*0.951057,NA())</f>
        <v/>
      </c>
      <c r="JK6">
        <f>IF(s_b/2+32*s_b&lt;1000,(s_b/2+32*s_b)+(phi_b/2)*-0.309017,NA())</f>
        <v/>
      </c>
      <c r="JL6">
        <f>IF(s_b/2+32*s_b&lt;1000,(c_nom+phi_b/2)+(phi_b/2)*0.951057,NA())</f>
        <v/>
      </c>
      <c r="JN6">
        <f>IF(s_tp/2+32*s_tp&lt;1000,(s_tp/2+32*s_tp)+(phi_t/2)*-0.309017,NA())</f>
        <v/>
      </c>
      <c r="JO6">
        <f>IF(s_tp/2+32*s_tp&lt;1000,(h_sl-c_nom-phi_t/2)+(phi_t/2)*0.951057,NA())</f>
        <v/>
      </c>
      <c r="JQ6">
        <f>IF(s_b/2+33*s_b&lt;1000,(s_b/2+33*s_b)+(phi_b/2)*-0.309017,NA())</f>
        <v/>
      </c>
      <c r="JR6">
        <f>IF(s_b/2+33*s_b&lt;1000,(c_nom+phi_b/2)+(phi_b/2)*0.951057,NA())</f>
        <v/>
      </c>
      <c r="JT6">
        <f>IF(s_tp/2+33*s_tp&lt;1000,(s_tp/2+33*s_tp)+(phi_t/2)*-0.309017,NA())</f>
        <v/>
      </c>
      <c r="JU6">
        <f>IF(s_tp/2+33*s_tp&lt;1000,(h_sl-c_nom-phi_t/2)+(phi_t/2)*0.951057,NA())</f>
        <v/>
      </c>
    </row>
    <row r="7">
      <c r="A7">
        <f>0</f>
        <v/>
      </c>
      <c r="B7">
        <f>0</f>
        <v/>
      </c>
      <c r="AW7">
        <f>0.125000*L_sl</f>
        <v/>
      </c>
      <c r="AX7">
        <f>(-0.35*L_sl)-(0.22*L_sl/MAX(M_sp,M_su,0.001))*(IF(sys_i=6,-M_lt*0.765625,-M_lt*0.656250+M_sp*0.437500-M_rt*-0.093750))</f>
        <v/>
      </c>
      <c r="BX7">
        <f>0</f>
        <v/>
      </c>
      <c r="BY7">
        <f>0</f>
        <v/>
      </c>
      <c r="CA7">
        <f>IF(s_b/2+0*s_b&lt;1000,(s_b/2+0*s_b)+(phi_b/2)*-0.809017,NA())</f>
        <v/>
      </c>
      <c r="CB7">
        <f>IF(s_b/2+0*s_b&lt;1000,(c_nom+phi_b/2)+(phi_b/2)*0.587785,NA())</f>
        <v/>
      </c>
      <c r="CD7">
        <f>IF(s_tp/2+0*s_tp&lt;1000,(s_tp/2+0*s_tp)+(phi_t/2)*-0.809017,NA())</f>
        <v/>
      </c>
      <c r="CE7">
        <f>IF(s_tp/2+0*s_tp&lt;1000,(h_sl-c_nom-phi_t/2)+(phi_t/2)*0.587785,NA())</f>
        <v/>
      </c>
      <c r="CG7">
        <f>IF(s_b/2+1*s_b&lt;1000,(s_b/2+1*s_b)+(phi_b/2)*-0.809017,NA())</f>
        <v/>
      </c>
      <c r="CH7">
        <f>IF(s_b/2+1*s_b&lt;1000,(c_nom+phi_b/2)+(phi_b/2)*0.587785,NA())</f>
        <v/>
      </c>
      <c r="CJ7">
        <f>IF(s_tp/2+1*s_tp&lt;1000,(s_tp/2+1*s_tp)+(phi_t/2)*-0.809017,NA())</f>
        <v/>
      </c>
      <c r="CK7">
        <f>IF(s_tp/2+1*s_tp&lt;1000,(h_sl-c_nom-phi_t/2)+(phi_t/2)*0.587785,NA())</f>
        <v/>
      </c>
      <c r="CM7">
        <f>IF(s_b/2+2*s_b&lt;1000,(s_b/2+2*s_b)+(phi_b/2)*-0.809017,NA())</f>
        <v/>
      </c>
      <c r="CN7">
        <f>IF(s_b/2+2*s_b&lt;1000,(c_nom+phi_b/2)+(phi_b/2)*0.587785,NA())</f>
        <v/>
      </c>
      <c r="CP7">
        <f>IF(s_tp/2+2*s_tp&lt;1000,(s_tp/2+2*s_tp)+(phi_t/2)*-0.809017,NA())</f>
        <v/>
      </c>
      <c r="CQ7">
        <f>IF(s_tp/2+2*s_tp&lt;1000,(h_sl-c_nom-phi_t/2)+(phi_t/2)*0.587785,NA())</f>
        <v/>
      </c>
      <c r="CS7">
        <f>IF(s_b/2+3*s_b&lt;1000,(s_b/2+3*s_b)+(phi_b/2)*-0.809017,NA())</f>
        <v/>
      </c>
      <c r="CT7">
        <f>IF(s_b/2+3*s_b&lt;1000,(c_nom+phi_b/2)+(phi_b/2)*0.587785,NA())</f>
        <v/>
      </c>
      <c r="CV7">
        <f>IF(s_tp/2+3*s_tp&lt;1000,(s_tp/2+3*s_tp)+(phi_t/2)*-0.809017,NA())</f>
        <v/>
      </c>
      <c r="CW7">
        <f>IF(s_tp/2+3*s_tp&lt;1000,(h_sl-c_nom-phi_t/2)+(phi_t/2)*0.587785,NA())</f>
        <v/>
      </c>
      <c r="CY7">
        <f>IF(s_b/2+4*s_b&lt;1000,(s_b/2+4*s_b)+(phi_b/2)*-0.809017,NA())</f>
        <v/>
      </c>
      <c r="CZ7">
        <f>IF(s_b/2+4*s_b&lt;1000,(c_nom+phi_b/2)+(phi_b/2)*0.587785,NA())</f>
        <v/>
      </c>
      <c r="DB7">
        <f>IF(s_tp/2+4*s_tp&lt;1000,(s_tp/2+4*s_tp)+(phi_t/2)*-0.809017,NA())</f>
        <v/>
      </c>
      <c r="DC7">
        <f>IF(s_tp/2+4*s_tp&lt;1000,(h_sl-c_nom-phi_t/2)+(phi_t/2)*0.587785,NA())</f>
        <v/>
      </c>
      <c r="DE7">
        <f>IF(s_b/2+5*s_b&lt;1000,(s_b/2+5*s_b)+(phi_b/2)*-0.809017,NA())</f>
        <v/>
      </c>
      <c r="DF7">
        <f>IF(s_b/2+5*s_b&lt;1000,(c_nom+phi_b/2)+(phi_b/2)*0.587785,NA())</f>
        <v/>
      </c>
      <c r="DH7">
        <f>IF(s_tp/2+5*s_tp&lt;1000,(s_tp/2+5*s_tp)+(phi_t/2)*-0.809017,NA())</f>
        <v/>
      </c>
      <c r="DI7">
        <f>IF(s_tp/2+5*s_tp&lt;1000,(h_sl-c_nom-phi_t/2)+(phi_t/2)*0.587785,NA())</f>
        <v/>
      </c>
      <c r="DK7">
        <f>IF(s_b/2+6*s_b&lt;1000,(s_b/2+6*s_b)+(phi_b/2)*-0.809017,NA())</f>
        <v/>
      </c>
      <c r="DL7">
        <f>IF(s_b/2+6*s_b&lt;1000,(c_nom+phi_b/2)+(phi_b/2)*0.587785,NA())</f>
        <v/>
      </c>
      <c r="DN7">
        <f>IF(s_tp/2+6*s_tp&lt;1000,(s_tp/2+6*s_tp)+(phi_t/2)*-0.809017,NA())</f>
        <v/>
      </c>
      <c r="DO7">
        <f>IF(s_tp/2+6*s_tp&lt;1000,(h_sl-c_nom-phi_t/2)+(phi_t/2)*0.587785,NA())</f>
        <v/>
      </c>
      <c r="DQ7">
        <f>IF(s_b/2+7*s_b&lt;1000,(s_b/2+7*s_b)+(phi_b/2)*-0.809017,NA())</f>
        <v/>
      </c>
      <c r="DR7">
        <f>IF(s_b/2+7*s_b&lt;1000,(c_nom+phi_b/2)+(phi_b/2)*0.587785,NA())</f>
        <v/>
      </c>
      <c r="DT7">
        <f>IF(s_tp/2+7*s_tp&lt;1000,(s_tp/2+7*s_tp)+(phi_t/2)*-0.809017,NA())</f>
        <v/>
      </c>
      <c r="DU7">
        <f>IF(s_tp/2+7*s_tp&lt;1000,(h_sl-c_nom-phi_t/2)+(phi_t/2)*0.587785,NA())</f>
        <v/>
      </c>
      <c r="DW7">
        <f>IF(s_b/2+8*s_b&lt;1000,(s_b/2+8*s_b)+(phi_b/2)*-0.809017,NA())</f>
        <v/>
      </c>
      <c r="DX7">
        <f>IF(s_b/2+8*s_b&lt;1000,(c_nom+phi_b/2)+(phi_b/2)*0.587785,NA())</f>
        <v/>
      </c>
      <c r="DZ7">
        <f>IF(s_tp/2+8*s_tp&lt;1000,(s_tp/2+8*s_tp)+(phi_t/2)*-0.809017,NA())</f>
        <v/>
      </c>
      <c r="EA7">
        <f>IF(s_tp/2+8*s_tp&lt;1000,(h_sl-c_nom-phi_t/2)+(phi_t/2)*0.587785,NA())</f>
        <v/>
      </c>
      <c r="EC7">
        <f>IF(s_b/2+9*s_b&lt;1000,(s_b/2+9*s_b)+(phi_b/2)*-0.809017,NA())</f>
        <v/>
      </c>
      <c r="ED7">
        <f>IF(s_b/2+9*s_b&lt;1000,(c_nom+phi_b/2)+(phi_b/2)*0.587785,NA())</f>
        <v/>
      </c>
      <c r="EF7">
        <f>IF(s_tp/2+9*s_tp&lt;1000,(s_tp/2+9*s_tp)+(phi_t/2)*-0.809017,NA())</f>
        <v/>
      </c>
      <c r="EG7">
        <f>IF(s_tp/2+9*s_tp&lt;1000,(h_sl-c_nom-phi_t/2)+(phi_t/2)*0.587785,NA())</f>
        <v/>
      </c>
      <c r="EI7">
        <f>IF(s_b/2+10*s_b&lt;1000,(s_b/2+10*s_b)+(phi_b/2)*-0.809017,NA())</f>
        <v/>
      </c>
      <c r="EJ7">
        <f>IF(s_b/2+10*s_b&lt;1000,(c_nom+phi_b/2)+(phi_b/2)*0.587785,NA())</f>
        <v/>
      </c>
      <c r="EL7">
        <f>IF(s_tp/2+10*s_tp&lt;1000,(s_tp/2+10*s_tp)+(phi_t/2)*-0.809017,NA())</f>
        <v/>
      </c>
      <c r="EM7">
        <f>IF(s_tp/2+10*s_tp&lt;1000,(h_sl-c_nom-phi_t/2)+(phi_t/2)*0.587785,NA())</f>
        <v/>
      </c>
      <c r="EO7">
        <f>IF(s_b/2+11*s_b&lt;1000,(s_b/2+11*s_b)+(phi_b/2)*-0.809017,NA())</f>
        <v/>
      </c>
      <c r="EP7">
        <f>IF(s_b/2+11*s_b&lt;1000,(c_nom+phi_b/2)+(phi_b/2)*0.587785,NA())</f>
        <v/>
      </c>
      <c r="ER7">
        <f>IF(s_tp/2+11*s_tp&lt;1000,(s_tp/2+11*s_tp)+(phi_t/2)*-0.809017,NA())</f>
        <v/>
      </c>
      <c r="ES7">
        <f>IF(s_tp/2+11*s_tp&lt;1000,(h_sl-c_nom-phi_t/2)+(phi_t/2)*0.587785,NA())</f>
        <v/>
      </c>
      <c r="EU7">
        <f>IF(s_b/2+12*s_b&lt;1000,(s_b/2+12*s_b)+(phi_b/2)*-0.809017,NA())</f>
        <v/>
      </c>
      <c r="EV7">
        <f>IF(s_b/2+12*s_b&lt;1000,(c_nom+phi_b/2)+(phi_b/2)*0.587785,NA())</f>
        <v/>
      </c>
      <c r="EX7">
        <f>IF(s_tp/2+12*s_tp&lt;1000,(s_tp/2+12*s_tp)+(phi_t/2)*-0.809017,NA())</f>
        <v/>
      </c>
      <c r="EY7">
        <f>IF(s_tp/2+12*s_tp&lt;1000,(h_sl-c_nom-phi_t/2)+(phi_t/2)*0.587785,NA())</f>
        <v/>
      </c>
      <c r="FA7">
        <f>IF(s_b/2+13*s_b&lt;1000,(s_b/2+13*s_b)+(phi_b/2)*-0.809017,NA())</f>
        <v/>
      </c>
      <c r="FB7">
        <f>IF(s_b/2+13*s_b&lt;1000,(c_nom+phi_b/2)+(phi_b/2)*0.587785,NA())</f>
        <v/>
      </c>
      <c r="FD7">
        <f>IF(s_tp/2+13*s_tp&lt;1000,(s_tp/2+13*s_tp)+(phi_t/2)*-0.809017,NA())</f>
        <v/>
      </c>
      <c r="FE7">
        <f>IF(s_tp/2+13*s_tp&lt;1000,(h_sl-c_nom-phi_t/2)+(phi_t/2)*0.587785,NA())</f>
        <v/>
      </c>
      <c r="FG7">
        <f>IF(s_b/2+14*s_b&lt;1000,(s_b/2+14*s_b)+(phi_b/2)*-0.809017,NA())</f>
        <v/>
      </c>
      <c r="FH7">
        <f>IF(s_b/2+14*s_b&lt;1000,(c_nom+phi_b/2)+(phi_b/2)*0.587785,NA())</f>
        <v/>
      </c>
      <c r="FJ7">
        <f>IF(s_tp/2+14*s_tp&lt;1000,(s_tp/2+14*s_tp)+(phi_t/2)*-0.809017,NA())</f>
        <v/>
      </c>
      <c r="FK7">
        <f>IF(s_tp/2+14*s_tp&lt;1000,(h_sl-c_nom-phi_t/2)+(phi_t/2)*0.587785,NA())</f>
        <v/>
      </c>
      <c r="FM7">
        <f>IF(s_b/2+15*s_b&lt;1000,(s_b/2+15*s_b)+(phi_b/2)*-0.809017,NA())</f>
        <v/>
      </c>
      <c r="FN7">
        <f>IF(s_b/2+15*s_b&lt;1000,(c_nom+phi_b/2)+(phi_b/2)*0.587785,NA())</f>
        <v/>
      </c>
      <c r="FP7">
        <f>IF(s_tp/2+15*s_tp&lt;1000,(s_tp/2+15*s_tp)+(phi_t/2)*-0.809017,NA())</f>
        <v/>
      </c>
      <c r="FQ7">
        <f>IF(s_tp/2+15*s_tp&lt;1000,(h_sl-c_nom-phi_t/2)+(phi_t/2)*0.587785,NA())</f>
        <v/>
      </c>
      <c r="FS7">
        <f>IF(s_b/2+16*s_b&lt;1000,(s_b/2+16*s_b)+(phi_b/2)*-0.809017,NA())</f>
        <v/>
      </c>
      <c r="FT7">
        <f>IF(s_b/2+16*s_b&lt;1000,(c_nom+phi_b/2)+(phi_b/2)*0.587785,NA())</f>
        <v/>
      </c>
      <c r="FV7">
        <f>IF(s_tp/2+16*s_tp&lt;1000,(s_tp/2+16*s_tp)+(phi_t/2)*-0.809017,NA())</f>
        <v/>
      </c>
      <c r="FW7">
        <f>IF(s_tp/2+16*s_tp&lt;1000,(h_sl-c_nom-phi_t/2)+(phi_t/2)*0.587785,NA())</f>
        <v/>
      </c>
      <c r="FY7">
        <f>IF(s_b/2+17*s_b&lt;1000,(s_b/2+17*s_b)+(phi_b/2)*-0.809017,NA())</f>
        <v/>
      </c>
      <c r="FZ7">
        <f>IF(s_b/2+17*s_b&lt;1000,(c_nom+phi_b/2)+(phi_b/2)*0.587785,NA())</f>
        <v/>
      </c>
      <c r="GB7">
        <f>IF(s_tp/2+17*s_tp&lt;1000,(s_tp/2+17*s_tp)+(phi_t/2)*-0.809017,NA())</f>
        <v/>
      </c>
      <c r="GC7">
        <f>IF(s_tp/2+17*s_tp&lt;1000,(h_sl-c_nom-phi_t/2)+(phi_t/2)*0.587785,NA())</f>
        <v/>
      </c>
      <c r="GE7">
        <f>IF(s_b/2+18*s_b&lt;1000,(s_b/2+18*s_b)+(phi_b/2)*-0.809017,NA())</f>
        <v/>
      </c>
      <c r="GF7">
        <f>IF(s_b/2+18*s_b&lt;1000,(c_nom+phi_b/2)+(phi_b/2)*0.587785,NA())</f>
        <v/>
      </c>
      <c r="GH7">
        <f>IF(s_tp/2+18*s_tp&lt;1000,(s_tp/2+18*s_tp)+(phi_t/2)*-0.809017,NA())</f>
        <v/>
      </c>
      <c r="GI7">
        <f>IF(s_tp/2+18*s_tp&lt;1000,(h_sl-c_nom-phi_t/2)+(phi_t/2)*0.587785,NA())</f>
        <v/>
      </c>
      <c r="GK7">
        <f>IF(s_b/2+19*s_b&lt;1000,(s_b/2+19*s_b)+(phi_b/2)*-0.809017,NA())</f>
        <v/>
      </c>
      <c r="GL7">
        <f>IF(s_b/2+19*s_b&lt;1000,(c_nom+phi_b/2)+(phi_b/2)*0.587785,NA())</f>
        <v/>
      </c>
      <c r="GN7">
        <f>IF(s_tp/2+19*s_tp&lt;1000,(s_tp/2+19*s_tp)+(phi_t/2)*-0.809017,NA())</f>
        <v/>
      </c>
      <c r="GO7">
        <f>IF(s_tp/2+19*s_tp&lt;1000,(h_sl-c_nom-phi_t/2)+(phi_t/2)*0.587785,NA())</f>
        <v/>
      </c>
      <c r="GQ7">
        <f>IF(s_b/2+20*s_b&lt;1000,(s_b/2+20*s_b)+(phi_b/2)*-0.809017,NA())</f>
        <v/>
      </c>
      <c r="GR7">
        <f>IF(s_b/2+20*s_b&lt;1000,(c_nom+phi_b/2)+(phi_b/2)*0.587785,NA())</f>
        <v/>
      </c>
      <c r="GT7">
        <f>IF(s_tp/2+20*s_tp&lt;1000,(s_tp/2+20*s_tp)+(phi_t/2)*-0.809017,NA())</f>
        <v/>
      </c>
      <c r="GU7">
        <f>IF(s_tp/2+20*s_tp&lt;1000,(h_sl-c_nom-phi_t/2)+(phi_t/2)*0.587785,NA())</f>
        <v/>
      </c>
      <c r="GW7">
        <f>IF(s_b/2+21*s_b&lt;1000,(s_b/2+21*s_b)+(phi_b/2)*-0.809017,NA())</f>
        <v/>
      </c>
      <c r="GX7">
        <f>IF(s_b/2+21*s_b&lt;1000,(c_nom+phi_b/2)+(phi_b/2)*0.587785,NA())</f>
        <v/>
      </c>
      <c r="GZ7">
        <f>IF(s_tp/2+21*s_tp&lt;1000,(s_tp/2+21*s_tp)+(phi_t/2)*-0.809017,NA())</f>
        <v/>
      </c>
      <c r="HA7">
        <f>IF(s_tp/2+21*s_tp&lt;1000,(h_sl-c_nom-phi_t/2)+(phi_t/2)*0.587785,NA())</f>
        <v/>
      </c>
      <c r="HC7">
        <f>IF(s_b/2+22*s_b&lt;1000,(s_b/2+22*s_b)+(phi_b/2)*-0.809017,NA())</f>
        <v/>
      </c>
      <c r="HD7">
        <f>IF(s_b/2+22*s_b&lt;1000,(c_nom+phi_b/2)+(phi_b/2)*0.587785,NA())</f>
        <v/>
      </c>
      <c r="HF7">
        <f>IF(s_tp/2+22*s_tp&lt;1000,(s_tp/2+22*s_tp)+(phi_t/2)*-0.809017,NA())</f>
        <v/>
      </c>
      <c r="HG7">
        <f>IF(s_tp/2+22*s_tp&lt;1000,(h_sl-c_nom-phi_t/2)+(phi_t/2)*0.587785,NA())</f>
        <v/>
      </c>
      <c r="HI7">
        <f>IF(s_b/2+23*s_b&lt;1000,(s_b/2+23*s_b)+(phi_b/2)*-0.809017,NA())</f>
        <v/>
      </c>
      <c r="HJ7">
        <f>IF(s_b/2+23*s_b&lt;1000,(c_nom+phi_b/2)+(phi_b/2)*0.587785,NA())</f>
        <v/>
      </c>
      <c r="HL7">
        <f>IF(s_tp/2+23*s_tp&lt;1000,(s_tp/2+23*s_tp)+(phi_t/2)*-0.809017,NA())</f>
        <v/>
      </c>
      <c r="HM7">
        <f>IF(s_tp/2+23*s_tp&lt;1000,(h_sl-c_nom-phi_t/2)+(phi_t/2)*0.587785,NA())</f>
        <v/>
      </c>
      <c r="HO7">
        <f>IF(s_b/2+24*s_b&lt;1000,(s_b/2+24*s_b)+(phi_b/2)*-0.809017,NA())</f>
        <v/>
      </c>
      <c r="HP7">
        <f>IF(s_b/2+24*s_b&lt;1000,(c_nom+phi_b/2)+(phi_b/2)*0.587785,NA())</f>
        <v/>
      </c>
      <c r="HR7">
        <f>IF(s_tp/2+24*s_tp&lt;1000,(s_tp/2+24*s_tp)+(phi_t/2)*-0.809017,NA())</f>
        <v/>
      </c>
      <c r="HS7">
        <f>IF(s_tp/2+24*s_tp&lt;1000,(h_sl-c_nom-phi_t/2)+(phi_t/2)*0.587785,NA())</f>
        <v/>
      </c>
      <c r="HU7">
        <f>IF(s_b/2+25*s_b&lt;1000,(s_b/2+25*s_b)+(phi_b/2)*-0.809017,NA())</f>
        <v/>
      </c>
      <c r="HV7">
        <f>IF(s_b/2+25*s_b&lt;1000,(c_nom+phi_b/2)+(phi_b/2)*0.587785,NA())</f>
        <v/>
      </c>
      <c r="HX7">
        <f>IF(s_tp/2+25*s_tp&lt;1000,(s_tp/2+25*s_tp)+(phi_t/2)*-0.809017,NA())</f>
        <v/>
      </c>
      <c r="HY7">
        <f>IF(s_tp/2+25*s_tp&lt;1000,(h_sl-c_nom-phi_t/2)+(phi_t/2)*0.587785,NA())</f>
        <v/>
      </c>
      <c r="IA7">
        <f>IF(s_b/2+26*s_b&lt;1000,(s_b/2+26*s_b)+(phi_b/2)*-0.809017,NA())</f>
        <v/>
      </c>
      <c r="IB7">
        <f>IF(s_b/2+26*s_b&lt;1000,(c_nom+phi_b/2)+(phi_b/2)*0.587785,NA())</f>
        <v/>
      </c>
      <c r="ID7">
        <f>IF(s_tp/2+26*s_tp&lt;1000,(s_tp/2+26*s_tp)+(phi_t/2)*-0.809017,NA())</f>
        <v/>
      </c>
      <c r="IE7">
        <f>IF(s_tp/2+26*s_tp&lt;1000,(h_sl-c_nom-phi_t/2)+(phi_t/2)*0.587785,NA())</f>
        <v/>
      </c>
      <c r="IG7">
        <f>IF(s_b/2+27*s_b&lt;1000,(s_b/2+27*s_b)+(phi_b/2)*-0.809017,NA())</f>
        <v/>
      </c>
      <c r="IH7">
        <f>IF(s_b/2+27*s_b&lt;1000,(c_nom+phi_b/2)+(phi_b/2)*0.587785,NA())</f>
        <v/>
      </c>
      <c r="IJ7">
        <f>IF(s_tp/2+27*s_tp&lt;1000,(s_tp/2+27*s_tp)+(phi_t/2)*-0.809017,NA())</f>
        <v/>
      </c>
      <c r="IK7">
        <f>IF(s_tp/2+27*s_tp&lt;1000,(h_sl-c_nom-phi_t/2)+(phi_t/2)*0.587785,NA())</f>
        <v/>
      </c>
      <c r="IM7">
        <f>IF(s_b/2+28*s_b&lt;1000,(s_b/2+28*s_b)+(phi_b/2)*-0.809017,NA())</f>
        <v/>
      </c>
      <c r="IN7">
        <f>IF(s_b/2+28*s_b&lt;1000,(c_nom+phi_b/2)+(phi_b/2)*0.587785,NA())</f>
        <v/>
      </c>
      <c r="IP7">
        <f>IF(s_tp/2+28*s_tp&lt;1000,(s_tp/2+28*s_tp)+(phi_t/2)*-0.809017,NA())</f>
        <v/>
      </c>
      <c r="IQ7">
        <f>IF(s_tp/2+28*s_tp&lt;1000,(h_sl-c_nom-phi_t/2)+(phi_t/2)*0.587785,NA())</f>
        <v/>
      </c>
      <c r="IS7">
        <f>IF(s_b/2+29*s_b&lt;1000,(s_b/2+29*s_b)+(phi_b/2)*-0.809017,NA())</f>
        <v/>
      </c>
      <c r="IT7">
        <f>IF(s_b/2+29*s_b&lt;1000,(c_nom+phi_b/2)+(phi_b/2)*0.587785,NA())</f>
        <v/>
      </c>
      <c r="IV7">
        <f>IF(s_tp/2+29*s_tp&lt;1000,(s_tp/2+29*s_tp)+(phi_t/2)*-0.809017,NA())</f>
        <v/>
      </c>
      <c r="IW7">
        <f>IF(s_tp/2+29*s_tp&lt;1000,(h_sl-c_nom-phi_t/2)+(phi_t/2)*0.587785,NA())</f>
        <v/>
      </c>
      <c r="IY7">
        <f>IF(s_b/2+30*s_b&lt;1000,(s_b/2+30*s_b)+(phi_b/2)*-0.809017,NA())</f>
        <v/>
      </c>
      <c r="IZ7">
        <f>IF(s_b/2+30*s_b&lt;1000,(c_nom+phi_b/2)+(phi_b/2)*0.587785,NA())</f>
        <v/>
      </c>
      <c r="JB7">
        <f>IF(s_tp/2+30*s_tp&lt;1000,(s_tp/2+30*s_tp)+(phi_t/2)*-0.809017,NA())</f>
        <v/>
      </c>
      <c r="JC7">
        <f>IF(s_tp/2+30*s_tp&lt;1000,(h_sl-c_nom-phi_t/2)+(phi_t/2)*0.587785,NA())</f>
        <v/>
      </c>
      <c r="JE7">
        <f>IF(s_b/2+31*s_b&lt;1000,(s_b/2+31*s_b)+(phi_b/2)*-0.809017,NA())</f>
        <v/>
      </c>
      <c r="JF7">
        <f>IF(s_b/2+31*s_b&lt;1000,(c_nom+phi_b/2)+(phi_b/2)*0.587785,NA())</f>
        <v/>
      </c>
      <c r="JH7">
        <f>IF(s_tp/2+31*s_tp&lt;1000,(s_tp/2+31*s_tp)+(phi_t/2)*-0.809017,NA())</f>
        <v/>
      </c>
      <c r="JI7">
        <f>IF(s_tp/2+31*s_tp&lt;1000,(h_sl-c_nom-phi_t/2)+(phi_t/2)*0.587785,NA())</f>
        <v/>
      </c>
      <c r="JK7">
        <f>IF(s_b/2+32*s_b&lt;1000,(s_b/2+32*s_b)+(phi_b/2)*-0.809017,NA())</f>
        <v/>
      </c>
      <c r="JL7">
        <f>IF(s_b/2+32*s_b&lt;1000,(c_nom+phi_b/2)+(phi_b/2)*0.587785,NA())</f>
        <v/>
      </c>
      <c r="JN7">
        <f>IF(s_tp/2+32*s_tp&lt;1000,(s_tp/2+32*s_tp)+(phi_t/2)*-0.809017,NA())</f>
        <v/>
      </c>
      <c r="JO7">
        <f>IF(s_tp/2+32*s_tp&lt;1000,(h_sl-c_nom-phi_t/2)+(phi_t/2)*0.587785,NA())</f>
        <v/>
      </c>
      <c r="JQ7">
        <f>IF(s_b/2+33*s_b&lt;1000,(s_b/2+33*s_b)+(phi_b/2)*-0.809017,NA())</f>
        <v/>
      </c>
      <c r="JR7">
        <f>IF(s_b/2+33*s_b&lt;1000,(c_nom+phi_b/2)+(phi_b/2)*0.587785,NA())</f>
        <v/>
      </c>
      <c r="JT7">
        <f>IF(s_tp/2+33*s_tp&lt;1000,(s_tp/2+33*s_tp)+(phi_t/2)*-0.809017,NA())</f>
        <v/>
      </c>
      <c r="JU7">
        <f>IF(s_tp/2+33*s_tp&lt;1000,(h_sl-c_nom-phi_t/2)+(phi_t/2)*0.587785,NA())</f>
        <v/>
      </c>
    </row>
    <row r="8">
      <c r="AW8">
        <f>0.166667*L_sl</f>
        <v/>
      </c>
      <c r="AX8">
        <f>(-0.35*L_sl)-(0.22*L_sl/MAX(M_sp,M_su,0.001))*(IF(sys_i=6,-M_lt*0.694444,-M_lt*0.555556+M_sp*0.555556-M_rt*-0.111111))</f>
        <v/>
      </c>
      <c r="CA8">
        <f>IF(s_b/2+0*s_b&lt;1000,(s_b/2+0*s_b)+(phi_b/2)*-1.000000,NA())</f>
        <v/>
      </c>
      <c r="CB8">
        <f>IF(s_b/2+0*s_b&lt;1000,(c_nom+phi_b/2)+(phi_b/2)*0.000000,NA())</f>
        <v/>
      </c>
      <c r="CD8">
        <f>IF(s_tp/2+0*s_tp&lt;1000,(s_tp/2+0*s_tp)+(phi_t/2)*-1.000000,NA())</f>
        <v/>
      </c>
      <c r="CE8">
        <f>IF(s_tp/2+0*s_tp&lt;1000,(h_sl-c_nom-phi_t/2)+(phi_t/2)*0.000000,NA())</f>
        <v/>
      </c>
      <c r="CG8">
        <f>IF(s_b/2+1*s_b&lt;1000,(s_b/2+1*s_b)+(phi_b/2)*-1.000000,NA())</f>
        <v/>
      </c>
      <c r="CH8">
        <f>IF(s_b/2+1*s_b&lt;1000,(c_nom+phi_b/2)+(phi_b/2)*0.000000,NA())</f>
        <v/>
      </c>
      <c r="CJ8">
        <f>IF(s_tp/2+1*s_tp&lt;1000,(s_tp/2+1*s_tp)+(phi_t/2)*-1.000000,NA())</f>
        <v/>
      </c>
      <c r="CK8">
        <f>IF(s_tp/2+1*s_tp&lt;1000,(h_sl-c_nom-phi_t/2)+(phi_t/2)*0.000000,NA())</f>
        <v/>
      </c>
      <c r="CM8">
        <f>IF(s_b/2+2*s_b&lt;1000,(s_b/2+2*s_b)+(phi_b/2)*-1.000000,NA())</f>
        <v/>
      </c>
      <c r="CN8">
        <f>IF(s_b/2+2*s_b&lt;1000,(c_nom+phi_b/2)+(phi_b/2)*0.000000,NA())</f>
        <v/>
      </c>
      <c r="CP8">
        <f>IF(s_tp/2+2*s_tp&lt;1000,(s_tp/2+2*s_tp)+(phi_t/2)*-1.000000,NA())</f>
        <v/>
      </c>
      <c r="CQ8">
        <f>IF(s_tp/2+2*s_tp&lt;1000,(h_sl-c_nom-phi_t/2)+(phi_t/2)*0.000000,NA())</f>
        <v/>
      </c>
      <c r="CS8">
        <f>IF(s_b/2+3*s_b&lt;1000,(s_b/2+3*s_b)+(phi_b/2)*-1.000000,NA())</f>
        <v/>
      </c>
      <c r="CT8">
        <f>IF(s_b/2+3*s_b&lt;1000,(c_nom+phi_b/2)+(phi_b/2)*0.000000,NA())</f>
        <v/>
      </c>
      <c r="CV8">
        <f>IF(s_tp/2+3*s_tp&lt;1000,(s_tp/2+3*s_tp)+(phi_t/2)*-1.000000,NA())</f>
        <v/>
      </c>
      <c r="CW8">
        <f>IF(s_tp/2+3*s_tp&lt;1000,(h_sl-c_nom-phi_t/2)+(phi_t/2)*0.000000,NA())</f>
        <v/>
      </c>
      <c r="CY8">
        <f>IF(s_b/2+4*s_b&lt;1000,(s_b/2+4*s_b)+(phi_b/2)*-1.000000,NA())</f>
        <v/>
      </c>
      <c r="CZ8">
        <f>IF(s_b/2+4*s_b&lt;1000,(c_nom+phi_b/2)+(phi_b/2)*0.000000,NA())</f>
        <v/>
      </c>
      <c r="DB8">
        <f>IF(s_tp/2+4*s_tp&lt;1000,(s_tp/2+4*s_tp)+(phi_t/2)*-1.000000,NA())</f>
        <v/>
      </c>
      <c r="DC8">
        <f>IF(s_tp/2+4*s_tp&lt;1000,(h_sl-c_nom-phi_t/2)+(phi_t/2)*0.000000,NA())</f>
        <v/>
      </c>
      <c r="DE8">
        <f>IF(s_b/2+5*s_b&lt;1000,(s_b/2+5*s_b)+(phi_b/2)*-1.000000,NA())</f>
        <v/>
      </c>
      <c r="DF8">
        <f>IF(s_b/2+5*s_b&lt;1000,(c_nom+phi_b/2)+(phi_b/2)*0.000000,NA())</f>
        <v/>
      </c>
      <c r="DH8">
        <f>IF(s_tp/2+5*s_tp&lt;1000,(s_tp/2+5*s_tp)+(phi_t/2)*-1.000000,NA())</f>
        <v/>
      </c>
      <c r="DI8">
        <f>IF(s_tp/2+5*s_tp&lt;1000,(h_sl-c_nom-phi_t/2)+(phi_t/2)*0.000000,NA())</f>
        <v/>
      </c>
      <c r="DK8">
        <f>IF(s_b/2+6*s_b&lt;1000,(s_b/2+6*s_b)+(phi_b/2)*-1.000000,NA())</f>
        <v/>
      </c>
      <c r="DL8">
        <f>IF(s_b/2+6*s_b&lt;1000,(c_nom+phi_b/2)+(phi_b/2)*0.000000,NA())</f>
        <v/>
      </c>
      <c r="DN8">
        <f>IF(s_tp/2+6*s_tp&lt;1000,(s_tp/2+6*s_tp)+(phi_t/2)*-1.000000,NA())</f>
        <v/>
      </c>
      <c r="DO8">
        <f>IF(s_tp/2+6*s_tp&lt;1000,(h_sl-c_nom-phi_t/2)+(phi_t/2)*0.000000,NA())</f>
        <v/>
      </c>
      <c r="DQ8">
        <f>IF(s_b/2+7*s_b&lt;1000,(s_b/2+7*s_b)+(phi_b/2)*-1.000000,NA())</f>
        <v/>
      </c>
      <c r="DR8">
        <f>IF(s_b/2+7*s_b&lt;1000,(c_nom+phi_b/2)+(phi_b/2)*0.000000,NA())</f>
        <v/>
      </c>
      <c r="DT8">
        <f>IF(s_tp/2+7*s_tp&lt;1000,(s_tp/2+7*s_tp)+(phi_t/2)*-1.000000,NA())</f>
        <v/>
      </c>
      <c r="DU8">
        <f>IF(s_tp/2+7*s_tp&lt;1000,(h_sl-c_nom-phi_t/2)+(phi_t/2)*0.000000,NA())</f>
        <v/>
      </c>
      <c r="DW8">
        <f>IF(s_b/2+8*s_b&lt;1000,(s_b/2+8*s_b)+(phi_b/2)*-1.000000,NA())</f>
        <v/>
      </c>
      <c r="DX8">
        <f>IF(s_b/2+8*s_b&lt;1000,(c_nom+phi_b/2)+(phi_b/2)*0.000000,NA())</f>
        <v/>
      </c>
      <c r="DZ8">
        <f>IF(s_tp/2+8*s_tp&lt;1000,(s_tp/2+8*s_tp)+(phi_t/2)*-1.000000,NA())</f>
        <v/>
      </c>
      <c r="EA8">
        <f>IF(s_tp/2+8*s_tp&lt;1000,(h_sl-c_nom-phi_t/2)+(phi_t/2)*0.000000,NA())</f>
        <v/>
      </c>
      <c r="EC8">
        <f>IF(s_b/2+9*s_b&lt;1000,(s_b/2+9*s_b)+(phi_b/2)*-1.000000,NA())</f>
        <v/>
      </c>
      <c r="ED8">
        <f>IF(s_b/2+9*s_b&lt;1000,(c_nom+phi_b/2)+(phi_b/2)*0.000000,NA())</f>
        <v/>
      </c>
      <c r="EF8">
        <f>IF(s_tp/2+9*s_tp&lt;1000,(s_tp/2+9*s_tp)+(phi_t/2)*-1.000000,NA())</f>
        <v/>
      </c>
      <c r="EG8">
        <f>IF(s_tp/2+9*s_tp&lt;1000,(h_sl-c_nom-phi_t/2)+(phi_t/2)*0.000000,NA())</f>
        <v/>
      </c>
      <c r="EI8">
        <f>IF(s_b/2+10*s_b&lt;1000,(s_b/2+10*s_b)+(phi_b/2)*-1.000000,NA())</f>
        <v/>
      </c>
      <c r="EJ8">
        <f>IF(s_b/2+10*s_b&lt;1000,(c_nom+phi_b/2)+(phi_b/2)*0.000000,NA())</f>
        <v/>
      </c>
      <c r="EL8">
        <f>IF(s_tp/2+10*s_tp&lt;1000,(s_tp/2+10*s_tp)+(phi_t/2)*-1.000000,NA())</f>
        <v/>
      </c>
      <c r="EM8">
        <f>IF(s_tp/2+10*s_tp&lt;1000,(h_sl-c_nom-phi_t/2)+(phi_t/2)*0.000000,NA())</f>
        <v/>
      </c>
      <c r="EO8">
        <f>IF(s_b/2+11*s_b&lt;1000,(s_b/2+11*s_b)+(phi_b/2)*-1.000000,NA())</f>
        <v/>
      </c>
      <c r="EP8">
        <f>IF(s_b/2+11*s_b&lt;1000,(c_nom+phi_b/2)+(phi_b/2)*0.000000,NA())</f>
        <v/>
      </c>
      <c r="ER8">
        <f>IF(s_tp/2+11*s_tp&lt;1000,(s_tp/2+11*s_tp)+(phi_t/2)*-1.000000,NA())</f>
        <v/>
      </c>
      <c r="ES8">
        <f>IF(s_tp/2+11*s_tp&lt;1000,(h_sl-c_nom-phi_t/2)+(phi_t/2)*0.000000,NA())</f>
        <v/>
      </c>
      <c r="EU8">
        <f>IF(s_b/2+12*s_b&lt;1000,(s_b/2+12*s_b)+(phi_b/2)*-1.000000,NA())</f>
        <v/>
      </c>
      <c r="EV8">
        <f>IF(s_b/2+12*s_b&lt;1000,(c_nom+phi_b/2)+(phi_b/2)*0.000000,NA())</f>
        <v/>
      </c>
      <c r="EX8">
        <f>IF(s_tp/2+12*s_tp&lt;1000,(s_tp/2+12*s_tp)+(phi_t/2)*-1.000000,NA())</f>
        <v/>
      </c>
      <c r="EY8">
        <f>IF(s_tp/2+12*s_tp&lt;1000,(h_sl-c_nom-phi_t/2)+(phi_t/2)*0.000000,NA())</f>
        <v/>
      </c>
      <c r="FA8">
        <f>IF(s_b/2+13*s_b&lt;1000,(s_b/2+13*s_b)+(phi_b/2)*-1.000000,NA())</f>
        <v/>
      </c>
      <c r="FB8">
        <f>IF(s_b/2+13*s_b&lt;1000,(c_nom+phi_b/2)+(phi_b/2)*0.000000,NA())</f>
        <v/>
      </c>
      <c r="FD8">
        <f>IF(s_tp/2+13*s_tp&lt;1000,(s_tp/2+13*s_tp)+(phi_t/2)*-1.000000,NA())</f>
        <v/>
      </c>
      <c r="FE8">
        <f>IF(s_tp/2+13*s_tp&lt;1000,(h_sl-c_nom-phi_t/2)+(phi_t/2)*0.000000,NA())</f>
        <v/>
      </c>
      <c r="FG8">
        <f>IF(s_b/2+14*s_b&lt;1000,(s_b/2+14*s_b)+(phi_b/2)*-1.000000,NA())</f>
        <v/>
      </c>
      <c r="FH8">
        <f>IF(s_b/2+14*s_b&lt;1000,(c_nom+phi_b/2)+(phi_b/2)*0.000000,NA())</f>
        <v/>
      </c>
      <c r="FJ8">
        <f>IF(s_tp/2+14*s_tp&lt;1000,(s_tp/2+14*s_tp)+(phi_t/2)*-1.000000,NA())</f>
        <v/>
      </c>
      <c r="FK8">
        <f>IF(s_tp/2+14*s_tp&lt;1000,(h_sl-c_nom-phi_t/2)+(phi_t/2)*0.000000,NA())</f>
        <v/>
      </c>
      <c r="FM8">
        <f>IF(s_b/2+15*s_b&lt;1000,(s_b/2+15*s_b)+(phi_b/2)*-1.000000,NA())</f>
        <v/>
      </c>
      <c r="FN8">
        <f>IF(s_b/2+15*s_b&lt;1000,(c_nom+phi_b/2)+(phi_b/2)*0.000000,NA())</f>
        <v/>
      </c>
      <c r="FP8">
        <f>IF(s_tp/2+15*s_tp&lt;1000,(s_tp/2+15*s_tp)+(phi_t/2)*-1.000000,NA())</f>
        <v/>
      </c>
      <c r="FQ8">
        <f>IF(s_tp/2+15*s_tp&lt;1000,(h_sl-c_nom-phi_t/2)+(phi_t/2)*0.000000,NA())</f>
        <v/>
      </c>
      <c r="FS8">
        <f>IF(s_b/2+16*s_b&lt;1000,(s_b/2+16*s_b)+(phi_b/2)*-1.000000,NA())</f>
        <v/>
      </c>
      <c r="FT8">
        <f>IF(s_b/2+16*s_b&lt;1000,(c_nom+phi_b/2)+(phi_b/2)*0.000000,NA())</f>
        <v/>
      </c>
      <c r="FV8">
        <f>IF(s_tp/2+16*s_tp&lt;1000,(s_tp/2+16*s_tp)+(phi_t/2)*-1.000000,NA())</f>
        <v/>
      </c>
      <c r="FW8">
        <f>IF(s_tp/2+16*s_tp&lt;1000,(h_sl-c_nom-phi_t/2)+(phi_t/2)*0.000000,NA())</f>
        <v/>
      </c>
      <c r="FY8">
        <f>IF(s_b/2+17*s_b&lt;1000,(s_b/2+17*s_b)+(phi_b/2)*-1.000000,NA())</f>
        <v/>
      </c>
      <c r="FZ8">
        <f>IF(s_b/2+17*s_b&lt;1000,(c_nom+phi_b/2)+(phi_b/2)*0.000000,NA())</f>
        <v/>
      </c>
      <c r="GB8">
        <f>IF(s_tp/2+17*s_tp&lt;1000,(s_tp/2+17*s_tp)+(phi_t/2)*-1.000000,NA())</f>
        <v/>
      </c>
      <c r="GC8">
        <f>IF(s_tp/2+17*s_tp&lt;1000,(h_sl-c_nom-phi_t/2)+(phi_t/2)*0.000000,NA())</f>
        <v/>
      </c>
      <c r="GE8">
        <f>IF(s_b/2+18*s_b&lt;1000,(s_b/2+18*s_b)+(phi_b/2)*-1.000000,NA())</f>
        <v/>
      </c>
      <c r="GF8">
        <f>IF(s_b/2+18*s_b&lt;1000,(c_nom+phi_b/2)+(phi_b/2)*0.000000,NA())</f>
        <v/>
      </c>
      <c r="GH8">
        <f>IF(s_tp/2+18*s_tp&lt;1000,(s_tp/2+18*s_tp)+(phi_t/2)*-1.000000,NA())</f>
        <v/>
      </c>
      <c r="GI8">
        <f>IF(s_tp/2+18*s_tp&lt;1000,(h_sl-c_nom-phi_t/2)+(phi_t/2)*0.000000,NA())</f>
        <v/>
      </c>
      <c r="GK8">
        <f>IF(s_b/2+19*s_b&lt;1000,(s_b/2+19*s_b)+(phi_b/2)*-1.000000,NA())</f>
        <v/>
      </c>
      <c r="GL8">
        <f>IF(s_b/2+19*s_b&lt;1000,(c_nom+phi_b/2)+(phi_b/2)*0.000000,NA())</f>
        <v/>
      </c>
      <c r="GN8">
        <f>IF(s_tp/2+19*s_tp&lt;1000,(s_tp/2+19*s_tp)+(phi_t/2)*-1.000000,NA())</f>
        <v/>
      </c>
      <c r="GO8">
        <f>IF(s_tp/2+19*s_tp&lt;1000,(h_sl-c_nom-phi_t/2)+(phi_t/2)*0.000000,NA())</f>
        <v/>
      </c>
      <c r="GQ8">
        <f>IF(s_b/2+20*s_b&lt;1000,(s_b/2+20*s_b)+(phi_b/2)*-1.000000,NA())</f>
        <v/>
      </c>
      <c r="GR8">
        <f>IF(s_b/2+20*s_b&lt;1000,(c_nom+phi_b/2)+(phi_b/2)*0.000000,NA())</f>
        <v/>
      </c>
      <c r="GT8">
        <f>IF(s_tp/2+20*s_tp&lt;1000,(s_tp/2+20*s_tp)+(phi_t/2)*-1.000000,NA())</f>
        <v/>
      </c>
      <c r="GU8">
        <f>IF(s_tp/2+20*s_tp&lt;1000,(h_sl-c_nom-phi_t/2)+(phi_t/2)*0.000000,NA())</f>
        <v/>
      </c>
      <c r="GW8">
        <f>IF(s_b/2+21*s_b&lt;1000,(s_b/2+21*s_b)+(phi_b/2)*-1.000000,NA())</f>
        <v/>
      </c>
      <c r="GX8">
        <f>IF(s_b/2+21*s_b&lt;1000,(c_nom+phi_b/2)+(phi_b/2)*0.000000,NA())</f>
        <v/>
      </c>
      <c r="GZ8">
        <f>IF(s_tp/2+21*s_tp&lt;1000,(s_tp/2+21*s_tp)+(phi_t/2)*-1.000000,NA())</f>
        <v/>
      </c>
      <c r="HA8">
        <f>IF(s_tp/2+21*s_tp&lt;1000,(h_sl-c_nom-phi_t/2)+(phi_t/2)*0.000000,NA())</f>
        <v/>
      </c>
      <c r="HC8">
        <f>IF(s_b/2+22*s_b&lt;1000,(s_b/2+22*s_b)+(phi_b/2)*-1.000000,NA())</f>
        <v/>
      </c>
      <c r="HD8">
        <f>IF(s_b/2+22*s_b&lt;1000,(c_nom+phi_b/2)+(phi_b/2)*0.000000,NA())</f>
        <v/>
      </c>
      <c r="HF8">
        <f>IF(s_tp/2+22*s_tp&lt;1000,(s_tp/2+22*s_tp)+(phi_t/2)*-1.000000,NA())</f>
        <v/>
      </c>
      <c r="HG8">
        <f>IF(s_tp/2+22*s_tp&lt;1000,(h_sl-c_nom-phi_t/2)+(phi_t/2)*0.000000,NA())</f>
        <v/>
      </c>
      <c r="HI8">
        <f>IF(s_b/2+23*s_b&lt;1000,(s_b/2+23*s_b)+(phi_b/2)*-1.000000,NA())</f>
        <v/>
      </c>
      <c r="HJ8">
        <f>IF(s_b/2+23*s_b&lt;1000,(c_nom+phi_b/2)+(phi_b/2)*0.000000,NA())</f>
        <v/>
      </c>
      <c r="HL8">
        <f>IF(s_tp/2+23*s_tp&lt;1000,(s_tp/2+23*s_tp)+(phi_t/2)*-1.000000,NA())</f>
        <v/>
      </c>
      <c r="HM8">
        <f>IF(s_tp/2+23*s_tp&lt;1000,(h_sl-c_nom-phi_t/2)+(phi_t/2)*0.000000,NA())</f>
        <v/>
      </c>
      <c r="HO8">
        <f>IF(s_b/2+24*s_b&lt;1000,(s_b/2+24*s_b)+(phi_b/2)*-1.000000,NA())</f>
        <v/>
      </c>
      <c r="HP8">
        <f>IF(s_b/2+24*s_b&lt;1000,(c_nom+phi_b/2)+(phi_b/2)*0.000000,NA())</f>
        <v/>
      </c>
      <c r="HR8">
        <f>IF(s_tp/2+24*s_tp&lt;1000,(s_tp/2+24*s_tp)+(phi_t/2)*-1.000000,NA())</f>
        <v/>
      </c>
      <c r="HS8">
        <f>IF(s_tp/2+24*s_tp&lt;1000,(h_sl-c_nom-phi_t/2)+(phi_t/2)*0.000000,NA())</f>
        <v/>
      </c>
      <c r="HU8">
        <f>IF(s_b/2+25*s_b&lt;1000,(s_b/2+25*s_b)+(phi_b/2)*-1.000000,NA())</f>
        <v/>
      </c>
      <c r="HV8">
        <f>IF(s_b/2+25*s_b&lt;1000,(c_nom+phi_b/2)+(phi_b/2)*0.000000,NA())</f>
        <v/>
      </c>
      <c r="HX8">
        <f>IF(s_tp/2+25*s_tp&lt;1000,(s_tp/2+25*s_tp)+(phi_t/2)*-1.000000,NA())</f>
        <v/>
      </c>
      <c r="HY8">
        <f>IF(s_tp/2+25*s_tp&lt;1000,(h_sl-c_nom-phi_t/2)+(phi_t/2)*0.000000,NA())</f>
        <v/>
      </c>
      <c r="IA8">
        <f>IF(s_b/2+26*s_b&lt;1000,(s_b/2+26*s_b)+(phi_b/2)*-1.000000,NA())</f>
        <v/>
      </c>
      <c r="IB8">
        <f>IF(s_b/2+26*s_b&lt;1000,(c_nom+phi_b/2)+(phi_b/2)*0.000000,NA())</f>
        <v/>
      </c>
      <c r="ID8">
        <f>IF(s_tp/2+26*s_tp&lt;1000,(s_tp/2+26*s_tp)+(phi_t/2)*-1.000000,NA())</f>
        <v/>
      </c>
      <c r="IE8">
        <f>IF(s_tp/2+26*s_tp&lt;1000,(h_sl-c_nom-phi_t/2)+(phi_t/2)*0.000000,NA())</f>
        <v/>
      </c>
      <c r="IG8">
        <f>IF(s_b/2+27*s_b&lt;1000,(s_b/2+27*s_b)+(phi_b/2)*-1.000000,NA())</f>
        <v/>
      </c>
      <c r="IH8">
        <f>IF(s_b/2+27*s_b&lt;1000,(c_nom+phi_b/2)+(phi_b/2)*0.000000,NA())</f>
        <v/>
      </c>
      <c r="IJ8">
        <f>IF(s_tp/2+27*s_tp&lt;1000,(s_tp/2+27*s_tp)+(phi_t/2)*-1.000000,NA())</f>
        <v/>
      </c>
      <c r="IK8">
        <f>IF(s_tp/2+27*s_tp&lt;1000,(h_sl-c_nom-phi_t/2)+(phi_t/2)*0.000000,NA())</f>
        <v/>
      </c>
      <c r="IM8">
        <f>IF(s_b/2+28*s_b&lt;1000,(s_b/2+28*s_b)+(phi_b/2)*-1.000000,NA())</f>
        <v/>
      </c>
      <c r="IN8">
        <f>IF(s_b/2+28*s_b&lt;1000,(c_nom+phi_b/2)+(phi_b/2)*0.000000,NA())</f>
        <v/>
      </c>
      <c r="IP8">
        <f>IF(s_tp/2+28*s_tp&lt;1000,(s_tp/2+28*s_tp)+(phi_t/2)*-1.000000,NA())</f>
        <v/>
      </c>
      <c r="IQ8">
        <f>IF(s_tp/2+28*s_tp&lt;1000,(h_sl-c_nom-phi_t/2)+(phi_t/2)*0.000000,NA())</f>
        <v/>
      </c>
      <c r="IS8">
        <f>IF(s_b/2+29*s_b&lt;1000,(s_b/2+29*s_b)+(phi_b/2)*-1.000000,NA())</f>
        <v/>
      </c>
      <c r="IT8">
        <f>IF(s_b/2+29*s_b&lt;1000,(c_nom+phi_b/2)+(phi_b/2)*0.000000,NA())</f>
        <v/>
      </c>
      <c r="IV8">
        <f>IF(s_tp/2+29*s_tp&lt;1000,(s_tp/2+29*s_tp)+(phi_t/2)*-1.000000,NA())</f>
        <v/>
      </c>
      <c r="IW8">
        <f>IF(s_tp/2+29*s_tp&lt;1000,(h_sl-c_nom-phi_t/2)+(phi_t/2)*0.000000,NA())</f>
        <v/>
      </c>
      <c r="IY8">
        <f>IF(s_b/2+30*s_b&lt;1000,(s_b/2+30*s_b)+(phi_b/2)*-1.000000,NA())</f>
        <v/>
      </c>
      <c r="IZ8">
        <f>IF(s_b/2+30*s_b&lt;1000,(c_nom+phi_b/2)+(phi_b/2)*0.000000,NA())</f>
        <v/>
      </c>
      <c r="JB8">
        <f>IF(s_tp/2+30*s_tp&lt;1000,(s_tp/2+30*s_tp)+(phi_t/2)*-1.000000,NA())</f>
        <v/>
      </c>
      <c r="JC8">
        <f>IF(s_tp/2+30*s_tp&lt;1000,(h_sl-c_nom-phi_t/2)+(phi_t/2)*0.000000,NA())</f>
        <v/>
      </c>
      <c r="JE8">
        <f>IF(s_b/2+31*s_b&lt;1000,(s_b/2+31*s_b)+(phi_b/2)*-1.000000,NA())</f>
        <v/>
      </c>
      <c r="JF8">
        <f>IF(s_b/2+31*s_b&lt;1000,(c_nom+phi_b/2)+(phi_b/2)*0.000000,NA())</f>
        <v/>
      </c>
      <c r="JH8">
        <f>IF(s_tp/2+31*s_tp&lt;1000,(s_tp/2+31*s_tp)+(phi_t/2)*-1.000000,NA())</f>
        <v/>
      </c>
      <c r="JI8">
        <f>IF(s_tp/2+31*s_tp&lt;1000,(h_sl-c_nom-phi_t/2)+(phi_t/2)*0.000000,NA())</f>
        <v/>
      </c>
      <c r="JK8">
        <f>IF(s_b/2+32*s_b&lt;1000,(s_b/2+32*s_b)+(phi_b/2)*-1.000000,NA())</f>
        <v/>
      </c>
      <c r="JL8">
        <f>IF(s_b/2+32*s_b&lt;1000,(c_nom+phi_b/2)+(phi_b/2)*0.000000,NA())</f>
        <v/>
      </c>
      <c r="JN8">
        <f>IF(s_tp/2+32*s_tp&lt;1000,(s_tp/2+32*s_tp)+(phi_t/2)*-1.000000,NA())</f>
        <v/>
      </c>
      <c r="JO8">
        <f>IF(s_tp/2+32*s_tp&lt;1000,(h_sl-c_nom-phi_t/2)+(phi_t/2)*0.000000,NA())</f>
        <v/>
      </c>
      <c r="JQ8">
        <f>IF(s_b/2+33*s_b&lt;1000,(s_b/2+33*s_b)+(phi_b/2)*-1.000000,NA())</f>
        <v/>
      </c>
      <c r="JR8">
        <f>IF(s_b/2+33*s_b&lt;1000,(c_nom+phi_b/2)+(phi_b/2)*0.000000,NA())</f>
        <v/>
      </c>
      <c r="JT8">
        <f>IF(s_tp/2+33*s_tp&lt;1000,(s_tp/2+33*s_tp)+(phi_t/2)*-1.000000,NA())</f>
        <v/>
      </c>
      <c r="JU8">
        <f>IF(s_tp/2+33*s_tp&lt;1000,(h_sl-c_nom-phi_t/2)+(phi_t/2)*0.000000,NA())</f>
        <v/>
      </c>
    </row>
    <row r="9">
      <c r="AW9">
        <f>0.208333*L_sl</f>
        <v/>
      </c>
      <c r="AX9">
        <f>(-0.35*L_sl)-(0.22*L_sl/MAX(M_sp,M_su,0.001))*(IF(sys_i=6,-M_lt*0.626736,-M_lt*0.461806+M_sp*0.659722-M_rt*-0.121528))</f>
        <v/>
      </c>
      <c r="CA9">
        <f>IF(s_b/2+0*s_b&lt;1000,(s_b/2+0*s_b)+(phi_b/2)*-0.809017,NA())</f>
        <v/>
      </c>
      <c r="CB9">
        <f>IF(s_b/2+0*s_b&lt;1000,(c_nom+phi_b/2)+(phi_b/2)*-0.587785,NA())</f>
        <v/>
      </c>
      <c r="CD9">
        <f>IF(s_tp/2+0*s_tp&lt;1000,(s_tp/2+0*s_tp)+(phi_t/2)*-0.809017,NA())</f>
        <v/>
      </c>
      <c r="CE9">
        <f>IF(s_tp/2+0*s_tp&lt;1000,(h_sl-c_nom-phi_t/2)+(phi_t/2)*-0.587785,NA())</f>
        <v/>
      </c>
      <c r="CG9">
        <f>IF(s_b/2+1*s_b&lt;1000,(s_b/2+1*s_b)+(phi_b/2)*-0.809017,NA())</f>
        <v/>
      </c>
      <c r="CH9">
        <f>IF(s_b/2+1*s_b&lt;1000,(c_nom+phi_b/2)+(phi_b/2)*-0.587785,NA())</f>
        <v/>
      </c>
      <c r="CJ9">
        <f>IF(s_tp/2+1*s_tp&lt;1000,(s_tp/2+1*s_tp)+(phi_t/2)*-0.809017,NA())</f>
        <v/>
      </c>
      <c r="CK9">
        <f>IF(s_tp/2+1*s_tp&lt;1000,(h_sl-c_nom-phi_t/2)+(phi_t/2)*-0.587785,NA())</f>
        <v/>
      </c>
      <c r="CM9">
        <f>IF(s_b/2+2*s_b&lt;1000,(s_b/2+2*s_b)+(phi_b/2)*-0.809017,NA())</f>
        <v/>
      </c>
      <c r="CN9">
        <f>IF(s_b/2+2*s_b&lt;1000,(c_nom+phi_b/2)+(phi_b/2)*-0.587785,NA())</f>
        <v/>
      </c>
      <c r="CP9">
        <f>IF(s_tp/2+2*s_tp&lt;1000,(s_tp/2+2*s_tp)+(phi_t/2)*-0.809017,NA())</f>
        <v/>
      </c>
      <c r="CQ9">
        <f>IF(s_tp/2+2*s_tp&lt;1000,(h_sl-c_nom-phi_t/2)+(phi_t/2)*-0.587785,NA())</f>
        <v/>
      </c>
      <c r="CS9">
        <f>IF(s_b/2+3*s_b&lt;1000,(s_b/2+3*s_b)+(phi_b/2)*-0.809017,NA())</f>
        <v/>
      </c>
      <c r="CT9">
        <f>IF(s_b/2+3*s_b&lt;1000,(c_nom+phi_b/2)+(phi_b/2)*-0.587785,NA())</f>
        <v/>
      </c>
      <c r="CV9">
        <f>IF(s_tp/2+3*s_tp&lt;1000,(s_tp/2+3*s_tp)+(phi_t/2)*-0.809017,NA())</f>
        <v/>
      </c>
      <c r="CW9">
        <f>IF(s_tp/2+3*s_tp&lt;1000,(h_sl-c_nom-phi_t/2)+(phi_t/2)*-0.587785,NA())</f>
        <v/>
      </c>
      <c r="CY9">
        <f>IF(s_b/2+4*s_b&lt;1000,(s_b/2+4*s_b)+(phi_b/2)*-0.809017,NA())</f>
        <v/>
      </c>
      <c r="CZ9">
        <f>IF(s_b/2+4*s_b&lt;1000,(c_nom+phi_b/2)+(phi_b/2)*-0.587785,NA())</f>
        <v/>
      </c>
      <c r="DB9">
        <f>IF(s_tp/2+4*s_tp&lt;1000,(s_tp/2+4*s_tp)+(phi_t/2)*-0.809017,NA())</f>
        <v/>
      </c>
      <c r="DC9">
        <f>IF(s_tp/2+4*s_tp&lt;1000,(h_sl-c_nom-phi_t/2)+(phi_t/2)*-0.587785,NA())</f>
        <v/>
      </c>
      <c r="DE9">
        <f>IF(s_b/2+5*s_b&lt;1000,(s_b/2+5*s_b)+(phi_b/2)*-0.809017,NA())</f>
        <v/>
      </c>
      <c r="DF9">
        <f>IF(s_b/2+5*s_b&lt;1000,(c_nom+phi_b/2)+(phi_b/2)*-0.587785,NA())</f>
        <v/>
      </c>
      <c r="DH9">
        <f>IF(s_tp/2+5*s_tp&lt;1000,(s_tp/2+5*s_tp)+(phi_t/2)*-0.809017,NA())</f>
        <v/>
      </c>
      <c r="DI9">
        <f>IF(s_tp/2+5*s_tp&lt;1000,(h_sl-c_nom-phi_t/2)+(phi_t/2)*-0.587785,NA())</f>
        <v/>
      </c>
      <c r="DK9">
        <f>IF(s_b/2+6*s_b&lt;1000,(s_b/2+6*s_b)+(phi_b/2)*-0.809017,NA())</f>
        <v/>
      </c>
      <c r="DL9">
        <f>IF(s_b/2+6*s_b&lt;1000,(c_nom+phi_b/2)+(phi_b/2)*-0.587785,NA())</f>
        <v/>
      </c>
      <c r="DN9">
        <f>IF(s_tp/2+6*s_tp&lt;1000,(s_tp/2+6*s_tp)+(phi_t/2)*-0.809017,NA())</f>
        <v/>
      </c>
      <c r="DO9">
        <f>IF(s_tp/2+6*s_tp&lt;1000,(h_sl-c_nom-phi_t/2)+(phi_t/2)*-0.587785,NA())</f>
        <v/>
      </c>
      <c r="DQ9">
        <f>IF(s_b/2+7*s_b&lt;1000,(s_b/2+7*s_b)+(phi_b/2)*-0.809017,NA())</f>
        <v/>
      </c>
      <c r="DR9">
        <f>IF(s_b/2+7*s_b&lt;1000,(c_nom+phi_b/2)+(phi_b/2)*-0.587785,NA())</f>
        <v/>
      </c>
      <c r="DT9">
        <f>IF(s_tp/2+7*s_tp&lt;1000,(s_tp/2+7*s_tp)+(phi_t/2)*-0.809017,NA())</f>
        <v/>
      </c>
      <c r="DU9">
        <f>IF(s_tp/2+7*s_tp&lt;1000,(h_sl-c_nom-phi_t/2)+(phi_t/2)*-0.587785,NA())</f>
        <v/>
      </c>
      <c r="DW9">
        <f>IF(s_b/2+8*s_b&lt;1000,(s_b/2+8*s_b)+(phi_b/2)*-0.809017,NA())</f>
        <v/>
      </c>
      <c r="DX9">
        <f>IF(s_b/2+8*s_b&lt;1000,(c_nom+phi_b/2)+(phi_b/2)*-0.587785,NA())</f>
        <v/>
      </c>
      <c r="DZ9">
        <f>IF(s_tp/2+8*s_tp&lt;1000,(s_tp/2+8*s_tp)+(phi_t/2)*-0.809017,NA())</f>
        <v/>
      </c>
      <c r="EA9">
        <f>IF(s_tp/2+8*s_tp&lt;1000,(h_sl-c_nom-phi_t/2)+(phi_t/2)*-0.587785,NA())</f>
        <v/>
      </c>
      <c r="EC9">
        <f>IF(s_b/2+9*s_b&lt;1000,(s_b/2+9*s_b)+(phi_b/2)*-0.809017,NA())</f>
        <v/>
      </c>
      <c r="ED9">
        <f>IF(s_b/2+9*s_b&lt;1000,(c_nom+phi_b/2)+(phi_b/2)*-0.587785,NA())</f>
        <v/>
      </c>
      <c r="EF9">
        <f>IF(s_tp/2+9*s_tp&lt;1000,(s_tp/2+9*s_tp)+(phi_t/2)*-0.809017,NA())</f>
        <v/>
      </c>
      <c r="EG9">
        <f>IF(s_tp/2+9*s_tp&lt;1000,(h_sl-c_nom-phi_t/2)+(phi_t/2)*-0.587785,NA())</f>
        <v/>
      </c>
      <c r="EI9">
        <f>IF(s_b/2+10*s_b&lt;1000,(s_b/2+10*s_b)+(phi_b/2)*-0.809017,NA())</f>
        <v/>
      </c>
      <c r="EJ9">
        <f>IF(s_b/2+10*s_b&lt;1000,(c_nom+phi_b/2)+(phi_b/2)*-0.587785,NA())</f>
        <v/>
      </c>
      <c r="EL9">
        <f>IF(s_tp/2+10*s_tp&lt;1000,(s_tp/2+10*s_tp)+(phi_t/2)*-0.809017,NA())</f>
        <v/>
      </c>
      <c r="EM9">
        <f>IF(s_tp/2+10*s_tp&lt;1000,(h_sl-c_nom-phi_t/2)+(phi_t/2)*-0.587785,NA())</f>
        <v/>
      </c>
      <c r="EO9">
        <f>IF(s_b/2+11*s_b&lt;1000,(s_b/2+11*s_b)+(phi_b/2)*-0.809017,NA())</f>
        <v/>
      </c>
      <c r="EP9">
        <f>IF(s_b/2+11*s_b&lt;1000,(c_nom+phi_b/2)+(phi_b/2)*-0.587785,NA())</f>
        <v/>
      </c>
      <c r="ER9">
        <f>IF(s_tp/2+11*s_tp&lt;1000,(s_tp/2+11*s_tp)+(phi_t/2)*-0.809017,NA())</f>
        <v/>
      </c>
      <c r="ES9">
        <f>IF(s_tp/2+11*s_tp&lt;1000,(h_sl-c_nom-phi_t/2)+(phi_t/2)*-0.587785,NA())</f>
        <v/>
      </c>
      <c r="EU9">
        <f>IF(s_b/2+12*s_b&lt;1000,(s_b/2+12*s_b)+(phi_b/2)*-0.809017,NA())</f>
        <v/>
      </c>
      <c r="EV9">
        <f>IF(s_b/2+12*s_b&lt;1000,(c_nom+phi_b/2)+(phi_b/2)*-0.587785,NA())</f>
        <v/>
      </c>
      <c r="EX9">
        <f>IF(s_tp/2+12*s_tp&lt;1000,(s_tp/2+12*s_tp)+(phi_t/2)*-0.809017,NA())</f>
        <v/>
      </c>
      <c r="EY9">
        <f>IF(s_tp/2+12*s_tp&lt;1000,(h_sl-c_nom-phi_t/2)+(phi_t/2)*-0.587785,NA())</f>
        <v/>
      </c>
      <c r="FA9">
        <f>IF(s_b/2+13*s_b&lt;1000,(s_b/2+13*s_b)+(phi_b/2)*-0.809017,NA())</f>
        <v/>
      </c>
      <c r="FB9">
        <f>IF(s_b/2+13*s_b&lt;1000,(c_nom+phi_b/2)+(phi_b/2)*-0.587785,NA())</f>
        <v/>
      </c>
      <c r="FD9">
        <f>IF(s_tp/2+13*s_tp&lt;1000,(s_tp/2+13*s_tp)+(phi_t/2)*-0.809017,NA())</f>
        <v/>
      </c>
      <c r="FE9">
        <f>IF(s_tp/2+13*s_tp&lt;1000,(h_sl-c_nom-phi_t/2)+(phi_t/2)*-0.587785,NA())</f>
        <v/>
      </c>
      <c r="FG9">
        <f>IF(s_b/2+14*s_b&lt;1000,(s_b/2+14*s_b)+(phi_b/2)*-0.809017,NA())</f>
        <v/>
      </c>
      <c r="FH9">
        <f>IF(s_b/2+14*s_b&lt;1000,(c_nom+phi_b/2)+(phi_b/2)*-0.587785,NA())</f>
        <v/>
      </c>
      <c r="FJ9">
        <f>IF(s_tp/2+14*s_tp&lt;1000,(s_tp/2+14*s_tp)+(phi_t/2)*-0.809017,NA())</f>
        <v/>
      </c>
      <c r="FK9">
        <f>IF(s_tp/2+14*s_tp&lt;1000,(h_sl-c_nom-phi_t/2)+(phi_t/2)*-0.587785,NA())</f>
        <v/>
      </c>
      <c r="FM9">
        <f>IF(s_b/2+15*s_b&lt;1000,(s_b/2+15*s_b)+(phi_b/2)*-0.809017,NA())</f>
        <v/>
      </c>
      <c r="FN9">
        <f>IF(s_b/2+15*s_b&lt;1000,(c_nom+phi_b/2)+(phi_b/2)*-0.587785,NA())</f>
        <v/>
      </c>
      <c r="FP9">
        <f>IF(s_tp/2+15*s_tp&lt;1000,(s_tp/2+15*s_tp)+(phi_t/2)*-0.809017,NA())</f>
        <v/>
      </c>
      <c r="FQ9">
        <f>IF(s_tp/2+15*s_tp&lt;1000,(h_sl-c_nom-phi_t/2)+(phi_t/2)*-0.587785,NA())</f>
        <v/>
      </c>
      <c r="FS9">
        <f>IF(s_b/2+16*s_b&lt;1000,(s_b/2+16*s_b)+(phi_b/2)*-0.809017,NA())</f>
        <v/>
      </c>
      <c r="FT9">
        <f>IF(s_b/2+16*s_b&lt;1000,(c_nom+phi_b/2)+(phi_b/2)*-0.587785,NA())</f>
        <v/>
      </c>
      <c r="FV9">
        <f>IF(s_tp/2+16*s_tp&lt;1000,(s_tp/2+16*s_tp)+(phi_t/2)*-0.809017,NA())</f>
        <v/>
      </c>
      <c r="FW9">
        <f>IF(s_tp/2+16*s_tp&lt;1000,(h_sl-c_nom-phi_t/2)+(phi_t/2)*-0.587785,NA())</f>
        <v/>
      </c>
      <c r="FY9">
        <f>IF(s_b/2+17*s_b&lt;1000,(s_b/2+17*s_b)+(phi_b/2)*-0.809017,NA())</f>
        <v/>
      </c>
      <c r="FZ9">
        <f>IF(s_b/2+17*s_b&lt;1000,(c_nom+phi_b/2)+(phi_b/2)*-0.587785,NA())</f>
        <v/>
      </c>
      <c r="GB9">
        <f>IF(s_tp/2+17*s_tp&lt;1000,(s_tp/2+17*s_tp)+(phi_t/2)*-0.809017,NA())</f>
        <v/>
      </c>
      <c r="GC9">
        <f>IF(s_tp/2+17*s_tp&lt;1000,(h_sl-c_nom-phi_t/2)+(phi_t/2)*-0.587785,NA())</f>
        <v/>
      </c>
      <c r="GE9">
        <f>IF(s_b/2+18*s_b&lt;1000,(s_b/2+18*s_b)+(phi_b/2)*-0.809017,NA())</f>
        <v/>
      </c>
      <c r="GF9">
        <f>IF(s_b/2+18*s_b&lt;1000,(c_nom+phi_b/2)+(phi_b/2)*-0.587785,NA())</f>
        <v/>
      </c>
      <c r="GH9">
        <f>IF(s_tp/2+18*s_tp&lt;1000,(s_tp/2+18*s_tp)+(phi_t/2)*-0.809017,NA())</f>
        <v/>
      </c>
      <c r="GI9">
        <f>IF(s_tp/2+18*s_tp&lt;1000,(h_sl-c_nom-phi_t/2)+(phi_t/2)*-0.587785,NA())</f>
        <v/>
      </c>
      <c r="GK9">
        <f>IF(s_b/2+19*s_b&lt;1000,(s_b/2+19*s_b)+(phi_b/2)*-0.809017,NA())</f>
        <v/>
      </c>
      <c r="GL9">
        <f>IF(s_b/2+19*s_b&lt;1000,(c_nom+phi_b/2)+(phi_b/2)*-0.587785,NA())</f>
        <v/>
      </c>
      <c r="GN9">
        <f>IF(s_tp/2+19*s_tp&lt;1000,(s_tp/2+19*s_tp)+(phi_t/2)*-0.809017,NA())</f>
        <v/>
      </c>
      <c r="GO9">
        <f>IF(s_tp/2+19*s_tp&lt;1000,(h_sl-c_nom-phi_t/2)+(phi_t/2)*-0.587785,NA())</f>
        <v/>
      </c>
      <c r="GQ9">
        <f>IF(s_b/2+20*s_b&lt;1000,(s_b/2+20*s_b)+(phi_b/2)*-0.809017,NA())</f>
        <v/>
      </c>
      <c r="GR9">
        <f>IF(s_b/2+20*s_b&lt;1000,(c_nom+phi_b/2)+(phi_b/2)*-0.587785,NA())</f>
        <v/>
      </c>
      <c r="GT9">
        <f>IF(s_tp/2+20*s_tp&lt;1000,(s_tp/2+20*s_tp)+(phi_t/2)*-0.809017,NA())</f>
        <v/>
      </c>
      <c r="GU9">
        <f>IF(s_tp/2+20*s_tp&lt;1000,(h_sl-c_nom-phi_t/2)+(phi_t/2)*-0.587785,NA())</f>
        <v/>
      </c>
      <c r="GW9">
        <f>IF(s_b/2+21*s_b&lt;1000,(s_b/2+21*s_b)+(phi_b/2)*-0.809017,NA())</f>
        <v/>
      </c>
      <c r="GX9">
        <f>IF(s_b/2+21*s_b&lt;1000,(c_nom+phi_b/2)+(phi_b/2)*-0.587785,NA())</f>
        <v/>
      </c>
      <c r="GZ9">
        <f>IF(s_tp/2+21*s_tp&lt;1000,(s_tp/2+21*s_tp)+(phi_t/2)*-0.809017,NA())</f>
        <v/>
      </c>
      <c r="HA9">
        <f>IF(s_tp/2+21*s_tp&lt;1000,(h_sl-c_nom-phi_t/2)+(phi_t/2)*-0.587785,NA())</f>
        <v/>
      </c>
      <c r="HC9">
        <f>IF(s_b/2+22*s_b&lt;1000,(s_b/2+22*s_b)+(phi_b/2)*-0.809017,NA())</f>
        <v/>
      </c>
      <c r="HD9">
        <f>IF(s_b/2+22*s_b&lt;1000,(c_nom+phi_b/2)+(phi_b/2)*-0.587785,NA())</f>
        <v/>
      </c>
      <c r="HF9">
        <f>IF(s_tp/2+22*s_tp&lt;1000,(s_tp/2+22*s_tp)+(phi_t/2)*-0.809017,NA())</f>
        <v/>
      </c>
      <c r="HG9">
        <f>IF(s_tp/2+22*s_tp&lt;1000,(h_sl-c_nom-phi_t/2)+(phi_t/2)*-0.587785,NA())</f>
        <v/>
      </c>
      <c r="HI9">
        <f>IF(s_b/2+23*s_b&lt;1000,(s_b/2+23*s_b)+(phi_b/2)*-0.809017,NA())</f>
        <v/>
      </c>
      <c r="HJ9">
        <f>IF(s_b/2+23*s_b&lt;1000,(c_nom+phi_b/2)+(phi_b/2)*-0.587785,NA())</f>
        <v/>
      </c>
      <c r="HL9">
        <f>IF(s_tp/2+23*s_tp&lt;1000,(s_tp/2+23*s_tp)+(phi_t/2)*-0.809017,NA())</f>
        <v/>
      </c>
      <c r="HM9">
        <f>IF(s_tp/2+23*s_tp&lt;1000,(h_sl-c_nom-phi_t/2)+(phi_t/2)*-0.587785,NA())</f>
        <v/>
      </c>
      <c r="HO9">
        <f>IF(s_b/2+24*s_b&lt;1000,(s_b/2+24*s_b)+(phi_b/2)*-0.809017,NA())</f>
        <v/>
      </c>
      <c r="HP9">
        <f>IF(s_b/2+24*s_b&lt;1000,(c_nom+phi_b/2)+(phi_b/2)*-0.587785,NA())</f>
        <v/>
      </c>
      <c r="HR9">
        <f>IF(s_tp/2+24*s_tp&lt;1000,(s_tp/2+24*s_tp)+(phi_t/2)*-0.809017,NA())</f>
        <v/>
      </c>
      <c r="HS9">
        <f>IF(s_tp/2+24*s_tp&lt;1000,(h_sl-c_nom-phi_t/2)+(phi_t/2)*-0.587785,NA())</f>
        <v/>
      </c>
      <c r="HU9">
        <f>IF(s_b/2+25*s_b&lt;1000,(s_b/2+25*s_b)+(phi_b/2)*-0.809017,NA())</f>
        <v/>
      </c>
      <c r="HV9">
        <f>IF(s_b/2+25*s_b&lt;1000,(c_nom+phi_b/2)+(phi_b/2)*-0.587785,NA())</f>
        <v/>
      </c>
      <c r="HX9">
        <f>IF(s_tp/2+25*s_tp&lt;1000,(s_tp/2+25*s_tp)+(phi_t/2)*-0.809017,NA())</f>
        <v/>
      </c>
      <c r="HY9">
        <f>IF(s_tp/2+25*s_tp&lt;1000,(h_sl-c_nom-phi_t/2)+(phi_t/2)*-0.587785,NA())</f>
        <v/>
      </c>
      <c r="IA9">
        <f>IF(s_b/2+26*s_b&lt;1000,(s_b/2+26*s_b)+(phi_b/2)*-0.809017,NA())</f>
        <v/>
      </c>
      <c r="IB9">
        <f>IF(s_b/2+26*s_b&lt;1000,(c_nom+phi_b/2)+(phi_b/2)*-0.587785,NA())</f>
        <v/>
      </c>
      <c r="ID9">
        <f>IF(s_tp/2+26*s_tp&lt;1000,(s_tp/2+26*s_tp)+(phi_t/2)*-0.809017,NA())</f>
        <v/>
      </c>
      <c r="IE9">
        <f>IF(s_tp/2+26*s_tp&lt;1000,(h_sl-c_nom-phi_t/2)+(phi_t/2)*-0.587785,NA())</f>
        <v/>
      </c>
      <c r="IG9">
        <f>IF(s_b/2+27*s_b&lt;1000,(s_b/2+27*s_b)+(phi_b/2)*-0.809017,NA())</f>
        <v/>
      </c>
      <c r="IH9">
        <f>IF(s_b/2+27*s_b&lt;1000,(c_nom+phi_b/2)+(phi_b/2)*-0.587785,NA())</f>
        <v/>
      </c>
      <c r="IJ9">
        <f>IF(s_tp/2+27*s_tp&lt;1000,(s_tp/2+27*s_tp)+(phi_t/2)*-0.809017,NA())</f>
        <v/>
      </c>
      <c r="IK9">
        <f>IF(s_tp/2+27*s_tp&lt;1000,(h_sl-c_nom-phi_t/2)+(phi_t/2)*-0.587785,NA())</f>
        <v/>
      </c>
      <c r="IM9">
        <f>IF(s_b/2+28*s_b&lt;1000,(s_b/2+28*s_b)+(phi_b/2)*-0.809017,NA())</f>
        <v/>
      </c>
      <c r="IN9">
        <f>IF(s_b/2+28*s_b&lt;1000,(c_nom+phi_b/2)+(phi_b/2)*-0.587785,NA())</f>
        <v/>
      </c>
      <c r="IP9">
        <f>IF(s_tp/2+28*s_tp&lt;1000,(s_tp/2+28*s_tp)+(phi_t/2)*-0.809017,NA())</f>
        <v/>
      </c>
      <c r="IQ9">
        <f>IF(s_tp/2+28*s_tp&lt;1000,(h_sl-c_nom-phi_t/2)+(phi_t/2)*-0.587785,NA())</f>
        <v/>
      </c>
      <c r="IS9">
        <f>IF(s_b/2+29*s_b&lt;1000,(s_b/2+29*s_b)+(phi_b/2)*-0.809017,NA())</f>
        <v/>
      </c>
      <c r="IT9">
        <f>IF(s_b/2+29*s_b&lt;1000,(c_nom+phi_b/2)+(phi_b/2)*-0.587785,NA())</f>
        <v/>
      </c>
      <c r="IV9">
        <f>IF(s_tp/2+29*s_tp&lt;1000,(s_tp/2+29*s_tp)+(phi_t/2)*-0.809017,NA())</f>
        <v/>
      </c>
      <c r="IW9">
        <f>IF(s_tp/2+29*s_tp&lt;1000,(h_sl-c_nom-phi_t/2)+(phi_t/2)*-0.587785,NA())</f>
        <v/>
      </c>
      <c r="IY9">
        <f>IF(s_b/2+30*s_b&lt;1000,(s_b/2+30*s_b)+(phi_b/2)*-0.809017,NA())</f>
        <v/>
      </c>
      <c r="IZ9">
        <f>IF(s_b/2+30*s_b&lt;1000,(c_nom+phi_b/2)+(phi_b/2)*-0.587785,NA())</f>
        <v/>
      </c>
      <c r="JB9">
        <f>IF(s_tp/2+30*s_tp&lt;1000,(s_tp/2+30*s_tp)+(phi_t/2)*-0.809017,NA())</f>
        <v/>
      </c>
      <c r="JC9">
        <f>IF(s_tp/2+30*s_tp&lt;1000,(h_sl-c_nom-phi_t/2)+(phi_t/2)*-0.587785,NA())</f>
        <v/>
      </c>
      <c r="JE9">
        <f>IF(s_b/2+31*s_b&lt;1000,(s_b/2+31*s_b)+(phi_b/2)*-0.809017,NA())</f>
        <v/>
      </c>
      <c r="JF9">
        <f>IF(s_b/2+31*s_b&lt;1000,(c_nom+phi_b/2)+(phi_b/2)*-0.587785,NA())</f>
        <v/>
      </c>
      <c r="JH9">
        <f>IF(s_tp/2+31*s_tp&lt;1000,(s_tp/2+31*s_tp)+(phi_t/2)*-0.809017,NA())</f>
        <v/>
      </c>
      <c r="JI9">
        <f>IF(s_tp/2+31*s_tp&lt;1000,(h_sl-c_nom-phi_t/2)+(phi_t/2)*-0.587785,NA())</f>
        <v/>
      </c>
      <c r="JK9">
        <f>IF(s_b/2+32*s_b&lt;1000,(s_b/2+32*s_b)+(phi_b/2)*-0.809017,NA())</f>
        <v/>
      </c>
      <c r="JL9">
        <f>IF(s_b/2+32*s_b&lt;1000,(c_nom+phi_b/2)+(phi_b/2)*-0.587785,NA())</f>
        <v/>
      </c>
      <c r="JN9">
        <f>IF(s_tp/2+32*s_tp&lt;1000,(s_tp/2+32*s_tp)+(phi_t/2)*-0.809017,NA())</f>
        <v/>
      </c>
      <c r="JO9">
        <f>IF(s_tp/2+32*s_tp&lt;1000,(h_sl-c_nom-phi_t/2)+(phi_t/2)*-0.587785,NA())</f>
        <v/>
      </c>
      <c r="JQ9">
        <f>IF(s_b/2+33*s_b&lt;1000,(s_b/2+33*s_b)+(phi_b/2)*-0.809017,NA())</f>
        <v/>
      </c>
      <c r="JR9">
        <f>IF(s_b/2+33*s_b&lt;1000,(c_nom+phi_b/2)+(phi_b/2)*-0.587785,NA())</f>
        <v/>
      </c>
      <c r="JT9">
        <f>IF(s_tp/2+33*s_tp&lt;1000,(s_tp/2+33*s_tp)+(phi_t/2)*-0.809017,NA())</f>
        <v/>
      </c>
      <c r="JU9">
        <f>IF(s_tp/2+33*s_tp&lt;1000,(h_sl-c_nom-phi_t/2)+(phi_t/2)*-0.587785,NA())</f>
        <v/>
      </c>
    </row>
    <row r="10">
      <c r="AW10">
        <f>0.250000*L_sl</f>
        <v/>
      </c>
      <c r="AX10">
        <f>(-0.35*L_sl)-(0.22*L_sl/MAX(M_sp,M_su,0.001))*(IF(sys_i=6,-M_lt*0.562500,-M_lt*0.375000+M_sp*0.750000-M_rt*-0.125000))</f>
        <v/>
      </c>
      <c r="CA10">
        <f>IF(s_b/2+0*s_b&lt;1000,(s_b/2+0*s_b)+(phi_b/2)*-0.309017,NA())</f>
        <v/>
      </c>
      <c r="CB10">
        <f>IF(s_b/2+0*s_b&lt;1000,(c_nom+phi_b/2)+(phi_b/2)*-0.951057,NA())</f>
        <v/>
      </c>
      <c r="CD10">
        <f>IF(s_tp/2+0*s_tp&lt;1000,(s_tp/2+0*s_tp)+(phi_t/2)*-0.309017,NA())</f>
        <v/>
      </c>
      <c r="CE10">
        <f>IF(s_tp/2+0*s_tp&lt;1000,(h_sl-c_nom-phi_t/2)+(phi_t/2)*-0.951057,NA())</f>
        <v/>
      </c>
      <c r="CG10">
        <f>IF(s_b/2+1*s_b&lt;1000,(s_b/2+1*s_b)+(phi_b/2)*-0.309017,NA())</f>
        <v/>
      </c>
      <c r="CH10">
        <f>IF(s_b/2+1*s_b&lt;1000,(c_nom+phi_b/2)+(phi_b/2)*-0.951057,NA())</f>
        <v/>
      </c>
      <c r="CJ10">
        <f>IF(s_tp/2+1*s_tp&lt;1000,(s_tp/2+1*s_tp)+(phi_t/2)*-0.309017,NA())</f>
        <v/>
      </c>
      <c r="CK10">
        <f>IF(s_tp/2+1*s_tp&lt;1000,(h_sl-c_nom-phi_t/2)+(phi_t/2)*-0.951057,NA())</f>
        <v/>
      </c>
      <c r="CM10">
        <f>IF(s_b/2+2*s_b&lt;1000,(s_b/2+2*s_b)+(phi_b/2)*-0.309017,NA())</f>
        <v/>
      </c>
      <c r="CN10">
        <f>IF(s_b/2+2*s_b&lt;1000,(c_nom+phi_b/2)+(phi_b/2)*-0.951057,NA())</f>
        <v/>
      </c>
      <c r="CP10">
        <f>IF(s_tp/2+2*s_tp&lt;1000,(s_tp/2+2*s_tp)+(phi_t/2)*-0.309017,NA())</f>
        <v/>
      </c>
      <c r="CQ10">
        <f>IF(s_tp/2+2*s_tp&lt;1000,(h_sl-c_nom-phi_t/2)+(phi_t/2)*-0.951057,NA())</f>
        <v/>
      </c>
      <c r="CS10">
        <f>IF(s_b/2+3*s_b&lt;1000,(s_b/2+3*s_b)+(phi_b/2)*-0.309017,NA())</f>
        <v/>
      </c>
      <c r="CT10">
        <f>IF(s_b/2+3*s_b&lt;1000,(c_nom+phi_b/2)+(phi_b/2)*-0.951057,NA())</f>
        <v/>
      </c>
      <c r="CV10">
        <f>IF(s_tp/2+3*s_tp&lt;1000,(s_tp/2+3*s_tp)+(phi_t/2)*-0.309017,NA())</f>
        <v/>
      </c>
      <c r="CW10">
        <f>IF(s_tp/2+3*s_tp&lt;1000,(h_sl-c_nom-phi_t/2)+(phi_t/2)*-0.951057,NA())</f>
        <v/>
      </c>
      <c r="CY10">
        <f>IF(s_b/2+4*s_b&lt;1000,(s_b/2+4*s_b)+(phi_b/2)*-0.309017,NA())</f>
        <v/>
      </c>
      <c r="CZ10">
        <f>IF(s_b/2+4*s_b&lt;1000,(c_nom+phi_b/2)+(phi_b/2)*-0.951057,NA())</f>
        <v/>
      </c>
      <c r="DB10">
        <f>IF(s_tp/2+4*s_tp&lt;1000,(s_tp/2+4*s_tp)+(phi_t/2)*-0.309017,NA())</f>
        <v/>
      </c>
      <c r="DC10">
        <f>IF(s_tp/2+4*s_tp&lt;1000,(h_sl-c_nom-phi_t/2)+(phi_t/2)*-0.951057,NA())</f>
        <v/>
      </c>
      <c r="DE10">
        <f>IF(s_b/2+5*s_b&lt;1000,(s_b/2+5*s_b)+(phi_b/2)*-0.309017,NA())</f>
        <v/>
      </c>
      <c r="DF10">
        <f>IF(s_b/2+5*s_b&lt;1000,(c_nom+phi_b/2)+(phi_b/2)*-0.951057,NA())</f>
        <v/>
      </c>
      <c r="DH10">
        <f>IF(s_tp/2+5*s_tp&lt;1000,(s_tp/2+5*s_tp)+(phi_t/2)*-0.309017,NA())</f>
        <v/>
      </c>
      <c r="DI10">
        <f>IF(s_tp/2+5*s_tp&lt;1000,(h_sl-c_nom-phi_t/2)+(phi_t/2)*-0.951057,NA())</f>
        <v/>
      </c>
      <c r="DK10">
        <f>IF(s_b/2+6*s_b&lt;1000,(s_b/2+6*s_b)+(phi_b/2)*-0.309017,NA())</f>
        <v/>
      </c>
      <c r="DL10">
        <f>IF(s_b/2+6*s_b&lt;1000,(c_nom+phi_b/2)+(phi_b/2)*-0.951057,NA())</f>
        <v/>
      </c>
      <c r="DN10">
        <f>IF(s_tp/2+6*s_tp&lt;1000,(s_tp/2+6*s_tp)+(phi_t/2)*-0.309017,NA())</f>
        <v/>
      </c>
      <c r="DO10">
        <f>IF(s_tp/2+6*s_tp&lt;1000,(h_sl-c_nom-phi_t/2)+(phi_t/2)*-0.951057,NA())</f>
        <v/>
      </c>
      <c r="DQ10">
        <f>IF(s_b/2+7*s_b&lt;1000,(s_b/2+7*s_b)+(phi_b/2)*-0.309017,NA())</f>
        <v/>
      </c>
      <c r="DR10">
        <f>IF(s_b/2+7*s_b&lt;1000,(c_nom+phi_b/2)+(phi_b/2)*-0.951057,NA())</f>
        <v/>
      </c>
      <c r="DT10">
        <f>IF(s_tp/2+7*s_tp&lt;1000,(s_tp/2+7*s_tp)+(phi_t/2)*-0.309017,NA())</f>
        <v/>
      </c>
      <c r="DU10">
        <f>IF(s_tp/2+7*s_tp&lt;1000,(h_sl-c_nom-phi_t/2)+(phi_t/2)*-0.951057,NA())</f>
        <v/>
      </c>
      <c r="DW10">
        <f>IF(s_b/2+8*s_b&lt;1000,(s_b/2+8*s_b)+(phi_b/2)*-0.309017,NA())</f>
        <v/>
      </c>
      <c r="DX10">
        <f>IF(s_b/2+8*s_b&lt;1000,(c_nom+phi_b/2)+(phi_b/2)*-0.951057,NA())</f>
        <v/>
      </c>
      <c r="DZ10">
        <f>IF(s_tp/2+8*s_tp&lt;1000,(s_tp/2+8*s_tp)+(phi_t/2)*-0.309017,NA())</f>
        <v/>
      </c>
      <c r="EA10">
        <f>IF(s_tp/2+8*s_tp&lt;1000,(h_sl-c_nom-phi_t/2)+(phi_t/2)*-0.951057,NA())</f>
        <v/>
      </c>
      <c r="EC10">
        <f>IF(s_b/2+9*s_b&lt;1000,(s_b/2+9*s_b)+(phi_b/2)*-0.309017,NA())</f>
        <v/>
      </c>
      <c r="ED10">
        <f>IF(s_b/2+9*s_b&lt;1000,(c_nom+phi_b/2)+(phi_b/2)*-0.951057,NA())</f>
        <v/>
      </c>
      <c r="EF10">
        <f>IF(s_tp/2+9*s_tp&lt;1000,(s_tp/2+9*s_tp)+(phi_t/2)*-0.309017,NA())</f>
        <v/>
      </c>
      <c r="EG10">
        <f>IF(s_tp/2+9*s_tp&lt;1000,(h_sl-c_nom-phi_t/2)+(phi_t/2)*-0.951057,NA())</f>
        <v/>
      </c>
      <c r="EI10">
        <f>IF(s_b/2+10*s_b&lt;1000,(s_b/2+10*s_b)+(phi_b/2)*-0.309017,NA())</f>
        <v/>
      </c>
      <c r="EJ10">
        <f>IF(s_b/2+10*s_b&lt;1000,(c_nom+phi_b/2)+(phi_b/2)*-0.951057,NA())</f>
        <v/>
      </c>
      <c r="EL10">
        <f>IF(s_tp/2+10*s_tp&lt;1000,(s_tp/2+10*s_tp)+(phi_t/2)*-0.309017,NA())</f>
        <v/>
      </c>
      <c r="EM10">
        <f>IF(s_tp/2+10*s_tp&lt;1000,(h_sl-c_nom-phi_t/2)+(phi_t/2)*-0.951057,NA())</f>
        <v/>
      </c>
      <c r="EO10">
        <f>IF(s_b/2+11*s_b&lt;1000,(s_b/2+11*s_b)+(phi_b/2)*-0.309017,NA())</f>
        <v/>
      </c>
      <c r="EP10">
        <f>IF(s_b/2+11*s_b&lt;1000,(c_nom+phi_b/2)+(phi_b/2)*-0.951057,NA())</f>
        <v/>
      </c>
      <c r="ER10">
        <f>IF(s_tp/2+11*s_tp&lt;1000,(s_tp/2+11*s_tp)+(phi_t/2)*-0.309017,NA())</f>
        <v/>
      </c>
      <c r="ES10">
        <f>IF(s_tp/2+11*s_tp&lt;1000,(h_sl-c_nom-phi_t/2)+(phi_t/2)*-0.951057,NA())</f>
        <v/>
      </c>
      <c r="EU10">
        <f>IF(s_b/2+12*s_b&lt;1000,(s_b/2+12*s_b)+(phi_b/2)*-0.309017,NA())</f>
        <v/>
      </c>
      <c r="EV10">
        <f>IF(s_b/2+12*s_b&lt;1000,(c_nom+phi_b/2)+(phi_b/2)*-0.951057,NA())</f>
        <v/>
      </c>
      <c r="EX10">
        <f>IF(s_tp/2+12*s_tp&lt;1000,(s_tp/2+12*s_tp)+(phi_t/2)*-0.309017,NA())</f>
        <v/>
      </c>
      <c r="EY10">
        <f>IF(s_tp/2+12*s_tp&lt;1000,(h_sl-c_nom-phi_t/2)+(phi_t/2)*-0.951057,NA())</f>
        <v/>
      </c>
      <c r="FA10">
        <f>IF(s_b/2+13*s_b&lt;1000,(s_b/2+13*s_b)+(phi_b/2)*-0.309017,NA())</f>
        <v/>
      </c>
      <c r="FB10">
        <f>IF(s_b/2+13*s_b&lt;1000,(c_nom+phi_b/2)+(phi_b/2)*-0.951057,NA())</f>
        <v/>
      </c>
      <c r="FD10">
        <f>IF(s_tp/2+13*s_tp&lt;1000,(s_tp/2+13*s_tp)+(phi_t/2)*-0.309017,NA())</f>
        <v/>
      </c>
      <c r="FE10">
        <f>IF(s_tp/2+13*s_tp&lt;1000,(h_sl-c_nom-phi_t/2)+(phi_t/2)*-0.951057,NA())</f>
        <v/>
      </c>
      <c r="FG10">
        <f>IF(s_b/2+14*s_b&lt;1000,(s_b/2+14*s_b)+(phi_b/2)*-0.309017,NA())</f>
        <v/>
      </c>
      <c r="FH10">
        <f>IF(s_b/2+14*s_b&lt;1000,(c_nom+phi_b/2)+(phi_b/2)*-0.951057,NA())</f>
        <v/>
      </c>
      <c r="FJ10">
        <f>IF(s_tp/2+14*s_tp&lt;1000,(s_tp/2+14*s_tp)+(phi_t/2)*-0.309017,NA())</f>
        <v/>
      </c>
      <c r="FK10">
        <f>IF(s_tp/2+14*s_tp&lt;1000,(h_sl-c_nom-phi_t/2)+(phi_t/2)*-0.951057,NA())</f>
        <v/>
      </c>
      <c r="FM10">
        <f>IF(s_b/2+15*s_b&lt;1000,(s_b/2+15*s_b)+(phi_b/2)*-0.309017,NA())</f>
        <v/>
      </c>
      <c r="FN10">
        <f>IF(s_b/2+15*s_b&lt;1000,(c_nom+phi_b/2)+(phi_b/2)*-0.951057,NA())</f>
        <v/>
      </c>
      <c r="FP10">
        <f>IF(s_tp/2+15*s_tp&lt;1000,(s_tp/2+15*s_tp)+(phi_t/2)*-0.309017,NA())</f>
        <v/>
      </c>
      <c r="FQ10">
        <f>IF(s_tp/2+15*s_tp&lt;1000,(h_sl-c_nom-phi_t/2)+(phi_t/2)*-0.951057,NA())</f>
        <v/>
      </c>
      <c r="FS10">
        <f>IF(s_b/2+16*s_b&lt;1000,(s_b/2+16*s_b)+(phi_b/2)*-0.309017,NA())</f>
        <v/>
      </c>
      <c r="FT10">
        <f>IF(s_b/2+16*s_b&lt;1000,(c_nom+phi_b/2)+(phi_b/2)*-0.951057,NA())</f>
        <v/>
      </c>
      <c r="FV10">
        <f>IF(s_tp/2+16*s_tp&lt;1000,(s_tp/2+16*s_tp)+(phi_t/2)*-0.309017,NA())</f>
        <v/>
      </c>
      <c r="FW10">
        <f>IF(s_tp/2+16*s_tp&lt;1000,(h_sl-c_nom-phi_t/2)+(phi_t/2)*-0.951057,NA())</f>
        <v/>
      </c>
      <c r="FY10">
        <f>IF(s_b/2+17*s_b&lt;1000,(s_b/2+17*s_b)+(phi_b/2)*-0.309017,NA())</f>
        <v/>
      </c>
      <c r="FZ10">
        <f>IF(s_b/2+17*s_b&lt;1000,(c_nom+phi_b/2)+(phi_b/2)*-0.951057,NA())</f>
        <v/>
      </c>
      <c r="GB10">
        <f>IF(s_tp/2+17*s_tp&lt;1000,(s_tp/2+17*s_tp)+(phi_t/2)*-0.309017,NA())</f>
        <v/>
      </c>
      <c r="GC10">
        <f>IF(s_tp/2+17*s_tp&lt;1000,(h_sl-c_nom-phi_t/2)+(phi_t/2)*-0.951057,NA())</f>
        <v/>
      </c>
      <c r="GE10">
        <f>IF(s_b/2+18*s_b&lt;1000,(s_b/2+18*s_b)+(phi_b/2)*-0.309017,NA())</f>
        <v/>
      </c>
      <c r="GF10">
        <f>IF(s_b/2+18*s_b&lt;1000,(c_nom+phi_b/2)+(phi_b/2)*-0.951057,NA())</f>
        <v/>
      </c>
      <c r="GH10">
        <f>IF(s_tp/2+18*s_tp&lt;1000,(s_tp/2+18*s_tp)+(phi_t/2)*-0.309017,NA())</f>
        <v/>
      </c>
      <c r="GI10">
        <f>IF(s_tp/2+18*s_tp&lt;1000,(h_sl-c_nom-phi_t/2)+(phi_t/2)*-0.951057,NA())</f>
        <v/>
      </c>
      <c r="GK10">
        <f>IF(s_b/2+19*s_b&lt;1000,(s_b/2+19*s_b)+(phi_b/2)*-0.309017,NA())</f>
        <v/>
      </c>
      <c r="GL10">
        <f>IF(s_b/2+19*s_b&lt;1000,(c_nom+phi_b/2)+(phi_b/2)*-0.951057,NA())</f>
        <v/>
      </c>
      <c r="GN10">
        <f>IF(s_tp/2+19*s_tp&lt;1000,(s_tp/2+19*s_tp)+(phi_t/2)*-0.309017,NA())</f>
        <v/>
      </c>
      <c r="GO10">
        <f>IF(s_tp/2+19*s_tp&lt;1000,(h_sl-c_nom-phi_t/2)+(phi_t/2)*-0.951057,NA())</f>
        <v/>
      </c>
      <c r="GQ10">
        <f>IF(s_b/2+20*s_b&lt;1000,(s_b/2+20*s_b)+(phi_b/2)*-0.309017,NA())</f>
        <v/>
      </c>
      <c r="GR10">
        <f>IF(s_b/2+20*s_b&lt;1000,(c_nom+phi_b/2)+(phi_b/2)*-0.951057,NA())</f>
        <v/>
      </c>
      <c r="GT10">
        <f>IF(s_tp/2+20*s_tp&lt;1000,(s_tp/2+20*s_tp)+(phi_t/2)*-0.309017,NA())</f>
        <v/>
      </c>
      <c r="GU10">
        <f>IF(s_tp/2+20*s_tp&lt;1000,(h_sl-c_nom-phi_t/2)+(phi_t/2)*-0.951057,NA())</f>
        <v/>
      </c>
      <c r="GW10">
        <f>IF(s_b/2+21*s_b&lt;1000,(s_b/2+21*s_b)+(phi_b/2)*-0.309017,NA())</f>
        <v/>
      </c>
      <c r="GX10">
        <f>IF(s_b/2+21*s_b&lt;1000,(c_nom+phi_b/2)+(phi_b/2)*-0.951057,NA())</f>
        <v/>
      </c>
      <c r="GZ10">
        <f>IF(s_tp/2+21*s_tp&lt;1000,(s_tp/2+21*s_tp)+(phi_t/2)*-0.309017,NA())</f>
        <v/>
      </c>
      <c r="HA10">
        <f>IF(s_tp/2+21*s_tp&lt;1000,(h_sl-c_nom-phi_t/2)+(phi_t/2)*-0.951057,NA())</f>
        <v/>
      </c>
      <c r="HC10">
        <f>IF(s_b/2+22*s_b&lt;1000,(s_b/2+22*s_b)+(phi_b/2)*-0.309017,NA())</f>
        <v/>
      </c>
      <c r="HD10">
        <f>IF(s_b/2+22*s_b&lt;1000,(c_nom+phi_b/2)+(phi_b/2)*-0.951057,NA())</f>
        <v/>
      </c>
      <c r="HF10">
        <f>IF(s_tp/2+22*s_tp&lt;1000,(s_tp/2+22*s_tp)+(phi_t/2)*-0.309017,NA())</f>
        <v/>
      </c>
      <c r="HG10">
        <f>IF(s_tp/2+22*s_tp&lt;1000,(h_sl-c_nom-phi_t/2)+(phi_t/2)*-0.951057,NA())</f>
        <v/>
      </c>
      <c r="HI10">
        <f>IF(s_b/2+23*s_b&lt;1000,(s_b/2+23*s_b)+(phi_b/2)*-0.309017,NA())</f>
        <v/>
      </c>
      <c r="HJ10">
        <f>IF(s_b/2+23*s_b&lt;1000,(c_nom+phi_b/2)+(phi_b/2)*-0.951057,NA())</f>
        <v/>
      </c>
      <c r="HL10">
        <f>IF(s_tp/2+23*s_tp&lt;1000,(s_tp/2+23*s_tp)+(phi_t/2)*-0.309017,NA())</f>
        <v/>
      </c>
      <c r="HM10">
        <f>IF(s_tp/2+23*s_tp&lt;1000,(h_sl-c_nom-phi_t/2)+(phi_t/2)*-0.951057,NA())</f>
        <v/>
      </c>
      <c r="HO10">
        <f>IF(s_b/2+24*s_b&lt;1000,(s_b/2+24*s_b)+(phi_b/2)*-0.309017,NA())</f>
        <v/>
      </c>
      <c r="HP10">
        <f>IF(s_b/2+24*s_b&lt;1000,(c_nom+phi_b/2)+(phi_b/2)*-0.951057,NA())</f>
        <v/>
      </c>
      <c r="HR10">
        <f>IF(s_tp/2+24*s_tp&lt;1000,(s_tp/2+24*s_tp)+(phi_t/2)*-0.309017,NA())</f>
        <v/>
      </c>
      <c r="HS10">
        <f>IF(s_tp/2+24*s_tp&lt;1000,(h_sl-c_nom-phi_t/2)+(phi_t/2)*-0.951057,NA())</f>
        <v/>
      </c>
      <c r="HU10">
        <f>IF(s_b/2+25*s_b&lt;1000,(s_b/2+25*s_b)+(phi_b/2)*-0.309017,NA())</f>
        <v/>
      </c>
      <c r="HV10">
        <f>IF(s_b/2+25*s_b&lt;1000,(c_nom+phi_b/2)+(phi_b/2)*-0.951057,NA())</f>
        <v/>
      </c>
      <c r="HX10">
        <f>IF(s_tp/2+25*s_tp&lt;1000,(s_tp/2+25*s_tp)+(phi_t/2)*-0.309017,NA())</f>
        <v/>
      </c>
      <c r="HY10">
        <f>IF(s_tp/2+25*s_tp&lt;1000,(h_sl-c_nom-phi_t/2)+(phi_t/2)*-0.951057,NA())</f>
        <v/>
      </c>
      <c r="IA10">
        <f>IF(s_b/2+26*s_b&lt;1000,(s_b/2+26*s_b)+(phi_b/2)*-0.309017,NA())</f>
        <v/>
      </c>
      <c r="IB10">
        <f>IF(s_b/2+26*s_b&lt;1000,(c_nom+phi_b/2)+(phi_b/2)*-0.951057,NA())</f>
        <v/>
      </c>
      <c r="ID10">
        <f>IF(s_tp/2+26*s_tp&lt;1000,(s_tp/2+26*s_tp)+(phi_t/2)*-0.309017,NA())</f>
        <v/>
      </c>
      <c r="IE10">
        <f>IF(s_tp/2+26*s_tp&lt;1000,(h_sl-c_nom-phi_t/2)+(phi_t/2)*-0.951057,NA())</f>
        <v/>
      </c>
      <c r="IG10">
        <f>IF(s_b/2+27*s_b&lt;1000,(s_b/2+27*s_b)+(phi_b/2)*-0.309017,NA())</f>
        <v/>
      </c>
      <c r="IH10">
        <f>IF(s_b/2+27*s_b&lt;1000,(c_nom+phi_b/2)+(phi_b/2)*-0.951057,NA())</f>
        <v/>
      </c>
      <c r="IJ10">
        <f>IF(s_tp/2+27*s_tp&lt;1000,(s_tp/2+27*s_tp)+(phi_t/2)*-0.309017,NA())</f>
        <v/>
      </c>
      <c r="IK10">
        <f>IF(s_tp/2+27*s_tp&lt;1000,(h_sl-c_nom-phi_t/2)+(phi_t/2)*-0.951057,NA())</f>
        <v/>
      </c>
      <c r="IM10">
        <f>IF(s_b/2+28*s_b&lt;1000,(s_b/2+28*s_b)+(phi_b/2)*-0.309017,NA())</f>
        <v/>
      </c>
      <c r="IN10">
        <f>IF(s_b/2+28*s_b&lt;1000,(c_nom+phi_b/2)+(phi_b/2)*-0.951057,NA())</f>
        <v/>
      </c>
      <c r="IP10">
        <f>IF(s_tp/2+28*s_tp&lt;1000,(s_tp/2+28*s_tp)+(phi_t/2)*-0.309017,NA())</f>
        <v/>
      </c>
      <c r="IQ10">
        <f>IF(s_tp/2+28*s_tp&lt;1000,(h_sl-c_nom-phi_t/2)+(phi_t/2)*-0.951057,NA())</f>
        <v/>
      </c>
      <c r="IS10">
        <f>IF(s_b/2+29*s_b&lt;1000,(s_b/2+29*s_b)+(phi_b/2)*-0.309017,NA())</f>
        <v/>
      </c>
      <c r="IT10">
        <f>IF(s_b/2+29*s_b&lt;1000,(c_nom+phi_b/2)+(phi_b/2)*-0.951057,NA())</f>
        <v/>
      </c>
      <c r="IV10">
        <f>IF(s_tp/2+29*s_tp&lt;1000,(s_tp/2+29*s_tp)+(phi_t/2)*-0.309017,NA())</f>
        <v/>
      </c>
      <c r="IW10">
        <f>IF(s_tp/2+29*s_tp&lt;1000,(h_sl-c_nom-phi_t/2)+(phi_t/2)*-0.951057,NA())</f>
        <v/>
      </c>
      <c r="IY10">
        <f>IF(s_b/2+30*s_b&lt;1000,(s_b/2+30*s_b)+(phi_b/2)*-0.309017,NA())</f>
        <v/>
      </c>
      <c r="IZ10">
        <f>IF(s_b/2+30*s_b&lt;1000,(c_nom+phi_b/2)+(phi_b/2)*-0.951057,NA())</f>
        <v/>
      </c>
      <c r="JB10">
        <f>IF(s_tp/2+30*s_tp&lt;1000,(s_tp/2+30*s_tp)+(phi_t/2)*-0.309017,NA())</f>
        <v/>
      </c>
      <c r="JC10">
        <f>IF(s_tp/2+30*s_tp&lt;1000,(h_sl-c_nom-phi_t/2)+(phi_t/2)*-0.951057,NA())</f>
        <v/>
      </c>
      <c r="JE10">
        <f>IF(s_b/2+31*s_b&lt;1000,(s_b/2+31*s_b)+(phi_b/2)*-0.309017,NA())</f>
        <v/>
      </c>
      <c r="JF10">
        <f>IF(s_b/2+31*s_b&lt;1000,(c_nom+phi_b/2)+(phi_b/2)*-0.951057,NA())</f>
        <v/>
      </c>
      <c r="JH10">
        <f>IF(s_tp/2+31*s_tp&lt;1000,(s_tp/2+31*s_tp)+(phi_t/2)*-0.309017,NA())</f>
        <v/>
      </c>
      <c r="JI10">
        <f>IF(s_tp/2+31*s_tp&lt;1000,(h_sl-c_nom-phi_t/2)+(phi_t/2)*-0.951057,NA())</f>
        <v/>
      </c>
      <c r="JK10">
        <f>IF(s_b/2+32*s_b&lt;1000,(s_b/2+32*s_b)+(phi_b/2)*-0.309017,NA())</f>
        <v/>
      </c>
      <c r="JL10">
        <f>IF(s_b/2+32*s_b&lt;1000,(c_nom+phi_b/2)+(phi_b/2)*-0.951057,NA())</f>
        <v/>
      </c>
      <c r="JN10">
        <f>IF(s_tp/2+32*s_tp&lt;1000,(s_tp/2+32*s_tp)+(phi_t/2)*-0.309017,NA())</f>
        <v/>
      </c>
      <c r="JO10">
        <f>IF(s_tp/2+32*s_tp&lt;1000,(h_sl-c_nom-phi_t/2)+(phi_t/2)*-0.951057,NA())</f>
        <v/>
      </c>
      <c r="JQ10">
        <f>IF(s_b/2+33*s_b&lt;1000,(s_b/2+33*s_b)+(phi_b/2)*-0.309017,NA())</f>
        <v/>
      </c>
      <c r="JR10">
        <f>IF(s_b/2+33*s_b&lt;1000,(c_nom+phi_b/2)+(phi_b/2)*-0.951057,NA())</f>
        <v/>
      </c>
      <c r="JT10">
        <f>IF(s_tp/2+33*s_tp&lt;1000,(s_tp/2+33*s_tp)+(phi_t/2)*-0.309017,NA())</f>
        <v/>
      </c>
      <c r="JU10">
        <f>IF(s_tp/2+33*s_tp&lt;1000,(h_sl-c_nom-phi_t/2)+(phi_t/2)*-0.951057,NA())</f>
        <v/>
      </c>
    </row>
    <row r="11">
      <c r="AW11">
        <f>0.291667*L_sl</f>
        <v/>
      </c>
      <c r="AX11">
        <f>(-0.35*L_sl)-(0.22*L_sl/MAX(M_sp,M_su,0.001))*(IF(sys_i=6,-M_lt*0.501736,-M_lt*0.295139+M_sp*0.826389-M_rt*-0.121528))</f>
        <v/>
      </c>
      <c r="CA11">
        <f>IF(s_b/2+0*s_b&lt;1000,(s_b/2+0*s_b)+(phi_b/2)*0.309017,NA())</f>
        <v/>
      </c>
      <c r="CB11">
        <f>IF(s_b/2+0*s_b&lt;1000,(c_nom+phi_b/2)+(phi_b/2)*-0.951057,NA())</f>
        <v/>
      </c>
      <c r="CD11">
        <f>IF(s_tp/2+0*s_tp&lt;1000,(s_tp/2+0*s_tp)+(phi_t/2)*0.309017,NA())</f>
        <v/>
      </c>
      <c r="CE11">
        <f>IF(s_tp/2+0*s_tp&lt;1000,(h_sl-c_nom-phi_t/2)+(phi_t/2)*-0.951057,NA())</f>
        <v/>
      </c>
      <c r="CG11">
        <f>IF(s_b/2+1*s_b&lt;1000,(s_b/2+1*s_b)+(phi_b/2)*0.309017,NA())</f>
        <v/>
      </c>
      <c r="CH11">
        <f>IF(s_b/2+1*s_b&lt;1000,(c_nom+phi_b/2)+(phi_b/2)*-0.951057,NA())</f>
        <v/>
      </c>
      <c r="CJ11">
        <f>IF(s_tp/2+1*s_tp&lt;1000,(s_tp/2+1*s_tp)+(phi_t/2)*0.309017,NA())</f>
        <v/>
      </c>
      <c r="CK11">
        <f>IF(s_tp/2+1*s_tp&lt;1000,(h_sl-c_nom-phi_t/2)+(phi_t/2)*-0.951057,NA())</f>
        <v/>
      </c>
      <c r="CM11">
        <f>IF(s_b/2+2*s_b&lt;1000,(s_b/2+2*s_b)+(phi_b/2)*0.309017,NA())</f>
        <v/>
      </c>
      <c r="CN11">
        <f>IF(s_b/2+2*s_b&lt;1000,(c_nom+phi_b/2)+(phi_b/2)*-0.951057,NA())</f>
        <v/>
      </c>
      <c r="CP11">
        <f>IF(s_tp/2+2*s_tp&lt;1000,(s_tp/2+2*s_tp)+(phi_t/2)*0.309017,NA())</f>
        <v/>
      </c>
      <c r="CQ11">
        <f>IF(s_tp/2+2*s_tp&lt;1000,(h_sl-c_nom-phi_t/2)+(phi_t/2)*-0.951057,NA())</f>
        <v/>
      </c>
      <c r="CS11">
        <f>IF(s_b/2+3*s_b&lt;1000,(s_b/2+3*s_b)+(phi_b/2)*0.309017,NA())</f>
        <v/>
      </c>
      <c r="CT11">
        <f>IF(s_b/2+3*s_b&lt;1000,(c_nom+phi_b/2)+(phi_b/2)*-0.951057,NA())</f>
        <v/>
      </c>
      <c r="CV11">
        <f>IF(s_tp/2+3*s_tp&lt;1000,(s_tp/2+3*s_tp)+(phi_t/2)*0.309017,NA())</f>
        <v/>
      </c>
      <c r="CW11">
        <f>IF(s_tp/2+3*s_tp&lt;1000,(h_sl-c_nom-phi_t/2)+(phi_t/2)*-0.951057,NA())</f>
        <v/>
      </c>
      <c r="CY11">
        <f>IF(s_b/2+4*s_b&lt;1000,(s_b/2+4*s_b)+(phi_b/2)*0.309017,NA())</f>
        <v/>
      </c>
      <c r="CZ11">
        <f>IF(s_b/2+4*s_b&lt;1000,(c_nom+phi_b/2)+(phi_b/2)*-0.951057,NA())</f>
        <v/>
      </c>
      <c r="DB11">
        <f>IF(s_tp/2+4*s_tp&lt;1000,(s_tp/2+4*s_tp)+(phi_t/2)*0.309017,NA())</f>
        <v/>
      </c>
      <c r="DC11">
        <f>IF(s_tp/2+4*s_tp&lt;1000,(h_sl-c_nom-phi_t/2)+(phi_t/2)*-0.951057,NA())</f>
        <v/>
      </c>
      <c r="DE11">
        <f>IF(s_b/2+5*s_b&lt;1000,(s_b/2+5*s_b)+(phi_b/2)*0.309017,NA())</f>
        <v/>
      </c>
      <c r="DF11">
        <f>IF(s_b/2+5*s_b&lt;1000,(c_nom+phi_b/2)+(phi_b/2)*-0.951057,NA())</f>
        <v/>
      </c>
      <c r="DH11">
        <f>IF(s_tp/2+5*s_tp&lt;1000,(s_tp/2+5*s_tp)+(phi_t/2)*0.309017,NA())</f>
        <v/>
      </c>
      <c r="DI11">
        <f>IF(s_tp/2+5*s_tp&lt;1000,(h_sl-c_nom-phi_t/2)+(phi_t/2)*-0.951057,NA())</f>
        <v/>
      </c>
      <c r="DK11">
        <f>IF(s_b/2+6*s_b&lt;1000,(s_b/2+6*s_b)+(phi_b/2)*0.309017,NA())</f>
        <v/>
      </c>
      <c r="DL11">
        <f>IF(s_b/2+6*s_b&lt;1000,(c_nom+phi_b/2)+(phi_b/2)*-0.951057,NA())</f>
        <v/>
      </c>
      <c r="DN11">
        <f>IF(s_tp/2+6*s_tp&lt;1000,(s_tp/2+6*s_tp)+(phi_t/2)*0.309017,NA())</f>
        <v/>
      </c>
      <c r="DO11">
        <f>IF(s_tp/2+6*s_tp&lt;1000,(h_sl-c_nom-phi_t/2)+(phi_t/2)*-0.951057,NA())</f>
        <v/>
      </c>
      <c r="DQ11">
        <f>IF(s_b/2+7*s_b&lt;1000,(s_b/2+7*s_b)+(phi_b/2)*0.309017,NA())</f>
        <v/>
      </c>
      <c r="DR11">
        <f>IF(s_b/2+7*s_b&lt;1000,(c_nom+phi_b/2)+(phi_b/2)*-0.951057,NA())</f>
        <v/>
      </c>
      <c r="DT11">
        <f>IF(s_tp/2+7*s_tp&lt;1000,(s_tp/2+7*s_tp)+(phi_t/2)*0.309017,NA())</f>
        <v/>
      </c>
      <c r="DU11">
        <f>IF(s_tp/2+7*s_tp&lt;1000,(h_sl-c_nom-phi_t/2)+(phi_t/2)*-0.951057,NA())</f>
        <v/>
      </c>
      <c r="DW11">
        <f>IF(s_b/2+8*s_b&lt;1000,(s_b/2+8*s_b)+(phi_b/2)*0.309017,NA())</f>
        <v/>
      </c>
      <c r="DX11">
        <f>IF(s_b/2+8*s_b&lt;1000,(c_nom+phi_b/2)+(phi_b/2)*-0.951057,NA())</f>
        <v/>
      </c>
      <c r="DZ11">
        <f>IF(s_tp/2+8*s_tp&lt;1000,(s_tp/2+8*s_tp)+(phi_t/2)*0.309017,NA())</f>
        <v/>
      </c>
      <c r="EA11">
        <f>IF(s_tp/2+8*s_tp&lt;1000,(h_sl-c_nom-phi_t/2)+(phi_t/2)*-0.951057,NA())</f>
        <v/>
      </c>
      <c r="EC11">
        <f>IF(s_b/2+9*s_b&lt;1000,(s_b/2+9*s_b)+(phi_b/2)*0.309017,NA())</f>
        <v/>
      </c>
      <c r="ED11">
        <f>IF(s_b/2+9*s_b&lt;1000,(c_nom+phi_b/2)+(phi_b/2)*-0.951057,NA())</f>
        <v/>
      </c>
      <c r="EF11">
        <f>IF(s_tp/2+9*s_tp&lt;1000,(s_tp/2+9*s_tp)+(phi_t/2)*0.309017,NA())</f>
        <v/>
      </c>
      <c r="EG11">
        <f>IF(s_tp/2+9*s_tp&lt;1000,(h_sl-c_nom-phi_t/2)+(phi_t/2)*-0.951057,NA())</f>
        <v/>
      </c>
      <c r="EI11">
        <f>IF(s_b/2+10*s_b&lt;1000,(s_b/2+10*s_b)+(phi_b/2)*0.309017,NA())</f>
        <v/>
      </c>
      <c r="EJ11">
        <f>IF(s_b/2+10*s_b&lt;1000,(c_nom+phi_b/2)+(phi_b/2)*-0.951057,NA())</f>
        <v/>
      </c>
      <c r="EL11">
        <f>IF(s_tp/2+10*s_tp&lt;1000,(s_tp/2+10*s_tp)+(phi_t/2)*0.309017,NA())</f>
        <v/>
      </c>
      <c r="EM11">
        <f>IF(s_tp/2+10*s_tp&lt;1000,(h_sl-c_nom-phi_t/2)+(phi_t/2)*-0.951057,NA())</f>
        <v/>
      </c>
      <c r="EO11">
        <f>IF(s_b/2+11*s_b&lt;1000,(s_b/2+11*s_b)+(phi_b/2)*0.309017,NA())</f>
        <v/>
      </c>
      <c r="EP11">
        <f>IF(s_b/2+11*s_b&lt;1000,(c_nom+phi_b/2)+(phi_b/2)*-0.951057,NA())</f>
        <v/>
      </c>
      <c r="ER11">
        <f>IF(s_tp/2+11*s_tp&lt;1000,(s_tp/2+11*s_tp)+(phi_t/2)*0.309017,NA())</f>
        <v/>
      </c>
      <c r="ES11">
        <f>IF(s_tp/2+11*s_tp&lt;1000,(h_sl-c_nom-phi_t/2)+(phi_t/2)*-0.951057,NA())</f>
        <v/>
      </c>
      <c r="EU11">
        <f>IF(s_b/2+12*s_b&lt;1000,(s_b/2+12*s_b)+(phi_b/2)*0.309017,NA())</f>
        <v/>
      </c>
      <c r="EV11">
        <f>IF(s_b/2+12*s_b&lt;1000,(c_nom+phi_b/2)+(phi_b/2)*-0.951057,NA())</f>
        <v/>
      </c>
      <c r="EX11">
        <f>IF(s_tp/2+12*s_tp&lt;1000,(s_tp/2+12*s_tp)+(phi_t/2)*0.309017,NA())</f>
        <v/>
      </c>
      <c r="EY11">
        <f>IF(s_tp/2+12*s_tp&lt;1000,(h_sl-c_nom-phi_t/2)+(phi_t/2)*-0.951057,NA())</f>
        <v/>
      </c>
      <c r="FA11">
        <f>IF(s_b/2+13*s_b&lt;1000,(s_b/2+13*s_b)+(phi_b/2)*0.309017,NA())</f>
        <v/>
      </c>
      <c r="FB11">
        <f>IF(s_b/2+13*s_b&lt;1000,(c_nom+phi_b/2)+(phi_b/2)*-0.951057,NA())</f>
        <v/>
      </c>
      <c r="FD11">
        <f>IF(s_tp/2+13*s_tp&lt;1000,(s_tp/2+13*s_tp)+(phi_t/2)*0.309017,NA())</f>
        <v/>
      </c>
      <c r="FE11">
        <f>IF(s_tp/2+13*s_tp&lt;1000,(h_sl-c_nom-phi_t/2)+(phi_t/2)*-0.951057,NA())</f>
        <v/>
      </c>
      <c r="FG11">
        <f>IF(s_b/2+14*s_b&lt;1000,(s_b/2+14*s_b)+(phi_b/2)*0.309017,NA())</f>
        <v/>
      </c>
      <c r="FH11">
        <f>IF(s_b/2+14*s_b&lt;1000,(c_nom+phi_b/2)+(phi_b/2)*-0.951057,NA())</f>
        <v/>
      </c>
      <c r="FJ11">
        <f>IF(s_tp/2+14*s_tp&lt;1000,(s_tp/2+14*s_tp)+(phi_t/2)*0.309017,NA())</f>
        <v/>
      </c>
      <c r="FK11">
        <f>IF(s_tp/2+14*s_tp&lt;1000,(h_sl-c_nom-phi_t/2)+(phi_t/2)*-0.951057,NA())</f>
        <v/>
      </c>
      <c r="FM11">
        <f>IF(s_b/2+15*s_b&lt;1000,(s_b/2+15*s_b)+(phi_b/2)*0.309017,NA())</f>
        <v/>
      </c>
      <c r="FN11">
        <f>IF(s_b/2+15*s_b&lt;1000,(c_nom+phi_b/2)+(phi_b/2)*-0.951057,NA())</f>
        <v/>
      </c>
      <c r="FP11">
        <f>IF(s_tp/2+15*s_tp&lt;1000,(s_tp/2+15*s_tp)+(phi_t/2)*0.309017,NA())</f>
        <v/>
      </c>
      <c r="FQ11">
        <f>IF(s_tp/2+15*s_tp&lt;1000,(h_sl-c_nom-phi_t/2)+(phi_t/2)*-0.951057,NA())</f>
        <v/>
      </c>
      <c r="FS11">
        <f>IF(s_b/2+16*s_b&lt;1000,(s_b/2+16*s_b)+(phi_b/2)*0.309017,NA())</f>
        <v/>
      </c>
      <c r="FT11">
        <f>IF(s_b/2+16*s_b&lt;1000,(c_nom+phi_b/2)+(phi_b/2)*-0.951057,NA())</f>
        <v/>
      </c>
      <c r="FV11">
        <f>IF(s_tp/2+16*s_tp&lt;1000,(s_tp/2+16*s_tp)+(phi_t/2)*0.309017,NA())</f>
        <v/>
      </c>
      <c r="FW11">
        <f>IF(s_tp/2+16*s_tp&lt;1000,(h_sl-c_nom-phi_t/2)+(phi_t/2)*-0.951057,NA())</f>
        <v/>
      </c>
      <c r="FY11">
        <f>IF(s_b/2+17*s_b&lt;1000,(s_b/2+17*s_b)+(phi_b/2)*0.309017,NA())</f>
        <v/>
      </c>
      <c r="FZ11">
        <f>IF(s_b/2+17*s_b&lt;1000,(c_nom+phi_b/2)+(phi_b/2)*-0.951057,NA())</f>
        <v/>
      </c>
      <c r="GB11">
        <f>IF(s_tp/2+17*s_tp&lt;1000,(s_tp/2+17*s_tp)+(phi_t/2)*0.309017,NA())</f>
        <v/>
      </c>
      <c r="GC11">
        <f>IF(s_tp/2+17*s_tp&lt;1000,(h_sl-c_nom-phi_t/2)+(phi_t/2)*-0.951057,NA())</f>
        <v/>
      </c>
      <c r="GE11">
        <f>IF(s_b/2+18*s_b&lt;1000,(s_b/2+18*s_b)+(phi_b/2)*0.309017,NA())</f>
        <v/>
      </c>
      <c r="GF11">
        <f>IF(s_b/2+18*s_b&lt;1000,(c_nom+phi_b/2)+(phi_b/2)*-0.951057,NA())</f>
        <v/>
      </c>
      <c r="GH11">
        <f>IF(s_tp/2+18*s_tp&lt;1000,(s_tp/2+18*s_tp)+(phi_t/2)*0.309017,NA())</f>
        <v/>
      </c>
      <c r="GI11">
        <f>IF(s_tp/2+18*s_tp&lt;1000,(h_sl-c_nom-phi_t/2)+(phi_t/2)*-0.951057,NA())</f>
        <v/>
      </c>
      <c r="GK11">
        <f>IF(s_b/2+19*s_b&lt;1000,(s_b/2+19*s_b)+(phi_b/2)*0.309017,NA())</f>
        <v/>
      </c>
      <c r="GL11">
        <f>IF(s_b/2+19*s_b&lt;1000,(c_nom+phi_b/2)+(phi_b/2)*-0.951057,NA())</f>
        <v/>
      </c>
      <c r="GN11">
        <f>IF(s_tp/2+19*s_tp&lt;1000,(s_tp/2+19*s_tp)+(phi_t/2)*0.309017,NA())</f>
        <v/>
      </c>
      <c r="GO11">
        <f>IF(s_tp/2+19*s_tp&lt;1000,(h_sl-c_nom-phi_t/2)+(phi_t/2)*-0.951057,NA())</f>
        <v/>
      </c>
      <c r="GQ11">
        <f>IF(s_b/2+20*s_b&lt;1000,(s_b/2+20*s_b)+(phi_b/2)*0.309017,NA())</f>
        <v/>
      </c>
      <c r="GR11">
        <f>IF(s_b/2+20*s_b&lt;1000,(c_nom+phi_b/2)+(phi_b/2)*-0.951057,NA())</f>
        <v/>
      </c>
      <c r="GT11">
        <f>IF(s_tp/2+20*s_tp&lt;1000,(s_tp/2+20*s_tp)+(phi_t/2)*0.309017,NA())</f>
        <v/>
      </c>
      <c r="GU11">
        <f>IF(s_tp/2+20*s_tp&lt;1000,(h_sl-c_nom-phi_t/2)+(phi_t/2)*-0.951057,NA())</f>
        <v/>
      </c>
      <c r="GW11">
        <f>IF(s_b/2+21*s_b&lt;1000,(s_b/2+21*s_b)+(phi_b/2)*0.309017,NA())</f>
        <v/>
      </c>
      <c r="GX11">
        <f>IF(s_b/2+21*s_b&lt;1000,(c_nom+phi_b/2)+(phi_b/2)*-0.951057,NA())</f>
        <v/>
      </c>
      <c r="GZ11">
        <f>IF(s_tp/2+21*s_tp&lt;1000,(s_tp/2+21*s_tp)+(phi_t/2)*0.309017,NA())</f>
        <v/>
      </c>
      <c r="HA11">
        <f>IF(s_tp/2+21*s_tp&lt;1000,(h_sl-c_nom-phi_t/2)+(phi_t/2)*-0.951057,NA())</f>
        <v/>
      </c>
      <c r="HC11">
        <f>IF(s_b/2+22*s_b&lt;1000,(s_b/2+22*s_b)+(phi_b/2)*0.309017,NA())</f>
        <v/>
      </c>
      <c r="HD11">
        <f>IF(s_b/2+22*s_b&lt;1000,(c_nom+phi_b/2)+(phi_b/2)*-0.951057,NA())</f>
        <v/>
      </c>
      <c r="HF11">
        <f>IF(s_tp/2+22*s_tp&lt;1000,(s_tp/2+22*s_tp)+(phi_t/2)*0.309017,NA())</f>
        <v/>
      </c>
      <c r="HG11">
        <f>IF(s_tp/2+22*s_tp&lt;1000,(h_sl-c_nom-phi_t/2)+(phi_t/2)*-0.951057,NA())</f>
        <v/>
      </c>
      <c r="HI11">
        <f>IF(s_b/2+23*s_b&lt;1000,(s_b/2+23*s_b)+(phi_b/2)*0.309017,NA())</f>
        <v/>
      </c>
      <c r="HJ11">
        <f>IF(s_b/2+23*s_b&lt;1000,(c_nom+phi_b/2)+(phi_b/2)*-0.951057,NA())</f>
        <v/>
      </c>
      <c r="HL11">
        <f>IF(s_tp/2+23*s_tp&lt;1000,(s_tp/2+23*s_tp)+(phi_t/2)*0.309017,NA())</f>
        <v/>
      </c>
      <c r="HM11">
        <f>IF(s_tp/2+23*s_tp&lt;1000,(h_sl-c_nom-phi_t/2)+(phi_t/2)*-0.951057,NA())</f>
        <v/>
      </c>
      <c r="HO11">
        <f>IF(s_b/2+24*s_b&lt;1000,(s_b/2+24*s_b)+(phi_b/2)*0.309017,NA())</f>
        <v/>
      </c>
      <c r="HP11">
        <f>IF(s_b/2+24*s_b&lt;1000,(c_nom+phi_b/2)+(phi_b/2)*-0.951057,NA())</f>
        <v/>
      </c>
      <c r="HR11">
        <f>IF(s_tp/2+24*s_tp&lt;1000,(s_tp/2+24*s_tp)+(phi_t/2)*0.309017,NA())</f>
        <v/>
      </c>
      <c r="HS11">
        <f>IF(s_tp/2+24*s_tp&lt;1000,(h_sl-c_nom-phi_t/2)+(phi_t/2)*-0.951057,NA())</f>
        <v/>
      </c>
      <c r="HU11">
        <f>IF(s_b/2+25*s_b&lt;1000,(s_b/2+25*s_b)+(phi_b/2)*0.309017,NA())</f>
        <v/>
      </c>
      <c r="HV11">
        <f>IF(s_b/2+25*s_b&lt;1000,(c_nom+phi_b/2)+(phi_b/2)*-0.951057,NA())</f>
        <v/>
      </c>
      <c r="HX11">
        <f>IF(s_tp/2+25*s_tp&lt;1000,(s_tp/2+25*s_tp)+(phi_t/2)*0.309017,NA())</f>
        <v/>
      </c>
      <c r="HY11">
        <f>IF(s_tp/2+25*s_tp&lt;1000,(h_sl-c_nom-phi_t/2)+(phi_t/2)*-0.951057,NA())</f>
        <v/>
      </c>
      <c r="IA11">
        <f>IF(s_b/2+26*s_b&lt;1000,(s_b/2+26*s_b)+(phi_b/2)*0.309017,NA())</f>
        <v/>
      </c>
      <c r="IB11">
        <f>IF(s_b/2+26*s_b&lt;1000,(c_nom+phi_b/2)+(phi_b/2)*-0.951057,NA())</f>
        <v/>
      </c>
      <c r="ID11">
        <f>IF(s_tp/2+26*s_tp&lt;1000,(s_tp/2+26*s_tp)+(phi_t/2)*0.309017,NA())</f>
        <v/>
      </c>
      <c r="IE11">
        <f>IF(s_tp/2+26*s_tp&lt;1000,(h_sl-c_nom-phi_t/2)+(phi_t/2)*-0.951057,NA())</f>
        <v/>
      </c>
      <c r="IG11">
        <f>IF(s_b/2+27*s_b&lt;1000,(s_b/2+27*s_b)+(phi_b/2)*0.309017,NA())</f>
        <v/>
      </c>
      <c r="IH11">
        <f>IF(s_b/2+27*s_b&lt;1000,(c_nom+phi_b/2)+(phi_b/2)*-0.951057,NA())</f>
        <v/>
      </c>
      <c r="IJ11">
        <f>IF(s_tp/2+27*s_tp&lt;1000,(s_tp/2+27*s_tp)+(phi_t/2)*0.309017,NA())</f>
        <v/>
      </c>
      <c r="IK11">
        <f>IF(s_tp/2+27*s_tp&lt;1000,(h_sl-c_nom-phi_t/2)+(phi_t/2)*-0.951057,NA())</f>
        <v/>
      </c>
      <c r="IM11">
        <f>IF(s_b/2+28*s_b&lt;1000,(s_b/2+28*s_b)+(phi_b/2)*0.309017,NA())</f>
        <v/>
      </c>
      <c r="IN11">
        <f>IF(s_b/2+28*s_b&lt;1000,(c_nom+phi_b/2)+(phi_b/2)*-0.951057,NA())</f>
        <v/>
      </c>
      <c r="IP11">
        <f>IF(s_tp/2+28*s_tp&lt;1000,(s_tp/2+28*s_tp)+(phi_t/2)*0.309017,NA())</f>
        <v/>
      </c>
      <c r="IQ11">
        <f>IF(s_tp/2+28*s_tp&lt;1000,(h_sl-c_nom-phi_t/2)+(phi_t/2)*-0.951057,NA())</f>
        <v/>
      </c>
      <c r="IS11">
        <f>IF(s_b/2+29*s_b&lt;1000,(s_b/2+29*s_b)+(phi_b/2)*0.309017,NA())</f>
        <v/>
      </c>
      <c r="IT11">
        <f>IF(s_b/2+29*s_b&lt;1000,(c_nom+phi_b/2)+(phi_b/2)*-0.951057,NA())</f>
        <v/>
      </c>
      <c r="IV11">
        <f>IF(s_tp/2+29*s_tp&lt;1000,(s_tp/2+29*s_tp)+(phi_t/2)*0.309017,NA())</f>
        <v/>
      </c>
      <c r="IW11">
        <f>IF(s_tp/2+29*s_tp&lt;1000,(h_sl-c_nom-phi_t/2)+(phi_t/2)*-0.951057,NA())</f>
        <v/>
      </c>
      <c r="IY11">
        <f>IF(s_b/2+30*s_b&lt;1000,(s_b/2+30*s_b)+(phi_b/2)*0.309017,NA())</f>
        <v/>
      </c>
      <c r="IZ11">
        <f>IF(s_b/2+30*s_b&lt;1000,(c_nom+phi_b/2)+(phi_b/2)*-0.951057,NA())</f>
        <v/>
      </c>
      <c r="JB11">
        <f>IF(s_tp/2+30*s_tp&lt;1000,(s_tp/2+30*s_tp)+(phi_t/2)*0.309017,NA())</f>
        <v/>
      </c>
      <c r="JC11">
        <f>IF(s_tp/2+30*s_tp&lt;1000,(h_sl-c_nom-phi_t/2)+(phi_t/2)*-0.951057,NA())</f>
        <v/>
      </c>
      <c r="JE11">
        <f>IF(s_b/2+31*s_b&lt;1000,(s_b/2+31*s_b)+(phi_b/2)*0.309017,NA())</f>
        <v/>
      </c>
      <c r="JF11">
        <f>IF(s_b/2+31*s_b&lt;1000,(c_nom+phi_b/2)+(phi_b/2)*-0.951057,NA())</f>
        <v/>
      </c>
      <c r="JH11">
        <f>IF(s_tp/2+31*s_tp&lt;1000,(s_tp/2+31*s_tp)+(phi_t/2)*0.309017,NA())</f>
        <v/>
      </c>
      <c r="JI11">
        <f>IF(s_tp/2+31*s_tp&lt;1000,(h_sl-c_nom-phi_t/2)+(phi_t/2)*-0.951057,NA())</f>
        <v/>
      </c>
      <c r="JK11">
        <f>IF(s_b/2+32*s_b&lt;1000,(s_b/2+32*s_b)+(phi_b/2)*0.309017,NA())</f>
        <v/>
      </c>
      <c r="JL11">
        <f>IF(s_b/2+32*s_b&lt;1000,(c_nom+phi_b/2)+(phi_b/2)*-0.951057,NA())</f>
        <v/>
      </c>
      <c r="JN11">
        <f>IF(s_tp/2+32*s_tp&lt;1000,(s_tp/2+32*s_tp)+(phi_t/2)*0.309017,NA())</f>
        <v/>
      </c>
      <c r="JO11">
        <f>IF(s_tp/2+32*s_tp&lt;1000,(h_sl-c_nom-phi_t/2)+(phi_t/2)*-0.951057,NA())</f>
        <v/>
      </c>
      <c r="JQ11">
        <f>IF(s_b/2+33*s_b&lt;1000,(s_b/2+33*s_b)+(phi_b/2)*0.309017,NA())</f>
        <v/>
      </c>
      <c r="JR11">
        <f>IF(s_b/2+33*s_b&lt;1000,(c_nom+phi_b/2)+(phi_b/2)*-0.951057,NA())</f>
        <v/>
      </c>
      <c r="JT11">
        <f>IF(s_tp/2+33*s_tp&lt;1000,(s_tp/2+33*s_tp)+(phi_t/2)*0.309017,NA())</f>
        <v/>
      </c>
      <c r="JU11">
        <f>IF(s_tp/2+33*s_tp&lt;1000,(h_sl-c_nom-phi_t/2)+(phi_t/2)*-0.951057,NA())</f>
        <v/>
      </c>
    </row>
    <row r="12">
      <c r="AW12">
        <f>0.333333*L_sl</f>
        <v/>
      </c>
      <c r="AX12">
        <f>(-0.35*L_sl)-(0.22*L_sl/MAX(M_sp,M_su,0.001))*(IF(sys_i=6,-M_lt*0.444444,-M_lt*0.222222+M_sp*0.888889-M_rt*-0.111111))</f>
        <v/>
      </c>
      <c r="CA12">
        <f>IF(s_b/2+0*s_b&lt;1000,(s_b/2+0*s_b)+(phi_b/2)*0.809017,NA())</f>
        <v/>
      </c>
      <c r="CB12">
        <f>IF(s_b/2+0*s_b&lt;1000,(c_nom+phi_b/2)+(phi_b/2)*-0.587785,NA())</f>
        <v/>
      </c>
      <c r="CD12">
        <f>IF(s_tp/2+0*s_tp&lt;1000,(s_tp/2+0*s_tp)+(phi_t/2)*0.809017,NA())</f>
        <v/>
      </c>
      <c r="CE12">
        <f>IF(s_tp/2+0*s_tp&lt;1000,(h_sl-c_nom-phi_t/2)+(phi_t/2)*-0.587785,NA())</f>
        <v/>
      </c>
      <c r="CG12">
        <f>IF(s_b/2+1*s_b&lt;1000,(s_b/2+1*s_b)+(phi_b/2)*0.809017,NA())</f>
        <v/>
      </c>
      <c r="CH12">
        <f>IF(s_b/2+1*s_b&lt;1000,(c_nom+phi_b/2)+(phi_b/2)*-0.587785,NA())</f>
        <v/>
      </c>
      <c r="CJ12">
        <f>IF(s_tp/2+1*s_tp&lt;1000,(s_tp/2+1*s_tp)+(phi_t/2)*0.809017,NA())</f>
        <v/>
      </c>
      <c r="CK12">
        <f>IF(s_tp/2+1*s_tp&lt;1000,(h_sl-c_nom-phi_t/2)+(phi_t/2)*-0.587785,NA())</f>
        <v/>
      </c>
      <c r="CM12">
        <f>IF(s_b/2+2*s_b&lt;1000,(s_b/2+2*s_b)+(phi_b/2)*0.809017,NA())</f>
        <v/>
      </c>
      <c r="CN12">
        <f>IF(s_b/2+2*s_b&lt;1000,(c_nom+phi_b/2)+(phi_b/2)*-0.587785,NA())</f>
        <v/>
      </c>
      <c r="CP12">
        <f>IF(s_tp/2+2*s_tp&lt;1000,(s_tp/2+2*s_tp)+(phi_t/2)*0.809017,NA())</f>
        <v/>
      </c>
      <c r="CQ12">
        <f>IF(s_tp/2+2*s_tp&lt;1000,(h_sl-c_nom-phi_t/2)+(phi_t/2)*-0.587785,NA())</f>
        <v/>
      </c>
      <c r="CS12">
        <f>IF(s_b/2+3*s_b&lt;1000,(s_b/2+3*s_b)+(phi_b/2)*0.809017,NA())</f>
        <v/>
      </c>
      <c r="CT12">
        <f>IF(s_b/2+3*s_b&lt;1000,(c_nom+phi_b/2)+(phi_b/2)*-0.587785,NA())</f>
        <v/>
      </c>
      <c r="CV12">
        <f>IF(s_tp/2+3*s_tp&lt;1000,(s_tp/2+3*s_tp)+(phi_t/2)*0.809017,NA())</f>
        <v/>
      </c>
      <c r="CW12">
        <f>IF(s_tp/2+3*s_tp&lt;1000,(h_sl-c_nom-phi_t/2)+(phi_t/2)*-0.587785,NA())</f>
        <v/>
      </c>
      <c r="CY12">
        <f>IF(s_b/2+4*s_b&lt;1000,(s_b/2+4*s_b)+(phi_b/2)*0.809017,NA())</f>
        <v/>
      </c>
      <c r="CZ12">
        <f>IF(s_b/2+4*s_b&lt;1000,(c_nom+phi_b/2)+(phi_b/2)*-0.587785,NA())</f>
        <v/>
      </c>
      <c r="DB12">
        <f>IF(s_tp/2+4*s_tp&lt;1000,(s_tp/2+4*s_tp)+(phi_t/2)*0.809017,NA())</f>
        <v/>
      </c>
      <c r="DC12">
        <f>IF(s_tp/2+4*s_tp&lt;1000,(h_sl-c_nom-phi_t/2)+(phi_t/2)*-0.587785,NA())</f>
        <v/>
      </c>
      <c r="DE12">
        <f>IF(s_b/2+5*s_b&lt;1000,(s_b/2+5*s_b)+(phi_b/2)*0.809017,NA())</f>
        <v/>
      </c>
      <c r="DF12">
        <f>IF(s_b/2+5*s_b&lt;1000,(c_nom+phi_b/2)+(phi_b/2)*-0.587785,NA())</f>
        <v/>
      </c>
      <c r="DH12">
        <f>IF(s_tp/2+5*s_tp&lt;1000,(s_tp/2+5*s_tp)+(phi_t/2)*0.809017,NA())</f>
        <v/>
      </c>
      <c r="DI12">
        <f>IF(s_tp/2+5*s_tp&lt;1000,(h_sl-c_nom-phi_t/2)+(phi_t/2)*-0.587785,NA())</f>
        <v/>
      </c>
      <c r="DK12">
        <f>IF(s_b/2+6*s_b&lt;1000,(s_b/2+6*s_b)+(phi_b/2)*0.809017,NA())</f>
        <v/>
      </c>
      <c r="DL12">
        <f>IF(s_b/2+6*s_b&lt;1000,(c_nom+phi_b/2)+(phi_b/2)*-0.587785,NA())</f>
        <v/>
      </c>
      <c r="DN12">
        <f>IF(s_tp/2+6*s_tp&lt;1000,(s_tp/2+6*s_tp)+(phi_t/2)*0.809017,NA())</f>
        <v/>
      </c>
      <c r="DO12">
        <f>IF(s_tp/2+6*s_tp&lt;1000,(h_sl-c_nom-phi_t/2)+(phi_t/2)*-0.587785,NA())</f>
        <v/>
      </c>
      <c r="DQ12">
        <f>IF(s_b/2+7*s_b&lt;1000,(s_b/2+7*s_b)+(phi_b/2)*0.809017,NA())</f>
        <v/>
      </c>
      <c r="DR12">
        <f>IF(s_b/2+7*s_b&lt;1000,(c_nom+phi_b/2)+(phi_b/2)*-0.587785,NA())</f>
        <v/>
      </c>
      <c r="DT12">
        <f>IF(s_tp/2+7*s_tp&lt;1000,(s_tp/2+7*s_tp)+(phi_t/2)*0.809017,NA())</f>
        <v/>
      </c>
      <c r="DU12">
        <f>IF(s_tp/2+7*s_tp&lt;1000,(h_sl-c_nom-phi_t/2)+(phi_t/2)*-0.587785,NA())</f>
        <v/>
      </c>
      <c r="DW12">
        <f>IF(s_b/2+8*s_b&lt;1000,(s_b/2+8*s_b)+(phi_b/2)*0.809017,NA())</f>
        <v/>
      </c>
      <c r="DX12">
        <f>IF(s_b/2+8*s_b&lt;1000,(c_nom+phi_b/2)+(phi_b/2)*-0.587785,NA())</f>
        <v/>
      </c>
      <c r="DZ12">
        <f>IF(s_tp/2+8*s_tp&lt;1000,(s_tp/2+8*s_tp)+(phi_t/2)*0.809017,NA())</f>
        <v/>
      </c>
      <c r="EA12">
        <f>IF(s_tp/2+8*s_tp&lt;1000,(h_sl-c_nom-phi_t/2)+(phi_t/2)*-0.587785,NA())</f>
        <v/>
      </c>
      <c r="EC12">
        <f>IF(s_b/2+9*s_b&lt;1000,(s_b/2+9*s_b)+(phi_b/2)*0.809017,NA())</f>
        <v/>
      </c>
      <c r="ED12">
        <f>IF(s_b/2+9*s_b&lt;1000,(c_nom+phi_b/2)+(phi_b/2)*-0.587785,NA())</f>
        <v/>
      </c>
      <c r="EF12">
        <f>IF(s_tp/2+9*s_tp&lt;1000,(s_tp/2+9*s_tp)+(phi_t/2)*0.809017,NA())</f>
        <v/>
      </c>
      <c r="EG12">
        <f>IF(s_tp/2+9*s_tp&lt;1000,(h_sl-c_nom-phi_t/2)+(phi_t/2)*-0.587785,NA())</f>
        <v/>
      </c>
      <c r="EI12">
        <f>IF(s_b/2+10*s_b&lt;1000,(s_b/2+10*s_b)+(phi_b/2)*0.809017,NA())</f>
        <v/>
      </c>
      <c r="EJ12">
        <f>IF(s_b/2+10*s_b&lt;1000,(c_nom+phi_b/2)+(phi_b/2)*-0.587785,NA())</f>
        <v/>
      </c>
      <c r="EL12">
        <f>IF(s_tp/2+10*s_tp&lt;1000,(s_tp/2+10*s_tp)+(phi_t/2)*0.809017,NA())</f>
        <v/>
      </c>
      <c r="EM12">
        <f>IF(s_tp/2+10*s_tp&lt;1000,(h_sl-c_nom-phi_t/2)+(phi_t/2)*-0.587785,NA())</f>
        <v/>
      </c>
      <c r="EO12">
        <f>IF(s_b/2+11*s_b&lt;1000,(s_b/2+11*s_b)+(phi_b/2)*0.809017,NA())</f>
        <v/>
      </c>
      <c r="EP12">
        <f>IF(s_b/2+11*s_b&lt;1000,(c_nom+phi_b/2)+(phi_b/2)*-0.587785,NA())</f>
        <v/>
      </c>
      <c r="ER12">
        <f>IF(s_tp/2+11*s_tp&lt;1000,(s_tp/2+11*s_tp)+(phi_t/2)*0.809017,NA())</f>
        <v/>
      </c>
      <c r="ES12">
        <f>IF(s_tp/2+11*s_tp&lt;1000,(h_sl-c_nom-phi_t/2)+(phi_t/2)*-0.587785,NA())</f>
        <v/>
      </c>
      <c r="EU12">
        <f>IF(s_b/2+12*s_b&lt;1000,(s_b/2+12*s_b)+(phi_b/2)*0.809017,NA())</f>
        <v/>
      </c>
      <c r="EV12">
        <f>IF(s_b/2+12*s_b&lt;1000,(c_nom+phi_b/2)+(phi_b/2)*-0.587785,NA())</f>
        <v/>
      </c>
      <c r="EX12">
        <f>IF(s_tp/2+12*s_tp&lt;1000,(s_tp/2+12*s_tp)+(phi_t/2)*0.809017,NA())</f>
        <v/>
      </c>
      <c r="EY12">
        <f>IF(s_tp/2+12*s_tp&lt;1000,(h_sl-c_nom-phi_t/2)+(phi_t/2)*-0.587785,NA())</f>
        <v/>
      </c>
      <c r="FA12">
        <f>IF(s_b/2+13*s_b&lt;1000,(s_b/2+13*s_b)+(phi_b/2)*0.809017,NA())</f>
        <v/>
      </c>
      <c r="FB12">
        <f>IF(s_b/2+13*s_b&lt;1000,(c_nom+phi_b/2)+(phi_b/2)*-0.587785,NA())</f>
        <v/>
      </c>
      <c r="FD12">
        <f>IF(s_tp/2+13*s_tp&lt;1000,(s_tp/2+13*s_tp)+(phi_t/2)*0.809017,NA())</f>
        <v/>
      </c>
      <c r="FE12">
        <f>IF(s_tp/2+13*s_tp&lt;1000,(h_sl-c_nom-phi_t/2)+(phi_t/2)*-0.587785,NA())</f>
        <v/>
      </c>
      <c r="FG12">
        <f>IF(s_b/2+14*s_b&lt;1000,(s_b/2+14*s_b)+(phi_b/2)*0.809017,NA())</f>
        <v/>
      </c>
      <c r="FH12">
        <f>IF(s_b/2+14*s_b&lt;1000,(c_nom+phi_b/2)+(phi_b/2)*-0.587785,NA())</f>
        <v/>
      </c>
      <c r="FJ12">
        <f>IF(s_tp/2+14*s_tp&lt;1000,(s_tp/2+14*s_tp)+(phi_t/2)*0.809017,NA())</f>
        <v/>
      </c>
      <c r="FK12">
        <f>IF(s_tp/2+14*s_tp&lt;1000,(h_sl-c_nom-phi_t/2)+(phi_t/2)*-0.587785,NA())</f>
        <v/>
      </c>
      <c r="FM12">
        <f>IF(s_b/2+15*s_b&lt;1000,(s_b/2+15*s_b)+(phi_b/2)*0.809017,NA())</f>
        <v/>
      </c>
      <c r="FN12">
        <f>IF(s_b/2+15*s_b&lt;1000,(c_nom+phi_b/2)+(phi_b/2)*-0.587785,NA())</f>
        <v/>
      </c>
      <c r="FP12">
        <f>IF(s_tp/2+15*s_tp&lt;1000,(s_tp/2+15*s_tp)+(phi_t/2)*0.809017,NA())</f>
        <v/>
      </c>
      <c r="FQ12">
        <f>IF(s_tp/2+15*s_tp&lt;1000,(h_sl-c_nom-phi_t/2)+(phi_t/2)*-0.587785,NA())</f>
        <v/>
      </c>
      <c r="FS12">
        <f>IF(s_b/2+16*s_b&lt;1000,(s_b/2+16*s_b)+(phi_b/2)*0.809017,NA())</f>
        <v/>
      </c>
      <c r="FT12">
        <f>IF(s_b/2+16*s_b&lt;1000,(c_nom+phi_b/2)+(phi_b/2)*-0.587785,NA())</f>
        <v/>
      </c>
      <c r="FV12">
        <f>IF(s_tp/2+16*s_tp&lt;1000,(s_tp/2+16*s_tp)+(phi_t/2)*0.809017,NA())</f>
        <v/>
      </c>
      <c r="FW12">
        <f>IF(s_tp/2+16*s_tp&lt;1000,(h_sl-c_nom-phi_t/2)+(phi_t/2)*-0.587785,NA())</f>
        <v/>
      </c>
      <c r="FY12">
        <f>IF(s_b/2+17*s_b&lt;1000,(s_b/2+17*s_b)+(phi_b/2)*0.809017,NA())</f>
        <v/>
      </c>
      <c r="FZ12">
        <f>IF(s_b/2+17*s_b&lt;1000,(c_nom+phi_b/2)+(phi_b/2)*-0.587785,NA())</f>
        <v/>
      </c>
      <c r="GB12">
        <f>IF(s_tp/2+17*s_tp&lt;1000,(s_tp/2+17*s_tp)+(phi_t/2)*0.809017,NA())</f>
        <v/>
      </c>
      <c r="GC12">
        <f>IF(s_tp/2+17*s_tp&lt;1000,(h_sl-c_nom-phi_t/2)+(phi_t/2)*-0.587785,NA())</f>
        <v/>
      </c>
      <c r="GE12">
        <f>IF(s_b/2+18*s_b&lt;1000,(s_b/2+18*s_b)+(phi_b/2)*0.809017,NA())</f>
        <v/>
      </c>
      <c r="GF12">
        <f>IF(s_b/2+18*s_b&lt;1000,(c_nom+phi_b/2)+(phi_b/2)*-0.587785,NA())</f>
        <v/>
      </c>
      <c r="GH12">
        <f>IF(s_tp/2+18*s_tp&lt;1000,(s_tp/2+18*s_tp)+(phi_t/2)*0.809017,NA())</f>
        <v/>
      </c>
      <c r="GI12">
        <f>IF(s_tp/2+18*s_tp&lt;1000,(h_sl-c_nom-phi_t/2)+(phi_t/2)*-0.587785,NA())</f>
        <v/>
      </c>
      <c r="GK12">
        <f>IF(s_b/2+19*s_b&lt;1000,(s_b/2+19*s_b)+(phi_b/2)*0.809017,NA())</f>
        <v/>
      </c>
      <c r="GL12">
        <f>IF(s_b/2+19*s_b&lt;1000,(c_nom+phi_b/2)+(phi_b/2)*-0.587785,NA())</f>
        <v/>
      </c>
      <c r="GN12">
        <f>IF(s_tp/2+19*s_tp&lt;1000,(s_tp/2+19*s_tp)+(phi_t/2)*0.809017,NA())</f>
        <v/>
      </c>
      <c r="GO12">
        <f>IF(s_tp/2+19*s_tp&lt;1000,(h_sl-c_nom-phi_t/2)+(phi_t/2)*-0.587785,NA())</f>
        <v/>
      </c>
      <c r="GQ12">
        <f>IF(s_b/2+20*s_b&lt;1000,(s_b/2+20*s_b)+(phi_b/2)*0.809017,NA())</f>
        <v/>
      </c>
      <c r="GR12">
        <f>IF(s_b/2+20*s_b&lt;1000,(c_nom+phi_b/2)+(phi_b/2)*-0.587785,NA())</f>
        <v/>
      </c>
      <c r="GT12">
        <f>IF(s_tp/2+20*s_tp&lt;1000,(s_tp/2+20*s_tp)+(phi_t/2)*0.809017,NA())</f>
        <v/>
      </c>
      <c r="GU12">
        <f>IF(s_tp/2+20*s_tp&lt;1000,(h_sl-c_nom-phi_t/2)+(phi_t/2)*-0.587785,NA())</f>
        <v/>
      </c>
      <c r="GW12">
        <f>IF(s_b/2+21*s_b&lt;1000,(s_b/2+21*s_b)+(phi_b/2)*0.809017,NA())</f>
        <v/>
      </c>
      <c r="GX12">
        <f>IF(s_b/2+21*s_b&lt;1000,(c_nom+phi_b/2)+(phi_b/2)*-0.587785,NA())</f>
        <v/>
      </c>
      <c r="GZ12">
        <f>IF(s_tp/2+21*s_tp&lt;1000,(s_tp/2+21*s_tp)+(phi_t/2)*0.809017,NA())</f>
        <v/>
      </c>
      <c r="HA12">
        <f>IF(s_tp/2+21*s_tp&lt;1000,(h_sl-c_nom-phi_t/2)+(phi_t/2)*-0.587785,NA())</f>
        <v/>
      </c>
      <c r="HC12">
        <f>IF(s_b/2+22*s_b&lt;1000,(s_b/2+22*s_b)+(phi_b/2)*0.809017,NA())</f>
        <v/>
      </c>
      <c r="HD12">
        <f>IF(s_b/2+22*s_b&lt;1000,(c_nom+phi_b/2)+(phi_b/2)*-0.587785,NA())</f>
        <v/>
      </c>
      <c r="HF12">
        <f>IF(s_tp/2+22*s_tp&lt;1000,(s_tp/2+22*s_tp)+(phi_t/2)*0.809017,NA())</f>
        <v/>
      </c>
      <c r="HG12">
        <f>IF(s_tp/2+22*s_tp&lt;1000,(h_sl-c_nom-phi_t/2)+(phi_t/2)*-0.587785,NA())</f>
        <v/>
      </c>
      <c r="HI12">
        <f>IF(s_b/2+23*s_b&lt;1000,(s_b/2+23*s_b)+(phi_b/2)*0.809017,NA())</f>
        <v/>
      </c>
      <c r="HJ12">
        <f>IF(s_b/2+23*s_b&lt;1000,(c_nom+phi_b/2)+(phi_b/2)*-0.587785,NA())</f>
        <v/>
      </c>
      <c r="HL12">
        <f>IF(s_tp/2+23*s_tp&lt;1000,(s_tp/2+23*s_tp)+(phi_t/2)*0.809017,NA())</f>
        <v/>
      </c>
      <c r="HM12">
        <f>IF(s_tp/2+23*s_tp&lt;1000,(h_sl-c_nom-phi_t/2)+(phi_t/2)*-0.587785,NA())</f>
        <v/>
      </c>
      <c r="HO12">
        <f>IF(s_b/2+24*s_b&lt;1000,(s_b/2+24*s_b)+(phi_b/2)*0.809017,NA())</f>
        <v/>
      </c>
      <c r="HP12">
        <f>IF(s_b/2+24*s_b&lt;1000,(c_nom+phi_b/2)+(phi_b/2)*-0.587785,NA())</f>
        <v/>
      </c>
      <c r="HR12">
        <f>IF(s_tp/2+24*s_tp&lt;1000,(s_tp/2+24*s_tp)+(phi_t/2)*0.809017,NA())</f>
        <v/>
      </c>
      <c r="HS12">
        <f>IF(s_tp/2+24*s_tp&lt;1000,(h_sl-c_nom-phi_t/2)+(phi_t/2)*-0.587785,NA())</f>
        <v/>
      </c>
      <c r="HU12">
        <f>IF(s_b/2+25*s_b&lt;1000,(s_b/2+25*s_b)+(phi_b/2)*0.809017,NA())</f>
        <v/>
      </c>
      <c r="HV12">
        <f>IF(s_b/2+25*s_b&lt;1000,(c_nom+phi_b/2)+(phi_b/2)*-0.587785,NA())</f>
        <v/>
      </c>
      <c r="HX12">
        <f>IF(s_tp/2+25*s_tp&lt;1000,(s_tp/2+25*s_tp)+(phi_t/2)*0.809017,NA())</f>
        <v/>
      </c>
      <c r="HY12">
        <f>IF(s_tp/2+25*s_tp&lt;1000,(h_sl-c_nom-phi_t/2)+(phi_t/2)*-0.587785,NA())</f>
        <v/>
      </c>
      <c r="IA12">
        <f>IF(s_b/2+26*s_b&lt;1000,(s_b/2+26*s_b)+(phi_b/2)*0.809017,NA())</f>
        <v/>
      </c>
      <c r="IB12">
        <f>IF(s_b/2+26*s_b&lt;1000,(c_nom+phi_b/2)+(phi_b/2)*-0.587785,NA())</f>
        <v/>
      </c>
      <c r="ID12">
        <f>IF(s_tp/2+26*s_tp&lt;1000,(s_tp/2+26*s_tp)+(phi_t/2)*0.809017,NA())</f>
        <v/>
      </c>
      <c r="IE12">
        <f>IF(s_tp/2+26*s_tp&lt;1000,(h_sl-c_nom-phi_t/2)+(phi_t/2)*-0.587785,NA())</f>
        <v/>
      </c>
      <c r="IG12">
        <f>IF(s_b/2+27*s_b&lt;1000,(s_b/2+27*s_b)+(phi_b/2)*0.809017,NA())</f>
        <v/>
      </c>
      <c r="IH12">
        <f>IF(s_b/2+27*s_b&lt;1000,(c_nom+phi_b/2)+(phi_b/2)*-0.587785,NA())</f>
        <v/>
      </c>
      <c r="IJ12">
        <f>IF(s_tp/2+27*s_tp&lt;1000,(s_tp/2+27*s_tp)+(phi_t/2)*0.809017,NA())</f>
        <v/>
      </c>
      <c r="IK12">
        <f>IF(s_tp/2+27*s_tp&lt;1000,(h_sl-c_nom-phi_t/2)+(phi_t/2)*-0.587785,NA())</f>
        <v/>
      </c>
      <c r="IM12">
        <f>IF(s_b/2+28*s_b&lt;1000,(s_b/2+28*s_b)+(phi_b/2)*0.809017,NA())</f>
        <v/>
      </c>
      <c r="IN12">
        <f>IF(s_b/2+28*s_b&lt;1000,(c_nom+phi_b/2)+(phi_b/2)*-0.587785,NA())</f>
        <v/>
      </c>
      <c r="IP12">
        <f>IF(s_tp/2+28*s_tp&lt;1000,(s_tp/2+28*s_tp)+(phi_t/2)*0.809017,NA())</f>
        <v/>
      </c>
      <c r="IQ12">
        <f>IF(s_tp/2+28*s_tp&lt;1000,(h_sl-c_nom-phi_t/2)+(phi_t/2)*-0.587785,NA())</f>
        <v/>
      </c>
      <c r="IS12">
        <f>IF(s_b/2+29*s_b&lt;1000,(s_b/2+29*s_b)+(phi_b/2)*0.809017,NA())</f>
        <v/>
      </c>
      <c r="IT12">
        <f>IF(s_b/2+29*s_b&lt;1000,(c_nom+phi_b/2)+(phi_b/2)*-0.587785,NA())</f>
        <v/>
      </c>
      <c r="IV12">
        <f>IF(s_tp/2+29*s_tp&lt;1000,(s_tp/2+29*s_tp)+(phi_t/2)*0.809017,NA())</f>
        <v/>
      </c>
      <c r="IW12">
        <f>IF(s_tp/2+29*s_tp&lt;1000,(h_sl-c_nom-phi_t/2)+(phi_t/2)*-0.587785,NA())</f>
        <v/>
      </c>
      <c r="IY12">
        <f>IF(s_b/2+30*s_b&lt;1000,(s_b/2+30*s_b)+(phi_b/2)*0.809017,NA())</f>
        <v/>
      </c>
      <c r="IZ12">
        <f>IF(s_b/2+30*s_b&lt;1000,(c_nom+phi_b/2)+(phi_b/2)*-0.587785,NA())</f>
        <v/>
      </c>
      <c r="JB12">
        <f>IF(s_tp/2+30*s_tp&lt;1000,(s_tp/2+30*s_tp)+(phi_t/2)*0.809017,NA())</f>
        <v/>
      </c>
      <c r="JC12">
        <f>IF(s_tp/2+30*s_tp&lt;1000,(h_sl-c_nom-phi_t/2)+(phi_t/2)*-0.587785,NA())</f>
        <v/>
      </c>
      <c r="JE12">
        <f>IF(s_b/2+31*s_b&lt;1000,(s_b/2+31*s_b)+(phi_b/2)*0.809017,NA())</f>
        <v/>
      </c>
      <c r="JF12">
        <f>IF(s_b/2+31*s_b&lt;1000,(c_nom+phi_b/2)+(phi_b/2)*-0.587785,NA())</f>
        <v/>
      </c>
      <c r="JH12">
        <f>IF(s_tp/2+31*s_tp&lt;1000,(s_tp/2+31*s_tp)+(phi_t/2)*0.809017,NA())</f>
        <v/>
      </c>
      <c r="JI12">
        <f>IF(s_tp/2+31*s_tp&lt;1000,(h_sl-c_nom-phi_t/2)+(phi_t/2)*-0.587785,NA())</f>
        <v/>
      </c>
      <c r="JK12">
        <f>IF(s_b/2+32*s_b&lt;1000,(s_b/2+32*s_b)+(phi_b/2)*0.809017,NA())</f>
        <v/>
      </c>
      <c r="JL12">
        <f>IF(s_b/2+32*s_b&lt;1000,(c_nom+phi_b/2)+(phi_b/2)*-0.587785,NA())</f>
        <v/>
      </c>
      <c r="JN12">
        <f>IF(s_tp/2+32*s_tp&lt;1000,(s_tp/2+32*s_tp)+(phi_t/2)*0.809017,NA())</f>
        <v/>
      </c>
      <c r="JO12">
        <f>IF(s_tp/2+32*s_tp&lt;1000,(h_sl-c_nom-phi_t/2)+(phi_t/2)*-0.587785,NA())</f>
        <v/>
      </c>
      <c r="JQ12">
        <f>IF(s_b/2+33*s_b&lt;1000,(s_b/2+33*s_b)+(phi_b/2)*0.809017,NA())</f>
        <v/>
      </c>
      <c r="JR12">
        <f>IF(s_b/2+33*s_b&lt;1000,(c_nom+phi_b/2)+(phi_b/2)*-0.587785,NA())</f>
        <v/>
      </c>
      <c r="JT12">
        <f>IF(s_tp/2+33*s_tp&lt;1000,(s_tp/2+33*s_tp)+(phi_t/2)*0.809017,NA())</f>
        <v/>
      </c>
      <c r="JU12">
        <f>IF(s_tp/2+33*s_tp&lt;1000,(h_sl-c_nom-phi_t/2)+(phi_t/2)*-0.587785,NA())</f>
        <v/>
      </c>
    </row>
    <row r="13">
      <c r="AW13">
        <f>0.375000*L_sl</f>
        <v/>
      </c>
      <c r="AX13">
        <f>(-0.35*L_sl)-(0.22*L_sl/MAX(M_sp,M_su,0.001))*(IF(sys_i=6,-M_lt*0.390625,-M_lt*0.156250+M_sp*0.937500-M_rt*-0.093750))</f>
        <v/>
      </c>
      <c r="CA13">
        <f>IF(s_b/2+0*s_b&lt;1000,(s_b/2+0*s_b)+(phi_b/2)*1.000000,NA())</f>
        <v/>
      </c>
      <c r="CB13">
        <f>IF(s_b/2+0*s_b&lt;1000,(c_nom+phi_b/2)+(phi_b/2)*-0.000000,NA())</f>
        <v/>
      </c>
      <c r="CD13">
        <f>IF(s_tp/2+0*s_tp&lt;1000,(s_tp/2+0*s_tp)+(phi_t/2)*1.000000,NA())</f>
        <v/>
      </c>
      <c r="CE13">
        <f>IF(s_tp/2+0*s_tp&lt;1000,(h_sl-c_nom-phi_t/2)+(phi_t/2)*-0.000000,NA())</f>
        <v/>
      </c>
      <c r="CG13">
        <f>IF(s_b/2+1*s_b&lt;1000,(s_b/2+1*s_b)+(phi_b/2)*1.000000,NA())</f>
        <v/>
      </c>
      <c r="CH13">
        <f>IF(s_b/2+1*s_b&lt;1000,(c_nom+phi_b/2)+(phi_b/2)*-0.000000,NA())</f>
        <v/>
      </c>
      <c r="CJ13">
        <f>IF(s_tp/2+1*s_tp&lt;1000,(s_tp/2+1*s_tp)+(phi_t/2)*1.000000,NA())</f>
        <v/>
      </c>
      <c r="CK13">
        <f>IF(s_tp/2+1*s_tp&lt;1000,(h_sl-c_nom-phi_t/2)+(phi_t/2)*-0.000000,NA())</f>
        <v/>
      </c>
      <c r="CM13">
        <f>IF(s_b/2+2*s_b&lt;1000,(s_b/2+2*s_b)+(phi_b/2)*1.000000,NA())</f>
        <v/>
      </c>
      <c r="CN13">
        <f>IF(s_b/2+2*s_b&lt;1000,(c_nom+phi_b/2)+(phi_b/2)*-0.000000,NA())</f>
        <v/>
      </c>
      <c r="CP13">
        <f>IF(s_tp/2+2*s_tp&lt;1000,(s_tp/2+2*s_tp)+(phi_t/2)*1.000000,NA())</f>
        <v/>
      </c>
      <c r="CQ13">
        <f>IF(s_tp/2+2*s_tp&lt;1000,(h_sl-c_nom-phi_t/2)+(phi_t/2)*-0.000000,NA())</f>
        <v/>
      </c>
      <c r="CS13">
        <f>IF(s_b/2+3*s_b&lt;1000,(s_b/2+3*s_b)+(phi_b/2)*1.000000,NA())</f>
        <v/>
      </c>
      <c r="CT13">
        <f>IF(s_b/2+3*s_b&lt;1000,(c_nom+phi_b/2)+(phi_b/2)*-0.000000,NA())</f>
        <v/>
      </c>
      <c r="CV13">
        <f>IF(s_tp/2+3*s_tp&lt;1000,(s_tp/2+3*s_tp)+(phi_t/2)*1.000000,NA())</f>
        <v/>
      </c>
      <c r="CW13">
        <f>IF(s_tp/2+3*s_tp&lt;1000,(h_sl-c_nom-phi_t/2)+(phi_t/2)*-0.000000,NA())</f>
        <v/>
      </c>
      <c r="CY13">
        <f>IF(s_b/2+4*s_b&lt;1000,(s_b/2+4*s_b)+(phi_b/2)*1.000000,NA())</f>
        <v/>
      </c>
      <c r="CZ13">
        <f>IF(s_b/2+4*s_b&lt;1000,(c_nom+phi_b/2)+(phi_b/2)*-0.000000,NA())</f>
        <v/>
      </c>
      <c r="DB13">
        <f>IF(s_tp/2+4*s_tp&lt;1000,(s_tp/2+4*s_tp)+(phi_t/2)*1.000000,NA())</f>
        <v/>
      </c>
      <c r="DC13">
        <f>IF(s_tp/2+4*s_tp&lt;1000,(h_sl-c_nom-phi_t/2)+(phi_t/2)*-0.000000,NA())</f>
        <v/>
      </c>
      <c r="DE13">
        <f>IF(s_b/2+5*s_b&lt;1000,(s_b/2+5*s_b)+(phi_b/2)*1.000000,NA())</f>
        <v/>
      </c>
      <c r="DF13">
        <f>IF(s_b/2+5*s_b&lt;1000,(c_nom+phi_b/2)+(phi_b/2)*-0.000000,NA())</f>
        <v/>
      </c>
      <c r="DH13">
        <f>IF(s_tp/2+5*s_tp&lt;1000,(s_tp/2+5*s_tp)+(phi_t/2)*1.000000,NA())</f>
        <v/>
      </c>
      <c r="DI13">
        <f>IF(s_tp/2+5*s_tp&lt;1000,(h_sl-c_nom-phi_t/2)+(phi_t/2)*-0.000000,NA())</f>
        <v/>
      </c>
      <c r="DK13">
        <f>IF(s_b/2+6*s_b&lt;1000,(s_b/2+6*s_b)+(phi_b/2)*1.000000,NA())</f>
        <v/>
      </c>
      <c r="DL13">
        <f>IF(s_b/2+6*s_b&lt;1000,(c_nom+phi_b/2)+(phi_b/2)*-0.000000,NA())</f>
        <v/>
      </c>
      <c r="DN13">
        <f>IF(s_tp/2+6*s_tp&lt;1000,(s_tp/2+6*s_tp)+(phi_t/2)*1.000000,NA())</f>
        <v/>
      </c>
      <c r="DO13">
        <f>IF(s_tp/2+6*s_tp&lt;1000,(h_sl-c_nom-phi_t/2)+(phi_t/2)*-0.000000,NA())</f>
        <v/>
      </c>
      <c r="DQ13">
        <f>IF(s_b/2+7*s_b&lt;1000,(s_b/2+7*s_b)+(phi_b/2)*1.000000,NA())</f>
        <v/>
      </c>
      <c r="DR13">
        <f>IF(s_b/2+7*s_b&lt;1000,(c_nom+phi_b/2)+(phi_b/2)*-0.000000,NA())</f>
        <v/>
      </c>
      <c r="DT13">
        <f>IF(s_tp/2+7*s_tp&lt;1000,(s_tp/2+7*s_tp)+(phi_t/2)*1.000000,NA())</f>
        <v/>
      </c>
      <c r="DU13">
        <f>IF(s_tp/2+7*s_tp&lt;1000,(h_sl-c_nom-phi_t/2)+(phi_t/2)*-0.000000,NA())</f>
        <v/>
      </c>
      <c r="DW13">
        <f>IF(s_b/2+8*s_b&lt;1000,(s_b/2+8*s_b)+(phi_b/2)*1.000000,NA())</f>
        <v/>
      </c>
      <c r="DX13">
        <f>IF(s_b/2+8*s_b&lt;1000,(c_nom+phi_b/2)+(phi_b/2)*-0.000000,NA())</f>
        <v/>
      </c>
      <c r="DZ13">
        <f>IF(s_tp/2+8*s_tp&lt;1000,(s_tp/2+8*s_tp)+(phi_t/2)*1.000000,NA())</f>
        <v/>
      </c>
      <c r="EA13">
        <f>IF(s_tp/2+8*s_tp&lt;1000,(h_sl-c_nom-phi_t/2)+(phi_t/2)*-0.000000,NA())</f>
        <v/>
      </c>
      <c r="EC13">
        <f>IF(s_b/2+9*s_b&lt;1000,(s_b/2+9*s_b)+(phi_b/2)*1.000000,NA())</f>
        <v/>
      </c>
      <c r="ED13">
        <f>IF(s_b/2+9*s_b&lt;1000,(c_nom+phi_b/2)+(phi_b/2)*-0.000000,NA())</f>
        <v/>
      </c>
      <c r="EF13">
        <f>IF(s_tp/2+9*s_tp&lt;1000,(s_tp/2+9*s_tp)+(phi_t/2)*1.000000,NA())</f>
        <v/>
      </c>
      <c r="EG13">
        <f>IF(s_tp/2+9*s_tp&lt;1000,(h_sl-c_nom-phi_t/2)+(phi_t/2)*-0.000000,NA())</f>
        <v/>
      </c>
      <c r="EI13">
        <f>IF(s_b/2+10*s_b&lt;1000,(s_b/2+10*s_b)+(phi_b/2)*1.000000,NA())</f>
        <v/>
      </c>
      <c r="EJ13">
        <f>IF(s_b/2+10*s_b&lt;1000,(c_nom+phi_b/2)+(phi_b/2)*-0.000000,NA())</f>
        <v/>
      </c>
      <c r="EL13">
        <f>IF(s_tp/2+10*s_tp&lt;1000,(s_tp/2+10*s_tp)+(phi_t/2)*1.000000,NA())</f>
        <v/>
      </c>
      <c r="EM13">
        <f>IF(s_tp/2+10*s_tp&lt;1000,(h_sl-c_nom-phi_t/2)+(phi_t/2)*-0.000000,NA())</f>
        <v/>
      </c>
      <c r="EO13">
        <f>IF(s_b/2+11*s_b&lt;1000,(s_b/2+11*s_b)+(phi_b/2)*1.000000,NA())</f>
        <v/>
      </c>
      <c r="EP13">
        <f>IF(s_b/2+11*s_b&lt;1000,(c_nom+phi_b/2)+(phi_b/2)*-0.000000,NA())</f>
        <v/>
      </c>
      <c r="ER13">
        <f>IF(s_tp/2+11*s_tp&lt;1000,(s_tp/2+11*s_tp)+(phi_t/2)*1.000000,NA())</f>
        <v/>
      </c>
      <c r="ES13">
        <f>IF(s_tp/2+11*s_tp&lt;1000,(h_sl-c_nom-phi_t/2)+(phi_t/2)*-0.000000,NA())</f>
        <v/>
      </c>
      <c r="EU13">
        <f>IF(s_b/2+12*s_b&lt;1000,(s_b/2+12*s_b)+(phi_b/2)*1.000000,NA())</f>
        <v/>
      </c>
      <c r="EV13">
        <f>IF(s_b/2+12*s_b&lt;1000,(c_nom+phi_b/2)+(phi_b/2)*-0.000000,NA())</f>
        <v/>
      </c>
      <c r="EX13">
        <f>IF(s_tp/2+12*s_tp&lt;1000,(s_tp/2+12*s_tp)+(phi_t/2)*1.000000,NA())</f>
        <v/>
      </c>
      <c r="EY13">
        <f>IF(s_tp/2+12*s_tp&lt;1000,(h_sl-c_nom-phi_t/2)+(phi_t/2)*-0.000000,NA())</f>
        <v/>
      </c>
      <c r="FA13">
        <f>IF(s_b/2+13*s_b&lt;1000,(s_b/2+13*s_b)+(phi_b/2)*1.000000,NA())</f>
        <v/>
      </c>
      <c r="FB13">
        <f>IF(s_b/2+13*s_b&lt;1000,(c_nom+phi_b/2)+(phi_b/2)*-0.000000,NA())</f>
        <v/>
      </c>
      <c r="FD13">
        <f>IF(s_tp/2+13*s_tp&lt;1000,(s_tp/2+13*s_tp)+(phi_t/2)*1.000000,NA())</f>
        <v/>
      </c>
      <c r="FE13">
        <f>IF(s_tp/2+13*s_tp&lt;1000,(h_sl-c_nom-phi_t/2)+(phi_t/2)*-0.000000,NA())</f>
        <v/>
      </c>
      <c r="FG13">
        <f>IF(s_b/2+14*s_b&lt;1000,(s_b/2+14*s_b)+(phi_b/2)*1.000000,NA())</f>
        <v/>
      </c>
      <c r="FH13">
        <f>IF(s_b/2+14*s_b&lt;1000,(c_nom+phi_b/2)+(phi_b/2)*-0.000000,NA())</f>
        <v/>
      </c>
      <c r="FJ13">
        <f>IF(s_tp/2+14*s_tp&lt;1000,(s_tp/2+14*s_tp)+(phi_t/2)*1.000000,NA())</f>
        <v/>
      </c>
      <c r="FK13">
        <f>IF(s_tp/2+14*s_tp&lt;1000,(h_sl-c_nom-phi_t/2)+(phi_t/2)*-0.000000,NA())</f>
        <v/>
      </c>
      <c r="FM13">
        <f>IF(s_b/2+15*s_b&lt;1000,(s_b/2+15*s_b)+(phi_b/2)*1.000000,NA())</f>
        <v/>
      </c>
      <c r="FN13">
        <f>IF(s_b/2+15*s_b&lt;1000,(c_nom+phi_b/2)+(phi_b/2)*-0.000000,NA())</f>
        <v/>
      </c>
      <c r="FP13">
        <f>IF(s_tp/2+15*s_tp&lt;1000,(s_tp/2+15*s_tp)+(phi_t/2)*1.000000,NA())</f>
        <v/>
      </c>
      <c r="FQ13">
        <f>IF(s_tp/2+15*s_tp&lt;1000,(h_sl-c_nom-phi_t/2)+(phi_t/2)*-0.000000,NA())</f>
        <v/>
      </c>
      <c r="FS13">
        <f>IF(s_b/2+16*s_b&lt;1000,(s_b/2+16*s_b)+(phi_b/2)*1.000000,NA())</f>
        <v/>
      </c>
      <c r="FT13">
        <f>IF(s_b/2+16*s_b&lt;1000,(c_nom+phi_b/2)+(phi_b/2)*-0.000000,NA())</f>
        <v/>
      </c>
      <c r="FV13">
        <f>IF(s_tp/2+16*s_tp&lt;1000,(s_tp/2+16*s_tp)+(phi_t/2)*1.000000,NA())</f>
        <v/>
      </c>
      <c r="FW13">
        <f>IF(s_tp/2+16*s_tp&lt;1000,(h_sl-c_nom-phi_t/2)+(phi_t/2)*-0.000000,NA())</f>
        <v/>
      </c>
      <c r="FY13">
        <f>IF(s_b/2+17*s_b&lt;1000,(s_b/2+17*s_b)+(phi_b/2)*1.000000,NA())</f>
        <v/>
      </c>
      <c r="FZ13">
        <f>IF(s_b/2+17*s_b&lt;1000,(c_nom+phi_b/2)+(phi_b/2)*-0.000000,NA())</f>
        <v/>
      </c>
      <c r="GB13">
        <f>IF(s_tp/2+17*s_tp&lt;1000,(s_tp/2+17*s_tp)+(phi_t/2)*1.000000,NA())</f>
        <v/>
      </c>
      <c r="GC13">
        <f>IF(s_tp/2+17*s_tp&lt;1000,(h_sl-c_nom-phi_t/2)+(phi_t/2)*-0.000000,NA())</f>
        <v/>
      </c>
      <c r="GE13">
        <f>IF(s_b/2+18*s_b&lt;1000,(s_b/2+18*s_b)+(phi_b/2)*1.000000,NA())</f>
        <v/>
      </c>
      <c r="GF13">
        <f>IF(s_b/2+18*s_b&lt;1000,(c_nom+phi_b/2)+(phi_b/2)*-0.000000,NA())</f>
        <v/>
      </c>
      <c r="GH13">
        <f>IF(s_tp/2+18*s_tp&lt;1000,(s_tp/2+18*s_tp)+(phi_t/2)*1.000000,NA())</f>
        <v/>
      </c>
      <c r="GI13">
        <f>IF(s_tp/2+18*s_tp&lt;1000,(h_sl-c_nom-phi_t/2)+(phi_t/2)*-0.000000,NA())</f>
        <v/>
      </c>
      <c r="GK13">
        <f>IF(s_b/2+19*s_b&lt;1000,(s_b/2+19*s_b)+(phi_b/2)*1.000000,NA())</f>
        <v/>
      </c>
      <c r="GL13">
        <f>IF(s_b/2+19*s_b&lt;1000,(c_nom+phi_b/2)+(phi_b/2)*-0.000000,NA())</f>
        <v/>
      </c>
      <c r="GN13">
        <f>IF(s_tp/2+19*s_tp&lt;1000,(s_tp/2+19*s_tp)+(phi_t/2)*1.000000,NA())</f>
        <v/>
      </c>
      <c r="GO13">
        <f>IF(s_tp/2+19*s_tp&lt;1000,(h_sl-c_nom-phi_t/2)+(phi_t/2)*-0.000000,NA())</f>
        <v/>
      </c>
      <c r="GQ13">
        <f>IF(s_b/2+20*s_b&lt;1000,(s_b/2+20*s_b)+(phi_b/2)*1.000000,NA())</f>
        <v/>
      </c>
      <c r="GR13">
        <f>IF(s_b/2+20*s_b&lt;1000,(c_nom+phi_b/2)+(phi_b/2)*-0.000000,NA())</f>
        <v/>
      </c>
      <c r="GT13">
        <f>IF(s_tp/2+20*s_tp&lt;1000,(s_tp/2+20*s_tp)+(phi_t/2)*1.000000,NA())</f>
        <v/>
      </c>
      <c r="GU13">
        <f>IF(s_tp/2+20*s_tp&lt;1000,(h_sl-c_nom-phi_t/2)+(phi_t/2)*-0.000000,NA())</f>
        <v/>
      </c>
      <c r="GW13">
        <f>IF(s_b/2+21*s_b&lt;1000,(s_b/2+21*s_b)+(phi_b/2)*1.000000,NA())</f>
        <v/>
      </c>
      <c r="GX13">
        <f>IF(s_b/2+21*s_b&lt;1000,(c_nom+phi_b/2)+(phi_b/2)*-0.000000,NA())</f>
        <v/>
      </c>
      <c r="GZ13">
        <f>IF(s_tp/2+21*s_tp&lt;1000,(s_tp/2+21*s_tp)+(phi_t/2)*1.000000,NA())</f>
        <v/>
      </c>
      <c r="HA13">
        <f>IF(s_tp/2+21*s_tp&lt;1000,(h_sl-c_nom-phi_t/2)+(phi_t/2)*-0.000000,NA())</f>
        <v/>
      </c>
      <c r="HC13">
        <f>IF(s_b/2+22*s_b&lt;1000,(s_b/2+22*s_b)+(phi_b/2)*1.000000,NA())</f>
        <v/>
      </c>
      <c r="HD13">
        <f>IF(s_b/2+22*s_b&lt;1000,(c_nom+phi_b/2)+(phi_b/2)*-0.000000,NA())</f>
        <v/>
      </c>
      <c r="HF13">
        <f>IF(s_tp/2+22*s_tp&lt;1000,(s_tp/2+22*s_tp)+(phi_t/2)*1.000000,NA())</f>
        <v/>
      </c>
      <c r="HG13">
        <f>IF(s_tp/2+22*s_tp&lt;1000,(h_sl-c_nom-phi_t/2)+(phi_t/2)*-0.000000,NA())</f>
        <v/>
      </c>
      <c r="HI13">
        <f>IF(s_b/2+23*s_b&lt;1000,(s_b/2+23*s_b)+(phi_b/2)*1.000000,NA())</f>
        <v/>
      </c>
      <c r="HJ13">
        <f>IF(s_b/2+23*s_b&lt;1000,(c_nom+phi_b/2)+(phi_b/2)*-0.000000,NA())</f>
        <v/>
      </c>
      <c r="HL13">
        <f>IF(s_tp/2+23*s_tp&lt;1000,(s_tp/2+23*s_tp)+(phi_t/2)*1.000000,NA())</f>
        <v/>
      </c>
      <c r="HM13">
        <f>IF(s_tp/2+23*s_tp&lt;1000,(h_sl-c_nom-phi_t/2)+(phi_t/2)*-0.000000,NA())</f>
        <v/>
      </c>
      <c r="HO13">
        <f>IF(s_b/2+24*s_b&lt;1000,(s_b/2+24*s_b)+(phi_b/2)*1.000000,NA())</f>
        <v/>
      </c>
      <c r="HP13">
        <f>IF(s_b/2+24*s_b&lt;1000,(c_nom+phi_b/2)+(phi_b/2)*-0.000000,NA())</f>
        <v/>
      </c>
      <c r="HR13">
        <f>IF(s_tp/2+24*s_tp&lt;1000,(s_tp/2+24*s_tp)+(phi_t/2)*1.000000,NA())</f>
        <v/>
      </c>
      <c r="HS13">
        <f>IF(s_tp/2+24*s_tp&lt;1000,(h_sl-c_nom-phi_t/2)+(phi_t/2)*-0.000000,NA())</f>
        <v/>
      </c>
      <c r="HU13">
        <f>IF(s_b/2+25*s_b&lt;1000,(s_b/2+25*s_b)+(phi_b/2)*1.000000,NA())</f>
        <v/>
      </c>
      <c r="HV13">
        <f>IF(s_b/2+25*s_b&lt;1000,(c_nom+phi_b/2)+(phi_b/2)*-0.000000,NA())</f>
        <v/>
      </c>
      <c r="HX13">
        <f>IF(s_tp/2+25*s_tp&lt;1000,(s_tp/2+25*s_tp)+(phi_t/2)*1.000000,NA())</f>
        <v/>
      </c>
      <c r="HY13">
        <f>IF(s_tp/2+25*s_tp&lt;1000,(h_sl-c_nom-phi_t/2)+(phi_t/2)*-0.000000,NA())</f>
        <v/>
      </c>
      <c r="IA13">
        <f>IF(s_b/2+26*s_b&lt;1000,(s_b/2+26*s_b)+(phi_b/2)*1.000000,NA())</f>
        <v/>
      </c>
      <c r="IB13">
        <f>IF(s_b/2+26*s_b&lt;1000,(c_nom+phi_b/2)+(phi_b/2)*-0.000000,NA())</f>
        <v/>
      </c>
      <c r="ID13">
        <f>IF(s_tp/2+26*s_tp&lt;1000,(s_tp/2+26*s_tp)+(phi_t/2)*1.000000,NA())</f>
        <v/>
      </c>
      <c r="IE13">
        <f>IF(s_tp/2+26*s_tp&lt;1000,(h_sl-c_nom-phi_t/2)+(phi_t/2)*-0.000000,NA())</f>
        <v/>
      </c>
      <c r="IG13">
        <f>IF(s_b/2+27*s_b&lt;1000,(s_b/2+27*s_b)+(phi_b/2)*1.000000,NA())</f>
        <v/>
      </c>
      <c r="IH13">
        <f>IF(s_b/2+27*s_b&lt;1000,(c_nom+phi_b/2)+(phi_b/2)*-0.000000,NA())</f>
        <v/>
      </c>
      <c r="IJ13">
        <f>IF(s_tp/2+27*s_tp&lt;1000,(s_tp/2+27*s_tp)+(phi_t/2)*1.000000,NA())</f>
        <v/>
      </c>
      <c r="IK13">
        <f>IF(s_tp/2+27*s_tp&lt;1000,(h_sl-c_nom-phi_t/2)+(phi_t/2)*-0.000000,NA())</f>
        <v/>
      </c>
      <c r="IM13">
        <f>IF(s_b/2+28*s_b&lt;1000,(s_b/2+28*s_b)+(phi_b/2)*1.000000,NA())</f>
        <v/>
      </c>
      <c r="IN13">
        <f>IF(s_b/2+28*s_b&lt;1000,(c_nom+phi_b/2)+(phi_b/2)*-0.000000,NA())</f>
        <v/>
      </c>
      <c r="IP13">
        <f>IF(s_tp/2+28*s_tp&lt;1000,(s_tp/2+28*s_tp)+(phi_t/2)*1.000000,NA())</f>
        <v/>
      </c>
      <c r="IQ13">
        <f>IF(s_tp/2+28*s_tp&lt;1000,(h_sl-c_nom-phi_t/2)+(phi_t/2)*-0.000000,NA())</f>
        <v/>
      </c>
      <c r="IS13">
        <f>IF(s_b/2+29*s_b&lt;1000,(s_b/2+29*s_b)+(phi_b/2)*1.000000,NA())</f>
        <v/>
      </c>
      <c r="IT13">
        <f>IF(s_b/2+29*s_b&lt;1000,(c_nom+phi_b/2)+(phi_b/2)*-0.000000,NA())</f>
        <v/>
      </c>
      <c r="IV13">
        <f>IF(s_tp/2+29*s_tp&lt;1000,(s_tp/2+29*s_tp)+(phi_t/2)*1.000000,NA())</f>
        <v/>
      </c>
      <c r="IW13">
        <f>IF(s_tp/2+29*s_tp&lt;1000,(h_sl-c_nom-phi_t/2)+(phi_t/2)*-0.000000,NA())</f>
        <v/>
      </c>
      <c r="IY13">
        <f>IF(s_b/2+30*s_b&lt;1000,(s_b/2+30*s_b)+(phi_b/2)*1.000000,NA())</f>
        <v/>
      </c>
      <c r="IZ13">
        <f>IF(s_b/2+30*s_b&lt;1000,(c_nom+phi_b/2)+(phi_b/2)*-0.000000,NA())</f>
        <v/>
      </c>
      <c r="JB13">
        <f>IF(s_tp/2+30*s_tp&lt;1000,(s_tp/2+30*s_tp)+(phi_t/2)*1.000000,NA())</f>
        <v/>
      </c>
      <c r="JC13">
        <f>IF(s_tp/2+30*s_tp&lt;1000,(h_sl-c_nom-phi_t/2)+(phi_t/2)*-0.000000,NA())</f>
        <v/>
      </c>
      <c r="JE13">
        <f>IF(s_b/2+31*s_b&lt;1000,(s_b/2+31*s_b)+(phi_b/2)*1.000000,NA())</f>
        <v/>
      </c>
      <c r="JF13">
        <f>IF(s_b/2+31*s_b&lt;1000,(c_nom+phi_b/2)+(phi_b/2)*-0.000000,NA())</f>
        <v/>
      </c>
      <c r="JH13">
        <f>IF(s_tp/2+31*s_tp&lt;1000,(s_tp/2+31*s_tp)+(phi_t/2)*1.000000,NA())</f>
        <v/>
      </c>
      <c r="JI13">
        <f>IF(s_tp/2+31*s_tp&lt;1000,(h_sl-c_nom-phi_t/2)+(phi_t/2)*-0.000000,NA())</f>
        <v/>
      </c>
      <c r="JK13">
        <f>IF(s_b/2+32*s_b&lt;1000,(s_b/2+32*s_b)+(phi_b/2)*1.000000,NA())</f>
        <v/>
      </c>
      <c r="JL13">
        <f>IF(s_b/2+32*s_b&lt;1000,(c_nom+phi_b/2)+(phi_b/2)*-0.000000,NA())</f>
        <v/>
      </c>
      <c r="JN13">
        <f>IF(s_tp/2+32*s_tp&lt;1000,(s_tp/2+32*s_tp)+(phi_t/2)*1.000000,NA())</f>
        <v/>
      </c>
      <c r="JO13">
        <f>IF(s_tp/2+32*s_tp&lt;1000,(h_sl-c_nom-phi_t/2)+(phi_t/2)*-0.000000,NA())</f>
        <v/>
      </c>
      <c r="JQ13">
        <f>IF(s_b/2+33*s_b&lt;1000,(s_b/2+33*s_b)+(phi_b/2)*1.000000,NA())</f>
        <v/>
      </c>
      <c r="JR13">
        <f>IF(s_b/2+33*s_b&lt;1000,(c_nom+phi_b/2)+(phi_b/2)*-0.000000,NA())</f>
        <v/>
      </c>
      <c r="JT13">
        <f>IF(s_tp/2+33*s_tp&lt;1000,(s_tp/2+33*s_tp)+(phi_t/2)*1.000000,NA())</f>
        <v/>
      </c>
      <c r="JU13">
        <f>IF(s_tp/2+33*s_tp&lt;1000,(h_sl-c_nom-phi_t/2)+(phi_t/2)*-0.000000,NA())</f>
        <v/>
      </c>
    </row>
    <row r="14">
      <c r="AW14">
        <f>0.416667*L_sl</f>
        <v/>
      </c>
      <c r="AX14">
        <f>(-0.35*L_sl)-(0.22*L_sl/MAX(M_sp,M_su,0.001))*(IF(sys_i=6,-M_lt*0.340278,-M_lt*0.097222+M_sp*0.972222-M_rt*-0.069444))</f>
        <v/>
      </c>
    </row>
    <row r="15">
      <c r="AW15">
        <f>0.458333*L_sl</f>
        <v/>
      </c>
      <c r="AX15">
        <f>(-0.35*L_sl)-(0.22*L_sl/MAX(M_sp,M_su,0.001))*(IF(sys_i=6,-M_lt*0.293403,-M_lt*0.045139+M_sp*0.993056-M_rt*-0.038194))</f>
        <v/>
      </c>
    </row>
    <row r="16">
      <c r="AW16">
        <f>0.500000*L_sl</f>
        <v/>
      </c>
      <c r="AX16">
        <f>(-0.35*L_sl)-(0.22*L_sl/MAX(M_sp,M_su,0.001))*(IF(sys_i=6,-M_lt*0.250000,-M_lt*-0.000000+M_sp*1.000000-M_rt*0.000000))</f>
        <v/>
      </c>
    </row>
    <row r="17">
      <c r="AW17">
        <f>0.541667*L_sl</f>
        <v/>
      </c>
      <c r="AX17">
        <f>(-0.35*L_sl)-(0.22*L_sl/MAX(M_sp,M_su,0.001))*(IF(sys_i=6,-M_lt*0.210069,-M_lt*-0.038194+M_sp*0.993056-M_rt*0.045139))</f>
        <v/>
      </c>
    </row>
    <row r="18">
      <c r="AW18">
        <f>0.583333*L_sl</f>
        <v/>
      </c>
      <c r="AX18">
        <f>(-0.35*L_sl)-(0.22*L_sl/MAX(M_sp,M_su,0.001))*(IF(sys_i=6,-M_lt*0.173611,-M_lt*-0.069444+M_sp*0.972222-M_rt*0.097222))</f>
        <v/>
      </c>
    </row>
    <row r="19">
      <c r="AW19">
        <f>0.625000*L_sl</f>
        <v/>
      </c>
      <c r="AX19">
        <f>(-0.35*L_sl)-(0.22*L_sl/MAX(M_sp,M_su,0.001))*(IF(sys_i=6,-M_lt*0.140625,-M_lt*-0.093750+M_sp*0.937500-M_rt*0.156250))</f>
        <v/>
      </c>
    </row>
    <row r="20">
      <c r="AW20">
        <f>0.666667*L_sl</f>
        <v/>
      </c>
      <c r="AX20">
        <f>(-0.35*L_sl)-(0.22*L_sl/MAX(M_sp,M_su,0.001))*(IF(sys_i=6,-M_lt*0.111111,-M_lt*-0.111111+M_sp*0.888889-M_rt*0.222222))</f>
        <v/>
      </c>
    </row>
    <row r="21">
      <c r="AW21">
        <f>0.708333*L_sl</f>
        <v/>
      </c>
      <c r="AX21">
        <f>(-0.35*L_sl)-(0.22*L_sl/MAX(M_sp,M_su,0.001))*(IF(sys_i=6,-M_lt*0.085069,-M_lt*-0.121528+M_sp*0.826389-M_rt*0.295139))</f>
        <v/>
      </c>
    </row>
    <row r="22">
      <c r="AW22">
        <f>0.750000*L_sl</f>
        <v/>
      </c>
      <c r="AX22">
        <f>(-0.35*L_sl)-(0.22*L_sl/MAX(M_sp,M_su,0.001))*(IF(sys_i=6,-M_lt*0.062500,-M_lt*-0.125000+M_sp*0.750000-M_rt*0.375000))</f>
        <v/>
      </c>
    </row>
    <row r="23">
      <c r="AW23">
        <f>0.791667*L_sl</f>
        <v/>
      </c>
      <c r="AX23">
        <f>(-0.35*L_sl)-(0.22*L_sl/MAX(M_sp,M_su,0.001))*(IF(sys_i=6,-M_lt*0.043403,-M_lt*-0.121528+M_sp*0.659722-M_rt*0.461806))</f>
        <v/>
      </c>
    </row>
    <row r="24">
      <c r="AW24">
        <f>0.833333*L_sl</f>
        <v/>
      </c>
      <c r="AX24">
        <f>(-0.35*L_sl)-(0.22*L_sl/MAX(M_sp,M_su,0.001))*(IF(sys_i=6,-M_lt*0.027778,-M_lt*-0.111111+M_sp*0.555556-M_rt*0.555556))</f>
        <v/>
      </c>
    </row>
    <row r="25">
      <c r="AW25">
        <f>0.875000*L_sl</f>
        <v/>
      </c>
      <c r="AX25">
        <f>(-0.35*L_sl)-(0.22*L_sl/MAX(M_sp,M_su,0.001))*(IF(sys_i=6,-M_lt*0.015625,-M_lt*-0.093750+M_sp*0.437500-M_rt*0.656250))</f>
        <v/>
      </c>
    </row>
    <row r="26">
      <c r="AW26">
        <f>0.916667*L_sl</f>
        <v/>
      </c>
      <c r="AX26">
        <f>(-0.35*L_sl)-(0.22*L_sl/MAX(M_sp,M_su,0.001))*(IF(sys_i=6,-M_lt*0.006944,-M_lt*-0.069444+M_sp*0.305556-M_rt*0.763889))</f>
        <v/>
      </c>
    </row>
    <row r="27">
      <c r="AW27">
        <f>0.958333*L_sl</f>
        <v/>
      </c>
      <c r="AX27">
        <f>(-0.35*L_sl)-(0.22*L_sl/MAX(M_sp,M_su,0.001))*(IF(sys_i=6,-M_lt*0.001736,-M_lt*-0.038194+M_sp*0.159722-M_rt*0.878472))</f>
        <v/>
      </c>
    </row>
    <row r="28">
      <c r="AW28">
        <f>1.000000*L_sl</f>
        <v/>
      </c>
      <c r="AX28">
        <f>(-0.35*L_sl)-(0.22*L_sl/MAX(M_sp,M_su,0.001))*(IF(sys_i=6,-M_lt*0.000000,-M_lt*0.000000+M_sp*0.000000-M_rt*1.000000))</f>
        <v/>
      </c>
    </row>
    <row r="29">
      <c r="AW29">
        <f>L_sl</f>
        <v/>
      </c>
      <c r="AX29">
        <f>(-0.35*L_sl)</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6"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7" t="inlineStr">
        <is>
          <t>Parameter</t>
        </is>
      </c>
      <c r="C5" s="47" t="inlineStr">
        <is>
          <t>Clause</t>
        </is>
      </c>
      <c r="D5" s="47" t="inlineStr">
        <is>
          <t>UK NA</t>
        </is>
      </c>
      <c r="E5" s="47" t="inlineStr">
        <is>
          <t>PL NA</t>
        </is>
      </c>
      <c r="F5" s="47" t="inlineStr">
        <is>
          <t>Notes</t>
        </is>
      </c>
    </row>
    <row r="6">
      <c r="B6" s="48" t="inlineStr">
        <is>
          <t>Partial factor, concrete  γc</t>
        </is>
      </c>
      <c r="C6" s="49" t="inlineStr">
        <is>
          <t>2.4.2.4(1)</t>
        </is>
      </c>
      <c r="D6" s="50" t="n">
        <v>1.5</v>
      </c>
      <c r="E6" s="50" t="n">
        <v>1.4</v>
      </c>
      <c r="F6" s="49" t="inlineStr">
        <is>
          <t>Persistent &amp; transient. UK NA: recommended; PL: NA.2, Table NA.2</t>
        </is>
      </c>
    </row>
    <row r="7">
      <c r="B7" s="48" t="inlineStr">
        <is>
          <t>Partial factor, reinforcement  γs</t>
        </is>
      </c>
      <c r="C7" s="49" t="inlineStr">
        <is>
          <t>2.4.2.4(1)</t>
        </is>
      </c>
      <c r="D7" s="50" t="n">
        <v>1.15</v>
      </c>
      <c r="E7" s="50" t="n">
        <v>1.15</v>
      </c>
      <c r="F7" s="49" t="inlineStr">
        <is>
          <t>UK NA: recommended; PL: NA.2, Table NA.2</t>
        </is>
      </c>
    </row>
    <row r="8">
      <c r="B8" s="48" t="inlineStr">
        <is>
          <t>αcc  (compression in flexure / axial)</t>
        </is>
      </c>
      <c r="C8" s="49" t="inlineStr">
        <is>
          <t>3.1.6(1)</t>
        </is>
      </c>
      <c r="D8" s="50" t="n">
        <v>0.85</v>
      </c>
      <c r="E8" s="50" t="n">
        <v>1</v>
      </c>
      <c r="F8" s="49" t="inlineStr">
        <is>
          <t>UK NA: 0.85; PL: recommended (NA.9)</t>
        </is>
      </c>
    </row>
    <row r="9">
      <c r="B9" s="48" t="inlineStr">
        <is>
          <t>αcc,pl  (plain concrete, compression)</t>
        </is>
      </c>
      <c r="C9" s="49" t="inlineStr">
        <is>
          <t>12.3.1(1)</t>
        </is>
      </c>
      <c r="D9" s="50" t="n">
        <v>0.6</v>
      </c>
      <c r="E9" s="50" t="n">
        <v>0.8</v>
      </c>
      <c r="F9" s="49" t="inlineStr">
        <is>
          <t>UK NA Table NA.1: 0.6; PL: recommended (NA.9)</t>
        </is>
      </c>
    </row>
    <row r="10">
      <c r="B10" s="48" t="inlineStr">
        <is>
          <t>αcc  (shear and punching)</t>
        </is>
      </c>
      <c r="C10" s="49" t="inlineStr">
        <is>
          <t>3.1.6(1)</t>
        </is>
      </c>
      <c r="D10" s="50" t="n">
        <v>1</v>
      </c>
      <c r="E10" s="50" t="n">
        <v>1</v>
      </c>
      <c r="F10" s="49" t="inlineStr">
        <is>
          <t>UK NA: 1.0 for other phenomena; PL: recommended (NA.9)</t>
        </is>
      </c>
    </row>
    <row r="11">
      <c r="B11" s="48" t="inlineStr">
        <is>
          <t>αct  (design tensile strength)</t>
        </is>
      </c>
      <c r="C11" s="49" t="inlineStr">
        <is>
          <t>3.1.6(2)</t>
        </is>
      </c>
      <c r="D11" s="50" t="n">
        <v>1</v>
      </c>
      <c r="E11" s="50" t="n">
        <v>1</v>
      </c>
      <c r="F11" s="49" t="inlineStr">
        <is>
          <t>Recommended value in both annexes</t>
        </is>
      </c>
    </row>
    <row r="12">
      <c r="B12" s="48" t="inlineStr">
        <is>
          <t>CRd,c numerator  (CRd,c = value / γc)</t>
        </is>
      </c>
      <c r="C12" s="49" t="inlineStr">
        <is>
          <t>6.2.2(1), 6.4.4(1)</t>
        </is>
      </c>
      <c r="D12" s="50" t="n">
        <v>0.18</v>
      </c>
      <c r="E12" s="50" t="n">
        <v>0.18</v>
      </c>
      <c r="F12" s="49" t="inlineStr">
        <is>
          <t>Recommended value in both annexes</t>
        </is>
      </c>
    </row>
    <row r="13">
      <c r="B13" s="48" t="inlineStr">
        <is>
          <t>k1  (axial stress term, punching)</t>
        </is>
      </c>
      <c r="C13" s="49" t="inlineStr">
        <is>
          <t>6.4.4(1)</t>
        </is>
      </c>
      <c r="D13" s="50" t="n">
        <v>0.1</v>
      </c>
      <c r="E13" s="50" t="n">
        <v>0.1</v>
      </c>
      <c r="F13" s="49" t="inlineStr">
        <is>
          <t>Recommended value in both annexes</t>
        </is>
      </c>
    </row>
    <row r="14">
      <c r="B14" s="48" t="inlineStr">
        <is>
          <t>vRd,max factor  (vRd,max = factor · ν · fcd)</t>
        </is>
      </c>
      <c r="C14" s="49" t="inlineStr">
        <is>
          <t>6.4.5(3)</t>
        </is>
      </c>
      <c r="D14" s="50" t="n">
        <v>0.5</v>
      </c>
      <c r="E14" s="50" t="n">
        <v>0.4</v>
      </c>
      <c r="F14" s="49" t="inlineStr">
        <is>
          <t>UK NA: 0.5 ν fcd; PL: recommended value (NA.9), 0.4 ν fcd since EN 1992-1-1 AC:2010 (PN-EN 1992-1-1:2008/AC:2011)</t>
        </is>
      </c>
    </row>
    <row r="15">
      <c r="B15" s="48" t="inlineStr">
        <is>
          <t>kmax  (vEd ≤ kmax · vRd,c at u1)</t>
        </is>
      </c>
      <c r="C15" s="49" t="inlineStr">
        <is>
          <t>6.4.5</t>
        </is>
      </c>
      <c r="D15" s="50" t="n">
        <v>2</v>
      </c>
      <c r="E15" s="50" t="n">
        <v>1.5</v>
      </c>
      <c r="F15" s="49" t="inlineStr">
        <is>
          <t>UK NA 6.4.5(3): 2 vRd,c. PL: no limit in PN-EN 1992-1-1:2008; 1.5 (A1:2014 recommendation) applied conservatively</t>
        </is>
      </c>
    </row>
    <row r="16">
      <c r="B16" s="48" t="inlineStr">
        <is>
          <t>φlarge  (large bar threshold, mm)</t>
        </is>
      </c>
      <c r="C16" s="49" t="inlineStr">
        <is>
          <t>8.8(1)</t>
        </is>
      </c>
      <c r="D16" s="50" t="n">
        <v>40</v>
      </c>
      <c r="E16" s="50" t="n">
        <v>32</v>
      </c>
      <c r="F16" s="49" t="inlineStr">
        <is>
          <t>UK NA: 40 mm; PL: 32 mm recommended (NA.9)</t>
        </is>
      </c>
    </row>
    <row r="17">
      <c r="B17" s="48" t="inlineStr">
        <is>
          <t>cot θ upper limit  (variable strut)</t>
        </is>
      </c>
      <c r="C17" s="49" t="inlineStr">
        <is>
          <t>6.2.3(2)</t>
        </is>
      </c>
      <c r="D17" s="50" t="n">
        <v>2.5</v>
      </c>
      <c r="E17" s="50" t="n">
        <v>2</v>
      </c>
      <c r="F17" s="49" t="inlineStr">
        <is>
          <t>UK NA: 2.5 (1.25 with axial tension); PL: NA.4, 1 ≤ cot θ ≤ 2.0</t>
        </is>
      </c>
    </row>
    <row r="18">
      <c r="B18" s="48" t="inlineStr">
        <is>
          <t>k1  (x/d limit, δ ≥ k1 + k2 xu/d)</t>
        </is>
      </c>
      <c r="C18" s="49" t="inlineStr">
        <is>
          <t>5.5(4)</t>
        </is>
      </c>
      <c r="D18" s="50" t="n">
        <v>0.4</v>
      </c>
      <c r="E18" s="50" t="n">
        <v>0.44</v>
      </c>
      <c r="F18" s="49" t="inlineStr">
        <is>
          <t>UK NA for fyk ≤ 500 MPa; PL: recommended (NA.9)</t>
        </is>
      </c>
    </row>
    <row r="19">
      <c r="B19" s="48" t="inlineStr">
        <is>
          <t>k2  (x/d limit, εcu2 = 0.0035)</t>
        </is>
      </c>
      <c r="C19" s="49" t="inlineStr">
        <is>
          <t>5.5(4)</t>
        </is>
      </c>
      <c r="D19" s="50" t="n">
        <v>1</v>
      </c>
      <c r="E19" s="50" t="n">
        <v>1.25</v>
      </c>
      <c r="F19" s="49" t="inlineStr">
        <is>
          <t>UK NA: 0.6 + 0.0014/εcu2; PL: 1.25(0.6 + 0.0014/εcu2)</t>
        </is>
      </c>
    </row>
    <row r="20">
      <c r="B20" s="48" t="inlineStr">
        <is>
          <t>Upper limit on the (310/σs) factor  (0 = none)</t>
        </is>
      </c>
      <c r="C20" s="49" t="inlineStr">
        <is>
          <t>7.4.2(2)</t>
        </is>
      </c>
      <c r="D20" s="50" t="n">
        <v>1.5</v>
      </c>
      <c r="E20" s="50" t="n">
        <v>0</v>
      </c>
      <c r="F20" s="49" t="inlineStr">
        <is>
          <t>UK NA Table NA.5 Note 5: (310/σs) or (500/fyk)(As,prov/As,req) ≤ 1.5; PL: none</t>
        </is>
      </c>
    </row>
    <row r="21">
      <c r="B21" s="48" t="inlineStr">
        <is>
          <t>L/d not to exceed 40 K  (1 = applies)</t>
        </is>
      </c>
      <c r="C21" s="49" t="inlineStr">
        <is>
          <t>7.4.2(2)</t>
        </is>
      </c>
      <c r="D21" s="50" t="n">
        <v>1</v>
      </c>
      <c r="E21" s="50" t="n">
        <v>0</v>
      </c>
      <c r="F21" s="49" t="inlineStr">
        <is>
          <t>UK NA Table NA.5 Note 6; not in EN text</t>
        </is>
      </c>
    </row>
    <row r="22">
      <c r="B22" s="48" t="inlineStr">
        <is>
          <t>φmin  (longitudinal bars in columns, mm)</t>
        </is>
      </c>
      <c r="C22" s="49" t="inlineStr">
        <is>
          <t>9.5.2(1)</t>
        </is>
      </c>
      <c r="D22" s="50" t="n">
        <v>12</v>
      </c>
      <c r="E22" s="50" t="n">
        <v>6</v>
      </c>
      <c r="F22" s="49" t="inlineStr">
        <is>
          <t>UK NA: 12 mm; PL: NA.6, 6 mm</t>
        </is>
      </c>
    </row>
    <row r="23">
      <c r="B23" s="48" t="inlineStr">
        <is>
          <t>k3  (crack spacing)</t>
        </is>
      </c>
      <c r="C23" s="49" t="inlineStr">
        <is>
          <t>7.3.4(3)</t>
        </is>
      </c>
      <c r="D23" s="50" t="n">
        <v>3.4</v>
      </c>
      <c r="E23" s="50" t="n">
        <v>3.4</v>
      </c>
      <c r="F23" s="49" t="inlineStr">
        <is>
          <t>Recommended value in both annexes</t>
        </is>
      </c>
    </row>
    <row r="24">
      <c r="B24" s="48" t="inlineStr">
        <is>
          <t>k4  (crack spacing)</t>
        </is>
      </c>
      <c r="C24" s="49" t="inlineStr">
        <is>
          <t>7.3.4(3)</t>
        </is>
      </c>
      <c r="D24" s="50" t="n">
        <v>0.425</v>
      </c>
      <c r="E24" s="50" t="n">
        <v>0.425</v>
      </c>
      <c r="F24" s="49" t="inlineStr">
        <is>
          <t>Recommended value in both annexes</t>
        </is>
      </c>
    </row>
    <row r="25">
      <c r="B25" s="48" t="inlineStr">
        <is>
          <t>k1  (concrete stress, characteristic; XD, XF, XS)</t>
        </is>
      </c>
      <c r="C25" s="49" t="inlineStr">
        <is>
          <t>7.2(2)</t>
        </is>
      </c>
      <c r="D25" s="50" t="n">
        <v>0.6</v>
      </c>
      <c r="E25" s="50" t="n">
        <v>1</v>
      </c>
      <c r="F25" s="49" t="inlineStr">
        <is>
          <t>UK NA: recommended; PL: NA.5, k1 = 1.0</t>
        </is>
      </c>
    </row>
    <row r="26">
      <c r="B26" s="48" t="inlineStr">
        <is>
          <t>k2  (concrete stress, quasi-permanent; linear creep)</t>
        </is>
      </c>
      <c r="C26" s="49" t="inlineStr">
        <is>
          <t>7.2(3)</t>
        </is>
      </c>
      <c r="D26" s="50" t="n">
        <v>0.45</v>
      </c>
      <c r="E26" s="50" t="n">
        <v>0.45</v>
      </c>
      <c r="F26" s="49" t="inlineStr">
        <is>
          <t>Recommended value in both annexes (UK NA; PL NA.9)</t>
        </is>
      </c>
    </row>
    <row r="27">
      <c r="B27" s="48" t="inlineStr">
        <is>
          <t>k3  (steel stress, characteristic)</t>
        </is>
      </c>
      <c r="C27" s="49" t="inlineStr">
        <is>
          <t>7.2(5)</t>
        </is>
      </c>
      <c r="D27" s="50" t="n">
        <v>0.8</v>
      </c>
      <c r="E27" s="50" t="n">
        <v>0.8</v>
      </c>
      <c r="F27" s="49" t="inlineStr">
        <is>
          <t>Recommended value in both annexes (UK NA; PL NA.9)</t>
        </is>
      </c>
    </row>
    <row r="28">
      <c r="B28" s="48" t="inlineStr">
        <is>
          <t>k4  (steel stress, imposed deformation)</t>
        </is>
      </c>
      <c r="C28" s="49" t="inlineStr">
        <is>
          <t>7.2(5)</t>
        </is>
      </c>
      <c r="D28" s="50" t="n">
        <v>1</v>
      </c>
      <c r="E28" s="50" t="n">
        <v>1</v>
      </c>
      <c r="F28" s="49"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&amp;K8A8A8ANAE-RC-012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NAE-RC-012 One-way slab</dc:title>
  <dc:subject xmlns:dc="http://purl.org/dc/elements/1.1/">Solid slabs spanning one way  ·  EN 1992-1-1 §6.1, §6.2, §7.4, §9.3  ·  UK NA / PN-EN</dc:subject>
  <dcterms:created xmlns:dcterms="http://purl.org/dc/terms/" xmlns:xsi="http://www.w3.org/2001/XMLSchema-instance" xsi:type="dcterms:W3CDTF">2026-10-30T10:58:37Z</dcterms:created>
  <dcterms:modified xmlns:dcterms="http://purl.org/dc/terms/" xmlns:xsi="http://www.w3.org/2001/XMLSchema-instance" xsi:type="dcterms:W3CDTF">2026-10-30T10:58:37Z</dcterms:modified>
  <cp:lastModifiedBy>NA Engineering sp. z o.o.</cp:lastModifiedBy>
  <cp:keywords>NA Engineering; Eurocode 2; EN 1992-1-1</cp:keywords>
</cp:coreProperties>
</file>