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H_s">'Calculation'!$E$15</definedName>
    <definedName name="t_s">'Calculation'!$E$16</definedName>
    <definedName name="t_b">'Calculation'!$E$17</definedName>
    <definedName name="B_t">'Calculation'!$E$18</definedName>
    <definedName name="B_h">'Calculation'!$E$19</definedName>
    <definedName name="D_f">'Calculation'!$E$20</definedName>
    <definedName name="c_nom">'Calculation'!$E$21</definedName>
    <definedName name="phi_st">'Calculation'!$E$22</definedName>
    <definedName name="s_st">'Calculation'!$E$23</definedName>
    <definedName name="phi_he">'Calculation'!$E$24</definedName>
    <definedName name="s_he">'Calculation'!$E$25</definedName>
    <definedName name="phi_to">'Calculation'!$E$26</definedName>
    <definedName name="s_to">'Calculation'!$E$27</definedName>
    <definedName name="gam_s">'Calculation'!$E$30</definedName>
    <definedName name="phi_k">'Calculation'!$E$31</definedName>
    <definedName name="K_type">'Calculation'!$E$32</definedName>
    <definedName name="gam_f">'Calculation'!$E$33</definedName>
    <definedName name="phi_f">'Calculation'!$E$34</definedName>
    <definedName name="q_k">'Calculation'!$E$35</definedName>
    <definedName name="gam_c">'Calculation'!$E$36</definedName>
    <definedName name="inputs_ok">IFERROR(AND(OR(NA_sel="UK NA (BS EN)",NA_sel="PL NA (PN-EN)"),OR(conc_class="C20/25",conc_class="C25/30",conc_class="C28/35",conc_class="C30/37",conc_class="C32/40",conc_class="C35/45",conc_class="C40/50",conc_class="C45/55",conc_class="C50/60"),ISNUMBER(f_yk),f_yk&gt;0,ISNUMBER(d_g),d_g&gt;0,ISNUMBER(H_s),H_s&gt;0,ISNUMBER(t_s),t_s&gt;0,ISNUMBER(t_b),t_b&gt;0,ISNUMBER(B_t),B_t&gt;=0,ISNUMBER(B_h),B_h&gt;0,ISNUMBER(D_f),D_f&gt;=0,ISNUMBER(c_nom),c_nom&gt;0,OR(AND(ISNUMBER(phi_st),phi_st=8),AND(ISNUMBER(phi_st),phi_st=10),AND(ISNUMBER(phi_st),phi_st=12),AND(ISNUMBER(phi_st),phi_st=16),AND(ISNUMBER(phi_st),phi_st=20),AND(ISNUMBER(phi_st),phi_st=25),AND(ISNUMBER(phi_st),phi_st=32),AND(ISNUMBER(phi_st),phi_st=40)),ISNUMBER(s_st),s_st&gt;0,OR(AND(ISNUMBER(phi_he),phi_he=8),AND(ISNUMBER(phi_he),phi_he=10),AND(ISNUMBER(phi_he),phi_he=12),AND(ISNUMBER(phi_he),phi_he=16),AND(ISNUMBER(phi_he),phi_he=20),AND(ISNUMBER(phi_he),phi_he=25),AND(ISNUMBER(phi_he),phi_he=32),AND(ISNUMBER(phi_he),phi_he=40)),ISNUMBER(s_he),s_he&gt;0,OR(AND(ISNUMBER(phi_to),phi_to=8),AND(ISNUMBER(phi_to),phi_to=10),AND(ISNUMBER(phi_to),phi_to=12),AND(ISNUMBER(phi_to),phi_to=16),AND(ISNUMBER(phi_to),phi_to=20),AND(ISNUMBER(phi_to),phi_to=25),AND(ISNUMBER(phi_to),phi_to=32),AND(ISNUMBER(phi_to),phi_to=40)),ISNUMBER(s_to),s_to&gt;0,ISNUMBER(gam_s),gam_s&gt;0,ISNUMBER(phi_k),phi_k&gt;0,OR(K_type="Active Ka",K_type="At rest K0"),ISNUMBER(gam_f),gam_f&gt;0,ISNUMBER(phi_f),phi_f&gt;0,ISNUMBER(q_k),q_k&gt;=0,ISNUMBER(gam_c),gam_c&gt;0,AND(f_yk&gt;=400,f_yk&lt;=500,phi_k&lt;=45,phi_f&lt;=45,phi_k&gt;=15,phi_f&gt;=15,t_s&gt;2*c_nom+phi_st,t_b&gt;2*c_nom+phi_he+phi_to,s_st&gt;=50,s_he&gt;=50,s_to&gt;=50)),FALSE)</definedName>
    <definedName name="input_status">'Calculation'!$G$37</definedName>
    <definedName name="n_sets">IF(NA_sel="PL NA (PN-EN)",1,2)</definedName>
    <definedName name="slide_status">'Calculation'!$G$64</definedName>
    <definedName name="bear_u">MAX(IF(TRUE,u_1a,-1E99),IF(TRUE,u_1b,-1E99),IF(TRUE,u_1c,-1E99),IF(TRUE,u_1d,-1E99),IF(n_sets=2,u_2a,-1E99),IF(n_sets=2,u_2b,-1E99),IF(n_sets=2,u_2c,-1E99),IF(n_sets=2,u_2d,-1E99))</definedName>
    <definedName name="bearing_status">'Calculation'!$G$65</definedName>
    <definedName name="all_ok">AND(OR(NOT(TRUE),ok_1a),OR(NOT(TRUE),ok_1b),OR(NOT(TRUE),ok_1c),OR(NOT(TRUE),ok_1d),OR(NOT(n_sets=2),ok_2a),OR(NOT(n_sets=2),ok_2b),OR(NOT(n_sets=2),ok_2c),OR(NOT(n_sets=2),ok_2d))</definedName>
    <definedName name="ecc_u">MAX(IF(TRUE,eB_1a,-1E99),IF(TRUE,eB_1b,-1E99),IF(TRUE,eB_1c,-1E99),IF(TRUE,eB_1d,-1E99),IF(n_sets=2,eB_2a,-1E99),IF(n_sets=2,eB_2b,-1E99),IF(n_sets=2,eB_2c,-1E99),IF(n_sets=2,eB_2d,-1E99))</definedName>
    <definedName name="eB_1a">ABS(e_1a)/B_m</definedName>
    <definedName name="eB_1b">ABS(e_1b)/B_m</definedName>
    <definedName name="eB_1c">ABS(e_1c)/B_m</definedName>
    <definedName name="eB_1d">ABS(e_1d)/B_m</definedName>
    <definedName name="eB_2a">ABS(e_2a)/B_m</definedName>
    <definedName name="eB_2b">ABS(e_2b)/B_m</definedName>
    <definedName name="eB_2c">ABS(e_2c)/B_m</definedName>
    <definedName name="eB_2d">ABS(e_2d)/B_m</definedName>
    <definedName name="ecc_status">'Calculation'!$G$66</definedName>
    <definedName name="rev_he">MIN(IF(TRUE,Mhe_1a,1E99),IF(TRUE,Mhe_1b,1E99),IF(TRUE,Mhe_1c,1E99),IF(TRUE,Mhe_1d,1E99),IF(n_sets=2,Mhe_2a,1E99),IF(n_sets=2,Mhe_2b,1E99),IF(n_sets=2,Mhe_2c,1E99),IF(n_sets=2,Mhe_2d,1E99))&lt;-0.005</definedName>
    <definedName name="rev_to">MIN(IF(TRUE,Mto_1a,1E99),IF(TRUE,Mto_1b,1E99),IF(TRUE,Mto_1c,1E99),IF(TRUE,Mto_1d,1E99),IF(n_sets=2,Mto_2a,1E99),IF(n_sets=2,Mto_2b,1E99),IF(n_sets=2,Mto_2c,1E99),IF(n_sets=2,Mto_2d,1E99))&lt;-0.005</definedName>
    <definedName name="str_ok">AND(all_ok,ok_st,ok_he,ok_to)</definedName>
    <definedName name="str_status">'Calculation'!$G$67</definedName>
    <definedName name="B_w">'Calculation'!$E$71</definedName>
    <definedName name="B_m">B_w/1000</definedName>
    <definedName name="Bh_m">B_h/1000</definedName>
    <definedName name="D_m">D_f/1000</definedName>
    <definedName name="Hv_m">(H_s+t_b)/1000</definedName>
    <definedName name="W_st">'Calculation'!$E$73</definedName>
    <definedName name="W_ba">'Calculation'!$E$74</definedName>
    <definedName name="W_hl">gam_c*B_h*t_b/1E6</definedName>
    <definedName name="W_tl">gam_c*B_t*t_b/1E6</definedName>
    <definedName name="W_so">'Calculation'!$E$75</definedName>
    <definedName name="W_fr">'Calculation'!$E$76</definedName>
    <definedName name="W_tot">'Calculation'!$E$77</definedName>
    <definedName name="xh_m">(B_t+t_s+B_h/2)/1000</definedName>
    <definedName name="MW_toe">'Calculation'!$E$78</definedName>
    <definedName name="gR_v">'Calculation'!$E$81</definedName>
    <definedName name="gR_h">'Calculation'!$E$82</definedName>
    <definedName name="phi_d1">'Calculation'!$E$84</definedName>
    <definedName name="K_1">'Calculation'!$E$85</definedName>
    <definedName name="PG_1">'Calculation'!$E$86</definedName>
    <definedName name="PQ_1">'Calculation'!$E$87</definedName>
    <definedName name="H_1">'Calculation'!$E$88</definedName>
    <definedName name="tand_1">'Calculation'!$E$89</definedName>
    <definedName name="Rh_1">'Calculation'!$E$90</definedName>
    <definedName name="Nq_1">EXP(PI()*TAN(ATAN(TAN(RADIANS(phi_f))/1.0)))*TAN(PI()/4+ATAN(TAN(RADIANS(phi_f))/1.0)/2)^2</definedName>
    <definedName name="Ng_1">2*(Nq_1-1)*TAN(ATAN(TAN(RADIANS(phi_f))/1.0))</definedName>
    <definedName name="phi_d2">'Calculation'!$E$94</definedName>
    <definedName name="K_2">'Calculation'!$E$95</definedName>
    <definedName name="PG_2">'Calculation'!$E$96</definedName>
    <definedName name="PQ_2">'Calculation'!$E$97</definedName>
    <definedName name="H_2">'Calculation'!$E$98</definedName>
    <definedName name="tand_2">'Calculation'!$E$99</definedName>
    <definedName name="Rh_2">'Calculation'!$E$100</definedName>
    <definedName name="Nq_2">EXP(PI()*TAN(ATAN(TAN(RADIANS(phi_f))/1.25)))*TAN(PI()/4+ATAN(TAN(RADIANS(phi_f))/1.25)/2)^2</definedName>
    <definedName name="Ng_2">2*(Nq_2-1)*TAN(ATAN(TAN(RADIANS(phi_f))/1.25))</definedName>
    <definedName name="V_1a">'Calculation'!$E$107</definedName>
    <definedName name="Mt_1a">'Calculation'!$E$108</definedName>
    <definedName name="e_1a">'Calculation'!$E$109</definedName>
    <definedName name="ok_1a">AND(V_1a&gt;0,ABS(e_1a)&lt;B_m/2)</definedName>
    <definedName name="Bp_1a">'Calculation'!$E$110</definedName>
    <definedName name="Rv_1a">'Calculation'!$E$111</definedName>
    <definedName name="u_1a">IF(AND(ok_1a,Rv_1a&gt;0),V_1a/Rv_1a,99)</definedName>
    <definedName name="xa_1a">IF(OR(ABS(e_1a)&lt;=B_m/6,e_1a&gt;0),0,B_m-3*(B_m/2-ABS(e_1a)))</definedName>
    <definedName name="xb_1a">IF(OR(ABS(e_1a)&lt;=B_m/6,e_1a&lt;0),B_m,3*(B_m/2-ABS(e_1a)))</definedName>
    <definedName name="pa_1a">'Calculation'!$E$113</definedName>
    <definedName name="pb_1a">'Calculation'!$E$114</definedName>
    <definedName name="kp_1a">(pb_1a-pa_1a)/(xb_1a-xa_1a)</definedName>
    <definedName name="Mhe_1a">'Calculation'!$E$115</definedName>
    <definedName name="Vhe_1a">'Calculation'!$E$116</definedName>
    <definedName name="Mto_1a">'Calculation'!$E$117</definedName>
    <definedName name="Vto_1a">'Calculation'!$E$118</definedName>
    <definedName name="V_1b">'Calculation'!$E$119</definedName>
    <definedName name="Mt_1b">'Calculation'!$E$120</definedName>
    <definedName name="e_1b">'Calculation'!$E$121</definedName>
    <definedName name="ok_1b">AND(V_1b&gt;0,ABS(e_1b)&lt;B_m/2)</definedName>
    <definedName name="Bp_1b">'Calculation'!$E$122</definedName>
    <definedName name="Rv_1b">'Calculation'!$E$123</definedName>
    <definedName name="u_1b">IF(AND(ok_1b,Rv_1b&gt;0),V_1b/Rv_1b,99)</definedName>
    <definedName name="xa_1b">IF(OR(ABS(e_1b)&lt;=B_m/6,e_1b&gt;0),0,B_m-3*(B_m/2-ABS(e_1b)))</definedName>
    <definedName name="xb_1b">IF(OR(ABS(e_1b)&lt;=B_m/6,e_1b&lt;0),B_m,3*(B_m/2-ABS(e_1b)))</definedName>
    <definedName name="pa_1b">'Calculation'!$E$125</definedName>
    <definedName name="pb_1b">'Calculation'!$E$126</definedName>
    <definedName name="kp_1b">(pb_1b-pa_1b)/(xb_1b-xa_1b)</definedName>
    <definedName name="Mhe_1b">'Calculation'!$E$127</definedName>
    <definedName name="Vhe_1b">'Calculation'!$E$128</definedName>
    <definedName name="Mto_1b">'Calculation'!$E$129</definedName>
    <definedName name="Vto_1b">'Calculation'!$E$130</definedName>
    <definedName name="V_1c">'Calculation'!$E$131</definedName>
    <definedName name="Mt_1c">'Calculation'!$E$132</definedName>
    <definedName name="e_1c">'Calculation'!$E$133</definedName>
    <definedName name="ok_1c">AND(V_1c&gt;0,ABS(e_1c)&lt;B_m/2)</definedName>
    <definedName name="Bp_1c">'Calculation'!$E$134</definedName>
    <definedName name="Rv_1c">'Calculation'!$E$135</definedName>
    <definedName name="u_1c">IF(AND(ok_1c,Rv_1c&gt;0),V_1c/Rv_1c,99)</definedName>
    <definedName name="xa_1c">IF(OR(ABS(e_1c)&lt;=B_m/6,e_1c&gt;0),0,B_m-3*(B_m/2-ABS(e_1c)))</definedName>
    <definedName name="xb_1c">IF(OR(ABS(e_1c)&lt;=B_m/6,e_1c&lt;0),B_m,3*(B_m/2-ABS(e_1c)))</definedName>
    <definedName name="pa_1c">'Calculation'!$E$137</definedName>
    <definedName name="pb_1c">'Calculation'!$E$138</definedName>
    <definedName name="kp_1c">(pb_1c-pa_1c)/(xb_1c-xa_1c)</definedName>
    <definedName name="Mhe_1c">'Calculation'!$E$139</definedName>
    <definedName name="Vhe_1c">'Calculation'!$E$140</definedName>
    <definedName name="Mto_1c">'Calculation'!$E$141</definedName>
    <definedName name="Vto_1c">'Calculation'!$E$142</definedName>
    <definedName name="V_1d">'Calculation'!$E$143</definedName>
    <definedName name="Mt_1d">'Calculation'!$E$144</definedName>
    <definedName name="e_1d">'Calculation'!$E$145</definedName>
    <definedName name="ok_1d">AND(V_1d&gt;0,ABS(e_1d)&lt;B_m/2)</definedName>
    <definedName name="Bp_1d">'Calculation'!$E$146</definedName>
    <definedName name="Rv_1d">'Calculation'!$E$147</definedName>
    <definedName name="u_1d">IF(AND(ok_1d,Rv_1d&gt;0),V_1d/Rv_1d,99)</definedName>
    <definedName name="xa_1d">IF(OR(ABS(e_1d)&lt;=B_m/6,e_1d&gt;0),0,B_m-3*(B_m/2-ABS(e_1d)))</definedName>
    <definedName name="xb_1d">IF(OR(ABS(e_1d)&lt;=B_m/6,e_1d&lt;0),B_m,3*(B_m/2-ABS(e_1d)))</definedName>
    <definedName name="pa_1d">'Calculation'!$E$149</definedName>
    <definedName name="pb_1d">'Calculation'!$E$150</definedName>
    <definedName name="kp_1d">(pb_1d-pa_1d)/(xb_1d-xa_1d)</definedName>
    <definedName name="Mhe_1d">'Calculation'!$E$151</definedName>
    <definedName name="Vhe_1d">'Calculation'!$E$152</definedName>
    <definedName name="Mto_1d">'Calculation'!$E$153</definedName>
    <definedName name="Vto_1d">'Calculation'!$E$154</definedName>
    <definedName name="V_2a">'Calculation'!$E$155</definedName>
    <definedName name="Mt_2a">'Calculation'!$E$156</definedName>
    <definedName name="e_2a">'Calculation'!$E$157</definedName>
    <definedName name="ok_2a">AND(V_2a&gt;0,ABS(e_2a)&lt;B_m/2)</definedName>
    <definedName name="Bp_2a">'Calculation'!$E$158</definedName>
    <definedName name="Rv_2a">'Calculation'!$E$159</definedName>
    <definedName name="u_2a">IF(AND(ok_2a,Rv_2a&gt;0),V_2a/Rv_2a,99)</definedName>
    <definedName name="xa_2a">IF(OR(ABS(e_2a)&lt;=B_m/6,e_2a&gt;0),0,B_m-3*(B_m/2-ABS(e_2a)))</definedName>
    <definedName name="xb_2a">IF(OR(ABS(e_2a)&lt;=B_m/6,e_2a&lt;0),B_m,3*(B_m/2-ABS(e_2a)))</definedName>
    <definedName name="pa_2a">'Calculation'!$E$161</definedName>
    <definedName name="pb_2a">'Calculation'!$E$162</definedName>
    <definedName name="kp_2a">(pb_2a-pa_2a)/(xb_2a-xa_2a)</definedName>
    <definedName name="Mhe_2a">'Calculation'!$E$163</definedName>
    <definedName name="Vhe_2a">'Calculation'!$E$164</definedName>
    <definedName name="Mto_2a">'Calculation'!$E$165</definedName>
    <definedName name="Vto_2a">'Calculation'!$E$166</definedName>
    <definedName name="V_2b">'Calculation'!$E$167</definedName>
    <definedName name="Mt_2b">'Calculation'!$E$168</definedName>
    <definedName name="e_2b">'Calculation'!$E$169</definedName>
    <definedName name="ok_2b">AND(V_2b&gt;0,ABS(e_2b)&lt;B_m/2)</definedName>
    <definedName name="Bp_2b">'Calculation'!$E$170</definedName>
    <definedName name="Rv_2b">'Calculation'!$E$171</definedName>
    <definedName name="u_2b">IF(AND(ok_2b,Rv_2b&gt;0),V_2b/Rv_2b,99)</definedName>
    <definedName name="xa_2b">IF(OR(ABS(e_2b)&lt;=B_m/6,e_2b&gt;0),0,B_m-3*(B_m/2-ABS(e_2b)))</definedName>
    <definedName name="xb_2b">IF(OR(ABS(e_2b)&lt;=B_m/6,e_2b&lt;0),B_m,3*(B_m/2-ABS(e_2b)))</definedName>
    <definedName name="pa_2b">'Calculation'!$E$173</definedName>
    <definedName name="pb_2b">'Calculation'!$E$174</definedName>
    <definedName name="kp_2b">(pb_2b-pa_2b)/(xb_2b-xa_2b)</definedName>
    <definedName name="Mhe_2b">'Calculation'!$E$175</definedName>
    <definedName name="Vhe_2b">'Calculation'!$E$176</definedName>
    <definedName name="Mto_2b">'Calculation'!$E$177</definedName>
    <definedName name="Vto_2b">'Calculation'!$E$178</definedName>
    <definedName name="V_2c">'Calculation'!$E$179</definedName>
    <definedName name="Mt_2c">'Calculation'!$E$180</definedName>
    <definedName name="e_2c">'Calculation'!$E$181</definedName>
    <definedName name="ok_2c">AND(V_2c&gt;0,ABS(e_2c)&lt;B_m/2)</definedName>
    <definedName name="Bp_2c">'Calculation'!$E$182</definedName>
    <definedName name="Rv_2c">'Calculation'!$E$183</definedName>
    <definedName name="u_2c">IF(AND(ok_2c,Rv_2c&gt;0),V_2c/Rv_2c,99)</definedName>
    <definedName name="xa_2c">IF(OR(ABS(e_2c)&lt;=B_m/6,e_2c&gt;0),0,B_m-3*(B_m/2-ABS(e_2c)))</definedName>
    <definedName name="xb_2c">IF(OR(ABS(e_2c)&lt;=B_m/6,e_2c&lt;0),B_m,3*(B_m/2-ABS(e_2c)))</definedName>
    <definedName name="pa_2c">'Calculation'!$E$185</definedName>
    <definedName name="pb_2c">'Calculation'!$E$186</definedName>
    <definedName name="kp_2c">(pb_2c-pa_2c)/(xb_2c-xa_2c)</definedName>
    <definedName name="Mhe_2c">'Calculation'!$E$187</definedName>
    <definedName name="Vhe_2c">'Calculation'!$E$188</definedName>
    <definedName name="Mto_2c">'Calculation'!$E$189</definedName>
    <definedName name="Vto_2c">'Calculation'!$E$190</definedName>
    <definedName name="V_2d">'Calculation'!$E$191</definedName>
    <definedName name="Mt_2d">'Calculation'!$E$192</definedName>
    <definedName name="e_2d">'Calculation'!$E$193</definedName>
    <definedName name="ok_2d">AND(V_2d&gt;0,ABS(e_2d)&lt;B_m/2)</definedName>
    <definedName name="Bp_2d">'Calculation'!$E$194</definedName>
    <definedName name="Rv_2d">'Calculation'!$E$195</definedName>
    <definedName name="u_2d">IF(AND(ok_2d,Rv_2d&gt;0),V_2d/Rv_2d,99)</definedName>
    <definedName name="xa_2d">IF(OR(ABS(e_2d)&lt;=B_m/6,e_2d&gt;0),0,B_m-3*(B_m/2-ABS(e_2d)))</definedName>
    <definedName name="xb_2d">IF(OR(ABS(e_2d)&lt;=B_m/6,e_2d&lt;0),B_m,3*(B_m/2-ABS(e_2d)))</definedName>
    <definedName name="pa_2d">'Calculation'!$E$197</definedName>
    <definedName name="pb_2d">'Calculation'!$E$198</definedName>
    <definedName name="kp_2d">(pb_2d-pa_2d)/(xb_2d-xa_2d)</definedName>
    <definedName name="Mhe_2d">'Calculation'!$E$199</definedName>
    <definedName name="Vhe_2d">'Calculation'!$E$200</definedName>
    <definedName name="Mto_2d">'Calculation'!$E$201</definedName>
    <definedName name="Vto_2d">'Calculation'!$E$202</definedName>
    <definedName name="gamma_c">'Calculation'!$E$213</definedName>
    <definedName name="gamma_s">'Calculation'!$E$214</definedName>
    <definedName name="alpha_cc">'Calculation'!$E$215</definedName>
    <definedName name="C_Rdc">'Calculation'!$E$216</definedName>
    <definedName name="f_ck">'Calculation'!$E$217</definedName>
    <definedName name="f_ctm">'Calculation'!$E$218</definedName>
    <definedName name="f_cd">'Calculation'!$E$219</definedName>
    <definedName name="f_yd">'Calculation'!$E$220</definedName>
    <definedName name="K_lw">'Calculation'!$E$221</definedName>
    <definedName name="gap_rw">'Calculation'!$E$222</definedName>
    <definedName name="Mst_1">1.35*K_1*gam_s*(H_s/1000)^3/6+1.5*K_1*q_k*(H_s/1000)^2/2</definedName>
    <definedName name="Vst_1">1.35*K_1*gam_s*(H_s/1000)^2/2+1.5*K_1*q_k*H_s/1000</definedName>
    <definedName name="Mst_2">1.0*K_2*gam_s*(H_s/1000)^3/6+1.3*K_2*q_k*(H_s/1000)^2/2</definedName>
    <definedName name="Vst_2">1.0*K_2*gam_s*(H_s/1000)^2/2+1.3*K_2*q_k*H_s/1000</definedName>
    <definedName name="M_st">'Calculation'!$E$223</definedName>
    <definedName name="V_st">'Calculation'!$E$224</definedName>
    <definedName name="d_st">'Calculation'!$E$225</definedName>
    <definedName name="K_st">'Calculation'!$E$226</definedName>
    <definedName name="z_st">'Calculation'!$E$227</definedName>
    <definedName name="Asr_st">'Calculation'!$E$228</definedName>
    <definedName name="Asm_st">'Calculation'!$E$229</definedName>
    <definedName name="Asp_st">'Calculation'!$E$230</definedName>
    <definedName name="VRc_st">'Calculation'!$E$231</definedName>
    <definedName name="smx_st">'Calculation'!$E$232</definedName>
    <definedName name="ok_st">IFERROR(AND(Asp_st&gt;=MAX(Asr_st,Asm_st),ABS(V_st)&lt;=VRc_st,s_st&lt;=smx_st,s_st-phi_st&gt;=gap_rw,Asp_st&lt;=0.04*1000*t_s),FALSE)</definedName>
    <definedName name="M_he">'Calculation'!$E$236</definedName>
    <definedName name="V_he">'Calculation'!$E$238</definedName>
    <definedName name="d_he">'Calculation'!$E$239</definedName>
    <definedName name="K_he">'Calculation'!$E$240</definedName>
    <definedName name="z_he">'Calculation'!$E$241</definedName>
    <definedName name="Asr_he">'Calculation'!$E$242</definedName>
    <definedName name="Asm_he">'Calculation'!$E$243</definedName>
    <definedName name="Asp_he">'Calculation'!$E$244</definedName>
    <definedName name="VRc_he">'Calculation'!$E$245</definedName>
    <definedName name="smx_he">'Calculation'!$E$246</definedName>
    <definedName name="ok_he">IFERROR(AND(Asp_he&gt;=MAX(Asr_he,Asm_he),ABS(V_he)&lt;=VRc_he,s_he&lt;=smx_he,s_he-phi_he&gt;=gap_rw,Asp_he&lt;=0.04*1000*t_b),FALSE)</definedName>
    <definedName name="M_to">'Calculation'!$E$250</definedName>
    <definedName name="V_to">'Calculation'!$E$252</definedName>
    <definedName name="d_to">'Calculation'!$E$253</definedName>
    <definedName name="K_to">'Calculation'!$E$254</definedName>
    <definedName name="z_to">'Calculation'!$E$255</definedName>
    <definedName name="Asr_to">'Calculation'!$E$256</definedName>
    <definedName name="Asm_to">'Calculation'!$E$257</definedName>
    <definedName name="Asp_to">'Calculation'!$E$258</definedName>
    <definedName name="VRc_to">'Calculation'!$E$259</definedName>
    <definedName name="smx_to">'Calculation'!$E$260</definedName>
    <definedName name="ok_to">IFERROR(AND(Asp_to&gt;=MAX(Asr_to,Asm_to),ABS(V_to)&lt;=VRc_to,s_to&lt;=smx_to,s_to-phi_to&gt;=gap_rw,Asp_to&lt;=0.04*1000*t_b),FALSE)</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'Calculation'!$A$1:$H$267</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66" fontId="17" fillId="4" borderId="0" applyAlignment="1" pivotButton="0" quotePrefix="0" xfId="0">
      <alignment horizontal="center" vertical="center"/>
    </xf>
    <xf numFmtId="165" fontId="17" fillId="4" borderId="0" applyAlignment="1" pivotButton="0" quotePrefix="0" xfId="0">
      <alignment horizontal="center" vertical="center"/>
    </xf>
    <xf numFmtId="0" fontId="18" fillId="0" borderId="0" applyAlignment="1" pivotButton="0" quotePrefix="0" xfId="0">
      <alignment vertical="top" wrapText="1"/>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5" fontId="5" fillId="0" borderId="1" applyAlignment="1" pivotButton="0" quotePrefix="0" xfId="0">
      <alignment horizontal="center" vertical="center"/>
    </xf>
    <xf numFmtId="2" fontId="5" fillId="0" borderId="1" applyAlignment="1" pivotButton="0" quotePrefix="0" xfId="0">
      <alignment horizontal="center" vertical="center"/>
    </xf>
    <xf numFmtId="49" fontId="5" fillId="0" borderId="1" applyAlignment="1" pivotButton="0" quotePrefix="0" xfId="0">
      <alignment horizontal="center" vertical="center"/>
    </xf>
    <xf numFmtId="165" fontId="12"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wall</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'Geometry'!$A$3:$A$11</f>
            </numRef>
          </xVal>
          <yVal>
            <numRef>
              <f>'Geometry'!$B$3:$B$11</f>
            </numRef>
          </yVal>
          <smooth val="0"/>
        </ser>
        <ser>
          <idx val="1"/>
          <order val="1"/>
          <tx>
            <v>backfill</v>
          </tx>
          <spPr>
            <a:ln xmlns:a="http://schemas.openxmlformats.org/drawingml/2006/main" w="15875">
              <a:solidFill>
                <a:srgbClr val="9A9A9A"/>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front ground</v>
          </tx>
          <spPr>
            <a:ln xmlns:a="http://schemas.openxmlformats.org/drawingml/2006/main" w="15875">
              <a:solidFill>
                <a:srgbClr val="9A9A9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virtual back</v>
          </tx>
          <spPr>
            <a:ln xmlns:a="http://schemas.openxmlformats.org/drawingml/2006/main" w="9525">
              <a:solidFill>
                <a:srgbClr val="9A9A9A"/>
              </a:solidFill>
              <a:prstDash val="dash"/>
            </a:ln>
          </spPr>
          <marker>
            <symbol val="none"/>
            <spPr>
              <a:ln xmlns:a="http://schemas.openxmlformats.org/drawingml/2006/main">
                <a:prstDash val="solid"/>
              </a:ln>
            </spPr>
          </marker>
          <xVal>
            <numRef>
              <f>'Geometry'!$J$3:$J$4</f>
            </numRef>
          </xVal>
          <yVal>
            <numRef>
              <f>'Geometry'!$K$3:$K$4</f>
            </numRef>
          </yVal>
          <smooth val="0"/>
        </ser>
        <ser>
          <idx val="4"/>
          <order val="4"/>
          <tx>
            <v>earth pressure</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q 0</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q 1</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'Geometry'!$S$3:$S$4</f>
            </numRef>
          </xVal>
          <yVal>
            <numRef>
              <f>'Geometry'!$T$3:$T$4</f>
            </numRef>
          </yVal>
          <smooth val="0"/>
        </ser>
        <ser>
          <idx val="7"/>
          <order val="7"/>
          <tx>
            <v>q 2</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q 3</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base pressure</v>
          </tx>
          <spPr>
            <a:ln xmlns:a="http://schemas.openxmlformats.org/drawingml/2006/main" w="15875">
              <a:solidFill>
                <a:srgbClr val="B3261E"/>
              </a:solidFill>
              <a:prstDash val="solid"/>
            </a:ln>
          </spPr>
          <marker>
            <symbol val="none"/>
            <spPr>
              <a:ln xmlns:a="http://schemas.openxmlformats.org/drawingml/2006/main">
                <a:prstDash val="solid"/>
              </a:ln>
            </spPr>
          </marker>
          <xVal>
            <numRef>
              <f>'Geometry'!$AB$3:$AB$6</f>
            </numRef>
          </xVal>
          <yVal>
            <numRef>
              <f>'Geometry'!$AC$3:$AC$6</f>
            </numRef>
          </yVal>
          <smooth val="0"/>
        </ser>
        <ser>
          <idx val="10"/>
          <order val="10"/>
          <tx>
            <v>stem bars</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heel bars</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toe bars</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'Geometry'!$AN$3:$AN$4</f>
            </numRef>
          </xVal>
          <yVal>
            <numRef>
              <f>'Geometry'!$AO$3:$AO$4</f>
            </numRef>
          </yVal>
          <smooth val="0"/>
        </ser>
        <ser>
          <idx val="14"/>
          <order val="14"/>
          <tx>
            <strRef>
              <f>'Geometry'!$AQ$2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'Geometry'!$AQ$3</f>
            </numRef>
          </xVal>
          <yVal>
            <numRef>
              <f>'Geometry'!$AR$3</f>
            </numRef>
          </yVal>
          <smooth val="0"/>
        </ser>
        <ser>
          <idx val="15"/>
          <order val="1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'Geometry'!$AT$3:$AT$4</f>
            </numRef>
          </xVal>
          <yVal>
            <numRef>
              <f>'Geometry'!$AU$3:$AU$4</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'Geometry'!$AW$3</f>
            </numRef>
          </xVal>
          <yVal>
            <numRef>
              <f>'Geometry'!$AX$3</f>
            </numRef>
          </yVal>
          <smooth val="0"/>
        </ser>
        <ser>
          <idx val="17"/>
          <order val="1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'Geometry'!$AZ$3:$AZ$4</f>
            </numRef>
          </xVal>
          <yVal>
            <numRef>
              <f>'Geometry'!$BA$3:$BA$4</f>
            </numRef>
          </yVal>
          <smooth val="0"/>
        </ser>
        <ser>
          <idx val="18"/>
          <order val="18"/>
          <tx>
            <strRef>
              <f>'Geometry'!$BC$2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'Geometry'!$BC$3</f>
            </numRef>
          </xVal>
          <yVal>
            <numRef>
              <f>'Geometry'!$BD$3</f>
            </numRef>
          </yVal>
          <smooth val="0"/>
        </ser>
        <ser>
          <idx val="19"/>
          <order val="1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'Geometry'!$BF$3:$BF$4</f>
            </numRef>
          </xVal>
          <yVal>
            <numRef>
              <f>'Geometry'!$BG$3:$BG$4</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'Geometry'!$BI$3</f>
            </numRef>
          </xVal>
          <yVal>
            <numRef>
              <f>'Geometry'!$BJ$3</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'Geometry'!$BL$3</f>
            </numRef>
          </xVal>
          <yVal>
            <numRef>
              <f>'Geometry'!$BM$3</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'Geometry'!$BO$3</f>
            </numRef>
          </xVal>
          <yVal>
            <numRef>
              <f>'Geometry'!$BP$3</f>
            </numRef>
          </yVal>
          <smooth val="0"/>
        </ser>
        <ser>
          <idx val="23"/>
          <order val="23"/>
          <tx>
            <strRef>
              <f>'Geometry'!$BR$2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'Geometry'!$BR$3</f>
            </numRef>
          </xVal>
          <yVal>
            <numRef>
              <f>'Geometry'!$BS$3</f>
            </numRef>
          </yVal>
          <smooth val="0"/>
        </ser>
        <ser>
          <idx val="24"/>
          <order val="24"/>
          <tx>
            <strRef>
              <f>'Geometry'!$BU$2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'Geometry'!$BU$3</f>
            </numRef>
          </xVal>
          <yVal>
            <numRef>
              <f>'Geometry'!$BV$3</f>
            </numRef>
          </yVal>
          <smooth val="0"/>
        </ser>
        <ser>
          <idx val="25"/>
          <order val="25"/>
          <tx>
            <strRef>
              <f>'Geometry'!$BX$2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'Geometry'!$BX$3</f>
            </numRef>
          </xVal>
          <yVal>
            <numRef>
              <f>'Geometry'!$BY$3</f>
            </numRef>
          </yVal>
          <smooth val="0"/>
        </ser>
        <ser>
          <idx val="26"/>
          <order val="26"/>
          <tx>
            <v>frame</v>
          </tx>
          <spPr>
            <a:ln xmlns:a="http://schemas.openxmlformats.org/drawingml/2006/main">
              <a:noFill/>
              <a:prstDash val="solid"/>
            </a:ln>
          </spPr>
          <marker>
            <symbol val="none"/>
            <spPr>
              <a:ln xmlns:a="http://schemas.openxmlformats.org/drawingml/2006/main">
                <a:prstDash val="solid"/>
              </a:ln>
            </spPr>
          </marker>
          <xVal>
            <numRef>
              <f>'Geometry'!$CA$3:$CA$4</f>
            </numRef>
          </xVal>
          <yVal>
            <numRef>
              <f>'Geometry'!$CB$3:$CB$4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39</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Retaining wall</t>
        </is>
      </c>
    </row>
    <row r="8" ht="20" customHeight="1">
      <c r="B8" s="4" t="inlineStr">
        <is>
          <t>Cantilever retaining walls  ·  EN 1997-1 §9, EN 1992-1-1  ·  UK NA (DA1) / PN-EN (DA2*)</t>
        </is>
      </c>
    </row>
    <row r="10">
      <c r="B10" s="5" t="inlineStr">
        <is>
          <t>Reference</t>
        </is>
      </c>
      <c r="C10" s="6" t="inlineStr">
        <is>
          <t>NAE-RC-011  ·  version 1.0</t>
        </is>
      </c>
    </row>
    <row r="11" ht="45.5" customHeight="1">
      <c r="B11" s="5" t="inlineStr">
        <is>
          <t>Standards</t>
        </is>
      </c>
      <c r="C11" s="7" t="inlineStr">
        <is>
          <t>BS EN 1992-1-1:2004 with UK NA  ·  PN-EN 1992-1-1:2008 with Polish NA (NDP sources listed on the NDP sheet)  ·  BS EN 1997-1:2004 with UK NA (DA1)  ·  PN-EN 1997-1:2008 with NA in Ap2:2010 (DA2, bearing DA2*)</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A reinforced concrete cantilever retaining wall on a spread base: earth pressure on the virtual back, sliding, eccentricity and drained bearing resistance of the base (EN 1997-1 Annex D), and the bending and shear reinforcement of the stem, heel and toe (EN 1992-1-1).</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36" customHeight="1">
      <c r="B22" s="7" t="inlineStr">
        <is>
          <t>Vertical stem of constant thickness on a level base, level backfill to the top of the stem with a uniform surcharge q, cohesionless drained soils (c' = 0), no water pressure and no passive resistance in front of the toe. The front ground D − tb above the toe acts as weight on the toe (unit weight of the foundation soil), in equilibrium and in the toe design, factored like the other weights. Rankine pressure on a vertical virtual back through the heel: active Ka (wall free to rotate) or at rest K0 = 1 − sin φ' (normally consolidated backfill; overconsolidation and compaction pressures, 9.5.2 and 9.5.5, are outside the scope). The soil above the heel acts with the wall. Partial factors: UK NA DA1, combination 1 (A1+M1+R1) and 2 (A2+M2+R1); PL NA (Ap2:2010, Table NA.2) DA2 (A1+M1+R2: γR,v = 1.4, γR,h = 1.1) with the bearing resistance from characteristic actions (DA2*). Each set is checked for four load arrangements: weights unfavourable (× γG) or favourable (× 1.0), each with and without the surcharge over the heel; the lateral surcharge acts in all. Sliding uses favourable weights. Bearing to Annex D (strip, horizontal base, drained, c' = 0) with B' = B − 2e; the base pressure is linear, with partial contact at either end; |e| ≥ B/2 is rejected and |e| &gt; B/3 is outside this simplified method (6.5.4). The heel and toe are designed for the envelope of the cases; where a case reverses the bending (tension on the other face) the reinforcement result is flagged, because only the main face is designed here. Main-bar spacing to 9.6.3 / 9.3.1.1(3); distribution bars, anchorage of the stem bars, the base joint, cracking, overall stability (DA3 in PL), settlement and frost are outside the scope.
The second-generation EN 1997-1:2024 and EN 1992-1-1:2023 are not yet implemented.</t>
        </is>
      </c>
    </row>
    <row r="24" ht="20" customHeight="1">
      <c r="B24" s="8" t="inlineStr">
        <is>
          <t>Further reading and independent cross-check</t>
        </is>
      </c>
      <c r="C24" s="9" t="n"/>
    </row>
    <row r="25" ht="91" customHeight="1">
      <c r="B25" s="10" t="inlineStr">
        <is>
          <t>•  The Concrete Centre, How to design concrete structures using Eurocode 2: Foundations / retaining walls.
•  Bond et al., Decoding Eurocode 7.
•  The Concrete Centre, RC Spreadsheets v4, TCC62 Retaining wall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&amp;K8A8A8ANAE-RC-011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266"/>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Retaining wall</t>
        </is>
      </c>
      <c r="H2" s="1" t="n"/>
    </row>
    <row r="3" ht="16" customHeight="1">
      <c r="A3" s="1" t="n"/>
      <c r="B3" s="1" t="n"/>
      <c r="C3" s="15" t="inlineStr">
        <is>
          <t>NAE-RC-011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 and reinforcement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Stem height above the base  (retained height)</t>
        </is>
      </c>
      <c r="D15" s="27" t="inlineStr">
        <is>
          <r>
            <rPr>
              <rFont val="Calibri"/>
              <i val="1"/>
              <color rgb="002B2B2B"/>
              <sz val="10"/>
            </rPr>
            <t>H</t>
          </r>
          <r>
            <rPr>
              <rFont val="Calibri"/>
              <i val="1"/>
              <color rgb="002B2B2B"/>
              <sz val="10"/>
              <vertAlign val="subscript"/>
            </rPr>
            <t>s</t>
          </r>
        </is>
      </c>
      <c r="E15" s="25" t="n">
        <v>3000</v>
      </c>
      <c r="F15" s="28" t="inlineStr">
        <is>
          <t>mm</t>
        </is>
      </c>
      <c r="G15" s="23" t="n"/>
    </row>
    <row r="16" ht="17" customHeight="1">
      <c r="B16" s="23" t="n"/>
      <c r="C16" s="24" t="inlineStr">
        <is>
          <t>Stem thickness</t>
        </is>
      </c>
      <c r="D16" s="27" t="inlineStr">
        <is>
          <r>
            <rPr>
              <rFont val="Calibri"/>
              <i val="1"/>
              <color rgb="002B2B2B"/>
              <sz val="10"/>
            </rPr>
            <t>t</t>
          </r>
          <r>
            <rPr>
              <rFont val="Calibri"/>
              <i val="1"/>
              <color rgb="002B2B2B"/>
              <sz val="10"/>
              <vertAlign val="subscript"/>
            </rPr>
            <t>s</t>
          </r>
        </is>
      </c>
      <c r="E16" s="25" t="n">
        <v>300</v>
      </c>
      <c r="F16" s="28" t="inlineStr">
        <is>
          <t>mm</t>
        </is>
      </c>
      <c r="G16" s="23" t="n"/>
    </row>
    <row r="17" ht="17" customHeight="1">
      <c r="B17" s="23" t="n"/>
      <c r="C17" s="24" t="inlineStr">
        <is>
          <t>Base thickness</t>
        </is>
      </c>
      <c r="D17" s="27" t="inlineStr">
        <is>
          <r>
            <rPr>
              <rFont val="Calibri"/>
              <i val="1"/>
              <color rgb="002B2B2B"/>
              <sz val="10"/>
            </rPr>
            <t>t</t>
          </r>
          <r>
            <rPr>
              <rFont val="Calibri"/>
              <i val="1"/>
              <color rgb="002B2B2B"/>
              <sz val="10"/>
              <vertAlign val="subscript"/>
            </rPr>
            <t>b</t>
          </r>
        </is>
      </c>
      <c r="E17" s="25" t="n">
        <v>400</v>
      </c>
      <c r="F17" s="28" t="inlineStr">
        <is>
          <t>mm</t>
        </is>
      </c>
      <c r="G17" s="23" t="n"/>
    </row>
    <row r="18" ht="17" customHeight="1">
      <c r="B18" s="23" t="n"/>
      <c r="C18" s="24" t="inlineStr">
        <is>
          <t>Toe length  (in front of the stem)</t>
        </is>
      </c>
      <c r="D18" s="27" t="inlineStr">
        <is>
          <r>
            <rPr>
              <rFont val="Calibri"/>
              <i val="1"/>
              <color rgb="002B2B2B"/>
              <sz val="10"/>
            </rPr>
            <t>B</t>
          </r>
          <r>
            <rPr>
              <rFont val="Calibri"/>
              <i val="1"/>
              <color rgb="002B2B2B"/>
              <sz val="10"/>
              <vertAlign val="subscript"/>
            </rPr>
            <t>t</t>
          </r>
        </is>
      </c>
      <c r="E18" s="25" t="n">
        <v>700</v>
      </c>
      <c r="F18" s="28" t="inlineStr">
        <is>
          <t>mm</t>
        </is>
      </c>
      <c r="G18" s="23" t="n"/>
    </row>
    <row r="19" ht="17" customHeight="1">
      <c r="B19" s="23" t="n"/>
      <c r="C19" s="24" t="inlineStr">
        <is>
          <t>Heel length  (behind the stem)</t>
        </is>
      </c>
      <c r="D19" s="27" t="inlineStr">
        <is>
          <r>
            <rPr>
              <rFont val="Calibri"/>
              <i val="1"/>
              <color rgb="002B2B2B"/>
              <sz val="10"/>
            </rPr>
            <t>B</t>
          </r>
          <r>
            <rPr>
              <rFont val="Calibri"/>
              <i val="1"/>
              <color rgb="002B2B2B"/>
              <sz val="10"/>
              <vertAlign val="subscript"/>
            </rPr>
            <t>h</t>
          </r>
        </is>
      </c>
      <c r="E19" s="25" t="n">
        <v>1900</v>
      </c>
      <c r="F19" s="28" t="inlineStr">
        <is>
          <t>mm</t>
        </is>
      </c>
      <c r="G19" s="23" t="n"/>
    </row>
    <row r="20" ht="17" customHeight="1">
      <c r="B20" s="26" t="inlineStr">
        <is>
          <t>D.4</t>
        </is>
      </c>
      <c r="C20" s="24" t="inlineStr">
        <is>
          <t>Depth of the base underside below the front ground</t>
        </is>
      </c>
      <c r="D20" s="27" t="inlineStr">
        <is>
          <r>
            <rPr>
              <rFont val="Calibri"/>
              <i val="1"/>
              <color rgb="002B2B2B"/>
              <sz val="10"/>
            </rPr>
            <t>D</t>
          </r>
        </is>
      </c>
      <c r="E20" s="25" t="n">
        <v>600</v>
      </c>
      <c r="F20" s="28" t="inlineStr">
        <is>
          <t>mm</t>
        </is>
      </c>
      <c r="G20" s="23" t="n"/>
    </row>
    <row r="21" ht="17" customHeight="1">
      <c r="B21" s="26" t="inlineStr">
        <is>
          <t>4.4.1</t>
        </is>
      </c>
      <c r="C21" s="24" t="inlineStr">
        <is>
          <t>Nominal cover</t>
        </is>
      </c>
      <c r="D21" s="27" t="inlineStr">
        <is>
          <r>
            <rPr>
              <rFont val="Calibri"/>
              <i val="1"/>
              <color rgb="002B2B2B"/>
              <sz val="10"/>
            </rPr>
            <t>c</t>
          </r>
          <r>
            <rPr>
              <rFont val="Calibri"/>
              <i val="1"/>
              <color rgb="002B2B2B"/>
              <sz val="10"/>
              <vertAlign val="subscript"/>
            </rPr>
            <t>nom</t>
          </r>
        </is>
      </c>
      <c r="E21" s="25" t="n">
        <v>50</v>
      </c>
      <c r="F21" s="28" t="inlineStr">
        <is>
          <t>mm</t>
        </is>
      </c>
      <c r="G21" s="23" t="n"/>
    </row>
    <row r="22" ht="17" customHeight="1">
      <c r="B22" s="23" t="n"/>
      <c r="C22" s="24" t="inlineStr">
        <is>
          <t>Stem bars, rear face: diameter</t>
        </is>
      </c>
      <c r="D22" s="27" t="inlineStr">
        <is>
          <r>
            <rPr>
              <rFont val="Calibri"/>
              <i val="1"/>
              <color rgb="002B2B2B"/>
              <sz val="10"/>
            </rPr>
            <t>φ</t>
          </r>
          <r>
            <rPr>
              <rFont val="Calibri"/>
              <i val="1"/>
              <color rgb="002B2B2B"/>
              <sz val="10"/>
              <vertAlign val="subscript"/>
            </rPr>
            <t>st</t>
          </r>
        </is>
      </c>
      <c r="E22" s="25" t="n">
        <v>16</v>
      </c>
      <c r="F22" s="28" t="inlineStr">
        <is>
          <t>mm</t>
        </is>
      </c>
      <c r="G22" s="23" t="n"/>
    </row>
    <row r="23" ht="17" customHeight="1">
      <c r="B23" s="23" t="n"/>
      <c r="C23" s="24" t="inlineStr">
        <is>
          <t>Stem bars: spacing</t>
        </is>
      </c>
      <c r="D23" s="27" t="inlineStr">
        <is>
          <r>
            <rPr>
              <rFont val="Calibri"/>
              <i val="1"/>
              <color rgb="002B2B2B"/>
              <sz val="10"/>
            </rPr>
            <t>s</t>
          </r>
          <r>
            <rPr>
              <rFont val="Calibri"/>
              <i val="1"/>
              <color rgb="002B2B2B"/>
              <sz val="10"/>
              <vertAlign val="subscript"/>
            </rPr>
            <t>st</t>
          </r>
        </is>
      </c>
      <c r="E23" s="25" t="n">
        <v>200</v>
      </c>
      <c r="F23" s="28" t="inlineStr">
        <is>
          <t>mm</t>
        </is>
      </c>
      <c r="G23" s="23" t="n"/>
    </row>
    <row r="24" ht="17" customHeight="1">
      <c r="B24" s="23" t="n"/>
      <c r="C24" s="24" t="inlineStr">
        <is>
          <t>Heel bars, top face: diameter</t>
        </is>
      </c>
      <c r="D24" s="27" t="inlineStr">
        <is>
          <r>
            <rPr>
              <rFont val="Calibri"/>
              <i val="1"/>
              <color rgb="002B2B2B"/>
              <sz val="10"/>
            </rPr>
            <t>φ</t>
          </r>
          <r>
            <rPr>
              <rFont val="Calibri"/>
              <i val="1"/>
              <color rgb="002B2B2B"/>
              <sz val="10"/>
              <vertAlign val="subscript"/>
            </rPr>
            <t>he</t>
          </r>
        </is>
      </c>
      <c r="E24" s="25" t="n">
        <v>16</v>
      </c>
      <c r="F24" s="28" t="inlineStr">
        <is>
          <t>mm</t>
        </is>
      </c>
      <c r="G24" s="23" t="n"/>
    </row>
    <row r="25" ht="17" customHeight="1">
      <c r="B25" s="23" t="n"/>
      <c r="C25" s="24" t="inlineStr">
        <is>
          <t>Heel bars: spacing</t>
        </is>
      </c>
      <c r="D25" s="27" t="inlineStr">
        <is>
          <r>
            <rPr>
              <rFont val="Calibri"/>
              <i val="1"/>
              <color rgb="002B2B2B"/>
              <sz val="10"/>
            </rPr>
            <t>s</t>
          </r>
          <r>
            <rPr>
              <rFont val="Calibri"/>
              <i val="1"/>
              <color rgb="002B2B2B"/>
              <sz val="10"/>
              <vertAlign val="subscript"/>
            </rPr>
            <t>he</t>
          </r>
        </is>
      </c>
      <c r="E25" s="25" t="n">
        <v>200</v>
      </c>
      <c r="F25" s="28" t="inlineStr">
        <is>
          <t>mm</t>
        </is>
      </c>
      <c r="G25" s="23" t="n"/>
    </row>
    <row r="26" ht="17" customHeight="1">
      <c r="B26" s="23" t="n"/>
      <c r="C26" s="24" t="inlineStr">
        <is>
          <t>Toe bars, bottom face: diameter</t>
        </is>
      </c>
      <c r="D26" s="27" t="inlineStr">
        <is>
          <r>
            <rPr>
              <rFont val="Calibri"/>
              <i val="1"/>
              <color rgb="002B2B2B"/>
              <sz val="10"/>
            </rPr>
            <t>φ</t>
          </r>
          <r>
            <rPr>
              <rFont val="Calibri"/>
              <i val="1"/>
              <color rgb="002B2B2B"/>
              <sz val="10"/>
              <vertAlign val="subscript"/>
            </rPr>
            <t>to</t>
          </r>
        </is>
      </c>
      <c r="E26" s="25" t="n">
        <v>12</v>
      </c>
      <c r="F26" s="28" t="inlineStr">
        <is>
          <t>mm</t>
        </is>
      </c>
      <c r="G26" s="23" t="n"/>
    </row>
    <row r="27" ht="17" customHeight="1">
      <c r="B27" s="23" t="n"/>
      <c r="C27" s="24" t="inlineStr">
        <is>
          <t>Toe bars: spacing</t>
        </is>
      </c>
      <c r="D27" s="27" t="inlineStr">
        <is>
          <r>
            <rPr>
              <rFont val="Calibri"/>
              <i val="1"/>
              <color rgb="002B2B2B"/>
              <sz val="10"/>
            </rPr>
            <t>s</t>
          </r>
          <r>
            <rPr>
              <rFont val="Calibri"/>
              <i val="1"/>
              <color rgb="002B2B2B"/>
              <sz val="10"/>
              <vertAlign val="subscript"/>
            </rPr>
            <t>to</t>
          </r>
        </is>
      </c>
      <c r="E27" s="25" t="n">
        <v>200</v>
      </c>
      <c r="F27" s="28" t="inlineStr">
        <is>
          <t>mm</t>
        </is>
      </c>
      <c r="G27" s="23" t="n"/>
    </row>
    <row r="29" ht="22" customHeight="1">
      <c r="B29" s="20" t="inlineStr">
        <is>
          <t>Inputs  ·  soil and loads</t>
        </is>
      </c>
      <c r="C29" s="21" t="n"/>
      <c r="D29" s="21" t="n"/>
      <c r="E29" s="21" t="n"/>
      <c r="F29" s="21" t="n"/>
      <c r="G29" s="22" t="inlineStr">
        <is>
          <t>Characteristic values</t>
        </is>
      </c>
    </row>
    <row r="30" ht="17" customHeight="1">
      <c r="B30" s="23" t="n"/>
      <c r="C30" s="24" t="inlineStr">
        <is>
          <t>Backfill: unit weight</t>
        </is>
      </c>
      <c r="D30" s="27" t="inlineStr">
        <is>
          <r>
            <rPr>
              <rFont val="Calibri"/>
              <i val="1"/>
              <color rgb="002B2B2B"/>
              <sz val="10"/>
            </rPr>
            <t>γ</t>
          </r>
        </is>
      </c>
      <c r="E30" s="29" t="n">
        <v>19</v>
      </c>
      <c r="F30" s="28" t="inlineStr">
        <is>
          <t>kN/m³</t>
        </is>
      </c>
      <c r="G30" s="23" t="n"/>
    </row>
    <row r="31" ht="17" customHeight="1">
      <c r="B31" s="23" t="n"/>
      <c r="C31" s="24" t="inlineStr">
        <is>
          <t>Backfill: angle of shearing resistance</t>
        </is>
      </c>
      <c r="D31" s="27" t="inlineStr">
        <is>
          <r>
            <rPr>
              <rFont val="Calibri"/>
              <i val="1"/>
              <color rgb="002B2B2B"/>
              <sz val="10"/>
            </rPr>
            <t>φ'</t>
          </r>
          <r>
            <rPr>
              <rFont val="Calibri"/>
              <i val="1"/>
              <color rgb="002B2B2B"/>
              <sz val="10"/>
              <vertAlign val="subscript"/>
            </rPr>
            <t>k</t>
          </r>
        </is>
      </c>
      <c r="E31" s="29" t="n">
        <v>30</v>
      </c>
      <c r="F31" s="28" t="inlineStr">
        <is>
          <t>°</t>
        </is>
      </c>
      <c r="G31" s="23" t="n"/>
    </row>
    <row r="32" ht="17" customHeight="1">
      <c r="B32" s="23" t="n"/>
      <c r="C32" s="24" t="inlineStr">
        <is>
          <t>Earth pressure</t>
        </is>
      </c>
      <c r="D32" s="23" t="n"/>
      <c r="E32" s="25" t="inlineStr">
        <is>
          <t>Active Ka</t>
        </is>
      </c>
      <c r="F32" s="23" t="n"/>
      <c r="G32" s="26" t="inlineStr">
        <is>
          <t>K0: normally consolidated</t>
        </is>
      </c>
    </row>
    <row r="33" ht="17" customHeight="1">
      <c r="B33" s="23" t="n"/>
      <c r="C33" s="24" t="inlineStr">
        <is>
          <t>Foundation soil: unit weight  (also over the base for q')</t>
        </is>
      </c>
      <c r="D33" s="27" t="inlineStr">
        <is>
          <r>
            <rPr>
              <rFont val="Calibri"/>
              <i val="1"/>
              <color rgb="002B2B2B"/>
              <sz val="10"/>
            </rPr>
            <t>γ</t>
          </r>
          <r>
            <rPr>
              <rFont val="Calibri"/>
              <i val="1"/>
              <color rgb="002B2B2B"/>
              <sz val="10"/>
              <vertAlign val="subscript"/>
            </rPr>
            <t>f</t>
          </r>
        </is>
      </c>
      <c r="E33" s="29" t="n">
        <v>19</v>
      </c>
      <c r="F33" s="28" t="inlineStr">
        <is>
          <t>kN/m³</t>
        </is>
      </c>
      <c r="G33" s="23" t="n"/>
    </row>
    <row r="34" ht="17" customHeight="1">
      <c r="B34" s="26" t="inlineStr">
        <is>
          <t>6.5.3(10)</t>
        </is>
      </c>
      <c r="C34" s="24" t="inlineStr">
        <is>
          <t>Foundation soil: angle of shearing resistance  (critical state)</t>
        </is>
      </c>
      <c r="D34" s="27" t="inlineStr">
        <is>
          <r>
            <rPr>
              <rFont val="Calibri"/>
              <i val="1"/>
              <color rgb="002B2B2B"/>
              <sz val="10"/>
            </rPr>
            <t>φ'</t>
          </r>
          <r>
            <rPr>
              <rFont val="Calibri"/>
              <i val="1"/>
              <color rgb="002B2B2B"/>
              <sz val="10"/>
              <vertAlign val="subscript"/>
            </rPr>
            <t>f</t>
          </r>
        </is>
      </c>
      <c r="E34" s="29" t="n">
        <v>30</v>
      </c>
      <c r="F34" s="28" t="inlineStr">
        <is>
          <t>°</t>
        </is>
      </c>
      <c r="G34" s="23" t="n"/>
    </row>
    <row r="35" ht="17" customHeight="1">
      <c r="B35" s="23" t="n"/>
      <c r="C35" s="24" t="inlineStr">
        <is>
          <t>Surcharge on the backfill  (variable)</t>
        </is>
      </c>
      <c r="D35" s="27" t="inlineStr">
        <is>
          <r>
            <rPr>
              <rFont val="Calibri"/>
              <i val="1"/>
              <color rgb="002B2B2B"/>
              <sz val="10"/>
            </rPr>
            <t>q</t>
          </r>
        </is>
      </c>
      <c r="E35" s="29" t="n">
        <v>10</v>
      </c>
      <c r="F35" s="28" t="inlineStr">
        <is>
          <t>kPa</t>
        </is>
      </c>
      <c r="G35" s="23" t="n"/>
    </row>
    <row r="36" ht="17" customHeight="1">
      <c r="B36" s="23" t="n"/>
      <c r="C36" s="24" t="inlineStr">
        <is>
          <t>Unit weight of reinforced concrete</t>
        </is>
      </c>
      <c r="D36" s="27" t="inlineStr">
        <is>
          <r>
            <rPr>
              <rFont val="Calibri"/>
              <i val="1"/>
              <color rgb="002B2B2B"/>
              <sz val="10"/>
            </rPr>
            <t>γ</t>
          </r>
          <r>
            <rPr>
              <rFont val="Calibri"/>
              <i val="1"/>
              <color rgb="002B2B2B"/>
              <sz val="10"/>
              <vertAlign val="subscript"/>
            </rPr>
            <t>c</t>
          </r>
        </is>
      </c>
      <c r="E36" s="29" t="n">
        <v>25</v>
      </c>
      <c r="F36" s="28" t="inlineStr">
        <is>
          <t>kN/m³</t>
        </is>
      </c>
      <c r="G36" s="23" t="n"/>
    </row>
    <row r="37" ht="17" customHeight="1">
      <c r="B37" s="23" t="n"/>
      <c r="C37" s="24" t="inlineStr">
        <is>
          <t>Inputs valid and consistent</t>
        </is>
      </c>
      <c r="D37" s="23" t="n"/>
      <c r="E37" s="9" t="n"/>
      <c r="F37" s="23" t="n"/>
      <c r="G37" s="30">
        <f>IF(inputs_ok,"OK","FAIL")</f>
        <v/>
      </c>
    </row>
    <row r="39">
      <c r="B39" s="31" t="inlineStr">
        <is>
          <t>Your wall, to scale  ·  earth pressure on the virtual back (set 1)  ·  base pressure, case 1a</t>
        </is>
      </c>
    </row>
    <row r="63" ht="22" customHeight="1">
      <c r="B63" s="20" t="inlineStr">
        <is>
          <t>Results</t>
        </is>
      </c>
      <c r="C63" s="21" t="n"/>
      <c r="D63" s="21" t="n"/>
      <c r="E63" s="21" t="n"/>
      <c r="F63" s="21" t="n"/>
      <c r="G63" s="21" t="n"/>
    </row>
    <row r="64" ht="26" customHeight="1">
      <c r="B64" s="32" t="n"/>
      <c r="C64" s="33" t="inlineStr">
        <is>
          <t>Sliding  Hd / Rh,d  (worst set)</t>
        </is>
      </c>
      <c r="D64" s="32" t="n"/>
      <c r="E64" s="34">
        <f>MAX(H_1/Rh_1,IF(n_sets=2,H_2/Rh_2,0))</f>
        <v/>
      </c>
      <c r="F64" s="35" t="inlineStr"/>
      <c r="G64" s="36">
        <f>IF(NOT(inputs_ok),"FAIL",IF(MAX(H_1/Rh_1,IF(n_sets=2,H_2/Rh_2,0))&lt;=1,"OK","FAIL"))</f>
        <v/>
      </c>
    </row>
    <row r="65" ht="26" customHeight="1">
      <c r="B65" s="32" t="n"/>
      <c r="C65" s="33" t="inlineStr">
        <is>
          <t>Bearing  Vd / Rv,d  (worst case)</t>
        </is>
      </c>
      <c r="D65" s="32" t="n"/>
      <c r="E65" s="34">
        <f>bear_u</f>
        <v/>
      </c>
      <c r="F65" s="35" t="inlineStr"/>
      <c r="G65" s="36">
        <f>IF(NOT(inputs_ok),"FAIL",IF(bear_u&lt;=1,"OK","FAIL"))</f>
        <v/>
      </c>
    </row>
    <row r="66" ht="26" customHeight="1">
      <c r="B66" s="32" t="n"/>
      <c r="C66" s="33" t="inlineStr">
        <is>
          <t>Eccentricity  |e| / B  (worst case; limit of this method 1/3)</t>
        </is>
      </c>
      <c r="D66" s="32" t="n"/>
      <c r="E66" s="37">
        <f>ecc_u</f>
        <v/>
      </c>
      <c r="F66" s="35" t="inlineStr"/>
      <c r="G66" s="36">
        <f>IF(NOT(inputs_ok),"FAIL",IF(NOT(all_ok),"FAIL",IF(ecc_u&lt;=1/3,IF(ecc_u&lt;=1/6,"OK","! Partial contact"),"FAIL")))</f>
        <v/>
      </c>
    </row>
    <row r="67" ht="26" customHeight="1">
      <c r="B67" s="32" t="n"/>
      <c r="C67" s="33" t="inlineStr">
        <is>
          <t>Reinforcement  stem, heel and toe  (largest moment)</t>
        </is>
      </c>
      <c r="D67" s="32" t="n"/>
      <c r="E67" s="38">
        <f>MAX(M_st,M_he,M_to)</f>
        <v/>
      </c>
      <c r="F67" s="35" t="inlineStr">
        <is>
          <t>kNm/m</t>
        </is>
      </c>
      <c r="G67" s="36">
        <f>IF(NOT(inputs_ok),"FAIL",IF(NOT(all_ok),"FAIL",IF(NOT(str_ok),"FAIL",IF(OR(rev_he,rev_to),"! Reverse bending","OK"))))</f>
        <v/>
      </c>
    </row>
    <row r="68" ht="41.5" customHeight="1">
      <c r="B68" s="39" t="inlineStr">
        <is>
          <t>UK: both combinations of DA1, each with arrangements (a) to (d); PL: DA2 with all four and the bearing resistance from characteristic actions (DA2*). FAIL takes precedence over the reverse-bending warning. "! Reverse bending": a case puts the heel bottom or the toe top in tension; reinforce that face too (not designed here).</t>
        </is>
      </c>
    </row>
    <row r="70" ht="22" customHeight="1">
      <c r="B70" s="20" t="inlineStr">
        <is>
          <t>Calculation  ·  geometry and weights  (per metre run)</t>
        </is>
      </c>
      <c r="C70" s="21" t="n"/>
      <c r="D70" s="21" t="n"/>
      <c r="E70" s="21" t="n"/>
      <c r="F70" s="21" t="n"/>
      <c r="G70" s="21" t="n"/>
    </row>
    <row r="71" ht="17" customHeight="1">
      <c r="B71" s="23" t="n"/>
      <c r="C71" s="24" t="inlineStr">
        <is>
          <t>Base width  B = toe + stem + heel</t>
        </is>
      </c>
      <c r="D71" s="27" t="inlineStr">
        <is>
          <r>
            <rPr>
              <rFont val="Calibri"/>
              <i val="1"/>
              <color rgb="002B2B2B"/>
              <sz val="10"/>
            </rPr>
            <t>B</t>
          </r>
        </is>
      </c>
      <c r="E71" s="40">
        <f>B_t+t_s+B_h</f>
        <v/>
      </c>
      <c r="F71" s="28" t="inlineStr">
        <is>
          <t>mm</t>
        </is>
      </c>
      <c r="G71" s="23" t="n"/>
    </row>
    <row r="72" ht="17" customHeight="1">
      <c r="B72" s="23" t="n"/>
      <c r="C72" s="24" t="inlineStr">
        <is>
          <t>Height of the virtual back  Hs + tb</t>
        </is>
      </c>
      <c r="D72" s="27" t="inlineStr">
        <is>
          <r>
            <rPr>
              <rFont val="Calibri"/>
              <i val="1"/>
              <color rgb="002B2B2B"/>
              <sz val="10"/>
            </rPr>
            <t>H</t>
          </r>
        </is>
      </c>
      <c r="E72" s="41">
        <f>Hv_m</f>
        <v/>
      </c>
      <c r="F72" s="28" t="inlineStr">
        <is>
          <t>m</t>
        </is>
      </c>
      <c r="G72" s="23" t="n"/>
    </row>
    <row r="73" ht="17" customHeight="1">
      <c r="B73" s="23" t="n"/>
      <c r="C73" s="24" t="inlineStr">
        <is>
          <t>Stem  γc ts Hs</t>
        </is>
      </c>
      <c r="D73" s="27" t="inlineStr">
        <is>
          <r>
            <rPr>
              <rFont val="Calibri"/>
              <i val="1"/>
              <color rgb="002B2B2B"/>
              <sz val="10"/>
            </rPr>
            <t>W</t>
          </r>
          <r>
            <rPr>
              <rFont val="Calibri"/>
              <i val="1"/>
              <color rgb="002B2B2B"/>
              <sz val="10"/>
              <vertAlign val="subscript"/>
            </rPr>
            <t>s</t>
          </r>
        </is>
      </c>
      <c r="E73" s="42">
        <f>gam_c*t_s*H_s/1E6</f>
        <v/>
      </c>
      <c r="F73" s="28" t="inlineStr">
        <is>
          <t>kN/m</t>
        </is>
      </c>
      <c r="G73" s="23" t="n"/>
    </row>
    <row r="74" ht="17" customHeight="1">
      <c r="B74" s="23" t="n"/>
      <c r="C74" s="24" t="inlineStr">
        <is>
          <t>Base  γc B tb</t>
        </is>
      </c>
      <c r="D74" s="27" t="inlineStr">
        <is>
          <r>
            <rPr>
              <rFont val="Calibri"/>
              <i val="1"/>
              <color rgb="002B2B2B"/>
              <sz val="10"/>
            </rPr>
            <t>W</t>
          </r>
          <r>
            <rPr>
              <rFont val="Calibri"/>
              <i val="1"/>
              <color rgb="002B2B2B"/>
              <sz val="10"/>
              <vertAlign val="subscript"/>
            </rPr>
            <t>b</t>
          </r>
        </is>
      </c>
      <c r="E74" s="42">
        <f>gam_c*B_w*t_b/1E6</f>
        <v/>
      </c>
      <c r="F74" s="28" t="inlineStr">
        <is>
          <t>kN/m</t>
        </is>
      </c>
      <c r="G74" s="23" t="n"/>
    </row>
    <row r="75" ht="17" customHeight="1">
      <c r="B75" s="23" t="n"/>
      <c r="C75" s="24" t="inlineStr">
        <is>
          <t>Soil over the heel  γ Bh Hs</t>
        </is>
      </c>
      <c r="D75" s="27" t="inlineStr">
        <is>
          <r>
            <rPr>
              <rFont val="Calibri"/>
              <i val="1"/>
              <color rgb="002B2B2B"/>
              <sz val="10"/>
            </rPr>
            <t>W</t>
          </r>
          <r>
            <rPr>
              <rFont val="Calibri"/>
              <i val="1"/>
              <color rgb="002B2B2B"/>
              <sz val="10"/>
              <vertAlign val="subscript"/>
            </rPr>
            <t>soil</t>
          </r>
        </is>
      </c>
      <c r="E75" s="42">
        <f>gam_s*B_h*H_s/1E6</f>
        <v/>
      </c>
      <c r="F75" s="28" t="inlineStr">
        <is>
          <t>kN/m</t>
        </is>
      </c>
      <c r="G75" s="23" t="n"/>
    </row>
    <row r="76" ht="17" customHeight="1">
      <c r="B76" s="23" t="n"/>
      <c r="C76" s="24" t="inlineStr">
        <is>
          <t>Front ground over the toe  γf Bt (D − tb)</t>
        </is>
      </c>
      <c r="D76" s="27" t="inlineStr">
        <is>
          <r>
            <rPr>
              <rFont val="Calibri"/>
              <i val="1"/>
              <color rgb="002B2B2B"/>
              <sz val="10"/>
            </rPr>
            <t>W</t>
          </r>
          <r>
            <rPr>
              <rFont val="Calibri"/>
              <i val="1"/>
              <color rgb="002B2B2B"/>
              <sz val="10"/>
              <vertAlign val="subscript"/>
            </rPr>
            <t>front</t>
          </r>
        </is>
      </c>
      <c r="E76" s="42">
        <f>gam_f*B_t*MAX(0,D_f-t_b)/1E6</f>
        <v/>
      </c>
      <c r="F76" s="28" t="inlineStr">
        <is>
          <t>kN/m</t>
        </is>
      </c>
      <c r="G76" s="23" t="n"/>
    </row>
    <row r="77" ht="17" customHeight="1">
      <c r="B77" s="23" t="n"/>
      <c r="C77" s="24" t="inlineStr">
        <is>
          <t>Total weight  W</t>
        </is>
      </c>
      <c r="D77" s="27" t="inlineStr">
        <is>
          <r>
            <rPr>
              <rFont val="Calibri"/>
              <i val="1"/>
              <color rgb="002B2B2B"/>
              <sz val="10"/>
            </rPr>
            <t>W</t>
          </r>
        </is>
      </c>
      <c r="E77" s="42">
        <f>W_st+W_ba+W_so+W_fr</f>
        <v/>
      </c>
      <c r="F77" s="28" t="inlineStr">
        <is>
          <t>kN/m</t>
        </is>
      </c>
      <c r="G77" s="23" t="n"/>
    </row>
    <row r="78" ht="17" customHeight="1">
      <c r="B78" s="23" t="n"/>
      <c r="C78" s="24" t="inlineStr">
        <is>
          <t>Moment of the weights about the toe  Σ W x</t>
        </is>
      </c>
      <c r="D78" s="27" t="inlineStr">
        <is>
          <r>
            <rPr>
              <rFont val="Calibri"/>
              <i val="1"/>
              <color rgb="002B2B2B"/>
              <sz val="10"/>
            </rPr>
            <t>ΣWx</t>
          </r>
        </is>
      </c>
      <c r="E78" s="42">
        <f>W_st*(B_t+t_s/2)/1000+W_ba*B_w/2000+W_so*xh_m+W_fr*B_t/2000</f>
        <v/>
      </c>
      <c r="F78" s="28" t="inlineStr">
        <is>
          <t>kNm/m</t>
        </is>
      </c>
      <c r="G78" s="23" t="n"/>
    </row>
    <row r="80" ht="22" customHeight="1">
      <c r="B80" s="20" t="inlineStr">
        <is>
          <t>Calculation  ·  EN 1997-1  (GEO)</t>
        </is>
      </c>
      <c r="C80" s="21" t="n"/>
      <c r="D80" s="21" t="n"/>
      <c r="E80" s="21" t="n"/>
      <c r="F80" s="21" t="n"/>
      <c r="G80" s="21" t="n"/>
    </row>
    <row r="81" ht="17" customHeight="1">
      <c r="B81" s="26" t="inlineStr">
        <is>
          <t>A.3.3.4</t>
        </is>
      </c>
      <c r="C81" s="24" t="inlineStr">
        <is>
          <t>Resistance factor, bearing  γR,v  (UK DA1: 1.0; PL DA2: 1.4)</t>
        </is>
      </c>
      <c r="D81" s="27" t="inlineStr">
        <is>
          <r>
            <rPr>
              <rFont val="Calibri"/>
              <i val="1"/>
              <color rgb="002B2B2B"/>
              <sz val="10"/>
            </rPr>
            <t>γ</t>
          </r>
          <r>
            <rPr>
              <rFont val="Calibri"/>
              <i val="1"/>
              <color rgb="002B2B2B"/>
              <sz val="10"/>
              <vertAlign val="subscript"/>
            </rPr>
            <t>R,v</t>
          </r>
        </is>
      </c>
      <c r="E81" s="43">
        <f>IF(NA_sel="PL NA (PN-EN)",1.4,1.0)</f>
        <v/>
      </c>
      <c r="F81" s="23" t="n"/>
      <c r="G81" s="23" t="n"/>
    </row>
    <row r="82" ht="17" customHeight="1">
      <c r="B82" s="26" t="inlineStr">
        <is>
          <t>A.3.3.4</t>
        </is>
      </c>
      <c r="C82" s="24" t="inlineStr">
        <is>
          <t>Resistance factor, sliding  γR,h  (UK DA1: 1.0; PL DA2: 1.1)</t>
        </is>
      </c>
      <c r="D82" s="27" t="inlineStr">
        <is>
          <r>
            <rPr>
              <rFont val="Calibri"/>
              <i val="1"/>
              <color rgb="002B2B2B"/>
              <sz val="10"/>
            </rPr>
            <t>γ</t>
          </r>
          <r>
            <rPr>
              <rFont val="Calibri"/>
              <i val="1"/>
              <color rgb="002B2B2B"/>
              <sz val="10"/>
              <vertAlign val="subscript"/>
            </rPr>
            <t>R,h</t>
          </r>
        </is>
      </c>
      <c r="E82" s="43">
        <f>IF(NA_sel="PL NA (PN-EN)",1.1,1.0)</f>
        <v/>
      </c>
      <c r="F82" s="23" t="n"/>
      <c r="G82" s="23" t="n"/>
    </row>
    <row r="83" ht="17" customHeight="1">
      <c r="B83" s="26" t="inlineStr">
        <is>
          <t>A.3</t>
        </is>
      </c>
      <c r="C83" s="24" t="inlineStr">
        <is>
          <t>Set 1: partial factors  γG,unfav / γQ / γφ'</t>
        </is>
      </c>
      <c r="D83" s="23" t="n"/>
      <c r="E83" s="44">
        <f>"1.35 / 1.5 / 1.0"</f>
        <v/>
      </c>
      <c r="F83" s="23" t="n"/>
      <c r="G83" s="23" t="n"/>
    </row>
    <row r="84" ht="17" customHeight="1">
      <c r="B84" s="26" t="inlineStr">
        <is>
          <t>(2.4.6.2)</t>
        </is>
      </c>
      <c r="C84" s="24" t="inlineStr">
        <is>
          <t>Set 1: design φ' of the backfill  atan(tan φ'k / γφ')</t>
        </is>
      </c>
      <c r="D84" s="27" t="inlineStr">
        <is>
          <r>
            <rPr>
              <rFont val="Calibri"/>
              <i val="1"/>
              <color rgb="002B2B2B"/>
              <sz val="10"/>
            </rPr>
            <t>φ'</t>
          </r>
          <r>
            <rPr>
              <rFont val="Calibri"/>
              <i val="1"/>
              <color rgb="002B2B2B"/>
              <sz val="10"/>
              <vertAlign val="subscript"/>
            </rPr>
            <t>d1</t>
          </r>
        </is>
      </c>
      <c r="E84" s="43">
        <f>DEGREES(ATAN(TAN(RADIANS(phi_k))/1.0))</f>
        <v/>
      </c>
      <c r="F84" s="28" t="inlineStr">
        <is>
          <t>°</t>
        </is>
      </c>
      <c r="G84" s="23" t="n"/>
    </row>
    <row r="85" ht="17" customHeight="1">
      <c r="B85" s="26" t="inlineStr">
        <is>
          <t>Rankine</t>
        </is>
      </c>
      <c r="C85" s="24" t="inlineStr">
        <is>
          <t>Set 1: earth pressure coefficient  Ka = (1 − sin φ')/(1 + sin φ'), or K0 = 1 − sin φ'</t>
        </is>
      </c>
      <c r="D85" s="27" t="inlineStr">
        <is>
          <r>
            <rPr>
              <rFont val="Calibri"/>
              <i val="1"/>
              <color rgb="002B2B2B"/>
              <sz val="10"/>
            </rPr>
            <t>K</t>
          </r>
          <r>
            <rPr>
              <rFont val="Calibri"/>
              <i val="1"/>
              <color rgb="002B2B2B"/>
              <sz val="10"/>
              <vertAlign val="subscript"/>
            </rPr>
            <t>1</t>
          </r>
        </is>
      </c>
      <c r="E85" s="41">
        <f>IF(K_type="At rest K0",1-SIN(RADIANS(phi_d1)),(1-SIN(RADIANS(phi_d1)))/(1+SIN(RADIANS(phi_d1))))</f>
        <v/>
      </c>
      <c r="F85" s="23" t="n"/>
      <c r="G85" s="23" t="n"/>
    </row>
    <row r="86" ht="17" customHeight="1">
      <c r="B86" s="23" t="n"/>
      <c r="C86" s="24" t="inlineStr">
        <is>
          <t>Set 1: thrust of the soil  K γ H² / 2  (at H/3)</t>
        </is>
      </c>
      <c r="D86" s="27" t="inlineStr">
        <is>
          <r>
            <rPr>
              <rFont val="Calibri"/>
              <i val="1"/>
              <color rgb="002B2B2B"/>
              <sz val="10"/>
            </rPr>
            <t>P</t>
          </r>
          <r>
            <rPr>
              <rFont val="Calibri"/>
              <i val="1"/>
              <color rgb="002B2B2B"/>
              <sz val="10"/>
              <vertAlign val="subscript"/>
            </rPr>
            <t>G1</t>
          </r>
        </is>
      </c>
      <c r="E86" s="42">
        <f>K_1*gam_s*Hv_m^2/2</f>
        <v/>
      </c>
      <c r="F86" s="28" t="inlineStr">
        <is>
          <t>kN/m</t>
        </is>
      </c>
      <c r="G86" s="23" t="n"/>
    </row>
    <row r="87" ht="17" customHeight="1">
      <c r="B87" s="23" t="n"/>
      <c r="C87" s="24" t="inlineStr">
        <is>
          <t>Set 1: thrust of the surcharge  K q H  (at H/2)</t>
        </is>
      </c>
      <c r="D87" s="27" t="inlineStr">
        <is>
          <r>
            <rPr>
              <rFont val="Calibri"/>
              <i val="1"/>
              <color rgb="002B2B2B"/>
              <sz val="10"/>
            </rPr>
            <t>P</t>
          </r>
          <r>
            <rPr>
              <rFont val="Calibri"/>
              <i val="1"/>
              <color rgb="002B2B2B"/>
              <sz val="10"/>
              <vertAlign val="subscript"/>
            </rPr>
            <t>Q1</t>
          </r>
        </is>
      </c>
      <c r="E87" s="42">
        <f>K_1*q_k*Hv_m</f>
        <v/>
      </c>
      <c r="F87" s="28" t="inlineStr">
        <is>
          <t>kN/m</t>
        </is>
      </c>
      <c r="G87" s="23" t="n"/>
    </row>
    <row r="88" ht="17" customHeight="1">
      <c r="B88" s="26" t="inlineStr">
        <is>
          <t>6.5.3</t>
        </is>
      </c>
      <c r="C88" s="24" t="inlineStr">
        <is>
          <t>Set 1: horizontal design force  γG PG + γQ PQ</t>
        </is>
      </c>
      <c r="D88" s="27" t="inlineStr">
        <is>
          <r>
            <rPr>
              <rFont val="Calibri"/>
              <i val="1"/>
              <color rgb="002B2B2B"/>
              <sz val="10"/>
            </rPr>
            <t>H</t>
          </r>
          <r>
            <rPr>
              <rFont val="Calibri"/>
              <i val="1"/>
              <color rgb="002B2B2B"/>
              <sz val="10"/>
              <vertAlign val="subscript"/>
            </rPr>
            <t>d1</t>
          </r>
        </is>
      </c>
      <c r="E88" s="42">
        <f>1.35*PG_1+1.5*PQ_1</f>
        <v/>
      </c>
      <c r="F88" s="28" t="inlineStr">
        <is>
          <t>kN/m</t>
        </is>
      </c>
      <c r="G88" s="23" t="n"/>
    </row>
    <row r="89" ht="17" customHeight="1">
      <c r="B89" s="26" t="inlineStr">
        <is>
          <t>6.5.3(10)</t>
        </is>
      </c>
      <c r="C89" s="24" t="inlineStr">
        <is>
          <t>Set 1: base friction  tan δd = tan φ'f / γφ'  (cast in place)</t>
        </is>
      </c>
      <c r="D89" s="27" t="inlineStr">
        <is>
          <r>
            <rPr>
              <rFont val="Calibri"/>
              <i val="1"/>
              <color rgb="002B2B2B"/>
              <sz val="10"/>
            </rPr>
            <t>tan δ</t>
          </r>
          <r>
            <rPr>
              <rFont val="Calibri"/>
              <i val="1"/>
              <color rgb="002B2B2B"/>
              <sz val="10"/>
              <vertAlign val="subscript"/>
            </rPr>
            <t>1</t>
          </r>
        </is>
      </c>
      <c r="E89" s="41">
        <f>TAN(RADIANS(phi_f))/1.0</f>
        <v/>
      </c>
      <c r="F89" s="23" t="n"/>
      <c r="G89" s="23" t="n"/>
    </row>
    <row r="90" ht="17" customHeight="1">
      <c r="B90" s="26" t="inlineStr">
        <is>
          <t>(6.3a)</t>
        </is>
      </c>
      <c r="C90" s="24" t="inlineStr">
        <is>
          <t>Set 1: sliding resistance  W tan δd / γR,h  (weights 1.0, no surcharge over the heel)</t>
        </is>
      </c>
      <c r="D90" s="27" t="inlineStr">
        <is>
          <r>
            <rPr>
              <rFont val="Calibri"/>
              <i val="1"/>
              <color rgb="002B2B2B"/>
              <sz val="10"/>
            </rPr>
            <t>R</t>
          </r>
          <r>
            <rPr>
              <rFont val="Calibri"/>
              <i val="1"/>
              <color rgb="002B2B2B"/>
              <sz val="10"/>
              <vertAlign val="subscript"/>
            </rPr>
            <t>h1</t>
          </r>
        </is>
      </c>
      <c r="E90" s="42">
        <f>W_tot*tand_1/gR_h</f>
        <v/>
      </c>
      <c r="F90" s="28" t="inlineStr">
        <is>
          <t>kN/m</t>
        </is>
      </c>
      <c r="G90" s="23" t="n"/>
    </row>
    <row r="91" ht="17" customHeight="1">
      <c r="B91" s="26" t="inlineStr">
        <is>
          <t>D.4</t>
        </is>
      </c>
      <c r="C91" s="24" t="inlineStr">
        <is>
          <t>Set 1: bearing factors Nq / Nγ  (φ'f / γφ')</t>
        </is>
      </c>
      <c r="D91" s="23" t="n"/>
      <c r="E91" s="44">
        <f>TEXT(Nq_1,"0.00")&amp;" / "&amp;TEXT(Ng_1,"0.00")</f>
        <v/>
      </c>
      <c r="F91" s="23" t="n"/>
      <c r="G91" s="23" t="n"/>
    </row>
    <row r="92" ht="29" customHeight="1">
      <c r="B92" s="39" t="inlineStr">
        <is>
          <t>Set 2 (A2 + M2 + R1) is the UK DA1 combination 2; under the PL annex it is shown for information only and is not used in the results.</t>
        </is>
      </c>
    </row>
    <row r="93" ht="17" customHeight="1">
      <c r="B93" s="26" t="inlineStr">
        <is>
          <t>A.3</t>
        </is>
      </c>
      <c r="C93" s="24" t="inlineStr">
        <is>
          <t>Set 2: partial factors  γG,unfav / γQ / γφ'</t>
        </is>
      </c>
      <c r="D93" s="23" t="n"/>
      <c r="E93" s="44">
        <f>"1.0 / 1.3 / 1.25"</f>
        <v/>
      </c>
      <c r="F93" s="23" t="n"/>
      <c r="G93" s="23" t="n"/>
    </row>
    <row r="94" ht="17" customHeight="1">
      <c r="B94" s="26" t="inlineStr">
        <is>
          <t>(2.4.6.2)</t>
        </is>
      </c>
      <c r="C94" s="24" t="inlineStr">
        <is>
          <t>Set 2: design φ' of the backfill  atan(tan φ'k / γφ')</t>
        </is>
      </c>
      <c r="D94" s="27" t="inlineStr">
        <is>
          <r>
            <rPr>
              <rFont val="Calibri"/>
              <i val="1"/>
              <color rgb="002B2B2B"/>
              <sz val="10"/>
            </rPr>
            <t>φ'</t>
          </r>
          <r>
            <rPr>
              <rFont val="Calibri"/>
              <i val="1"/>
              <color rgb="002B2B2B"/>
              <sz val="10"/>
              <vertAlign val="subscript"/>
            </rPr>
            <t>d2</t>
          </r>
        </is>
      </c>
      <c r="E94" s="43">
        <f>DEGREES(ATAN(TAN(RADIANS(phi_k))/1.25))</f>
        <v/>
      </c>
      <c r="F94" s="28" t="inlineStr">
        <is>
          <t>°</t>
        </is>
      </c>
      <c r="G94" s="23" t="n"/>
    </row>
    <row r="95" ht="17" customHeight="1">
      <c r="B95" s="26" t="inlineStr">
        <is>
          <t>Rankine</t>
        </is>
      </c>
      <c r="C95" s="24" t="inlineStr">
        <is>
          <t>Set 2: earth pressure coefficient  Ka = (1 − sin φ')/(1 + sin φ'), or K0 = 1 − sin φ'</t>
        </is>
      </c>
      <c r="D95" s="27" t="inlineStr">
        <is>
          <r>
            <rPr>
              <rFont val="Calibri"/>
              <i val="1"/>
              <color rgb="002B2B2B"/>
              <sz val="10"/>
            </rPr>
            <t>K</t>
          </r>
          <r>
            <rPr>
              <rFont val="Calibri"/>
              <i val="1"/>
              <color rgb="002B2B2B"/>
              <sz val="10"/>
              <vertAlign val="subscript"/>
            </rPr>
            <t>2</t>
          </r>
        </is>
      </c>
      <c r="E95" s="41">
        <f>IF(K_type="At rest K0",1-SIN(RADIANS(phi_d2)),(1-SIN(RADIANS(phi_d2)))/(1+SIN(RADIANS(phi_d2))))</f>
        <v/>
      </c>
      <c r="F95" s="23" t="n"/>
      <c r="G95" s="23" t="n"/>
    </row>
    <row r="96" ht="17" customHeight="1">
      <c r="B96" s="23" t="n"/>
      <c r="C96" s="24" t="inlineStr">
        <is>
          <t>Set 2: thrust of the soil  K γ H² / 2  (at H/3)</t>
        </is>
      </c>
      <c r="D96" s="27" t="inlineStr">
        <is>
          <r>
            <rPr>
              <rFont val="Calibri"/>
              <i val="1"/>
              <color rgb="002B2B2B"/>
              <sz val="10"/>
            </rPr>
            <t>P</t>
          </r>
          <r>
            <rPr>
              <rFont val="Calibri"/>
              <i val="1"/>
              <color rgb="002B2B2B"/>
              <sz val="10"/>
              <vertAlign val="subscript"/>
            </rPr>
            <t>G2</t>
          </r>
        </is>
      </c>
      <c r="E96" s="42">
        <f>K_2*gam_s*Hv_m^2/2</f>
        <v/>
      </c>
      <c r="F96" s="28" t="inlineStr">
        <is>
          <t>kN/m</t>
        </is>
      </c>
      <c r="G96" s="23" t="n"/>
    </row>
    <row r="97" ht="17" customHeight="1">
      <c r="B97" s="23" t="n"/>
      <c r="C97" s="24" t="inlineStr">
        <is>
          <t>Set 2: thrust of the surcharge  K q H  (at H/2)</t>
        </is>
      </c>
      <c r="D97" s="27" t="inlineStr">
        <is>
          <r>
            <rPr>
              <rFont val="Calibri"/>
              <i val="1"/>
              <color rgb="002B2B2B"/>
              <sz val="10"/>
            </rPr>
            <t>P</t>
          </r>
          <r>
            <rPr>
              <rFont val="Calibri"/>
              <i val="1"/>
              <color rgb="002B2B2B"/>
              <sz val="10"/>
              <vertAlign val="subscript"/>
            </rPr>
            <t>Q2</t>
          </r>
        </is>
      </c>
      <c r="E97" s="42">
        <f>K_2*q_k*Hv_m</f>
        <v/>
      </c>
      <c r="F97" s="28" t="inlineStr">
        <is>
          <t>kN/m</t>
        </is>
      </c>
      <c r="G97" s="23" t="n"/>
    </row>
    <row r="98" ht="17" customHeight="1">
      <c r="B98" s="26" t="inlineStr">
        <is>
          <t>6.5.3</t>
        </is>
      </c>
      <c r="C98" s="24" t="inlineStr">
        <is>
          <t>Set 2: horizontal design force  γG PG + γQ PQ</t>
        </is>
      </c>
      <c r="D98" s="27" t="inlineStr">
        <is>
          <r>
            <rPr>
              <rFont val="Calibri"/>
              <i val="1"/>
              <color rgb="002B2B2B"/>
              <sz val="10"/>
            </rPr>
            <t>H</t>
          </r>
          <r>
            <rPr>
              <rFont val="Calibri"/>
              <i val="1"/>
              <color rgb="002B2B2B"/>
              <sz val="10"/>
              <vertAlign val="subscript"/>
            </rPr>
            <t>d2</t>
          </r>
        </is>
      </c>
      <c r="E98" s="42">
        <f>1.0*PG_2+1.3*PQ_2</f>
        <v/>
      </c>
      <c r="F98" s="28" t="inlineStr">
        <is>
          <t>kN/m</t>
        </is>
      </c>
      <c r="G98" s="23" t="n"/>
    </row>
    <row r="99" ht="17" customHeight="1">
      <c r="B99" s="26" t="inlineStr">
        <is>
          <t>6.5.3(10)</t>
        </is>
      </c>
      <c r="C99" s="24" t="inlineStr">
        <is>
          <t>Set 2: base friction  tan δd = tan φ'f / γφ'  (cast in place)</t>
        </is>
      </c>
      <c r="D99" s="27" t="inlineStr">
        <is>
          <r>
            <rPr>
              <rFont val="Calibri"/>
              <i val="1"/>
              <color rgb="002B2B2B"/>
              <sz val="10"/>
            </rPr>
            <t>tan δ</t>
          </r>
          <r>
            <rPr>
              <rFont val="Calibri"/>
              <i val="1"/>
              <color rgb="002B2B2B"/>
              <sz val="10"/>
              <vertAlign val="subscript"/>
            </rPr>
            <t>2</t>
          </r>
        </is>
      </c>
      <c r="E99" s="41">
        <f>TAN(RADIANS(phi_f))/1.25</f>
        <v/>
      </c>
      <c r="F99" s="23" t="n"/>
      <c r="G99" s="23" t="n"/>
    </row>
    <row r="100" ht="17" customHeight="1">
      <c r="B100" s="26" t="inlineStr">
        <is>
          <t>(6.3a)</t>
        </is>
      </c>
      <c r="C100" s="24" t="inlineStr">
        <is>
          <t>Set 2: sliding resistance  W tan δd / γR,h  (weights 1.0, no surcharge over the heel)</t>
        </is>
      </c>
      <c r="D100" s="27" t="inlineStr">
        <is>
          <r>
            <rPr>
              <rFont val="Calibri"/>
              <i val="1"/>
              <color rgb="002B2B2B"/>
              <sz val="10"/>
            </rPr>
            <t>R</t>
          </r>
          <r>
            <rPr>
              <rFont val="Calibri"/>
              <i val="1"/>
              <color rgb="002B2B2B"/>
              <sz val="10"/>
              <vertAlign val="subscript"/>
            </rPr>
            <t>h2</t>
          </r>
        </is>
      </c>
      <c r="E100" s="42">
        <f>W_tot*tand_2/gR_h</f>
        <v/>
      </c>
      <c r="F100" s="28" t="inlineStr">
        <is>
          <t>kN/m</t>
        </is>
      </c>
      <c r="G100" s="23" t="n"/>
    </row>
    <row r="101" ht="17" customHeight="1">
      <c r="B101" s="26" t="inlineStr">
        <is>
          <t>D.4</t>
        </is>
      </c>
      <c r="C101" s="24" t="inlineStr">
        <is>
          <t>Set 2: bearing factors Nq / Nγ  (φ'f / γφ')</t>
        </is>
      </c>
      <c r="D101" s="23" t="n"/>
      <c r="E101" s="44">
        <f>TEXT(Nq_2,"0.00")&amp;" / "&amp;TEXT(Ng_2,"0.00")</f>
        <v/>
      </c>
      <c r="F101" s="23" t="n"/>
      <c r="G101" s="23" t="n"/>
    </row>
    <row r="102" ht="17" customHeight="1">
      <c r="B102" s="26" t="inlineStr">
        <is>
          <t>6.5.3</t>
        </is>
      </c>
      <c r="C102" s="24" t="inlineStr">
        <is>
          <t>Sliding, set 1  H ≤ Rh</t>
        </is>
      </c>
      <c r="D102" s="27" t="inlineStr">
        <is>
          <r>
            <rPr>
              <rFont val="Calibri"/>
              <i val="1"/>
              <color rgb="002B2B2B"/>
              <sz val="10"/>
            </rPr>
            <t>H</t>
          </r>
          <r>
            <rPr>
              <rFont val="Calibri"/>
              <i val="1"/>
              <color rgb="002B2B2B"/>
              <sz val="10"/>
              <vertAlign val="subscript"/>
            </rPr>
            <t>d1</t>
          </r>
        </is>
      </c>
      <c r="E102" s="42">
        <f>H_1</f>
        <v/>
      </c>
      <c r="F102" s="28" t="inlineStr">
        <is>
          <t>kN/m</t>
        </is>
      </c>
      <c r="G102" s="30">
        <f>IF(NOT(inputs_ok),"FAIL",IF(H_1&lt;=Rh_1,"OK","FAIL"))</f>
        <v/>
      </c>
    </row>
    <row r="103" ht="17" customHeight="1">
      <c r="B103" s="26" t="inlineStr">
        <is>
          <t>6.5.3</t>
        </is>
      </c>
      <c r="C103" s="24" t="inlineStr">
        <is>
          <t>Sliding, set 2  (UK)</t>
        </is>
      </c>
      <c r="D103" s="27" t="inlineStr">
        <is>
          <r>
            <rPr>
              <rFont val="Calibri"/>
              <i val="1"/>
              <color rgb="002B2B2B"/>
              <sz val="10"/>
            </rPr>
            <t>H</t>
          </r>
          <r>
            <rPr>
              <rFont val="Calibri"/>
              <i val="1"/>
              <color rgb="002B2B2B"/>
              <sz val="10"/>
              <vertAlign val="subscript"/>
            </rPr>
            <t>d2</t>
          </r>
        </is>
      </c>
      <c r="E103" s="42">
        <f>H_2</f>
        <v/>
      </c>
      <c r="F103" s="28" t="inlineStr">
        <is>
          <t>kN/m</t>
        </is>
      </c>
      <c r="G103" s="30">
        <f>IF(NOT(inputs_ok),"FAIL",IF(OR(n_sets=1,H_2&lt;=Rh_2),"OK","FAIL"))</f>
        <v/>
      </c>
    </row>
    <row r="105" ht="22" customHeight="1">
      <c r="B105" s="20" t="inlineStr">
        <is>
          <t>Calculation  ·  load cases: bearing, base pressure, heel and toe</t>
        </is>
      </c>
      <c r="C105" s="21" t="n"/>
      <c r="D105" s="21" t="n"/>
      <c r="E105" s="21" t="n"/>
      <c r="F105" s="21" t="n"/>
      <c r="G105" s="21" t="n"/>
    </row>
    <row r="106" ht="29" customHeight="1">
      <c r="B106" s="39" t="inlineStr">
        <is>
          <t>Case 1a / 1b: set 1 with arrangement (a) or (b); 2a / 2b: set 2 (UK only). Pressure linear between the contact limits; heel and toe actions at the stem faces.</t>
        </is>
      </c>
    </row>
    <row r="107" ht="17" customHeight="1">
      <c r="B107" s="23" t="n"/>
      <c r="C107" s="24" t="inlineStr">
        <is>
          <t>Case 1a: vertical load  1.35 W + 1.5 q Bh</t>
        </is>
      </c>
      <c r="D107" s="27" t="inlineStr">
        <is>
          <r>
            <rPr>
              <rFont val="Calibri"/>
              <i val="1"/>
              <color rgb="002B2B2B"/>
              <sz val="10"/>
            </rPr>
            <t>V</t>
          </r>
          <r>
            <rPr>
              <rFont val="Calibri"/>
              <i val="1"/>
              <color rgb="002B2B2B"/>
              <sz val="10"/>
              <vertAlign val="subscript"/>
            </rPr>
            <t>1a</t>
          </r>
        </is>
      </c>
      <c r="E107" s="42">
        <f>1.35*W_tot+1.5*q_k*Bh_m</f>
        <v/>
      </c>
      <c r="F107" s="28" t="inlineStr">
        <is>
          <t>kN/m</t>
        </is>
      </c>
      <c r="G107" s="23" t="n"/>
    </row>
    <row r="108" ht="17" customHeight="1">
      <c r="B108" s="23" t="n"/>
      <c r="C108" s="24" t="inlineStr">
        <is>
          <t>Case 1a: moment about the toe  1.35 ΣWx + 1.5 q Bh xh − γG PG H/3 − γQ PQ H/2</t>
        </is>
      </c>
      <c r="D108" s="27" t="inlineStr">
        <is>
          <r>
            <rPr>
              <rFont val="Calibri"/>
              <i val="1"/>
              <color rgb="002B2B2B"/>
              <sz val="10"/>
            </rPr>
            <t>M</t>
          </r>
          <r>
            <rPr>
              <rFont val="Calibri"/>
              <i val="1"/>
              <color rgb="002B2B2B"/>
              <sz val="10"/>
              <vertAlign val="subscript"/>
            </rPr>
            <t>1a</t>
          </r>
        </is>
      </c>
      <c r="E108" s="42">
        <f>1.35*MW_toe+1.5*q_k*Bh_m*xh_m-1.35*PG_1*Hv_m/3-1.5*PQ_1*Hv_m/2</f>
        <v/>
      </c>
      <c r="F108" s="28" t="inlineStr">
        <is>
          <t>kNm/m</t>
        </is>
      </c>
      <c r="G108" s="23" t="n"/>
    </row>
    <row r="109" ht="17" customHeight="1">
      <c r="B109" s="26" t="inlineStr">
        <is>
          <t>6.5.4</t>
        </is>
      </c>
      <c r="C109" s="24" t="inlineStr">
        <is>
          <t>Case 1a: eccentricity  B/2 − M/V  (+ towards the toe)</t>
        </is>
      </c>
      <c r="D109" s="27" t="inlineStr">
        <is>
          <r>
            <rPr>
              <rFont val="Calibri"/>
              <i val="1"/>
              <color rgb="002B2B2B"/>
              <sz val="10"/>
            </rPr>
            <t>e</t>
          </r>
          <r>
            <rPr>
              <rFont val="Calibri"/>
              <i val="1"/>
              <color rgb="002B2B2B"/>
              <sz val="10"/>
              <vertAlign val="subscript"/>
            </rPr>
            <t>1a</t>
          </r>
        </is>
      </c>
      <c r="E109" s="41">
        <f>IF(V_1a&gt;0,B_m/2-Mt_1a/V_1a,B_m)</f>
        <v/>
      </c>
      <c r="F109" s="28" t="inlineStr">
        <is>
          <t>m</t>
        </is>
      </c>
      <c r="G109" s="23" t="n"/>
    </row>
    <row r="110" ht="17" customHeight="1">
      <c r="B110" s="26" t="inlineStr">
        <is>
          <t>6.5.4</t>
        </is>
      </c>
      <c r="C110" s="24" t="inlineStr">
        <is>
          <t>Case 1a: effective width  B' = B − 2|e|  (PL: characteristic, DA2*)</t>
        </is>
      </c>
      <c r="D110" s="27" t="inlineStr">
        <is>
          <r>
            <rPr>
              <rFont val="Calibri"/>
              <i val="1"/>
              <color rgb="002B2B2B"/>
              <sz val="10"/>
            </rPr>
            <t>B'</t>
          </r>
          <r>
            <rPr>
              <rFont val="Calibri"/>
              <i val="1"/>
              <color rgb="002B2B2B"/>
              <sz val="10"/>
              <vertAlign val="subscript"/>
            </rPr>
            <t>1a</t>
          </r>
        </is>
      </c>
      <c r="E110" s="41">
        <f>MAX(0,B_m-2*ABS(IF(NA_sel="PL NA (PN-EN)",B_m/2-(MW_toe+q_k*Bh_m*xh_m-PG_1*Hv_m/3-PQ_1*Hv_m/2)/(W_tot+q_k*Bh_m),e_1a)))</f>
        <v/>
      </c>
      <c r="F110" s="28" t="inlineStr">
        <is>
          <t>m</t>
        </is>
      </c>
      <c r="G110" s="23" t="n"/>
    </row>
    <row r="111" ht="17" customHeight="1">
      <c r="B111" s="26" t="inlineStr">
        <is>
          <t>(D.2)</t>
        </is>
      </c>
      <c r="C111" s="24" t="inlineStr">
        <is>
          <t>Case 1a: bearing resistance  B' (q' Nq iq + ½ γf B' Nγ iγ) / γR,v,  iq = (1 − H/V)², iγ = (1 − H/V)³</t>
        </is>
      </c>
      <c r="D111" s="27" t="inlineStr">
        <is>
          <r>
            <rPr>
              <rFont val="Calibri"/>
              <i val="1"/>
              <color rgb="002B2B2B"/>
              <sz val="10"/>
            </rPr>
            <t>R</t>
          </r>
          <r>
            <rPr>
              <rFont val="Calibri"/>
              <i val="1"/>
              <color rgb="002B2B2B"/>
              <sz val="10"/>
              <vertAlign val="subscript"/>
            </rPr>
            <t>v1a</t>
          </r>
        </is>
      </c>
      <c r="E111" s="42">
        <f>IF(Bp_1a&gt;0,Bp_1a*(gam_f*D_m*Nq_1*MAX(0,1-IF(NA_sel="PL NA (PN-EN)",PG_1+PQ_1,H_1)/IF(NA_sel="PL NA (PN-EN)",W_tot+q_k*Bh_m,V_1a))^2+0.5*gam_f*Bp_1a*Ng_1*MAX(0,1-IF(NA_sel="PL NA (PN-EN)",PG_1+PQ_1,H_1)/IF(NA_sel="PL NA (PN-EN)",W_tot+q_k*Bh_m,V_1a))^3)/gR_v,0)</f>
        <v/>
      </c>
      <c r="F111" s="28" t="inlineStr">
        <is>
          <t>kN/m</t>
        </is>
      </c>
      <c r="G111" s="23" t="n"/>
    </row>
    <row r="112" ht="17" customHeight="1">
      <c r="B112" s="23" t="n"/>
      <c r="C112" s="24" t="inlineStr">
        <is>
          <t>Case 1a: contact from / to  (m from the toe)</t>
        </is>
      </c>
      <c r="D112" s="23" t="n"/>
      <c r="E112" s="44">
        <f>TEXT(xa_1a,"0.000")&amp;" – "&amp;TEXT(xb_1a,"0.000")</f>
        <v/>
      </c>
      <c r="F112" s="28" t="inlineStr">
        <is>
          <t>m</t>
        </is>
      </c>
      <c r="G112" s="23" t="n"/>
    </row>
    <row r="113" ht="17" customHeight="1">
      <c r="B113" s="23" t="n"/>
      <c r="C113" s="24" t="inlineStr">
        <is>
          <t>Case 1a: pressure at the start of contact</t>
        </is>
      </c>
      <c r="D113" s="27" t="inlineStr">
        <is>
          <r>
            <rPr>
              <rFont val="Calibri"/>
              <i val="1"/>
              <color rgb="002B2B2B"/>
              <sz val="10"/>
            </rPr>
            <t>p</t>
          </r>
          <r>
            <rPr>
              <rFont val="Calibri"/>
              <i val="1"/>
              <color rgb="002B2B2B"/>
              <sz val="10"/>
              <vertAlign val="subscript"/>
            </rPr>
            <t>a1a</t>
          </r>
        </is>
      </c>
      <c r="E113" s="42">
        <f>IF(NOT(ok_1a),0,IF(ABS(e_1a)&lt;=B_m/6,V_1a/B_m*(1+6*e_1a/B_m),IF(e_1a&gt;0,2*V_1a/(3*(B_m/2-ABS(e_1a))),0)))</f>
        <v/>
      </c>
      <c r="F113" s="28" t="inlineStr">
        <is>
          <t>kPa</t>
        </is>
      </c>
      <c r="G113" s="23" t="n"/>
    </row>
    <row r="114" ht="17" customHeight="1">
      <c r="B114" s="23" t="n"/>
      <c r="C114" s="24" t="inlineStr">
        <is>
          <t>Case 1a: pressure at the end of contact</t>
        </is>
      </c>
      <c r="D114" s="27" t="inlineStr">
        <is>
          <r>
            <rPr>
              <rFont val="Calibri"/>
              <i val="1"/>
              <color rgb="002B2B2B"/>
              <sz val="10"/>
            </rPr>
            <t>p</t>
          </r>
          <r>
            <rPr>
              <rFont val="Calibri"/>
              <i val="1"/>
              <color rgb="002B2B2B"/>
              <sz val="10"/>
              <vertAlign val="subscript"/>
            </rPr>
            <t>b1a</t>
          </r>
        </is>
      </c>
      <c r="E114" s="42">
        <f>IF(NOT(ok_1a),0,IF(ABS(e_1a)&lt;=B_m/6,V_1a/B_m*(1-6*e_1a/B_m),IF(e_1a&gt;0,0,2*V_1a/(3*(B_m/2-ABS(e_1a))))))</f>
        <v/>
      </c>
      <c r="F114" s="28" t="inlineStr">
        <is>
          <t>kPa</t>
        </is>
      </c>
      <c r="G114" s="23" t="n"/>
    </row>
    <row r="115" ht="17" customHeight="1">
      <c r="B115" s="23" t="n"/>
      <c r="C115" s="24" t="inlineStr">
        <is>
          <t>Case 1a: heel moment at the stem  (+ tension on top)</t>
        </is>
      </c>
      <c r="D115" s="27" t="inlineStr">
        <is>
          <r>
            <rPr>
              <rFont val="Calibri"/>
              <i val="1"/>
              <color rgb="002B2B2B"/>
              <sz val="10"/>
            </rPr>
            <t>M</t>
          </r>
          <r>
            <rPr>
              <rFont val="Calibri"/>
              <i val="1"/>
              <color rgb="002B2B2B"/>
              <sz val="10"/>
              <vertAlign val="subscript"/>
            </rPr>
            <t>he1a</t>
          </r>
        </is>
      </c>
      <c r="E115" s="42">
        <f>IF(ok_1a,(1.35*(W_so+W_hl)+1.5*q_k*Bh_m)*Bh_m/2-(IF(MIN(B_m,xb_1a)&gt;MAX(((B_t+t_s)/1000),xa_1a),(pa_1a*((MIN(B_m,xb_1a))^2/2-((B_t+t_s)/1000)*(MIN(B_m,xb_1a)))+kp_1a*((MIN(B_m,xb_1a))^3/3-(((B_t+t_s)/1000)+xa_1a)*(MIN(B_m,xb_1a))^2/2+((B_t+t_s)/1000)*xa_1a*(MIN(B_m,xb_1a))))-(pa_1a*((MAX(((B_t+t_s)/1000),xa_1a))^2/2-((B_t+t_s)/1000)*(MAX(((B_t+t_s)/1000),xa_1a)))+kp_1a*((MAX(((B_t+t_s)/1000),xa_1a))^3/3-(((B_t+t_s)/1000)+xa_1a)*(MAX(((B_t+t_s)/1000),xa_1a))^2/2+((B_t+t_s)/1000)*xa_1a*(MAX(((B_t+t_s)/1000),xa_1a)))),0)),0)</f>
        <v/>
      </c>
      <c r="F115" s="28" t="inlineStr">
        <is>
          <t>kNm/m</t>
        </is>
      </c>
      <c r="G115" s="23" t="n"/>
    </row>
    <row r="116" ht="17" customHeight="1">
      <c r="B116" s="23" t="n"/>
      <c r="C116" s="24" t="inlineStr">
        <is>
          <t>Case 1a: heel shear at the stem</t>
        </is>
      </c>
      <c r="D116" s="27" t="inlineStr">
        <is>
          <r>
            <rPr>
              <rFont val="Calibri"/>
              <i val="1"/>
              <color rgb="002B2B2B"/>
              <sz val="10"/>
            </rPr>
            <t>V</t>
          </r>
          <r>
            <rPr>
              <rFont val="Calibri"/>
              <i val="1"/>
              <color rgb="002B2B2B"/>
              <sz val="10"/>
              <vertAlign val="subscript"/>
            </rPr>
            <t>he1a</t>
          </r>
        </is>
      </c>
      <c r="E116" s="42">
        <f>IF(ok_1a,(1.35*(W_so+W_hl)+1.5*q_k*Bh_m)-(IF(MIN(B_m,xb_1a)&gt;MAX(((B_t+t_s)/1000),xa_1a),(pa_1a*(MIN(B_m,xb_1a))+kp_1a*((MIN(B_m,xb_1a))^2/2-xa_1a*(MIN(B_m,xb_1a))))-(pa_1a*(MAX(((B_t+t_s)/1000),xa_1a))+kp_1a*((MAX(((B_t+t_s)/1000),xa_1a))^2/2-xa_1a*(MAX(((B_t+t_s)/1000),xa_1a)))),0)),0)</f>
        <v/>
      </c>
      <c r="F116" s="28" t="inlineStr">
        <is>
          <t>kN/m</t>
        </is>
      </c>
      <c r="G116" s="23" t="n"/>
    </row>
    <row r="117" ht="17" customHeight="1">
      <c r="B117" s="23" t="n"/>
      <c r="C117" s="24" t="inlineStr">
        <is>
          <t>Case 1a: toe moment at the stem  (+ tension at the bottom)</t>
        </is>
      </c>
      <c r="D117" s="27" t="inlineStr">
        <is>
          <r>
            <rPr>
              <rFont val="Calibri"/>
              <i val="1"/>
              <color rgb="002B2B2B"/>
              <sz val="10"/>
            </rPr>
            <t>M</t>
          </r>
          <r>
            <rPr>
              <rFont val="Calibri"/>
              <i val="1"/>
              <color rgb="002B2B2B"/>
              <sz val="10"/>
              <vertAlign val="subscript"/>
            </rPr>
            <t>to1a</t>
          </r>
        </is>
      </c>
      <c r="E117" s="42">
        <f>IF(ok_1a,-(IF(MIN((B_t/1000),xb_1a)&gt;MAX(0,xa_1a),(pa_1a*((MIN((B_t/1000),xb_1a))^2/2-(B_t/1000)*(MIN((B_t/1000),xb_1a)))+kp_1a*((MIN((B_t/1000),xb_1a))^3/3-((B_t/1000)+xa_1a)*(MIN((B_t/1000),xb_1a))^2/2+(B_t/1000)*xa_1a*(MIN((B_t/1000),xb_1a))))-(pa_1a*((MAX(0,xa_1a))^2/2-(B_t/1000)*(MAX(0,xa_1a)))+kp_1a*((MAX(0,xa_1a))^3/3-((B_t/1000)+xa_1a)*(MAX(0,xa_1a))^2/2+(B_t/1000)*xa_1a*(MAX(0,xa_1a)))),0))-1.35*(W_tl+W_fr)*(B_t/1000)/2,0)</f>
        <v/>
      </c>
      <c r="F117" s="28" t="inlineStr">
        <is>
          <t>kNm/m</t>
        </is>
      </c>
      <c r="G117" s="23" t="n"/>
    </row>
    <row r="118" ht="17" customHeight="1">
      <c r="B118" s="23" t="n"/>
      <c r="C118" s="24" t="inlineStr">
        <is>
          <t>Case 1a: toe shear at the stem</t>
        </is>
      </c>
      <c r="D118" s="27" t="inlineStr">
        <is>
          <r>
            <rPr>
              <rFont val="Calibri"/>
              <i val="1"/>
              <color rgb="002B2B2B"/>
              <sz val="10"/>
            </rPr>
            <t>V</t>
          </r>
          <r>
            <rPr>
              <rFont val="Calibri"/>
              <i val="1"/>
              <color rgb="002B2B2B"/>
              <sz val="10"/>
              <vertAlign val="subscript"/>
            </rPr>
            <t>to1a</t>
          </r>
        </is>
      </c>
      <c r="E118" s="42">
        <f>IF(ok_1a,(IF(MIN((B_t/1000),xb_1a)&gt;MAX(0,xa_1a),(pa_1a*(MIN((B_t/1000),xb_1a))+kp_1a*((MIN((B_t/1000),xb_1a))^2/2-xa_1a*(MIN((B_t/1000),xb_1a))))-(pa_1a*(MAX(0,xa_1a))+kp_1a*((MAX(0,xa_1a))^2/2-xa_1a*(MAX(0,xa_1a)))),0))-1.35*(W_tl+W_fr),0)</f>
        <v/>
      </c>
      <c r="F118" s="28" t="inlineStr">
        <is>
          <t>kN/m</t>
        </is>
      </c>
      <c r="G118" s="23" t="n"/>
    </row>
    <row r="119" ht="17" customHeight="1">
      <c r="B119" s="23" t="n"/>
      <c r="C119" s="24" t="inlineStr">
        <is>
          <t>Case 1b: vertical load  1.0 W + 0.0 q Bh</t>
        </is>
      </c>
      <c r="D119" s="27" t="inlineStr">
        <is>
          <r>
            <rPr>
              <rFont val="Calibri"/>
              <i val="1"/>
              <color rgb="002B2B2B"/>
              <sz val="10"/>
            </rPr>
            <t>V</t>
          </r>
          <r>
            <rPr>
              <rFont val="Calibri"/>
              <i val="1"/>
              <color rgb="002B2B2B"/>
              <sz val="10"/>
              <vertAlign val="subscript"/>
            </rPr>
            <t>1b</t>
          </r>
        </is>
      </c>
      <c r="E119" s="42">
        <f>1.0*W_tot+0.0*q_k*Bh_m</f>
        <v/>
      </c>
      <c r="F119" s="28" t="inlineStr">
        <is>
          <t>kN/m</t>
        </is>
      </c>
      <c r="G119" s="23" t="n"/>
    </row>
    <row r="120" ht="17" customHeight="1">
      <c r="B120" s="23" t="n"/>
      <c r="C120" s="24" t="inlineStr">
        <is>
          <t>Case 1b: moment about the toe  1.0 ΣWx + 0.0 q Bh xh − γG PG H/3 − γQ PQ H/2</t>
        </is>
      </c>
      <c r="D120" s="27" t="inlineStr">
        <is>
          <r>
            <rPr>
              <rFont val="Calibri"/>
              <i val="1"/>
              <color rgb="002B2B2B"/>
              <sz val="10"/>
            </rPr>
            <t>M</t>
          </r>
          <r>
            <rPr>
              <rFont val="Calibri"/>
              <i val="1"/>
              <color rgb="002B2B2B"/>
              <sz val="10"/>
              <vertAlign val="subscript"/>
            </rPr>
            <t>1b</t>
          </r>
        </is>
      </c>
      <c r="E120" s="42">
        <f>1.0*MW_toe+0.0*q_k*Bh_m*xh_m-1.35*PG_1*Hv_m/3-1.5*PQ_1*Hv_m/2</f>
        <v/>
      </c>
      <c r="F120" s="28" t="inlineStr">
        <is>
          <t>kNm/m</t>
        </is>
      </c>
      <c r="G120" s="23" t="n"/>
    </row>
    <row r="121" ht="17" customHeight="1">
      <c r="B121" s="26" t="inlineStr">
        <is>
          <t>6.5.4</t>
        </is>
      </c>
      <c r="C121" s="24" t="inlineStr">
        <is>
          <t>Case 1b: eccentricity  B/2 − M/V  (+ towards the toe)</t>
        </is>
      </c>
      <c r="D121" s="27" t="inlineStr">
        <is>
          <r>
            <rPr>
              <rFont val="Calibri"/>
              <i val="1"/>
              <color rgb="002B2B2B"/>
              <sz val="10"/>
            </rPr>
            <t>e</t>
          </r>
          <r>
            <rPr>
              <rFont val="Calibri"/>
              <i val="1"/>
              <color rgb="002B2B2B"/>
              <sz val="10"/>
              <vertAlign val="subscript"/>
            </rPr>
            <t>1b</t>
          </r>
        </is>
      </c>
      <c r="E121" s="41">
        <f>IF(V_1b&gt;0,B_m/2-Mt_1b/V_1b,B_m)</f>
        <v/>
      </c>
      <c r="F121" s="28" t="inlineStr">
        <is>
          <t>m</t>
        </is>
      </c>
      <c r="G121" s="23" t="n"/>
    </row>
    <row r="122" ht="17" customHeight="1">
      <c r="B122" s="26" t="inlineStr">
        <is>
          <t>6.5.4</t>
        </is>
      </c>
      <c r="C122" s="24" t="inlineStr">
        <is>
          <t>Case 1b: effective width  B' = B − 2|e|  (PL: characteristic, DA2*)</t>
        </is>
      </c>
      <c r="D122" s="27" t="inlineStr">
        <is>
          <r>
            <rPr>
              <rFont val="Calibri"/>
              <i val="1"/>
              <color rgb="002B2B2B"/>
              <sz val="10"/>
            </rPr>
            <t>B'</t>
          </r>
          <r>
            <rPr>
              <rFont val="Calibri"/>
              <i val="1"/>
              <color rgb="002B2B2B"/>
              <sz val="10"/>
              <vertAlign val="subscript"/>
            </rPr>
            <t>1b</t>
          </r>
        </is>
      </c>
      <c r="E122" s="41">
        <f>MAX(0,B_m-2*ABS(IF(NA_sel="PL NA (PN-EN)",B_m/2-(MW_toe+0*xh_m-PG_1*Hv_m/3-PQ_1*Hv_m/2)/(W_tot+0),e_1b)))</f>
        <v/>
      </c>
      <c r="F122" s="28" t="inlineStr">
        <is>
          <t>m</t>
        </is>
      </c>
      <c r="G122" s="23" t="n"/>
    </row>
    <row r="123" ht="17" customHeight="1">
      <c r="B123" s="26" t="inlineStr">
        <is>
          <t>(D.2)</t>
        </is>
      </c>
      <c r="C123" s="24" t="inlineStr">
        <is>
          <t>Case 1b: bearing resistance  B' (q' Nq iq + ½ γf B' Nγ iγ) / γR,v,  iq = (1 − H/V)², iγ = (1 − H/V)³</t>
        </is>
      </c>
      <c r="D123" s="27" t="inlineStr">
        <is>
          <r>
            <rPr>
              <rFont val="Calibri"/>
              <i val="1"/>
              <color rgb="002B2B2B"/>
              <sz val="10"/>
            </rPr>
            <t>R</t>
          </r>
          <r>
            <rPr>
              <rFont val="Calibri"/>
              <i val="1"/>
              <color rgb="002B2B2B"/>
              <sz val="10"/>
              <vertAlign val="subscript"/>
            </rPr>
            <t>v1b</t>
          </r>
        </is>
      </c>
      <c r="E123" s="42">
        <f>IF(Bp_1b&gt;0,Bp_1b*(gam_f*D_m*Nq_1*MAX(0,1-IF(NA_sel="PL NA (PN-EN)",PG_1+PQ_1,H_1)/IF(NA_sel="PL NA (PN-EN)",W_tot+0,V_1b))^2+0.5*gam_f*Bp_1b*Ng_1*MAX(0,1-IF(NA_sel="PL NA (PN-EN)",PG_1+PQ_1,H_1)/IF(NA_sel="PL NA (PN-EN)",W_tot+0,V_1b))^3)/gR_v,0)</f>
        <v/>
      </c>
      <c r="F123" s="28" t="inlineStr">
        <is>
          <t>kN/m</t>
        </is>
      </c>
      <c r="G123" s="23" t="n"/>
    </row>
    <row r="124" ht="17" customHeight="1">
      <c r="B124" s="23" t="n"/>
      <c r="C124" s="24" t="inlineStr">
        <is>
          <t>Case 1b: contact from / to  (m from the toe)</t>
        </is>
      </c>
      <c r="D124" s="23" t="n"/>
      <c r="E124" s="44">
        <f>TEXT(xa_1b,"0.000")&amp;" – "&amp;TEXT(xb_1b,"0.000")</f>
        <v/>
      </c>
      <c r="F124" s="28" t="inlineStr">
        <is>
          <t>m</t>
        </is>
      </c>
      <c r="G124" s="23" t="n"/>
    </row>
    <row r="125" ht="17" customHeight="1">
      <c r="B125" s="23" t="n"/>
      <c r="C125" s="24" t="inlineStr">
        <is>
          <t>Case 1b: pressure at the start of contact</t>
        </is>
      </c>
      <c r="D125" s="27" t="inlineStr">
        <is>
          <r>
            <rPr>
              <rFont val="Calibri"/>
              <i val="1"/>
              <color rgb="002B2B2B"/>
              <sz val="10"/>
            </rPr>
            <t>p</t>
          </r>
          <r>
            <rPr>
              <rFont val="Calibri"/>
              <i val="1"/>
              <color rgb="002B2B2B"/>
              <sz val="10"/>
              <vertAlign val="subscript"/>
            </rPr>
            <t>a1b</t>
          </r>
        </is>
      </c>
      <c r="E125" s="42">
        <f>IF(NOT(ok_1b),0,IF(ABS(e_1b)&lt;=B_m/6,V_1b/B_m*(1+6*e_1b/B_m),IF(e_1b&gt;0,2*V_1b/(3*(B_m/2-ABS(e_1b))),0)))</f>
        <v/>
      </c>
      <c r="F125" s="28" t="inlineStr">
        <is>
          <t>kPa</t>
        </is>
      </c>
      <c r="G125" s="23" t="n"/>
    </row>
    <row r="126" ht="17" customHeight="1">
      <c r="B126" s="23" t="n"/>
      <c r="C126" s="24" t="inlineStr">
        <is>
          <t>Case 1b: pressure at the end of contact</t>
        </is>
      </c>
      <c r="D126" s="27" t="inlineStr">
        <is>
          <r>
            <rPr>
              <rFont val="Calibri"/>
              <i val="1"/>
              <color rgb="002B2B2B"/>
              <sz val="10"/>
            </rPr>
            <t>p</t>
          </r>
          <r>
            <rPr>
              <rFont val="Calibri"/>
              <i val="1"/>
              <color rgb="002B2B2B"/>
              <sz val="10"/>
              <vertAlign val="subscript"/>
            </rPr>
            <t>b1b</t>
          </r>
        </is>
      </c>
      <c r="E126" s="42">
        <f>IF(NOT(ok_1b),0,IF(ABS(e_1b)&lt;=B_m/6,V_1b/B_m*(1-6*e_1b/B_m),IF(e_1b&gt;0,0,2*V_1b/(3*(B_m/2-ABS(e_1b))))))</f>
        <v/>
      </c>
      <c r="F126" s="28" t="inlineStr">
        <is>
          <t>kPa</t>
        </is>
      </c>
      <c r="G126" s="23" t="n"/>
    </row>
    <row r="127" ht="17" customHeight="1">
      <c r="B127" s="23" t="n"/>
      <c r="C127" s="24" t="inlineStr">
        <is>
          <t>Case 1b: heel moment at the stem  (+ tension on top)</t>
        </is>
      </c>
      <c r="D127" s="27" t="inlineStr">
        <is>
          <r>
            <rPr>
              <rFont val="Calibri"/>
              <i val="1"/>
              <color rgb="002B2B2B"/>
              <sz val="10"/>
            </rPr>
            <t>M</t>
          </r>
          <r>
            <rPr>
              <rFont val="Calibri"/>
              <i val="1"/>
              <color rgb="002B2B2B"/>
              <sz val="10"/>
              <vertAlign val="subscript"/>
            </rPr>
            <t>he1b</t>
          </r>
        </is>
      </c>
      <c r="E127" s="42">
        <f>IF(ok_1b,(1.0*(W_so+W_hl)+0.0*q_k*Bh_m)*Bh_m/2-(IF(MIN(B_m,xb_1b)&gt;MAX(((B_t+t_s)/1000),xa_1b),(pa_1b*((MIN(B_m,xb_1b))^2/2-((B_t+t_s)/1000)*(MIN(B_m,xb_1b)))+kp_1b*((MIN(B_m,xb_1b))^3/3-(((B_t+t_s)/1000)+xa_1b)*(MIN(B_m,xb_1b))^2/2+((B_t+t_s)/1000)*xa_1b*(MIN(B_m,xb_1b))))-(pa_1b*((MAX(((B_t+t_s)/1000),xa_1b))^2/2-((B_t+t_s)/1000)*(MAX(((B_t+t_s)/1000),xa_1b)))+kp_1b*((MAX(((B_t+t_s)/1000),xa_1b))^3/3-(((B_t+t_s)/1000)+xa_1b)*(MAX(((B_t+t_s)/1000),xa_1b))^2/2+((B_t+t_s)/1000)*xa_1b*(MAX(((B_t+t_s)/1000),xa_1b)))),0)),0)</f>
        <v/>
      </c>
      <c r="F127" s="28" t="inlineStr">
        <is>
          <t>kNm/m</t>
        </is>
      </c>
      <c r="G127" s="23" t="n"/>
    </row>
    <row r="128" ht="17" customHeight="1">
      <c r="B128" s="23" t="n"/>
      <c r="C128" s="24" t="inlineStr">
        <is>
          <t>Case 1b: heel shear at the stem</t>
        </is>
      </c>
      <c r="D128" s="27" t="inlineStr">
        <is>
          <r>
            <rPr>
              <rFont val="Calibri"/>
              <i val="1"/>
              <color rgb="002B2B2B"/>
              <sz val="10"/>
            </rPr>
            <t>V</t>
          </r>
          <r>
            <rPr>
              <rFont val="Calibri"/>
              <i val="1"/>
              <color rgb="002B2B2B"/>
              <sz val="10"/>
              <vertAlign val="subscript"/>
            </rPr>
            <t>he1b</t>
          </r>
        </is>
      </c>
      <c r="E128" s="42">
        <f>IF(ok_1b,(1.0*(W_so+W_hl)+0.0*q_k*Bh_m)-(IF(MIN(B_m,xb_1b)&gt;MAX(((B_t+t_s)/1000),xa_1b),(pa_1b*(MIN(B_m,xb_1b))+kp_1b*((MIN(B_m,xb_1b))^2/2-xa_1b*(MIN(B_m,xb_1b))))-(pa_1b*(MAX(((B_t+t_s)/1000),xa_1b))+kp_1b*((MAX(((B_t+t_s)/1000),xa_1b))^2/2-xa_1b*(MAX(((B_t+t_s)/1000),xa_1b)))),0)),0)</f>
        <v/>
      </c>
      <c r="F128" s="28" t="inlineStr">
        <is>
          <t>kN/m</t>
        </is>
      </c>
      <c r="G128" s="23" t="n"/>
    </row>
    <row r="129" ht="17" customHeight="1">
      <c r="B129" s="23" t="n"/>
      <c r="C129" s="24" t="inlineStr">
        <is>
          <t>Case 1b: toe moment at the stem  (+ tension at the bottom)</t>
        </is>
      </c>
      <c r="D129" s="27" t="inlineStr">
        <is>
          <r>
            <rPr>
              <rFont val="Calibri"/>
              <i val="1"/>
              <color rgb="002B2B2B"/>
              <sz val="10"/>
            </rPr>
            <t>M</t>
          </r>
          <r>
            <rPr>
              <rFont val="Calibri"/>
              <i val="1"/>
              <color rgb="002B2B2B"/>
              <sz val="10"/>
              <vertAlign val="subscript"/>
            </rPr>
            <t>to1b</t>
          </r>
        </is>
      </c>
      <c r="E129" s="42">
        <f>IF(ok_1b,-(IF(MIN((B_t/1000),xb_1b)&gt;MAX(0,xa_1b),(pa_1b*((MIN((B_t/1000),xb_1b))^2/2-(B_t/1000)*(MIN((B_t/1000),xb_1b)))+kp_1b*((MIN((B_t/1000),xb_1b))^3/3-((B_t/1000)+xa_1b)*(MIN((B_t/1000),xb_1b))^2/2+(B_t/1000)*xa_1b*(MIN((B_t/1000),xb_1b))))-(pa_1b*((MAX(0,xa_1b))^2/2-(B_t/1000)*(MAX(0,xa_1b)))+kp_1b*((MAX(0,xa_1b))^3/3-((B_t/1000)+xa_1b)*(MAX(0,xa_1b))^2/2+(B_t/1000)*xa_1b*(MAX(0,xa_1b)))),0))-1.0*(W_tl+W_fr)*(B_t/1000)/2,0)</f>
        <v/>
      </c>
      <c r="F129" s="28" t="inlineStr">
        <is>
          <t>kNm/m</t>
        </is>
      </c>
      <c r="G129" s="23" t="n"/>
    </row>
    <row r="130" ht="17" customHeight="1">
      <c r="B130" s="23" t="n"/>
      <c r="C130" s="24" t="inlineStr">
        <is>
          <t>Case 1b: toe shear at the stem</t>
        </is>
      </c>
      <c r="D130" s="27" t="inlineStr">
        <is>
          <r>
            <rPr>
              <rFont val="Calibri"/>
              <i val="1"/>
              <color rgb="002B2B2B"/>
              <sz val="10"/>
            </rPr>
            <t>V</t>
          </r>
          <r>
            <rPr>
              <rFont val="Calibri"/>
              <i val="1"/>
              <color rgb="002B2B2B"/>
              <sz val="10"/>
              <vertAlign val="subscript"/>
            </rPr>
            <t>to1b</t>
          </r>
        </is>
      </c>
      <c r="E130" s="42">
        <f>IF(ok_1b,(IF(MIN((B_t/1000),xb_1b)&gt;MAX(0,xa_1b),(pa_1b*(MIN((B_t/1000),xb_1b))+kp_1b*((MIN((B_t/1000),xb_1b))^2/2-xa_1b*(MIN((B_t/1000),xb_1b))))-(pa_1b*(MAX(0,xa_1b))+kp_1b*((MAX(0,xa_1b))^2/2-xa_1b*(MAX(0,xa_1b)))),0))-1.0*(W_tl+W_fr),0)</f>
        <v/>
      </c>
      <c r="F130" s="28" t="inlineStr">
        <is>
          <t>kN/m</t>
        </is>
      </c>
      <c r="G130" s="23" t="n"/>
    </row>
    <row r="131" ht="17" customHeight="1">
      <c r="B131" s="23" t="n"/>
      <c r="C131" s="24" t="inlineStr">
        <is>
          <t>Case 1c: vertical load  1.35 W + 0.0 q Bh</t>
        </is>
      </c>
      <c r="D131" s="27" t="inlineStr">
        <is>
          <r>
            <rPr>
              <rFont val="Calibri"/>
              <i val="1"/>
              <color rgb="002B2B2B"/>
              <sz val="10"/>
            </rPr>
            <t>V</t>
          </r>
          <r>
            <rPr>
              <rFont val="Calibri"/>
              <i val="1"/>
              <color rgb="002B2B2B"/>
              <sz val="10"/>
              <vertAlign val="subscript"/>
            </rPr>
            <t>1c</t>
          </r>
        </is>
      </c>
      <c r="E131" s="42">
        <f>1.35*W_tot+0.0*q_k*Bh_m</f>
        <v/>
      </c>
      <c r="F131" s="28" t="inlineStr">
        <is>
          <t>kN/m</t>
        </is>
      </c>
      <c r="G131" s="23" t="n"/>
    </row>
    <row r="132" ht="17" customHeight="1">
      <c r="B132" s="23" t="n"/>
      <c r="C132" s="24" t="inlineStr">
        <is>
          <t>Case 1c: moment about the toe  1.35 ΣWx + 0.0 q Bh xh − γG PG H/3 − γQ PQ H/2</t>
        </is>
      </c>
      <c r="D132" s="27" t="inlineStr">
        <is>
          <r>
            <rPr>
              <rFont val="Calibri"/>
              <i val="1"/>
              <color rgb="002B2B2B"/>
              <sz val="10"/>
            </rPr>
            <t>M</t>
          </r>
          <r>
            <rPr>
              <rFont val="Calibri"/>
              <i val="1"/>
              <color rgb="002B2B2B"/>
              <sz val="10"/>
              <vertAlign val="subscript"/>
            </rPr>
            <t>1c</t>
          </r>
        </is>
      </c>
      <c r="E132" s="42">
        <f>1.35*MW_toe+0.0*q_k*Bh_m*xh_m-1.35*PG_1*Hv_m/3-1.5*PQ_1*Hv_m/2</f>
        <v/>
      </c>
      <c r="F132" s="28" t="inlineStr">
        <is>
          <t>kNm/m</t>
        </is>
      </c>
      <c r="G132" s="23" t="n"/>
    </row>
    <row r="133" ht="17" customHeight="1">
      <c r="B133" s="26" t="inlineStr">
        <is>
          <t>6.5.4</t>
        </is>
      </c>
      <c r="C133" s="24" t="inlineStr">
        <is>
          <t>Case 1c: eccentricity  B/2 − M/V  (+ towards the toe)</t>
        </is>
      </c>
      <c r="D133" s="27" t="inlineStr">
        <is>
          <r>
            <rPr>
              <rFont val="Calibri"/>
              <i val="1"/>
              <color rgb="002B2B2B"/>
              <sz val="10"/>
            </rPr>
            <t>e</t>
          </r>
          <r>
            <rPr>
              <rFont val="Calibri"/>
              <i val="1"/>
              <color rgb="002B2B2B"/>
              <sz val="10"/>
              <vertAlign val="subscript"/>
            </rPr>
            <t>1c</t>
          </r>
        </is>
      </c>
      <c r="E133" s="41">
        <f>IF(V_1c&gt;0,B_m/2-Mt_1c/V_1c,B_m)</f>
        <v/>
      </c>
      <c r="F133" s="28" t="inlineStr">
        <is>
          <t>m</t>
        </is>
      </c>
      <c r="G133" s="23" t="n"/>
    </row>
    <row r="134" ht="17" customHeight="1">
      <c r="B134" s="26" t="inlineStr">
        <is>
          <t>6.5.4</t>
        </is>
      </c>
      <c r="C134" s="24" t="inlineStr">
        <is>
          <t>Case 1c: effective width  B' = B − 2|e|  (PL: characteristic, DA2*)</t>
        </is>
      </c>
      <c r="D134" s="27" t="inlineStr">
        <is>
          <r>
            <rPr>
              <rFont val="Calibri"/>
              <i val="1"/>
              <color rgb="002B2B2B"/>
              <sz val="10"/>
            </rPr>
            <t>B'</t>
          </r>
          <r>
            <rPr>
              <rFont val="Calibri"/>
              <i val="1"/>
              <color rgb="002B2B2B"/>
              <sz val="10"/>
              <vertAlign val="subscript"/>
            </rPr>
            <t>1c</t>
          </r>
        </is>
      </c>
      <c r="E134" s="41">
        <f>MAX(0,B_m-2*ABS(IF(NA_sel="PL NA (PN-EN)",B_m/2-(MW_toe+0*xh_m-PG_1*Hv_m/3-PQ_1*Hv_m/2)/(W_tot+0),e_1c)))</f>
        <v/>
      </c>
      <c r="F134" s="28" t="inlineStr">
        <is>
          <t>m</t>
        </is>
      </c>
      <c r="G134" s="23" t="n"/>
    </row>
    <row r="135" ht="17" customHeight="1">
      <c r="B135" s="26" t="inlineStr">
        <is>
          <t>(D.2)</t>
        </is>
      </c>
      <c r="C135" s="24" t="inlineStr">
        <is>
          <t>Case 1c: bearing resistance  B' (q' Nq iq + ½ γf B' Nγ iγ) / γR,v,  iq = (1 − H/V)², iγ = (1 − H/V)³</t>
        </is>
      </c>
      <c r="D135" s="27" t="inlineStr">
        <is>
          <r>
            <rPr>
              <rFont val="Calibri"/>
              <i val="1"/>
              <color rgb="002B2B2B"/>
              <sz val="10"/>
            </rPr>
            <t>R</t>
          </r>
          <r>
            <rPr>
              <rFont val="Calibri"/>
              <i val="1"/>
              <color rgb="002B2B2B"/>
              <sz val="10"/>
              <vertAlign val="subscript"/>
            </rPr>
            <t>v1c</t>
          </r>
        </is>
      </c>
      <c r="E135" s="42">
        <f>IF(Bp_1c&gt;0,Bp_1c*(gam_f*D_m*Nq_1*MAX(0,1-IF(NA_sel="PL NA (PN-EN)",PG_1+PQ_1,H_1)/IF(NA_sel="PL NA (PN-EN)",W_tot+0,V_1c))^2+0.5*gam_f*Bp_1c*Ng_1*MAX(0,1-IF(NA_sel="PL NA (PN-EN)",PG_1+PQ_1,H_1)/IF(NA_sel="PL NA (PN-EN)",W_tot+0,V_1c))^3)/gR_v,0)</f>
        <v/>
      </c>
      <c r="F135" s="28" t="inlineStr">
        <is>
          <t>kN/m</t>
        </is>
      </c>
      <c r="G135" s="23" t="n"/>
    </row>
    <row r="136" ht="17" customHeight="1">
      <c r="B136" s="23" t="n"/>
      <c r="C136" s="24" t="inlineStr">
        <is>
          <t>Case 1c: contact from / to  (m from the toe)</t>
        </is>
      </c>
      <c r="D136" s="23" t="n"/>
      <c r="E136" s="44">
        <f>TEXT(xa_1c,"0.000")&amp;" – "&amp;TEXT(xb_1c,"0.000")</f>
        <v/>
      </c>
      <c r="F136" s="28" t="inlineStr">
        <is>
          <t>m</t>
        </is>
      </c>
      <c r="G136" s="23" t="n"/>
    </row>
    <row r="137" ht="17" customHeight="1">
      <c r="B137" s="23" t="n"/>
      <c r="C137" s="24" t="inlineStr">
        <is>
          <t>Case 1c: pressure at the start of contact</t>
        </is>
      </c>
      <c r="D137" s="27" t="inlineStr">
        <is>
          <r>
            <rPr>
              <rFont val="Calibri"/>
              <i val="1"/>
              <color rgb="002B2B2B"/>
              <sz val="10"/>
            </rPr>
            <t>p</t>
          </r>
          <r>
            <rPr>
              <rFont val="Calibri"/>
              <i val="1"/>
              <color rgb="002B2B2B"/>
              <sz val="10"/>
              <vertAlign val="subscript"/>
            </rPr>
            <t>a1c</t>
          </r>
        </is>
      </c>
      <c r="E137" s="42">
        <f>IF(NOT(ok_1c),0,IF(ABS(e_1c)&lt;=B_m/6,V_1c/B_m*(1+6*e_1c/B_m),IF(e_1c&gt;0,2*V_1c/(3*(B_m/2-ABS(e_1c))),0)))</f>
        <v/>
      </c>
      <c r="F137" s="28" t="inlineStr">
        <is>
          <t>kPa</t>
        </is>
      </c>
      <c r="G137" s="23" t="n"/>
    </row>
    <row r="138" ht="17" customHeight="1">
      <c r="B138" s="23" t="n"/>
      <c r="C138" s="24" t="inlineStr">
        <is>
          <t>Case 1c: pressure at the end of contact</t>
        </is>
      </c>
      <c r="D138" s="27" t="inlineStr">
        <is>
          <r>
            <rPr>
              <rFont val="Calibri"/>
              <i val="1"/>
              <color rgb="002B2B2B"/>
              <sz val="10"/>
            </rPr>
            <t>p</t>
          </r>
          <r>
            <rPr>
              <rFont val="Calibri"/>
              <i val="1"/>
              <color rgb="002B2B2B"/>
              <sz val="10"/>
              <vertAlign val="subscript"/>
            </rPr>
            <t>b1c</t>
          </r>
        </is>
      </c>
      <c r="E138" s="42">
        <f>IF(NOT(ok_1c),0,IF(ABS(e_1c)&lt;=B_m/6,V_1c/B_m*(1-6*e_1c/B_m),IF(e_1c&gt;0,0,2*V_1c/(3*(B_m/2-ABS(e_1c))))))</f>
        <v/>
      </c>
      <c r="F138" s="28" t="inlineStr">
        <is>
          <t>kPa</t>
        </is>
      </c>
      <c r="G138" s="23" t="n"/>
    </row>
    <row r="139" ht="17" customHeight="1">
      <c r="B139" s="23" t="n"/>
      <c r="C139" s="24" t="inlineStr">
        <is>
          <t>Case 1c: heel moment at the stem  (+ tension on top)</t>
        </is>
      </c>
      <c r="D139" s="27" t="inlineStr">
        <is>
          <r>
            <rPr>
              <rFont val="Calibri"/>
              <i val="1"/>
              <color rgb="002B2B2B"/>
              <sz val="10"/>
            </rPr>
            <t>M</t>
          </r>
          <r>
            <rPr>
              <rFont val="Calibri"/>
              <i val="1"/>
              <color rgb="002B2B2B"/>
              <sz val="10"/>
              <vertAlign val="subscript"/>
            </rPr>
            <t>he1c</t>
          </r>
        </is>
      </c>
      <c r="E139" s="42">
        <f>IF(ok_1c,(1.35*(W_so+W_hl)+0.0*q_k*Bh_m)*Bh_m/2-(IF(MIN(B_m,xb_1c)&gt;MAX(((B_t+t_s)/1000),xa_1c),(pa_1c*((MIN(B_m,xb_1c))^2/2-((B_t+t_s)/1000)*(MIN(B_m,xb_1c)))+kp_1c*((MIN(B_m,xb_1c))^3/3-(((B_t+t_s)/1000)+xa_1c)*(MIN(B_m,xb_1c))^2/2+((B_t+t_s)/1000)*xa_1c*(MIN(B_m,xb_1c))))-(pa_1c*((MAX(((B_t+t_s)/1000),xa_1c))^2/2-((B_t+t_s)/1000)*(MAX(((B_t+t_s)/1000),xa_1c)))+kp_1c*((MAX(((B_t+t_s)/1000),xa_1c))^3/3-(((B_t+t_s)/1000)+xa_1c)*(MAX(((B_t+t_s)/1000),xa_1c))^2/2+((B_t+t_s)/1000)*xa_1c*(MAX(((B_t+t_s)/1000),xa_1c)))),0)),0)</f>
        <v/>
      </c>
      <c r="F139" s="28" t="inlineStr">
        <is>
          <t>kNm/m</t>
        </is>
      </c>
      <c r="G139" s="23" t="n"/>
    </row>
    <row r="140" ht="17" customHeight="1">
      <c r="B140" s="23" t="n"/>
      <c r="C140" s="24" t="inlineStr">
        <is>
          <t>Case 1c: heel shear at the stem</t>
        </is>
      </c>
      <c r="D140" s="27" t="inlineStr">
        <is>
          <r>
            <rPr>
              <rFont val="Calibri"/>
              <i val="1"/>
              <color rgb="002B2B2B"/>
              <sz val="10"/>
            </rPr>
            <t>V</t>
          </r>
          <r>
            <rPr>
              <rFont val="Calibri"/>
              <i val="1"/>
              <color rgb="002B2B2B"/>
              <sz val="10"/>
              <vertAlign val="subscript"/>
            </rPr>
            <t>he1c</t>
          </r>
        </is>
      </c>
      <c r="E140" s="42">
        <f>IF(ok_1c,(1.35*(W_so+W_hl)+0.0*q_k*Bh_m)-(IF(MIN(B_m,xb_1c)&gt;MAX(((B_t+t_s)/1000),xa_1c),(pa_1c*(MIN(B_m,xb_1c))+kp_1c*((MIN(B_m,xb_1c))^2/2-xa_1c*(MIN(B_m,xb_1c))))-(pa_1c*(MAX(((B_t+t_s)/1000),xa_1c))+kp_1c*((MAX(((B_t+t_s)/1000),xa_1c))^2/2-xa_1c*(MAX(((B_t+t_s)/1000),xa_1c)))),0)),0)</f>
        <v/>
      </c>
      <c r="F140" s="28" t="inlineStr">
        <is>
          <t>kN/m</t>
        </is>
      </c>
      <c r="G140" s="23" t="n"/>
    </row>
    <row r="141" ht="17" customHeight="1">
      <c r="B141" s="23" t="n"/>
      <c r="C141" s="24" t="inlineStr">
        <is>
          <t>Case 1c: toe moment at the stem  (+ tension at the bottom)</t>
        </is>
      </c>
      <c r="D141" s="27" t="inlineStr">
        <is>
          <r>
            <rPr>
              <rFont val="Calibri"/>
              <i val="1"/>
              <color rgb="002B2B2B"/>
              <sz val="10"/>
            </rPr>
            <t>M</t>
          </r>
          <r>
            <rPr>
              <rFont val="Calibri"/>
              <i val="1"/>
              <color rgb="002B2B2B"/>
              <sz val="10"/>
              <vertAlign val="subscript"/>
            </rPr>
            <t>to1c</t>
          </r>
        </is>
      </c>
      <c r="E141" s="42">
        <f>IF(ok_1c,-(IF(MIN((B_t/1000),xb_1c)&gt;MAX(0,xa_1c),(pa_1c*((MIN((B_t/1000),xb_1c))^2/2-(B_t/1000)*(MIN((B_t/1000),xb_1c)))+kp_1c*((MIN((B_t/1000),xb_1c))^3/3-((B_t/1000)+xa_1c)*(MIN((B_t/1000),xb_1c))^2/2+(B_t/1000)*xa_1c*(MIN((B_t/1000),xb_1c))))-(pa_1c*((MAX(0,xa_1c))^2/2-(B_t/1000)*(MAX(0,xa_1c)))+kp_1c*((MAX(0,xa_1c))^3/3-((B_t/1000)+xa_1c)*(MAX(0,xa_1c))^2/2+(B_t/1000)*xa_1c*(MAX(0,xa_1c)))),0))-1.35*(W_tl+W_fr)*(B_t/1000)/2,0)</f>
        <v/>
      </c>
      <c r="F141" s="28" t="inlineStr">
        <is>
          <t>kNm/m</t>
        </is>
      </c>
      <c r="G141" s="23" t="n"/>
    </row>
    <row r="142" ht="17" customHeight="1">
      <c r="B142" s="23" t="n"/>
      <c r="C142" s="24" t="inlineStr">
        <is>
          <t>Case 1c: toe shear at the stem</t>
        </is>
      </c>
      <c r="D142" s="27" t="inlineStr">
        <is>
          <r>
            <rPr>
              <rFont val="Calibri"/>
              <i val="1"/>
              <color rgb="002B2B2B"/>
              <sz val="10"/>
            </rPr>
            <t>V</t>
          </r>
          <r>
            <rPr>
              <rFont val="Calibri"/>
              <i val="1"/>
              <color rgb="002B2B2B"/>
              <sz val="10"/>
              <vertAlign val="subscript"/>
            </rPr>
            <t>to1c</t>
          </r>
        </is>
      </c>
      <c r="E142" s="42">
        <f>IF(ok_1c,(IF(MIN((B_t/1000),xb_1c)&gt;MAX(0,xa_1c),(pa_1c*(MIN((B_t/1000),xb_1c))+kp_1c*((MIN((B_t/1000),xb_1c))^2/2-xa_1c*(MIN((B_t/1000),xb_1c))))-(pa_1c*(MAX(0,xa_1c))+kp_1c*((MAX(0,xa_1c))^2/2-xa_1c*(MAX(0,xa_1c)))),0))-1.35*(W_tl+W_fr),0)</f>
        <v/>
      </c>
      <c r="F142" s="28" t="inlineStr">
        <is>
          <t>kN/m</t>
        </is>
      </c>
      <c r="G142" s="23" t="n"/>
    </row>
    <row r="143" ht="17" customHeight="1">
      <c r="B143" s="23" t="n"/>
      <c r="C143" s="24" t="inlineStr">
        <is>
          <t>Case 1d: vertical load  1.0 W + 1.5 q Bh</t>
        </is>
      </c>
      <c r="D143" s="27" t="inlineStr">
        <is>
          <r>
            <rPr>
              <rFont val="Calibri"/>
              <i val="1"/>
              <color rgb="002B2B2B"/>
              <sz val="10"/>
            </rPr>
            <t>V</t>
          </r>
          <r>
            <rPr>
              <rFont val="Calibri"/>
              <i val="1"/>
              <color rgb="002B2B2B"/>
              <sz val="10"/>
              <vertAlign val="subscript"/>
            </rPr>
            <t>1d</t>
          </r>
        </is>
      </c>
      <c r="E143" s="42">
        <f>1.0*W_tot+1.5*q_k*Bh_m</f>
        <v/>
      </c>
      <c r="F143" s="28" t="inlineStr">
        <is>
          <t>kN/m</t>
        </is>
      </c>
      <c r="G143" s="23" t="n"/>
    </row>
    <row r="144" ht="17" customHeight="1">
      <c r="B144" s="23" t="n"/>
      <c r="C144" s="24" t="inlineStr">
        <is>
          <t>Case 1d: moment about the toe  1.0 ΣWx + 1.5 q Bh xh − γG PG H/3 − γQ PQ H/2</t>
        </is>
      </c>
      <c r="D144" s="27" t="inlineStr">
        <is>
          <r>
            <rPr>
              <rFont val="Calibri"/>
              <i val="1"/>
              <color rgb="002B2B2B"/>
              <sz val="10"/>
            </rPr>
            <t>M</t>
          </r>
          <r>
            <rPr>
              <rFont val="Calibri"/>
              <i val="1"/>
              <color rgb="002B2B2B"/>
              <sz val="10"/>
              <vertAlign val="subscript"/>
            </rPr>
            <t>1d</t>
          </r>
        </is>
      </c>
      <c r="E144" s="42">
        <f>1.0*MW_toe+1.5*q_k*Bh_m*xh_m-1.35*PG_1*Hv_m/3-1.5*PQ_1*Hv_m/2</f>
        <v/>
      </c>
      <c r="F144" s="28" t="inlineStr">
        <is>
          <t>kNm/m</t>
        </is>
      </c>
      <c r="G144" s="23" t="n"/>
    </row>
    <row r="145" ht="17" customHeight="1">
      <c r="B145" s="26" t="inlineStr">
        <is>
          <t>6.5.4</t>
        </is>
      </c>
      <c r="C145" s="24" t="inlineStr">
        <is>
          <t>Case 1d: eccentricity  B/2 − M/V  (+ towards the toe)</t>
        </is>
      </c>
      <c r="D145" s="27" t="inlineStr">
        <is>
          <r>
            <rPr>
              <rFont val="Calibri"/>
              <i val="1"/>
              <color rgb="002B2B2B"/>
              <sz val="10"/>
            </rPr>
            <t>e</t>
          </r>
          <r>
            <rPr>
              <rFont val="Calibri"/>
              <i val="1"/>
              <color rgb="002B2B2B"/>
              <sz val="10"/>
              <vertAlign val="subscript"/>
            </rPr>
            <t>1d</t>
          </r>
        </is>
      </c>
      <c r="E145" s="41">
        <f>IF(V_1d&gt;0,B_m/2-Mt_1d/V_1d,B_m)</f>
        <v/>
      </c>
      <c r="F145" s="28" t="inlineStr">
        <is>
          <t>m</t>
        </is>
      </c>
      <c r="G145" s="23" t="n"/>
    </row>
    <row r="146" ht="17" customHeight="1">
      <c r="B146" s="26" t="inlineStr">
        <is>
          <t>6.5.4</t>
        </is>
      </c>
      <c r="C146" s="24" t="inlineStr">
        <is>
          <t>Case 1d: effective width  B' = B − 2|e|  (PL: characteristic, DA2*)</t>
        </is>
      </c>
      <c r="D146" s="27" t="inlineStr">
        <is>
          <r>
            <rPr>
              <rFont val="Calibri"/>
              <i val="1"/>
              <color rgb="002B2B2B"/>
              <sz val="10"/>
            </rPr>
            <t>B'</t>
          </r>
          <r>
            <rPr>
              <rFont val="Calibri"/>
              <i val="1"/>
              <color rgb="002B2B2B"/>
              <sz val="10"/>
              <vertAlign val="subscript"/>
            </rPr>
            <t>1d</t>
          </r>
        </is>
      </c>
      <c r="E146" s="41">
        <f>MAX(0,B_m-2*ABS(IF(NA_sel="PL NA (PN-EN)",B_m/2-(MW_toe+q_k*Bh_m*xh_m-PG_1*Hv_m/3-PQ_1*Hv_m/2)/(W_tot+q_k*Bh_m),e_1d)))</f>
        <v/>
      </c>
      <c r="F146" s="28" t="inlineStr">
        <is>
          <t>m</t>
        </is>
      </c>
      <c r="G146" s="23" t="n"/>
    </row>
    <row r="147" ht="17" customHeight="1">
      <c r="B147" s="26" t="inlineStr">
        <is>
          <t>(D.2)</t>
        </is>
      </c>
      <c r="C147" s="24" t="inlineStr">
        <is>
          <t>Case 1d: bearing resistance  B' (q' Nq iq + ½ γf B' Nγ iγ) / γR,v,  iq = (1 − H/V)², iγ = (1 − H/V)³</t>
        </is>
      </c>
      <c r="D147" s="27" t="inlineStr">
        <is>
          <r>
            <rPr>
              <rFont val="Calibri"/>
              <i val="1"/>
              <color rgb="002B2B2B"/>
              <sz val="10"/>
            </rPr>
            <t>R</t>
          </r>
          <r>
            <rPr>
              <rFont val="Calibri"/>
              <i val="1"/>
              <color rgb="002B2B2B"/>
              <sz val="10"/>
              <vertAlign val="subscript"/>
            </rPr>
            <t>v1d</t>
          </r>
        </is>
      </c>
      <c r="E147" s="42">
        <f>IF(Bp_1d&gt;0,Bp_1d*(gam_f*D_m*Nq_1*MAX(0,1-IF(NA_sel="PL NA (PN-EN)",PG_1+PQ_1,H_1)/IF(NA_sel="PL NA (PN-EN)",W_tot+q_k*Bh_m,V_1d))^2+0.5*gam_f*Bp_1d*Ng_1*MAX(0,1-IF(NA_sel="PL NA (PN-EN)",PG_1+PQ_1,H_1)/IF(NA_sel="PL NA (PN-EN)",W_tot+q_k*Bh_m,V_1d))^3)/gR_v,0)</f>
        <v/>
      </c>
      <c r="F147" s="28" t="inlineStr">
        <is>
          <t>kN/m</t>
        </is>
      </c>
      <c r="G147" s="23" t="n"/>
    </row>
    <row r="148" ht="17" customHeight="1">
      <c r="B148" s="23" t="n"/>
      <c r="C148" s="24" t="inlineStr">
        <is>
          <t>Case 1d: contact from / to  (m from the toe)</t>
        </is>
      </c>
      <c r="D148" s="23" t="n"/>
      <c r="E148" s="44">
        <f>TEXT(xa_1d,"0.000")&amp;" – "&amp;TEXT(xb_1d,"0.000")</f>
        <v/>
      </c>
      <c r="F148" s="28" t="inlineStr">
        <is>
          <t>m</t>
        </is>
      </c>
      <c r="G148" s="23" t="n"/>
    </row>
    <row r="149" ht="17" customHeight="1">
      <c r="B149" s="23" t="n"/>
      <c r="C149" s="24" t="inlineStr">
        <is>
          <t>Case 1d: pressure at the start of contact</t>
        </is>
      </c>
      <c r="D149" s="27" t="inlineStr">
        <is>
          <r>
            <rPr>
              <rFont val="Calibri"/>
              <i val="1"/>
              <color rgb="002B2B2B"/>
              <sz val="10"/>
            </rPr>
            <t>p</t>
          </r>
          <r>
            <rPr>
              <rFont val="Calibri"/>
              <i val="1"/>
              <color rgb="002B2B2B"/>
              <sz val="10"/>
              <vertAlign val="subscript"/>
            </rPr>
            <t>a1d</t>
          </r>
        </is>
      </c>
      <c r="E149" s="42">
        <f>IF(NOT(ok_1d),0,IF(ABS(e_1d)&lt;=B_m/6,V_1d/B_m*(1+6*e_1d/B_m),IF(e_1d&gt;0,2*V_1d/(3*(B_m/2-ABS(e_1d))),0)))</f>
        <v/>
      </c>
      <c r="F149" s="28" t="inlineStr">
        <is>
          <t>kPa</t>
        </is>
      </c>
      <c r="G149" s="23" t="n"/>
    </row>
    <row r="150" ht="17" customHeight="1">
      <c r="B150" s="23" t="n"/>
      <c r="C150" s="24" t="inlineStr">
        <is>
          <t>Case 1d: pressure at the end of contact</t>
        </is>
      </c>
      <c r="D150" s="27" t="inlineStr">
        <is>
          <r>
            <rPr>
              <rFont val="Calibri"/>
              <i val="1"/>
              <color rgb="002B2B2B"/>
              <sz val="10"/>
            </rPr>
            <t>p</t>
          </r>
          <r>
            <rPr>
              <rFont val="Calibri"/>
              <i val="1"/>
              <color rgb="002B2B2B"/>
              <sz val="10"/>
              <vertAlign val="subscript"/>
            </rPr>
            <t>b1d</t>
          </r>
        </is>
      </c>
      <c r="E150" s="42">
        <f>IF(NOT(ok_1d),0,IF(ABS(e_1d)&lt;=B_m/6,V_1d/B_m*(1-6*e_1d/B_m),IF(e_1d&gt;0,0,2*V_1d/(3*(B_m/2-ABS(e_1d))))))</f>
        <v/>
      </c>
      <c r="F150" s="28" t="inlineStr">
        <is>
          <t>kPa</t>
        </is>
      </c>
      <c r="G150" s="23" t="n"/>
    </row>
    <row r="151" ht="17" customHeight="1">
      <c r="B151" s="23" t="n"/>
      <c r="C151" s="24" t="inlineStr">
        <is>
          <t>Case 1d: heel moment at the stem  (+ tension on top)</t>
        </is>
      </c>
      <c r="D151" s="27" t="inlineStr">
        <is>
          <r>
            <rPr>
              <rFont val="Calibri"/>
              <i val="1"/>
              <color rgb="002B2B2B"/>
              <sz val="10"/>
            </rPr>
            <t>M</t>
          </r>
          <r>
            <rPr>
              <rFont val="Calibri"/>
              <i val="1"/>
              <color rgb="002B2B2B"/>
              <sz val="10"/>
              <vertAlign val="subscript"/>
            </rPr>
            <t>he1d</t>
          </r>
        </is>
      </c>
      <c r="E151" s="42">
        <f>IF(ok_1d,(1.0*(W_so+W_hl)+1.5*q_k*Bh_m)*Bh_m/2-(IF(MIN(B_m,xb_1d)&gt;MAX(((B_t+t_s)/1000),xa_1d),(pa_1d*((MIN(B_m,xb_1d))^2/2-((B_t+t_s)/1000)*(MIN(B_m,xb_1d)))+kp_1d*((MIN(B_m,xb_1d))^3/3-(((B_t+t_s)/1000)+xa_1d)*(MIN(B_m,xb_1d))^2/2+((B_t+t_s)/1000)*xa_1d*(MIN(B_m,xb_1d))))-(pa_1d*((MAX(((B_t+t_s)/1000),xa_1d))^2/2-((B_t+t_s)/1000)*(MAX(((B_t+t_s)/1000),xa_1d)))+kp_1d*((MAX(((B_t+t_s)/1000),xa_1d))^3/3-(((B_t+t_s)/1000)+xa_1d)*(MAX(((B_t+t_s)/1000),xa_1d))^2/2+((B_t+t_s)/1000)*xa_1d*(MAX(((B_t+t_s)/1000),xa_1d)))),0)),0)</f>
        <v/>
      </c>
      <c r="F151" s="28" t="inlineStr">
        <is>
          <t>kNm/m</t>
        </is>
      </c>
      <c r="G151" s="23" t="n"/>
    </row>
    <row r="152" ht="17" customHeight="1">
      <c r="B152" s="23" t="n"/>
      <c r="C152" s="24" t="inlineStr">
        <is>
          <t>Case 1d: heel shear at the stem</t>
        </is>
      </c>
      <c r="D152" s="27" t="inlineStr">
        <is>
          <r>
            <rPr>
              <rFont val="Calibri"/>
              <i val="1"/>
              <color rgb="002B2B2B"/>
              <sz val="10"/>
            </rPr>
            <t>V</t>
          </r>
          <r>
            <rPr>
              <rFont val="Calibri"/>
              <i val="1"/>
              <color rgb="002B2B2B"/>
              <sz val="10"/>
              <vertAlign val="subscript"/>
            </rPr>
            <t>he1d</t>
          </r>
        </is>
      </c>
      <c r="E152" s="42">
        <f>IF(ok_1d,(1.0*(W_so+W_hl)+1.5*q_k*Bh_m)-(IF(MIN(B_m,xb_1d)&gt;MAX(((B_t+t_s)/1000),xa_1d),(pa_1d*(MIN(B_m,xb_1d))+kp_1d*((MIN(B_m,xb_1d))^2/2-xa_1d*(MIN(B_m,xb_1d))))-(pa_1d*(MAX(((B_t+t_s)/1000),xa_1d))+kp_1d*((MAX(((B_t+t_s)/1000),xa_1d))^2/2-xa_1d*(MAX(((B_t+t_s)/1000),xa_1d)))),0)),0)</f>
        <v/>
      </c>
      <c r="F152" s="28" t="inlineStr">
        <is>
          <t>kN/m</t>
        </is>
      </c>
      <c r="G152" s="23" t="n"/>
    </row>
    <row r="153" ht="17" customHeight="1">
      <c r="B153" s="23" t="n"/>
      <c r="C153" s="24" t="inlineStr">
        <is>
          <t>Case 1d: toe moment at the stem  (+ tension at the bottom)</t>
        </is>
      </c>
      <c r="D153" s="27" t="inlineStr">
        <is>
          <r>
            <rPr>
              <rFont val="Calibri"/>
              <i val="1"/>
              <color rgb="002B2B2B"/>
              <sz val="10"/>
            </rPr>
            <t>M</t>
          </r>
          <r>
            <rPr>
              <rFont val="Calibri"/>
              <i val="1"/>
              <color rgb="002B2B2B"/>
              <sz val="10"/>
              <vertAlign val="subscript"/>
            </rPr>
            <t>to1d</t>
          </r>
        </is>
      </c>
      <c r="E153" s="42">
        <f>IF(ok_1d,-(IF(MIN((B_t/1000),xb_1d)&gt;MAX(0,xa_1d),(pa_1d*((MIN((B_t/1000),xb_1d))^2/2-(B_t/1000)*(MIN((B_t/1000),xb_1d)))+kp_1d*((MIN((B_t/1000),xb_1d))^3/3-((B_t/1000)+xa_1d)*(MIN((B_t/1000),xb_1d))^2/2+(B_t/1000)*xa_1d*(MIN((B_t/1000),xb_1d))))-(pa_1d*((MAX(0,xa_1d))^2/2-(B_t/1000)*(MAX(0,xa_1d)))+kp_1d*((MAX(0,xa_1d))^3/3-((B_t/1000)+xa_1d)*(MAX(0,xa_1d))^2/2+(B_t/1000)*xa_1d*(MAX(0,xa_1d)))),0))-1.0*(W_tl+W_fr)*(B_t/1000)/2,0)</f>
        <v/>
      </c>
      <c r="F153" s="28" t="inlineStr">
        <is>
          <t>kNm/m</t>
        </is>
      </c>
      <c r="G153" s="23" t="n"/>
    </row>
    <row r="154" ht="17" customHeight="1">
      <c r="B154" s="23" t="n"/>
      <c r="C154" s="24" t="inlineStr">
        <is>
          <t>Case 1d: toe shear at the stem</t>
        </is>
      </c>
      <c r="D154" s="27" t="inlineStr">
        <is>
          <r>
            <rPr>
              <rFont val="Calibri"/>
              <i val="1"/>
              <color rgb="002B2B2B"/>
              <sz val="10"/>
            </rPr>
            <t>V</t>
          </r>
          <r>
            <rPr>
              <rFont val="Calibri"/>
              <i val="1"/>
              <color rgb="002B2B2B"/>
              <sz val="10"/>
              <vertAlign val="subscript"/>
            </rPr>
            <t>to1d</t>
          </r>
        </is>
      </c>
      <c r="E154" s="42">
        <f>IF(ok_1d,(IF(MIN((B_t/1000),xb_1d)&gt;MAX(0,xa_1d),(pa_1d*(MIN((B_t/1000),xb_1d))+kp_1d*((MIN((B_t/1000),xb_1d))^2/2-xa_1d*(MIN((B_t/1000),xb_1d))))-(pa_1d*(MAX(0,xa_1d))+kp_1d*((MAX(0,xa_1d))^2/2-xa_1d*(MAX(0,xa_1d)))),0))-1.0*(W_tl+W_fr),0)</f>
        <v/>
      </c>
      <c r="F154" s="28" t="inlineStr">
        <is>
          <t>kN/m</t>
        </is>
      </c>
      <c r="G154" s="23" t="n"/>
    </row>
    <row r="155" ht="17" customHeight="1">
      <c r="B155" s="23" t="n"/>
      <c r="C155" s="24" t="inlineStr">
        <is>
          <t>Case 2a: vertical load  1.0 W + 1.3 q Bh</t>
        </is>
      </c>
      <c r="D155" s="27" t="inlineStr">
        <is>
          <r>
            <rPr>
              <rFont val="Calibri"/>
              <i val="1"/>
              <color rgb="002B2B2B"/>
              <sz val="10"/>
            </rPr>
            <t>V</t>
          </r>
          <r>
            <rPr>
              <rFont val="Calibri"/>
              <i val="1"/>
              <color rgb="002B2B2B"/>
              <sz val="10"/>
              <vertAlign val="subscript"/>
            </rPr>
            <t>2a</t>
          </r>
        </is>
      </c>
      <c r="E155" s="42">
        <f>1.0*W_tot+1.3*q_k*Bh_m</f>
        <v/>
      </c>
      <c r="F155" s="28" t="inlineStr">
        <is>
          <t>kN/m</t>
        </is>
      </c>
      <c r="G155" s="23" t="n"/>
    </row>
    <row r="156" ht="17" customHeight="1">
      <c r="B156" s="23" t="n"/>
      <c r="C156" s="24" t="inlineStr">
        <is>
          <t>Case 2a: moment about the toe  1.0 ΣWx + 1.3 q Bh xh − γG PG H/3 − γQ PQ H/2</t>
        </is>
      </c>
      <c r="D156" s="27" t="inlineStr">
        <is>
          <r>
            <rPr>
              <rFont val="Calibri"/>
              <i val="1"/>
              <color rgb="002B2B2B"/>
              <sz val="10"/>
            </rPr>
            <t>M</t>
          </r>
          <r>
            <rPr>
              <rFont val="Calibri"/>
              <i val="1"/>
              <color rgb="002B2B2B"/>
              <sz val="10"/>
              <vertAlign val="subscript"/>
            </rPr>
            <t>2a</t>
          </r>
        </is>
      </c>
      <c r="E156" s="42">
        <f>1.0*MW_toe+1.3*q_k*Bh_m*xh_m-1.0*PG_2*Hv_m/3-1.3*PQ_2*Hv_m/2</f>
        <v/>
      </c>
      <c r="F156" s="28" t="inlineStr">
        <is>
          <t>kNm/m</t>
        </is>
      </c>
      <c r="G156" s="23" t="n"/>
    </row>
    <row r="157" ht="17" customHeight="1">
      <c r="B157" s="26" t="inlineStr">
        <is>
          <t>6.5.4</t>
        </is>
      </c>
      <c r="C157" s="24" t="inlineStr">
        <is>
          <t>Case 2a: eccentricity  B/2 − M/V  (+ towards the toe)</t>
        </is>
      </c>
      <c r="D157" s="27" t="inlineStr">
        <is>
          <r>
            <rPr>
              <rFont val="Calibri"/>
              <i val="1"/>
              <color rgb="002B2B2B"/>
              <sz val="10"/>
            </rPr>
            <t>e</t>
          </r>
          <r>
            <rPr>
              <rFont val="Calibri"/>
              <i val="1"/>
              <color rgb="002B2B2B"/>
              <sz val="10"/>
              <vertAlign val="subscript"/>
            </rPr>
            <t>2a</t>
          </r>
        </is>
      </c>
      <c r="E157" s="41">
        <f>IF(V_2a&gt;0,B_m/2-Mt_2a/V_2a,B_m)</f>
        <v/>
      </c>
      <c r="F157" s="28" t="inlineStr">
        <is>
          <t>m</t>
        </is>
      </c>
      <c r="G157" s="23" t="n"/>
    </row>
    <row r="158" ht="17" customHeight="1">
      <c r="B158" s="26" t="inlineStr">
        <is>
          <t>6.5.4</t>
        </is>
      </c>
      <c r="C158" s="24" t="inlineStr">
        <is>
          <t>Case 2a: effective width  B' = B − 2|e|  (PL: characteristic, DA2*)</t>
        </is>
      </c>
      <c r="D158" s="27" t="inlineStr">
        <is>
          <r>
            <rPr>
              <rFont val="Calibri"/>
              <i val="1"/>
              <color rgb="002B2B2B"/>
              <sz val="10"/>
            </rPr>
            <t>B'</t>
          </r>
          <r>
            <rPr>
              <rFont val="Calibri"/>
              <i val="1"/>
              <color rgb="002B2B2B"/>
              <sz val="10"/>
              <vertAlign val="subscript"/>
            </rPr>
            <t>2a</t>
          </r>
        </is>
      </c>
      <c r="E158" s="41">
        <f>MAX(0,B_m-2*ABS(IF(NA_sel="PL NA (PN-EN)",B_m/2-(MW_toe+q_k*Bh_m*xh_m-PG_2*Hv_m/3-PQ_2*Hv_m/2)/(W_tot+q_k*Bh_m),e_2a)))</f>
        <v/>
      </c>
      <c r="F158" s="28" t="inlineStr">
        <is>
          <t>m</t>
        </is>
      </c>
      <c r="G158" s="23" t="n"/>
    </row>
    <row r="159" ht="17" customHeight="1">
      <c r="B159" s="26" t="inlineStr">
        <is>
          <t>(D.2)</t>
        </is>
      </c>
      <c r="C159" s="24" t="inlineStr">
        <is>
          <t>Case 2a: bearing resistance  B' (q' Nq iq + ½ γf B' Nγ iγ) / γR,v,  iq = (1 − H/V)², iγ = (1 − H/V)³</t>
        </is>
      </c>
      <c r="D159" s="27" t="inlineStr">
        <is>
          <r>
            <rPr>
              <rFont val="Calibri"/>
              <i val="1"/>
              <color rgb="002B2B2B"/>
              <sz val="10"/>
            </rPr>
            <t>R</t>
          </r>
          <r>
            <rPr>
              <rFont val="Calibri"/>
              <i val="1"/>
              <color rgb="002B2B2B"/>
              <sz val="10"/>
              <vertAlign val="subscript"/>
            </rPr>
            <t>v2a</t>
          </r>
        </is>
      </c>
      <c r="E159" s="42">
        <f>IF(Bp_2a&gt;0,Bp_2a*(gam_f*D_m*Nq_2*MAX(0,1-IF(NA_sel="PL NA (PN-EN)",PG_2+PQ_2,H_2)/IF(NA_sel="PL NA (PN-EN)",W_tot+q_k*Bh_m,V_2a))^2+0.5*gam_f*Bp_2a*Ng_2*MAX(0,1-IF(NA_sel="PL NA (PN-EN)",PG_2+PQ_2,H_2)/IF(NA_sel="PL NA (PN-EN)",W_tot+q_k*Bh_m,V_2a))^3)/gR_v,0)</f>
        <v/>
      </c>
      <c r="F159" s="28" t="inlineStr">
        <is>
          <t>kN/m</t>
        </is>
      </c>
      <c r="G159" s="23" t="n"/>
    </row>
    <row r="160" ht="17" customHeight="1">
      <c r="B160" s="23" t="n"/>
      <c r="C160" s="24" t="inlineStr">
        <is>
          <t>Case 2a: contact from / to  (m from the toe)</t>
        </is>
      </c>
      <c r="D160" s="23" t="n"/>
      <c r="E160" s="44">
        <f>TEXT(xa_2a,"0.000")&amp;" – "&amp;TEXT(xb_2a,"0.000")</f>
        <v/>
      </c>
      <c r="F160" s="28" t="inlineStr">
        <is>
          <t>m</t>
        </is>
      </c>
      <c r="G160" s="23" t="n"/>
    </row>
    <row r="161" ht="17" customHeight="1">
      <c r="B161" s="23" t="n"/>
      <c r="C161" s="24" t="inlineStr">
        <is>
          <t>Case 2a: pressure at the start of contact</t>
        </is>
      </c>
      <c r="D161" s="27" t="inlineStr">
        <is>
          <r>
            <rPr>
              <rFont val="Calibri"/>
              <i val="1"/>
              <color rgb="002B2B2B"/>
              <sz val="10"/>
            </rPr>
            <t>p</t>
          </r>
          <r>
            <rPr>
              <rFont val="Calibri"/>
              <i val="1"/>
              <color rgb="002B2B2B"/>
              <sz val="10"/>
              <vertAlign val="subscript"/>
            </rPr>
            <t>a2a</t>
          </r>
        </is>
      </c>
      <c r="E161" s="42">
        <f>IF(NOT(ok_2a),0,IF(ABS(e_2a)&lt;=B_m/6,V_2a/B_m*(1+6*e_2a/B_m),IF(e_2a&gt;0,2*V_2a/(3*(B_m/2-ABS(e_2a))),0)))</f>
        <v/>
      </c>
      <c r="F161" s="28" t="inlineStr">
        <is>
          <t>kPa</t>
        </is>
      </c>
      <c r="G161" s="23" t="n"/>
    </row>
    <row r="162" ht="17" customHeight="1">
      <c r="B162" s="23" t="n"/>
      <c r="C162" s="24" t="inlineStr">
        <is>
          <t>Case 2a: pressure at the end of contact</t>
        </is>
      </c>
      <c r="D162" s="27" t="inlineStr">
        <is>
          <r>
            <rPr>
              <rFont val="Calibri"/>
              <i val="1"/>
              <color rgb="002B2B2B"/>
              <sz val="10"/>
            </rPr>
            <t>p</t>
          </r>
          <r>
            <rPr>
              <rFont val="Calibri"/>
              <i val="1"/>
              <color rgb="002B2B2B"/>
              <sz val="10"/>
              <vertAlign val="subscript"/>
            </rPr>
            <t>b2a</t>
          </r>
        </is>
      </c>
      <c r="E162" s="42">
        <f>IF(NOT(ok_2a),0,IF(ABS(e_2a)&lt;=B_m/6,V_2a/B_m*(1-6*e_2a/B_m),IF(e_2a&gt;0,0,2*V_2a/(3*(B_m/2-ABS(e_2a))))))</f>
        <v/>
      </c>
      <c r="F162" s="28" t="inlineStr">
        <is>
          <t>kPa</t>
        </is>
      </c>
      <c r="G162" s="23" t="n"/>
    </row>
    <row r="163" ht="17" customHeight="1">
      <c r="B163" s="23" t="n"/>
      <c r="C163" s="24" t="inlineStr">
        <is>
          <t>Case 2a: heel moment at the stem  (+ tension on top)</t>
        </is>
      </c>
      <c r="D163" s="27" t="inlineStr">
        <is>
          <r>
            <rPr>
              <rFont val="Calibri"/>
              <i val="1"/>
              <color rgb="002B2B2B"/>
              <sz val="10"/>
            </rPr>
            <t>M</t>
          </r>
          <r>
            <rPr>
              <rFont val="Calibri"/>
              <i val="1"/>
              <color rgb="002B2B2B"/>
              <sz val="10"/>
              <vertAlign val="subscript"/>
            </rPr>
            <t>he2a</t>
          </r>
        </is>
      </c>
      <c r="E163" s="42">
        <f>IF(ok_2a,(1.0*(W_so+W_hl)+1.3*q_k*Bh_m)*Bh_m/2-(IF(MIN(B_m,xb_2a)&gt;MAX(((B_t+t_s)/1000),xa_2a),(pa_2a*((MIN(B_m,xb_2a))^2/2-((B_t+t_s)/1000)*(MIN(B_m,xb_2a)))+kp_2a*((MIN(B_m,xb_2a))^3/3-(((B_t+t_s)/1000)+xa_2a)*(MIN(B_m,xb_2a))^2/2+((B_t+t_s)/1000)*xa_2a*(MIN(B_m,xb_2a))))-(pa_2a*((MAX(((B_t+t_s)/1000),xa_2a))^2/2-((B_t+t_s)/1000)*(MAX(((B_t+t_s)/1000),xa_2a)))+kp_2a*((MAX(((B_t+t_s)/1000),xa_2a))^3/3-(((B_t+t_s)/1000)+xa_2a)*(MAX(((B_t+t_s)/1000),xa_2a))^2/2+((B_t+t_s)/1000)*xa_2a*(MAX(((B_t+t_s)/1000),xa_2a)))),0)),0)</f>
        <v/>
      </c>
      <c r="F163" s="28" t="inlineStr">
        <is>
          <t>kNm/m</t>
        </is>
      </c>
      <c r="G163" s="23" t="n"/>
    </row>
    <row r="164" ht="17" customHeight="1">
      <c r="B164" s="23" t="n"/>
      <c r="C164" s="24" t="inlineStr">
        <is>
          <t>Case 2a: heel shear at the stem</t>
        </is>
      </c>
      <c r="D164" s="27" t="inlineStr">
        <is>
          <r>
            <rPr>
              <rFont val="Calibri"/>
              <i val="1"/>
              <color rgb="002B2B2B"/>
              <sz val="10"/>
            </rPr>
            <t>V</t>
          </r>
          <r>
            <rPr>
              <rFont val="Calibri"/>
              <i val="1"/>
              <color rgb="002B2B2B"/>
              <sz val="10"/>
              <vertAlign val="subscript"/>
            </rPr>
            <t>he2a</t>
          </r>
        </is>
      </c>
      <c r="E164" s="42">
        <f>IF(ok_2a,(1.0*(W_so+W_hl)+1.3*q_k*Bh_m)-(IF(MIN(B_m,xb_2a)&gt;MAX(((B_t+t_s)/1000),xa_2a),(pa_2a*(MIN(B_m,xb_2a))+kp_2a*((MIN(B_m,xb_2a))^2/2-xa_2a*(MIN(B_m,xb_2a))))-(pa_2a*(MAX(((B_t+t_s)/1000),xa_2a))+kp_2a*((MAX(((B_t+t_s)/1000),xa_2a))^2/2-xa_2a*(MAX(((B_t+t_s)/1000),xa_2a)))),0)),0)</f>
        <v/>
      </c>
      <c r="F164" s="28" t="inlineStr">
        <is>
          <t>kN/m</t>
        </is>
      </c>
      <c r="G164" s="23" t="n"/>
    </row>
    <row r="165" ht="17" customHeight="1">
      <c r="B165" s="23" t="n"/>
      <c r="C165" s="24" t="inlineStr">
        <is>
          <t>Case 2a: toe moment at the stem  (+ tension at the bottom)</t>
        </is>
      </c>
      <c r="D165" s="27" t="inlineStr">
        <is>
          <r>
            <rPr>
              <rFont val="Calibri"/>
              <i val="1"/>
              <color rgb="002B2B2B"/>
              <sz val="10"/>
            </rPr>
            <t>M</t>
          </r>
          <r>
            <rPr>
              <rFont val="Calibri"/>
              <i val="1"/>
              <color rgb="002B2B2B"/>
              <sz val="10"/>
              <vertAlign val="subscript"/>
            </rPr>
            <t>to2a</t>
          </r>
        </is>
      </c>
      <c r="E165" s="42">
        <f>IF(ok_2a,-(IF(MIN((B_t/1000),xb_2a)&gt;MAX(0,xa_2a),(pa_2a*((MIN((B_t/1000),xb_2a))^2/2-(B_t/1000)*(MIN((B_t/1000),xb_2a)))+kp_2a*((MIN((B_t/1000),xb_2a))^3/3-((B_t/1000)+xa_2a)*(MIN((B_t/1000),xb_2a))^2/2+(B_t/1000)*xa_2a*(MIN((B_t/1000),xb_2a))))-(pa_2a*((MAX(0,xa_2a))^2/2-(B_t/1000)*(MAX(0,xa_2a)))+kp_2a*((MAX(0,xa_2a))^3/3-((B_t/1000)+xa_2a)*(MAX(0,xa_2a))^2/2+(B_t/1000)*xa_2a*(MAX(0,xa_2a)))),0))-1.0*(W_tl+W_fr)*(B_t/1000)/2,0)</f>
        <v/>
      </c>
      <c r="F165" s="28" t="inlineStr">
        <is>
          <t>kNm/m</t>
        </is>
      </c>
      <c r="G165" s="23" t="n"/>
    </row>
    <row r="166" ht="17" customHeight="1">
      <c r="B166" s="23" t="n"/>
      <c r="C166" s="24" t="inlineStr">
        <is>
          <t>Case 2a: toe shear at the stem</t>
        </is>
      </c>
      <c r="D166" s="27" t="inlineStr">
        <is>
          <r>
            <rPr>
              <rFont val="Calibri"/>
              <i val="1"/>
              <color rgb="002B2B2B"/>
              <sz val="10"/>
            </rPr>
            <t>V</t>
          </r>
          <r>
            <rPr>
              <rFont val="Calibri"/>
              <i val="1"/>
              <color rgb="002B2B2B"/>
              <sz val="10"/>
              <vertAlign val="subscript"/>
            </rPr>
            <t>to2a</t>
          </r>
        </is>
      </c>
      <c r="E166" s="42">
        <f>IF(ok_2a,(IF(MIN((B_t/1000),xb_2a)&gt;MAX(0,xa_2a),(pa_2a*(MIN((B_t/1000),xb_2a))+kp_2a*((MIN((B_t/1000),xb_2a))^2/2-xa_2a*(MIN((B_t/1000),xb_2a))))-(pa_2a*(MAX(0,xa_2a))+kp_2a*((MAX(0,xa_2a))^2/2-xa_2a*(MAX(0,xa_2a)))),0))-1.0*(W_tl+W_fr),0)</f>
        <v/>
      </c>
      <c r="F166" s="28" t="inlineStr">
        <is>
          <t>kN/m</t>
        </is>
      </c>
      <c r="G166" s="23" t="n"/>
    </row>
    <row r="167" ht="17" customHeight="1">
      <c r="B167" s="23" t="n"/>
      <c r="C167" s="24" t="inlineStr">
        <is>
          <t>Case 2b: vertical load  1.0 W + 0.0 q Bh</t>
        </is>
      </c>
      <c r="D167" s="27" t="inlineStr">
        <is>
          <r>
            <rPr>
              <rFont val="Calibri"/>
              <i val="1"/>
              <color rgb="002B2B2B"/>
              <sz val="10"/>
            </rPr>
            <t>V</t>
          </r>
          <r>
            <rPr>
              <rFont val="Calibri"/>
              <i val="1"/>
              <color rgb="002B2B2B"/>
              <sz val="10"/>
              <vertAlign val="subscript"/>
            </rPr>
            <t>2b</t>
          </r>
        </is>
      </c>
      <c r="E167" s="42">
        <f>1.0*W_tot+0.0*q_k*Bh_m</f>
        <v/>
      </c>
      <c r="F167" s="28" t="inlineStr">
        <is>
          <t>kN/m</t>
        </is>
      </c>
      <c r="G167" s="23" t="n"/>
    </row>
    <row r="168" ht="17" customHeight="1">
      <c r="B168" s="23" t="n"/>
      <c r="C168" s="24" t="inlineStr">
        <is>
          <t>Case 2b: moment about the toe  1.0 ΣWx + 0.0 q Bh xh − γG PG H/3 − γQ PQ H/2</t>
        </is>
      </c>
      <c r="D168" s="27" t="inlineStr">
        <is>
          <r>
            <rPr>
              <rFont val="Calibri"/>
              <i val="1"/>
              <color rgb="002B2B2B"/>
              <sz val="10"/>
            </rPr>
            <t>M</t>
          </r>
          <r>
            <rPr>
              <rFont val="Calibri"/>
              <i val="1"/>
              <color rgb="002B2B2B"/>
              <sz val="10"/>
              <vertAlign val="subscript"/>
            </rPr>
            <t>2b</t>
          </r>
        </is>
      </c>
      <c r="E168" s="42">
        <f>1.0*MW_toe+0.0*q_k*Bh_m*xh_m-1.0*PG_2*Hv_m/3-1.3*PQ_2*Hv_m/2</f>
        <v/>
      </c>
      <c r="F168" s="28" t="inlineStr">
        <is>
          <t>kNm/m</t>
        </is>
      </c>
      <c r="G168" s="23" t="n"/>
    </row>
    <row r="169" ht="17" customHeight="1">
      <c r="B169" s="26" t="inlineStr">
        <is>
          <t>6.5.4</t>
        </is>
      </c>
      <c r="C169" s="24" t="inlineStr">
        <is>
          <t>Case 2b: eccentricity  B/2 − M/V  (+ towards the toe)</t>
        </is>
      </c>
      <c r="D169" s="27" t="inlineStr">
        <is>
          <r>
            <rPr>
              <rFont val="Calibri"/>
              <i val="1"/>
              <color rgb="002B2B2B"/>
              <sz val="10"/>
            </rPr>
            <t>e</t>
          </r>
          <r>
            <rPr>
              <rFont val="Calibri"/>
              <i val="1"/>
              <color rgb="002B2B2B"/>
              <sz val="10"/>
              <vertAlign val="subscript"/>
            </rPr>
            <t>2b</t>
          </r>
        </is>
      </c>
      <c r="E169" s="41">
        <f>IF(V_2b&gt;0,B_m/2-Mt_2b/V_2b,B_m)</f>
        <v/>
      </c>
      <c r="F169" s="28" t="inlineStr">
        <is>
          <t>m</t>
        </is>
      </c>
      <c r="G169" s="23" t="n"/>
    </row>
    <row r="170" ht="17" customHeight="1">
      <c r="B170" s="26" t="inlineStr">
        <is>
          <t>6.5.4</t>
        </is>
      </c>
      <c r="C170" s="24" t="inlineStr">
        <is>
          <t>Case 2b: effective width  B' = B − 2|e|  (PL: characteristic, DA2*)</t>
        </is>
      </c>
      <c r="D170" s="27" t="inlineStr">
        <is>
          <r>
            <rPr>
              <rFont val="Calibri"/>
              <i val="1"/>
              <color rgb="002B2B2B"/>
              <sz val="10"/>
            </rPr>
            <t>B'</t>
          </r>
          <r>
            <rPr>
              <rFont val="Calibri"/>
              <i val="1"/>
              <color rgb="002B2B2B"/>
              <sz val="10"/>
              <vertAlign val="subscript"/>
            </rPr>
            <t>2b</t>
          </r>
        </is>
      </c>
      <c r="E170" s="41">
        <f>MAX(0,B_m-2*ABS(IF(NA_sel="PL NA (PN-EN)",B_m/2-(MW_toe+0*xh_m-PG_2*Hv_m/3-PQ_2*Hv_m/2)/(W_tot+0),e_2b)))</f>
        <v/>
      </c>
      <c r="F170" s="28" t="inlineStr">
        <is>
          <t>m</t>
        </is>
      </c>
      <c r="G170" s="23" t="n"/>
    </row>
    <row r="171" ht="17" customHeight="1">
      <c r="B171" s="26" t="inlineStr">
        <is>
          <t>(D.2)</t>
        </is>
      </c>
      <c r="C171" s="24" t="inlineStr">
        <is>
          <t>Case 2b: bearing resistance  B' (q' Nq iq + ½ γf B' Nγ iγ) / γR,v,  iq = (1 − H/V)², iγ = (1 − H/V)³</t>
        </is>
      </c>
      <c r="D171" s="27" t="inlineStr">
        <is>
          <r>
            <rPr>
              <rFont val="Calibri"/>
              <i val="1"/>
              <color rgb="002B2B2B"/>
              <sz val="10"/>
            </rPr>
            <t>R</t>
          </r>
          <r>
            <rPr>
              <rFont val="Calibri"/>
              <i val="1"/>
              <color rgb="002B2B2B"/>
              <sz val="10"/>
              <vertAlign val="subscript"/>
            </rPr>
            <t>v2b</t>
          </r>
        </is>
      </c>
      <c r="E171" s="42">
        <f>IF(Bp_2b&gt;0,Bp_2b*(gam_f*D_m*Nq_2*MAX(0,1-IF(NA_sel="PL NA (PN-EN)",PG_2+PQ_2,H_2)/IF(NA_sel="PL NA (PN-EN)",W_tot+0,V_2b))^2+0.5*gam_f*Bp_2b*Ng_2*MAX(0,1-IF(NA_sel="PL NA (PN-EN)",PG_2+PQ_2,H_2)/IF(NA_sel="PL NA (PN-EN)",W_tot+0,V_2b))^3)/gR_v,0)</f>
        <v/>
      </c>
      <c r="F171" s="28" t="inlineStr">
        <is>
          <t>kN/m</t>
        </is>
      </c>
      <c r="G171" s="23" t="n"/>
    </row>
    <row r="172" ht="17" customHeight="1">
      <c r="B172" s="23" t="n"/>
      <c r="C172" s="24" t="inlineStr">
        <is>
          <t>Case 2b: contact from / to  (m from the toe)</t>
        </is>
      </c>
      <c r="D172" s="23" t="n"/>
      <c r="E172" s="44">
        <f>TEXT(xa_2b,"0.000")&amp;" – "&amp;TEXT(xb_2b,"0.000")</f>
        <v/>
      </c>
      <c r="F172" s="28" t="inlineStr">
        <is>
          <t>m</t>
        </is>
      </c>
      <c r="G172" s="23" t="n"/>
    </row>
    <row r="173" ht="17" customHeight="1">
      <c r="B173" s="23" t="n"/>
      <c r="C173" s="24" t="inlineStr">
        <is>
          <t>Case 2b: pressure at the start of contact</t>
        </is>
      </c>
      <c r="D173" s="27" t="inlineStr">
        <is>
          <r>
            <rPr>
              <rFont val="Calibri"/>
              <i val="1"/>
              <color rgb="002B2B2B"/>
              <sz val="10"/>
            </rPr>
            <t>p</t>
          </r>
          <r>
            <rPr>
              <rFont val="Calibri"/>
              <i val="1"/>
              <color rgb="002B2B2B"/>
              <sz val="10"/>
              <vertAlign val="subscript"/>
            </rPr>
            <t>a2b</t>
          </r>
        </is>
      </c>
      <c r="E173" s="42">
        <f>IF(NOT(ok_2b),0,IF(ABS(e_2b)&lt;=B_m/6,V_2b/B_m*(1+6*e_2b/B_m),IF(e_2b&gt;0,2*V_2b/(3*(B_m/2-ABS(e_2b))),0)))</f>
        <v/>
      </c>
      <c r="F173" s="28" t="inlineStr">
        <is>
          <t>kPa</t>
        </is>
      </c>
      <c r="G173" s="23" t="n"/>
    </row>
    <row r="174" ht="17" customHeight="1">
      <c r="B174" s="23" t="n"/>
      <c r="C174" s="24" t="inlineStr">
        <is>
          <t>Case 2b: pressure at the end of contact</t>
        </is>
      </c>
      <c r="D174" s="27" t="inlineStr">
        <is>
          <r>
            <rPr>
              <rFont val="Calibri"/>
              <i val="1"/>
              <color rgb="002B2B2B"/>
              <sz val="10"/>
            </rPr>
            <t>p</t>
          </r>
          <r>
            <rPr>
              <rFont val="Calibri"/>
              <i val="1"/>
              <color rgb="002B2B2B"/>
              <sz val="10"/>
              <vertAlign val="subscript"/>
            </rPr>
            <t>b2b</t>
          </r>
        </is>
      </c>
      <c r="E174" s="42">
        <f>IF(NOT(ok_2b),0,IF(ABS(e_2b)&lt;=B_m/6,V_2b/B_m*(1-6*e_2b/B_m),IF(e_2b&gt;0,0,2*V_2b/(3*(B_m/2-ABS(e_2b))))))</f>
        <v/>
      </c>
      <c r="F174" s="28" t="inlineStr">
        <is>
          <t>kPa</t>
        </is>
      </c>
      <c r="G174" s="23" t="n"/>
    </row>
    <row r="175" ht="17" customHeight="1">
      <c r="B175" s="23" t="n"/>
      <c r="C175" s="24" t="inlineStr">
        <is>
          <t>Case 2b: heel moment at the stem  (+ tension on top)</t>
        </is>
      </c>
      <c r="D175" s="27" t="inlineStr">
        <is>
          <r>
            <rPr>
              <rFont val="Calibri"/>
              <i val="1"/>
              <color rgb="002B2B2B"/>
              <sz val="10"/>
            </rPr>
            <t>M</t>
          </r>
          <r>
            <rPr>
              <rFont val="Calibri"/>
              <i val="1"/>
              <color rgb="002B2B2B"/>
              <sz val="10"/>
              <vertAlign val="subscript"/>
            </rPr>
            <t>he2b</t>
          </r>
        </is>
      </c>
      <c r="E175" s="42">
        <f>IF(ok_2b,(1.0*(W_so+W_hl)+0.0*q_k*Bh_m)*Bh_m/2-(IF(MIN(B_m,xb_2b)&gt;MAX(((B_t+t_s)/1000),xa_2b),(pa_2b*((MIN(B_m,xb_2b))^2/2-((B_t+t_s)/1000)*(MIN(B_m,xb_2b)))+kp_2b*((MIN(B_m,xb_2b))^3/3-(((B_t+t_s)/1000)+xa_2b)*(MIN(B_m,xb_2b))^2/2+((B_t+t_s)/1000)*xa_2b*(MIN(B_m,xb_2b))))-(pa_2b*((MAX(((B_t+t_s)/1000),xa_2b))^2/2-((B_t+t_s)/1000)*(MAX(((B_t+t_s)/1000),xa_2b)))+kp_2b*((MAX(((B_t+t_s)/1000),xa_2b))^3/3-(((B_t+t_s)/1000)+xa_2b)*(MAX(((B_t+t_s)/1000),xa_2b))^2/2+((B_t+t_s)/1000)*xa_2b*(MAX(((B_t+t_s)/1000),xa_2b)))),0)),0)</f>
        <v/>
      </c>
      <c r="F175" s="28" t="inlineStr">
        <is>
          <t>kNm/m</t>
        </is>
      </c>
      <c r="G175" s="23" t="n"/>
    </row>
    <row r="176" ht="17" customHeight="1">
      <c r="B176" s="23" t="n"/>
      <c r="C176" s="24" t="inlineStr">
        <is>
          <t>Case 2b: heel shear at the stem</t>
        </is>
      </c>
      <c r="D176" s="27" t="inlineStr">
        <is>
          <r>
            <rPr>
              <rFont val="Calibri"/>
              <i val="1"/>
              <color rgb="002B2B2B"/>
              <sz val="10"/>
            </rPr>
            <t>V</t>
          </r>
          <r>
            <rPr>
              <rFont val="Calibri"/>
              <i val="1"/>
              <color rgb="002B2B2B"/>
              <sz val="10"/>
              <vertAlign val="subscript"/>
            </rPr>
            <t>he2b</t>
          </r>
        </is>
      </c>
      <c r="E176" s="42">
        <f>IF(ok_2b,(1.0*(W_so+W_hl)+0.0*q_k*Bh_m)-(IF(MIN(B_m,xb_2b)&gt;MAX(((B_t+t_s)/1000),xa_2b),(pa_2b*(MIN(B_m,xb_2b))+kp_2b*((MIN(B_m,xb_2b))^2/2-xa_2b*(MIN(B_m,xb_2b))))-(pa_2b*(MAX(((B_t+t_s)/1000),xa_2b))+kp_2b*((MAX(((B_t+t_s)/1000),xa_2b))^2/2-xa_2b*(MAX(((B_t+t_s)/1000),xa_2b)))),0)),0)</f>
        <v/>
      </c>
      <c r="F176" s="28" t="inlineStr">
        <is>
          <t>kN/m</t>
        </is>
      </c>
      <c r="G176" s="23" t="n"/>
    </row>
    <row r="177" ht="17" customHeight="1">
      <c r="B177" s="23" t="n"/>
      <c r="C177" s="24" t="inlineStr">
        <is>
          <t>Case 2b: toe moment at the stem  (+ tension at the bottom)</t>
        </is>
      </c>
      <c r="D177" s="27" t="inlineStr">
        <is>
          <r>
            <rPr>
              <rFont val="Calibri"/>
              <i val="1"/>
              <color rgb="002B2B2B"/>
              <sz val="10"/>
            </rPr>
            <t>M</t>
          </r>
          <r>
            <rPr>
              <rFont val="Calibri"/>
              <i val="1"/>
              <color rgb="002B2B2B"/>
              <sz val="10"/>
              <vertAlign val="subscript"/>
            </rPr>
            <t>to2b</t>
          </r>
        </is>
      </c>
      <c r="E177" s="42">
        <f>IF(ok_2b,-(IF(MIN((B_t/1000),xb_2b)&gt;MAX(0,xa_2b),(pa_2b*((MIN((B_t/1000),xb_2b))^2/2-(B_t/1000)*(MIN((B_t/1000),xb_2b)))+kp_2b*((MIN((B_t/1000),xb_2b))^3/3-((B_t/1000)+xa_2b)*(MIN((B_t/1000),xb_2b))^2/2+(B_t/1000)*xa_2b*(MIN((B_t/1000),xb_2b))))-(pa_2b*((MAX(0,xa_2b))^2/2-(B_t/1000)*(MAX(0,xa_2b)))+kp_2b*((MAX(0,xa_2b))^3/3-((B_t/1000)+xa_2b)*(MAX(0,xa_2b))^2/2+(B_t/1000)*xa_2b*(MAX(0,xa_2b)))),0))-1.0*(W_tl+W_fr)*(B_t/1000)/2,0)</f>
        <v/>
      </c>
      <c r="F177" s="28" t="inlineStr">
        <is>
          <t>kNm/m</t>
        </is>
      </c>
      <c r="G177" s="23" t="n"/>
    </row>
    <row r="178" ht="17" customHeight="1">
      <c r="B178" s="23" t="n"/>
      <c r="C178" s="24" t="inlineStr">
        <is>
          <t>Case 2b: toe shear at the stem</t>
        </is>
      </c>
      <c r="D178" s="27" t="inlineStr">
        <is>
          <r>
            <rPr>
              <rFont val="Calibri"/>
              <i val="1"/>
              <color rgb="002B2B2B"/>
              <sz val="10"/>
            </rPr>
            <t>V</t>
          </r>
          <r>
            <rPr>
              <rFont val="Calibri"/>
              <i val="1"/>
              <color rgb="002B2B2B"/>
              <sz val="10"/>
              <vertAlign val="subscript"/>
            </rPr>
            <t>to2b</t>
          </r>
        </is>
      </c>
      <c r="E178" s="42">
        <f>IF(ok_2b,(IF(MIN((B_t/1000),xb_2b)&gt;MAX(0,xa_2b),(pa_2b*(MIN((B_t/1000),xb_2b))+kp_2b*((MIN((B_t/1000),xb_2b))^2/2-xa_2b*(MIN((B_t/1000),xb_2b))))-(pa_2b*(MAX(0,xa_2b))+kp_2b*((MAX(0,xa_2b))^2/2-xa_2b*(MAX(0,xa_2b)))),0))-1.0*(W_tl+W_fr),0)</f>
        <v/>
      </c>
      <c r="F178" s="28" t="inlineStr">
        <is>
          <t>kN/m</t>
        </is>
      </c>
      <c r="G178" s="23" t="n"/>
    </row>
    <row r="179" ht="17" customHeight="1">
      <c r="B179" s="23" t="n"/>
      <c r="C179" s="24" t="inlineStr">
        <is>
          <t>Case 2c: vertical load  1.0 W + 0.0 q Bh</t>
        </is>
      </c>
      <c r="D179" s="27" t="inlineStr">
        <is>
          <r>
            <rPr>
              <rFont val="Calibri"/>
              <i val="1"/>
              <color rgb="002B2B2B"/>
              <sz val="10"/>
            </rPr>
            <t>V</t>
          </r>
          <r>
            <rPr>
              <rFont val="Calibri"/>
              <i val="1"/>
              <color rgb="002B2B2B"/>
              <sz val="10"/>
              <vertAlign val="subscript"/>
            </rPr>
            <t>2c</t>
          </r>
        </is>
      </c>
      <c r="E179" s="42">
        <f>1.0*W_tot+0.0*q_k*Bh_m</f>
        <v/>
      </c>
      <c r="F179" s="28" t="inlineStr">
        <is>
          <t>kN/m</t>
        </is>
      </c>
      <c r="G179" s="23" t="n"/>
    </row>
    <row r="180" ht="17" customHeight="1">
      <c r="B180" s="23" t="n"/>
      <c r="C180" s="24" t="inlineStr">
        <is>
          <t>Case 2c: moment about the toe  1.0 ΣWx + 0.0 q Bh xh − γG PG H/3 − γQ PQ H/2</t>
        </is>
      </c>
      <c r="D180" s="27" t="inlineStr">
        <is>
          <r>
            <rPr>
              <rFont val="Calibri"/>
              <i val="1"/>
              <color rgb="002B2B2B"/>
              <sz val="10"/>
            </rPr>
            <t>M</t>
          </r>
          <r>
            <rPr>
              <rFont val="Calibri"/>
              <i val="1"/>
              <color rgb="002B2B2B"/>
              <sz val="10"/>
              <vertAlign val="subscript"/>
            </rPr>
            <t>2c</t>
          </r>
        </is>
      </c>
      <c r="E180" s="42">
        <f>1.0*MW_toe+0.0*q_k*Bh_m*xh_m-1.0*PG_2*Hv_m/3-1.3*PQ_2*Hv_m/2</f>
        <v/>
      </c>
      <c r="F180" s="28" t="inlineStr">
        <is>
          <t>kNm/m</t>
        </is>
      </c>
      <c r="G180" s="23" t="n"/>
    </row>
    <row r="181" ht="17" customHeight="1">
      <c r="B181" s="26" t="inlineStr">
        <is>
          <t>6.5.4</t>
        </is>
      </c>
      <c r="C181" s="24" t="inlineStr">
        <is>
          <t>Case 2c: eccentricity  B/2 − M/V  (+ towards the toe)</t>
        </is>
      </c>
      <c r="D181" s="27" t="inlineStr">
        <is>
          <r>
            <rPr>
              <rFont val="Calibri"/>
              <i val="1"/>
              <color rgb="002B2B2B"/>
              <sz val="10"/>
            </rPr>
            <t>e</t>
          </r>
          <r>
            <rPr>
              <rFont val="Calibri"/>
              <i val="1"/>
              <color rgb="002B2B2B"/>
              <sz val="10"/>
              <vertAlign val="subscript"/>
            </rPr>
            <t>2c</t>
          </r>
        </is>
      </c>
      <c r="E181" s="41">
        <f>IF(V_2c&gt;0,B_m/2-Mt_2c/V_2c,B_m)</f>
        <v/>
      </c>
      <c r="F181" s="28" t="inlineStr">
        <is>
          <t>m</t>
        </is>
      </c>
      <c r="G181" s="23" t="n"/>
    </row>
    <row r="182" ht="17" customHeight="1">
      <c r="B182" s="26" t="inlineStr">
        <is>
          <t>6.5.4</t>
        </is>
      </c>
      <c r="C182" s="24" t="inlineStr">
        <is>
          <t>Case 2c: effective width  B' = B − 2|e|  (PL: characteristic, DA2*)</t>
        </is>
      </c>
      <c r="D182" s="27" t="inlineStr">
        <is>
          <r>
            <rPr>
              <rFont val="Calibri"/>
              <i val="1"/>
              <color rgb="002B2B2B"/>
              <sz val="10"/>
            </rPr>
            <t>B'</t>
          </r>
          <r>
            <rPr>
              <rFont val="Calibri"/>
              <i val="1"/>
              <color rgb="002B2B2B"/>
              <sz val="10"/>
              <vertAlign val="subscript"/>
            </rPr>
            <t>2c</t>
          </r>
        </is>
      </c>
      <c r="E182" s="41">
        <f>MAX(0,B_m-2*ABS(IF(NA_sel="PL NA (PN-EN)",B_m/2-(MW_toe+0*xh_m-PG_2*Hv_m/3-PQ_2*Hv_m/2)/(W_tot+0),e_2c)))</f>
        <v/>
      </c>
      <c r="F182" s="28" t="inlineStr">
        <is>
          <t>m</t>
        </is>
      </c>
      <c r="G182" s="23" t="n"/>
    </row>
    <row r="183" ht="17" customHeight="1">
      <c r="B183" s="26" t="inlineStr">
        <is>
          <t>(D.2)</t>
        </is>
      </c>
      <c r="C183" s="24" t="inlineStr">
        <is>
          <t>Case 2c: bearing resistance  B' (q' Nq iq + ½ γf B' Nγ iγ) / γR,v,  iq = (1 − H/V)², iγ = (1 − H/V)³</t>
        </is>
      </c>
      <c r="D183" s="27" t="inlineStr">
        <is>
          <r>
            <rPr>
              <rFont val="Calibri"/>
              <i val="1"/>
              <color rgb="002B2B2B"/>
              <sz val="10"/>
            </rPr>
            <t>R</t>
          </r>
          <r>
            <rPr>
              <rFont val="Calibri"/>
              <i val="1"/>
              <color rgb="002B2B2B"/>
              <sz val="10"/>
              <vertAlign val="subscript"/>
            </rPr>
            <t>v2c</t>
          </r>
        </is>
      </c>
      <c r="E183" s="42">
        <f>IF(Bp_2c&gt;0,Bp_2c*(gam_f*D_m*Nq_2*MAX(0,1-IF(NA_sel="PL NA (PN-EN)",PG_2+PQ_2,H_2)/IF(NA_sel="PL NA (PN-EN)",W_tot+0,V_2c))^2+0.5*gam_f*Bp_2c*Ng_2*MAX(0,1-IF(NA_sel="PL NA (PN-EN)",PG_2+PQ_2,H_2)/IF(NA_sel="PL NA (PN-EN)",W_tot+0,V_2c))^3)/gR_v,0)</f>
        <v/>
      </c>
      <c r="F183" s="28" t="inlineStr">
        <is>
          <t>kN/m</t>
        </is>
      </c>
      <c r="G183" s="23" t="n"/>
    </row>
    <row r="184" ht="17" customHeight="1">
      <c r="B184" s="23" t="n"/>
      <c r="C184" s="24" t="inlineStr">
        <is>
          <t>Case 2c: contact from / to  (m from the toe)</t>
        </is>
      </c>
      <c r="D184" s="23" t="n"/>
      <c r="E184" s="44">
        <f>TEXT(xa_2c,"0.000")&amp;" – "&amp;TEXT(xb_2c,"0.000")</f>
        <v/>
      </c>
      <c r="F184" s="28" t="inlineStr">
        <is>
          <t>m</t>
        </is>
      </c>
      <c r="G184" s="23" t="n"/>
    </row>
    <row r="185" ht="17" customHeight="1">
      <c r="B185" s="23" t="n"/>
      <c r="C185" s="24" t="inlineStr">
        <is>
          <t>Case 2c: pressure at the start of contact</t>
        </is>
      </c>
      <c r="D185" s="27" t="inlineStr">
        <is>
          <r>
            <rPr>
              <rFont val="Calibri"/>
              <i val="1"/>
              <color rgb="002B2B2B"/>
              <sz val="10"/>
            </rPr>
            <t>p</t>
          </r>
          <r>
            <rPr>
              <rFont val="Calibri"/>
              <i val="1"/>
              <color rgb="002B2B2B"/>
              <sz val="10"/>
              <vertAlign val="subscript"/>
            </rPr>
            <t>a2c</t>
          </r>
        </is>
      </c>
      <c r="E185" s="42">
        <f>IF(NOT(ok_2c),0,IF(ABS(e_2c)&lt;=B_m/6,V_2c/B_m*(1+6*e_2c/B_m),IF(e_2c&gt;0,2*V_2c/(3*(B_m/2-ABS(e_2c))),0)))</f>
        <v/>
      </c>
      <c r="F185" s="28" t="inlineStr">
        <is>
          <t>kPa</t>
        </is>
      </c>
      <c r="G185" s="23" t="n"/>
    </row>
    <row r="186" ht="17" customHeight="1">
      <c r="B186" s="23" t="n"/>
      <c r="C186" s="24" t="inlineStr">
        <is>
          <t>Case 2c: pressure at the end of contact</t>
        </is>
      </c>
      <c r="D186" s="27" t="inlineStr">
        <is>
          <r>
            <rPr>
              <rFont val="Calibri"/>
              <i val="1"/>
              <color rgb="002B2B2B"/>
              <sz val="10"/>
            </rPr>
            <t>p</t>
          </r>
          <r>
            <rPr>
              <rFont val="Calibri"/>
              <i val="1"/>
              <color rgb="002B2B2B"/>
              <sz val="10"/>
              <vertAlign val="subscript"/>
            </rPr>
            <t>b2c</t>
          </r>
        </is>
      </c>
      <c r="E186" s="42">
        <f>IF(NOT(ok_2c),0,IF(ABS(e_2c)&lt;=B_m/6,V_2c/B_m*(1-6*e_2c/B_m),IF(e_2c&gt;0,0,2*V_2c/(3*(B_m/2-ABS(e_2c))))))</f>
        <v/>
      </c>
      <c r="F186" s="28" t="inlineStr">
        <is>
          <t>kPa</t>
        </is>
      </c>
      <c r="G186" s="23" t="n"/>
    </row>
    <row r="187" ht="17" customHeight="1">
      <c r="B187" s="23" t="n"/>
      <c r="C187" s="24" t="inlineStr">
        <is>
          <t>Case 2c: heel moment at the stem  (+ tension on top)</t>
        </is>
      </c>
      <c r="D187" s="27" t="inlineStr">
        <is>
          <r>
            <rPr>
              <rFont val="Calibri"/>
              <i val="1"/>
              <color rgb="002B2B2B"/>
              <sz val="10"/>
            </rPr>
            <t>M</t>
          </r>
          <r>
            <rPr>
              <rFont val="Calibri"/>
              <i val="1"/>
              <color rgb="002B2B2B"/>
              <sz val="10"/>
              <vertAlign val="subscript"/>
            </rPr>
            <t>he2c</t>
          </r>
        </is>
      </c>
      <c r="E187" s="42">
        <f>IF(ok_2c,(1.0*(W_so+W_hl)+0.0*q_k*Bh_m)*Bh_m/2-(IF(MIN(B_m,xb_2c)&gt;MAX(((B_t+t_s)/1000),xa_2c),(pa_2c*((MIN(B_m,xb_2c))^2/2-((B_t+t_s)/1000)*(MIN(B_m,xb_2c)))+kp_2c*((MIN(B_m,xb_2c))^3/3-(((B_t+t_s)/1000)+xa_2c)*(MIN(B_m,xb_2c))^2/2+((B_t+t_s)/1000)*xa_2c*(MIN(B_m,xb_2c))))-(pa_2c*((MAX(((B_t+t_s)/1000),xa_2c))^2/2-((B_t+t_s)/1000)*(MAX(((B_t+t_s)/1000),xa_2c)))+kp_2c*((MAX(((B_t+t_s)/1000),xa_2c))^3/3-(((B_t+t_s)/1000)+xa_2c)*(MAX(((B_t+t_s)/1000),xa_2c))^2/2+((B_t+t_s)/1000)*xa_2c*(MAX(((B_t+t_s)/1000),xa_2c)))),0)),0)</f>
        <v/>
      </c>
      <c r="F187" s="28" t="inlineStr">
        <is>
          <t>kNm/m</t>
        </is>
      </c>
      <c r="G187" s="23" t="n"/>
    </row>
    <row r="188" ht="17" customHeight="1">
      <c r="B188" s="23" t="n"/>
      <c r="C188" s="24" t="inlineStr">
        <is>
          <t>Case 2c: heel shear at the stem</t>
        </is>
      </c>
      <c r="D188" s="27" t="inlineStr">
        <is>
          <r>
            <rPr>
              <rFont val="Calibri"/>
              <i val="1"/>
              <color rgb="002B2B2B"/>
              <sz val="10"/>
            </rPr>
            <t>V</t>
          </r>
          <r>
            <rPr>
              <rFont val="Calibri"/>
              <i val="1"/>
              <color rgb="002B2B2B"/>
              <sz val="10"/>
              <vertAlign val="subscript"/>
            </rPr>
            <t>he2c</t>
          </r>
        </is>
      </c>
      <c r="E188" s="42">
        <f>IF(ok_2c,(1.0*(W_so+W_hl)+0.0*q_k*Bh_m)-(IF(MIN(B_m,xb_2c)&gt;MAX(((B_t+t_s)/1000),xa_2c),(pa_2c*(MIN(B_m,xb_2c))+kp_2c*((MIN(B_m,xb_2c))^2/2-xa_2c*(MIN(B_m,xb_2c))))-(pa_2c*(MAX(((B_t+t_s)/1000),xa_2c))+kp_2c*((MAX(((B_t+t_s)/1000),xa_2c))^2/2-xa_2c*(MAX(((B_t+t_s)/1000),xa_2c)))),0)),0)</f>
        <v/>
      </c>
      <c r="F188" s="28" t="inlineStr">
        <is>
          <t>kN/m</t>
        </is>
      </c>
      <c r="G188" s="23" t="n"/>
    </row>
    <row r="189" ht="17" customHeight="1">
      <c r="B189" s="23" t="n"/>
      <c r="C189" s="24" t="inlineStr">
        <is>
          <t>Case 2c: toe moment at the stem  (+ tension at the bottom)</t>
        </is>
      </c>
      <c r="D189" s="27" t="inlineStr">
        <is>
          <r>
            <rPr>
              <rFont val="Calibri"/>
              <i val="1"/>
              <color rgb="002B2B2B"/>
              <sz val="10"/>
            </rPr>
            <t>M</t>
          </r>
          <r>
            <rPr>
              <rFont val="Calibri"/>
              <i val="1"/>
              <color rgb="002B2B2B"/>
              <sz val="10"/>
              <vertAlign val="subscript"/>
            </rPr>
            <t>to2c</t>
          </r>
        </is>
      </c>
      <c r="E189" s="42">
        <f>IF(ok_2c,-(IF(MIN((B_t/1000),xb_2c)&gt;MAX(0,xa_2c),(pa_2c*((MIN((B_t/1000),xb_2c))^2/2-(B_t/1000)*(MIN((B_t/1000),xb_2c)))+kp_2c*((MIN((B_t/1000),xb_2c))^3/3-((B_t/1000)+xa_2c)*(MIN((B_t/1000),xb_2c))^2/2+(B_t/1000)*xa_2c*(MIN((B_t/1000),xb_2c))))-(pa_2c*((MAX(0,xa_2c))^2/2-(B_t/1000)*(MAX(0,xa_2c)))+kp_2c*((MAX(0,xa_2c))^3/3-((B_t/1000)+xa_2c)*(MAX(0,xa_2c))^2/2+(B_t/1000)*xa_2c*(MAX(0,xa_2c)))),0))-1.0*(W_tl+W_fr)*(B_t/1000)/2,0)</f>
        <v/>
      </c>
      <c r="F189" s="28" t="inlineStr">
        <is>
          <t>kNm/m</t>
        </is>
      </c>
      <c r="G189" s="23" t="n"/>
    </row>
    <row r="190" ht="17" customHeight="1">
      <c r="B190" s="23" t="n"/>
      <c r="C190" s="24" t="inlineStr">
        <is>
          <t>Case 2c: toe shear at the stem</t>
        </is>
      </c>
      <c r="D190" s="27" t="inlineStr">
        <is>
          <r>
            <rPr>
              <rFont val="Calibri"/>
              <i val="1"/>
              <color rgb="002B2B2B"/>
              <sz val="10"/>
            </rPr>
            <t>V</t>
          </r>
          <r>
            <rPr>
              <rFont val="Calibri"/>
              <i val="1"/>
              <color rgb="002B2B2B"/>
              <sz val="10"/>
              <vertAlign val="subscript"/>
            </rPr>
            <t>to2c</t>
          </r>
        </is>
      </c>
      <c r="E190" s="42">
        <f>IF(ok_2c,(IF(MIN((B_t/1000),xb_2c)&gt;MAX(0,xa_2c),(pa_2c*(MIN((B_t/1000),xb_2c))+kp_2c*((MIN((B_t/1000),xb_2c))^2/2-xa_2c*(MIN((B_t/1000),xb_2c))))-(pa_2c*(MAX(0,xa_2c))+kp_2c*((MAX(0,xa_2c))^2/2-xa_2c*(MAX(0,xa_2c)))),0))-1.0*(W_tl+W_fr),0)</f>
        <v/>
      </c>
      <c r="F190" s="28" t="inlineStr">
        <is>
          <t>kN/m</t>
        </is>
      </c>
      <c r="G190" s="23" t="n"/>
    </row>
    <row r="191" ht="17" customHeight="1">
      <c r="B191" s="23" t="n"/>
      <c r="C191" s="24" t="inlineStr">
        <is>
          <t>Case 2d: vertical load  1.0 W + 1.3 q Bh</t>
        </is>
      </c>
      <c r="D191" s="27" t="inlineStr">
        <is>
          <r>
            <rPr>
              <rFont val="Calibri"/>
              <i val="1"/>
              <color rgb="002B2B2B"/>
              <sz val="10"/>
            </rPr>
            <t>V</t>
          </r>
          <r>
            <rPr>
              <rFont val="Calibri"/>
              <i val="1"/>
              <color rgb="002B2B2B"/>
              <sz val="10"/>
              <vertAlign val="subscript"/>
            </rPr>
            <t>2d</t>
          </r>
        </is>
      </c>
      <c r="E191" s="42">
        <f>1.0*W_tot+1.3*q_k*Bh_m</f>
        <v/>
      </c>
      <c r="F191" s="28" t="inlineStr">
        <is>
          <t>kN/m</t>
        </is>
      </c>
      <c r="G191" s="23" t="n"/>
    </row>
    <row r="192" ht="17" customHeight="1">
      <c r="B192" s="23" t="n"/>
      <c r="C192" s="24" t="inlineStr">
        <is>
          <t>Case 2d: moment about the toe  1.0 ΣWx + 1.3 q Bh xh − γG PG H/3 − γQ PQ H/2</t>
        </is>
      </c>
      <c r="D192" s="27" t="inlineStr">
        <is>
          <r>
            <rPr>
              <rFont val="Calibri"/>
              <i val="1"/>
              <color rgb="002B2B2B"/>
              <sz val="10"/>
            </rPr>
            <t>M</t>
          </r>
          <r>
            <rPr>
              <rFont val="Calibri"/>
              <i val="1"/>
              <color rgb="002B2B2B"/>
              <sz val="10"/>
              <vertAlign val="subscript"/>
            </rPr>
            <t>2d</t>
          </r>
        </is>
      </c>
      <c r="E192" s="42">
        <f>1.0*MW_toe+1.3*q_k*Bh_m*xh_m-1.0*PG_2*Hv_m/3-1.3*PQ_2*Hv_m/2</f>
        <v/>
      </c>
      <c r="F192" s="28" t="inlineStr">
        <is>
          <t>kNm/m</t>
        </is>
      </c>
      <c r="G192" s="23" t="n"/>
    </row>
    <row r="193" ht="17" customHeight="1">
      <c r="B193" s="26" t="inlineStr">
        <is>
          <t>6.5.4</t>
        </is>
      </c>
      <c r="C193" s="24" t="inlineStr">
        <is>
          <t>Case 2d: eccentricity  B/2 − M/V  (+ towards the toe)</t>
        </is>
      </c>
      <c r="D193" s="27" t="inlineStr">
        <is>
          <r>
            <rPr>
              <rFont val="Calibri"/>
              <i val="1"/>
              <color rgb="002B2B2B"/>
              <sz val="10"/>
            </rPr>
            <t>e</t>
          </r>
          <r>
            <rPr>
              <rFont val="Calibri"/>
              <i val="1"/>
              <color rgb="002B2B2B"/>
              <sz val="10"/>
              <vertAlign val="subscript"/>
            </rPr>
            <t>2d</t>
          </r>
        </is>
      </c>
      <c r="E193" s="41">
        <f>IF(V_2d&gt;0,B_m/2-Mt_2d/V_2d,B_m)</f>
        <v/>
      </c>
      <c r="F193" s="28" t="inlineStr">
        <is>
          <t>m</t>
        </is>
      </c>
      <c r="G193" s="23" t="n"/>
    </row>
    <row r="194" ht="17" customHeight="1">
      <c r="B194" s="26" t="inlineStr">
        <is>
          <t>6.5.4</t>
        </is>
      </c>
      <c r="C194" s="24" t="inlineStr">
        <is>
          <t>Case 2d: effective width  B' = B − 2|e|  (PL: characteristic, DA2*)</t>
        </is>
      </c>
      <c r="D194" s="27" t="inlineStr">
        <is>
          <r>
            <rPr>
              <rFont val="Calibri"/>
              <i val="1"/>
              <color rgb="002B2B2B"/>
              <sz val="10"/>
            </rPr>
            <t>B'</t>
          </r>
          <r>
            <rPr>
              <rFont val="Calibri"/>
              <i val="1"/>
              <color rgb="002B2B2B"/>
              <sz val="10"/>
              <vertAlign val="subscript"/>
            </rPr>
            <t>2d</t>
          </r>
        </is>
      </c>
      <c r="E194" s="41">
        <f>MAX(0,B_m-2*ABS(IF(NA_sel="PL NA (PN-EN)",B_m/2-(MW_toe+q_k*Bh_m*xh_m-PG_2*Hv_m/3-PQ_2*Hv_m/2)/(W_tot+q_k*Bh_m),e_2d)))</f>
        <v/>
      </c>
      <c r="F194" s="28" t="inlineStr">
        <is>
          <t>m</t>
        </is>
      </c>
      <c r="G194" s="23" t="n"/>
    </row>
    <row r="195" ht="17" customHeight="1">
      <c r="B195" s="26" t="inlineStr">
        <is>
          <t>(D.2)</t>
        </is>
      </c>
      <c r="C195" s="24" t="inlineStr">
        <is>
          <t>Case 2d: bearing resistance  B' (q' Nq iq + ½ γf B' Nγ iγ) / γR,v,  iq = (1 − H/V)², iγ = (1 − H/V)³</t>
        </is>
      </c>
      <c r="D195" s="27" t="inlineStr">
        <is>
          <r>
            <rPr>
              <rFont val="Calibri"/>
              <i val="1"/>
              <color rgb="002B2B2B"/>
              <sz val="10"/>
            </rPr>
            <t>R</t>
          </r>
          <r>
            <rPr>
              <rFont val="Calibri"/>
              <i val="1"/>
              <color rgb="002B2B2B"/>
              <sz val="10"/>
              <vertAlign val="subscript"/>
            </rPr>
            <t>v2d</t>
          </r>
        </is>
      </c>
      <c r="E195" s="42">
        <f>IF(Bp_2d&gt;0,Bp_2d*(gam_f*D_m*Nq_2*MAX(0,1-IF(NA_sel="PL NA (PN-EN)",PG_2+PQ_2,H_2)/IF(NA_sel="PL NA (PN-EN)",W_tot+q_k*Bh_m,V_2d))^2+0.5*gam_f*Bp_2d*Ng_2*MAX(0,1-IF(NA_sel="PL NA (PN-EN)",PG_2+PQ_2,H_2)/IF(NA_sel="PL NA (PN-EN)",W_tot+q_k*Bh_m,V_2d))^3)/gR_v,0)</f>
        <v/>
      </c>
      <c r="F195" s="28" t="inlineStr">
        <is>
          <t>kN/m</t>
        </is>
      </c>
      <c r="G195" s="23" t="n"/>
    </row>
    <row r="196" ht="17" customHeight="1">
      <c r="B196" s="23" t="n"/>
      <c r="C196" s="24" t="inlineStr">
        <is>
          <t>Case 2d: contact from / to  (m from the toe)</t>
        </is>
      </c>
      <c r="D196" s="23" t="n"/>
      <c r="E196" s="44">
        <f>TEXT(xa_2d,"0.000")&amp;" – "&amp;TEXT(xb_2d,"0.000")</f>
        <v/>
      </c>
      <c r="F196" s="28" t="inlineStr">
        <is>
          <t>m</t>
        </is>
      </c>
      <c r="G196" s="23" t="n"/>
    </row>
    <row r="197" ht="17" customHeight="1">
      <c r="B197" s="23" t="n"/>
      <c r="C197" s="24" t="inlineStr">
        <is>
          <t>Case 2d: pressure at the start of contact</t>
        </is>
      </c>
      <c r="D197" s="27" t="inlineStr">
        <is>
          <r>
            <rPr>
              <rFont val="Calibri"/>
              <i val="1"/>
              <color rgb="002B2B2B"/>
              <sz val="10"/>
            </rPr>
            <t>p</t>
          </r>
          <r>
            <rPr>
              <rFont val="Calibri"/>
              <i val="1"/>
              <color rgb="002B2B2B"/>
              <sz val="10"/>
              <vertAlign val="subscript"/>
            </rPr>
            <t>a2d</t>
          </r>
        </is>
      </c>
      <c r="E197" s="42">
        <f>IF(NOT(ok_2d),0,IF(ABS(e_2d)&lt;=B_m/6,V_2d/B_m*(1+6*e_2d/B_m),IF(e_2d&gt;0,2*V_2d/(3*(B_m/2-ABS(e_2d))),0)))</f>
        <v/>
      </c>
      <c r="F197" s="28" t="inlineStr">
        <is>
          <t>kPa</t>
        </is>
      </c>
      <c r="G197" s="23" t="n"/>
    </row>
    <row r="198" ht="17" customHeight="1">
      <c r="B198" s="23" t="n"/>
      <c r="C198" s="24" t="inlineStr">
        <is>
          <t>Case 2d: pressure at the end of contact</t>
        </is>
      </c>
      <c r="D198" s="27" t="inlineStr">
        <is>
          <r>
            <rPr>
              <rFont val="Calibri"/>
              <i val="1"/>
              <color rgb="002B2B2B"/>
              <sz val="10"/>
            </rPr>
            <t>p</t>
          </r>
          <r>
            <rPr>
              <rFont val="Calibri"/>
              <i val="1"/>
              <color rgb="002B2B2B"/>
              <sz val="10"/>
              <vertAlign val="subscript"/>
            </rPr>
            <t>b2d</t>
          </r>
        </is>
      </c>
      <c r="E198" s="42">
        <f>IF(NOT(ok_2d),0,IF(ABS(e_2d)&lt;=B_m/6,V_2d/B_m*(1-6*e_2d/B_m),IF(e_2d&gt;0,0,2*V_2d/(3*(B_m/2-ABS(e_2d))))))</f>
        <v/>
      </c>
      <c r="F198" s="28" t="inlineStr">
        <is>
          <t>kPa</t>
        </is>
      </c>
      <c r="G198" s="23" t="n"/>
    </row>
    <row r="199" ht="17" customHeight="1">
      <c r="B199" s="23" t="n"/>
      <c r="C199" s="24" t="inlineStr">
        <is>
          <t>Case 2d: heel moment at the stem  (+ tension on top)</t>
        </is>
      </c>
      <c r="D199" s="27" t="inlineStr">
        <is>
          <r>
            <rPr>
              <rFont val="Calibri"/>
              <i val="1"/>
              <color rgb="002B2B2B"/>
              <sz val="10"/>
            </rPr>
            <t>M</t>
          </r>
          <r>
            <rPr>
              <rFont val="Calibri"/>
              <i val="1"/>
              <color rgb="002B2B2B"/>
              <sz val="10"/>
              <vertAlign val="subscript"/>
            </rPr>
            <t>he2d</t>
          </r>
        </is>
      </c>
      <c r="E199" s="42">
        <f>IF(ok_2d,(1.0*(W_so+W_hl)+1.3*q_k*Bh_m)*Bh_m/2-(IF(MIN(B_m,xb_2d)&gt;MAX(((B_t+t_s)/1000),xa_2d),(pa_2d*((MIN(B_m,xb_2d))^2/2-((B_t+t_s)/1000)*(MIN(B_m,xb_2d)))+kp_2d*((MIN(B_m,xb_2d))^3/3-(((B_t+t_s)/1000)+xa_2d)*(MIN(B_m,xb_2d))^2/2+((B_t+t_s)/1000)*xa_2d*(MIN(B_m,xb_2d))))-(pa_2d*((MAX(((B_t+t_s)/1000),xa_2d))^2/2-((B_t+t_s)/1000)*(MAX(((B_t+t_s)/1000),xa_2d)))+kp_2d*((MAX(((B_t+t_s)/1000),xa_2d))^3/3-(((B_t+t_s)/1000)+xa_2d)*(MAX(((B_t+t_s)/1000),xa_2d))^2/2+((B_t+t_s)/1000)*xa_2d*(MAX(((B_t+t_s)/1000),xa_2d)))),0)),0)</f>
        <v/>
      </c>
      <c r="F199" s="28" t="inlineStr">
        <is>
          <t>kNm/m</t>
        </is>
      </c>
      <c r="G199" s="23" t="n"/>
    </row>
    <row r="200" ht="17" customHeight="1">
      <c r="B200" s="23" t="n"/>
      <c r="C200" s="24" t="inlineStr">
        <is>
          <t>Case 2d: heel shear at the stem</t>
        </is>
      </c>
      <c r="D200" s="27" t="inlineStr">
        <is>
          <r>
            <rPr>
              <rFont val="Calibri"/>
              <i val="1"/>
              <color rgb="002B2B2B"/>
              <sz val="10"/>
            </rPr>
            <t>V</t>
          </r>
          <r>
            <rPr>
              <rFont val="Calibri"/>
              <i val="1"/>
              <color rgb="002B2B2B"/>
              <sz val="10"/>
              <vertAlign val="subscript"/>
            </rPr>
            <t>he2d</t>
          </r>
        </is>
      </c>
      <c r="E200" s="42">
        <f>IF(ok_2d,(1.0*(W_so+W_hl)+1.3*q_k*Bh_m)-(IF(MIN(B_m,xb_2d)&gt;MAX(((B_t+t_s)/1000),xa_2d),(pa_2d*(MIN(B_m,xb_2d))+kp_2d*((MIN(B_m,xb_2d))^2/2-xa_2d*(MIN(B_m,xb_2d))))-(pa_2d*(MAX(((B_t+t_s)/1000),xa_2d))+kp_2d*((MAX(((B_t+t_s)/1000),xa_2d))^2/2-xa_2d*(MAX(((B_t+t_s)/1000),xa_2d)))),0)),0)</f>
        <v/>
      </c>
      <c r="F200" s="28" t="inlineStr">
        <is>
          <t>kN/m</t>
        </is>
      </c>
      <c r="G200" s="23" t="n"/>
    </row>
    <row r="201" ht="17" customHeight="1">
      <c r="B201" s="23" t="n"/>
      <c r="C201" s="24" t="inlineStr">
        <is>
          <t>Case 2d: toe moment at the stem  (+ tension at the bottom)</t>
        </is>
      </c>
      <c r="D201" s="27" t="inlineStr">
        <is>
          <r>
            <rPr>
              <rFont val="Calibri"/>
              <i val="1"/>
              <color rgb="002B2B2B"/>
              <sz val="10"/>
            </rPr>
            <t>M</t>
          </r>
          <r>
            <rPr>
              <rFont val="Calibri"/>
              <i val="1"/>
              <color rgb="002B2B2B"/>
              <sz val="10"/>
              <vertAlign val="subscript"/>
            </rPr>
            <t>to2d</t>
          </r>
        </is>
      </c>
      <c r="E201" s="42">
        <f>IF(ok_2d,-(IF(MIN((B_t/1000),xb_2d)&gt;MAX(0,xa_2d),(pa_2d*((MIN((B_t/1000),xb_2d))^2/2-(B_t/1000)*(MIN((B_t/1000),xb_2d)))+kp_2d*((MIN((B_t/1000),xb_2d))^3/3-((B_t/1000)+xa_2d)*(MIN((B_t/1000),xb_2d))^2/2+(B_t/1000)*xa_2d*(MIN((B_t/1000),xb_2d))))-(pa_2d*((MAX(0,xa_2d))^2/2-(B_t/1000)*(MAX(0,xa_2d)))+kp_2d*((MAX(0,xa_2d))^3/3-((B_t/1000)+xa_2d)*(MAX(0,xa_2d))^2/2+(B_t/1000)*xa_2d*(MAX(0,xa_2d)))),0))-1.0*(W_tl+W_fr)*(B_t/1000)/2,0)</f>
        <v/>
      </c>
      <c r="F201" s="28" t="inlineStr">
        <is>
          <t>kNm/m</t>
        </is>
      </c>
      <c r="G201" s="23" t="n"/>
    </row>
    <row r="202" ht="17" customHeight="1">
      <c r="B202" s="23" t="n"/>
      <c r="C202" s="24" t="inlineStr">
        <is>
          <t>Case 2d: toe shear at the stem</t>
        </is>
      </c>
      <c r="D202" s="27" t="inlineStr">
        <is>
          <r>
            <rPr>
              <rFont val="Calibri"/>
              <i val="1"/>
              <color rgb="002B2B2B"/>
              <sz val="10"/>
            </rPr>
            <t>V</t>
          </r>
          <r>
            <rPr>
              <rFont val="Calibri"/>
              <i val="1"/>
              <color rgb="002B2B2B"/>
              <sz val="10"/>
              <vertAlign val="subscript"/>
            </rPr>
            <t>to2d</t>
          </r>
        </is>
      </c>
      <c r="E202" s="42">
        <f>IF(ok_2d,(IF(MIN((B_t/1000),xb_2d)&gt;MAX(0,xa_2d),(pa_2d*(MIN((B_t/1000),xb_2d))+kp_2d*((MIN((B_t/1000),xb_2d))^2/2-xa_2d*(MIN((B_t/1000),xb_2d))))-(pa_2d*(MAX(0,xa_2d))+kp_2d*((MAX(0,xa_2d))^2/2-xa_2d*(MAX(0,xa_2d)))),0))-1.0*(W_tl+W_fr),0)</f>
        <v/>
      </c>
      <c r="F202" s="28" t="inlineStr">
        <is>
          <t>kN/m</t>
        </is>
      </c>
      <c r="G202" s="23" t="n"/>
    </row>
    <row r="203" ht="17" customHeight="1">
      <c r="B203" s="26" t="inlineStr">
        <is>
          <t>6.5.2</t>
        </is>
      </c>
      <c r="C203" s="24" t="inlineStr">
        <is>
          <t>Case 1a: bearing  V ≤ Rv</t>
        </is>
      </c>
      <c r="D203" s="27" t="inlineStr">
        <is>
          <r>
            <rPr>
              <rFont val="Calibri"/>
              <i val="1"/>
              <color rgb="002B2B2B"/>
              <sz val="10"/>
            </rPr>
            <t>V</t>
          </r>
        </is>
      </c>
      <c r="E203" s="42">
        <f>V_1a</f>
        <v/>
      </c>
      <c r="F203" s="28" t="inlineStr">
        <is>
          <t>kN/m</t>
        </is>
      </c>
      <c r="G203" s="30">
        <f>IF(NOT(inputs_ok),"FAIL",IF(OR(NOT(TRUE),u_1a&lt;=1),"OK","FAIL"))</f>
        <v/>
      </c>
    </row>
    <row r="204" ht="17" customHeight="1">
      <c r="B204" s="26" t="inlineStr">
        <is>
          <t>6.5.2</t>
        </is>
      </c>
      <c r="C204" s="24" t="inlineStr">
        <is>
          <t>Case 1b: bearing  V ≤ Rv</t>
        </is>
      </c>
      <c r="D204" s="27" t="inlineStr">
        <is>
          <r>
            <rPr>
              <rFont val="Calibri"/>
              <i val="1"/>
              <color rgb="002B2B2B"/>
              <sz val="10"/>
            </rPr>
            <t>V</t>
          </r>
        </is>
      </c>
      <c r="E204" s="42">
        <f>V_1b</f>
        <v/>
      </c>
      <c r="F204" s="28" t="inlineStr">
        <is>
          <t>kN/m</t>
        </is>
      </c>
      <c r="G204" s="30">
        <f>IF(NOT(inputs_ok),"FAIL",IF(OR(NOT(TRUE),u_1b&lt;=1),"OK","FAIL"))</f>
        <v/>
      </c>
    </row>
    <row r="205" ht="17" customHeight="1">
      <c r="B205" s="26" t="inlineStr">
        <is>
          <t>6.5.2</t>
        </is>
      </c>
      <c r="C205" s="24" t="inlineStr">
        <is>
          <t>Case 1c: bearing  V ≤ Rv</t>
        </is>
      </c>
      <c r="D205" s="27" t="inlineStr">
        <is>
          <r>
            <rPr>
              <rFont val="Calibri"/>
              <i val="1"/>
              <color rgb="002B2B2B"/>
              <sz val="10"/>
            </rPr>
            <t>V</t>
          </r>
        </is>
      </c>
      <c r="E205" s="42">
        <f>V_1c</f>
        <v/>
      </c>
      <c r="F205" s="28" t="inlineStr">
        <is>
          <t>kN/m</t>
        </is>
      </c>
      <c r="G205" s="30">
        <f>IF(NOT(inputs_ok),"FAIL",IF(OR(NOT(TRUE),u_1c&lt;=1),"OK","FAIL"))</f>
        <v/>
      </c>
    </row>
    <row r="206" ht="17" customHeight="1">
      <c r="B206" s="26" t="inlineStr">
        <is>
          <t>6.5.2</t>
        </is>
      </c>
      <c r="C206" s="24" t="inlineStr">
        <is>
          <t>Case 1d: bearing  V ≤ Rv</t>
        </is>
      </c>
      <c r="D206" s="27" t="inlineStr">
        <is>
          <r>
            <rPr>
              <rFont val="Calibri"/>
              <i val="1"/>
              <color rgb="002B2B2B"/>
              <sz val="10"/>
            </rPr>
            <t>V</t>
          </r>
        </is>
      </c>
      <c r="E206" s="42">
        <f>V_1d</f>
        <v/>
      </c>
      <c r="F206" s="28" t="inlineStr">
        <is>
          <t>kN/m</t>
        </is>
      </c>
      <c r="G206" s="30">
        <f>IF(NOT(inputs_ok),"FAIL",IF(OR(NOT(TRUE),u_1d&lt;=1),"OK","FAIL"))</f>
        <v/>
      </c>
    </row>
    <row r="207" ht="17" customHeight="1">
      <c r="B207" s="26" t="inlineStr">
        <is>
          <t>6.5.2</t>
        </is>
      </c>
      <c r="C207" s="24" t="inlineStr">
        <is>
          <t>Case 2a: bearing  V ≤ Rv</t>
        </is>
      </c>
      <c r="D207" s="27" t="inlineStr">
        <is>
          <r>
            <rPr>
              <rFont val="Calibri"/>
              <i val="1"/>
              <color rgb="002B2B2B"/>
              <sz val="10"/>
            </rPr>
            <t>V</t>
          </r>
        </is>
      </c>
      <c r="E207" s="42">
        <f>V_2a</f>
        <v/>
      </c>
      <c r="F207" s="28" t="inlineStr">
        <is>
          <t>kN/m</t>
        </is>
      </c>
      <c r="G207" s="30">
        <f>IF(NOT(inputs_ok),"FAIL",IF(OR(NOT(n_sets=2),u_2a&lt;=1),"OK","FAIL"))</f>
        <v/>
      </c>
    </row>
    <row r="208" ht="17" customHeight="1">
      <c r="B208" s="26" t="inlineStr">
        <is>
          <t>6.5.2</t>
        </is>
      </c>
      <c r="C208" s="24" t="inlineStr">
        <is>
          <t>Case 2b: bearing  V ≤ Rv</t>
        </is>
      </c>
      <c r="D208" s="27" t="inlineStr">
        <is>
          <r>
            <rPr>
              <rFont val="Calibri"/>
              <i val="1"/>
              <color rgb="002B2B2B"/>
              <sz val="10"/>
            </rPr>
            <t>V</t>
          </r>
        </is>
      </c>
      <c r="E208" s="42">
        <f>V_2b</f>
        <v/>
      </c>
      <c r="F208" s="28" t="inlineStr">
        <is>
          <t>kN/m</t>
        </is>
      </c>
      <c r="G208" s="30">
        <f>IF(NOT(inputs_ok),"FAIL",IF(OR(NOT(n_sets=2),u_2b&lt;=1),"OK","FAIL"))</f>
        <v/>
      </c>
    </row>
    <row r="209" ht="17" customHeight="1">
      <c r="B209" s="26" t="inlineStr">
        <is>
          <t>6.5.2</t>
        </is>
      </c>
      <c r="C209" s="24" t="inlineStr">
        <is>
          <t>Case 2c: bearing  V ≤ Rv</t>
        </is>
      </c>
      <c r="D209" s="27" t="inlineStr">
        <is>
          <r>
            <rPr>
              <rFont val="Calibri"/>
              <i val="1"/>
              <color rgb="002B2B2B"/>
              <sz val="10"/>
            </rPr>
            <t>V</t>
          </r>
        </is>
      </c>
      <c r="E209" s="42">
        <f>V_2c</f>
        <v/>
      </c>
      <c r="F209" s="28" t="inlineStr">
        <is>
          <t>kN/m</t>
        </is>
      </c>
      <c r="G209" s="30">
        <f>IF(NOT(inputs_ok),"FAIL",IF(OR(NOT(n_sets=2),u_2c&lt;=1),"OK","FAIL"))</f>
        <v/>
      </c>
    </row>
    <row r="210" ht="17" customHeight="1">
      <c r="B210" s="26" t="inlineStr">
        <is>
          <t>6.5.2</t>
        </is>
      </c>
      <c r="C210" s="24" t="inlineStr">
        <is>
          <t>Case 2d: bearing  V ≤ Rv</t>
        </is>
      </c>
      <c r="D210" s="27" t="inlineStr">
        <is>
          <r>
            <rPr>
              <rFont val="Calibri"/>
              <i val="1"/>
              <color rgb="002B2B2B"/>
              <sz val="10"/>
            </rPr>
            <t>V</t>
          </r>
        </is>
      </c>
      <c r="E210" s="42">
        <f>V_2d</f>
        <v/>
      </c>
      <c r="F210" s="28" t="inlineStr">
        <is>
          <t>kN/m</t>
        </is>
      </c>
      <c r="G210" s="30">
        <f>IF(NOT(inputs_ok),"FAIL",IF(OR(NOT(n_sets=2),u_2d&lt;=1),"OK","FAIL"))</f>
        <v/>
      </c>
    </row>
    <row r="212" ht="22" customHeight="1">
      <c r="B212" s="20" t="inlineStr">
        <is>
          <t>Calculation  ·  EN 1992-1-1  (STR)</t>
        </is>
      </c>
      <c r="C212" s="21" t="n"/>
      <c r="D212" s="21" t="n"/>
      <c r="E212" s="21" t="n"/>
      <c r="F212" s="21" t="n"/>
      <c r="G212" s="21" t="n"/>
    </row>
    <row r="213" ht="17" customHeight="1">
      <c r="B213" s="26" t="inlineStr">
        <is>
          <t>2.4.2.4(1)</t>
        </is>
      </c>
      <c r="C213" s="24" t="inlineStr">
        <is>
          <t>Partial factor, concrete</t>
        </is>
      </c>
      <c r="D213" s="27" t="inlineStr">
        <is>
          <r>
            <rPr>
              <rFont val="Calibri"/>
              <i val="1"/>
              <color rgb="002B2B2B"/>
              <sz val="10"/>
            </rPr>
            <t>γ</t>
          </r>
          <r>
            <rPr>
              <rFont val="Calibri"/>
              <i val="1"/>
              <color rgb="002B2B2B"/>
              <sz val="10"/>
              <vertAlign val="subscript"/>
            </rPr>
            <t>c</t>
          </r>
        </is>
      </c>
      <c r="E213" s="43">
        <f>ndp_gamma_c</f>
        <v/>
      </c>
      <c r="F213" s="23" t="n"/>
      <c r="G213" s="26" t="inlineStr">
        <is>
          <t>NDP sheet</t>
        </is>
      </c>
    </row>
    <row r="214" ht="17" customHeight="1">
      <c r="B214" s="26" t="inlineStr">
        <is>
          <t>2.4.2.4(1)</t>
        </is>
      </c>
      <c r="C214" s="24" t="inlineStr">
        <is>
          <t>Partial factor, reinforcement</t>
        </is>
      </c>
      <c r="D214" s="27" t="inlineStr">
        <is>
          <r>
            <rPr>
              <rFont val="Calibri"/>
              <i val="1"/>
              <color rgb="002B2B2B"/>
              <sz val="10"/>
            </rPr>
            <t>γ</t>
          </r>
          <r>
            <rPr>
              <rFont val="Calibri"/>
              <i val="1"/>
              <color rgb="002B2B2B"/>
              <sz val="10"/>
              <vertAlign val="subscript"/>
            </rPr>
            <t>s</t>
          </r>
        </is>
      </c>
      <c r="E214" s="43">
        <f>ndp_gamma_s</f>
        <v/>
      </c>
      <c r="F214" s="23" t="n"/>
      <c r="G214" s="26" t="inlineStr">
        <is>
          <t>NDP sheet</t>
        </is>
      </c>
    </row>
    <row r="215" ht="17" customHeight="1">
      <c r="B215" s="26" t="inlineStr">
        <is>
          <t>3.1.6(1)</t>
        </is>
      </c>
      <c r="C215" s="24" t="inlineStr">
        <is>
          <t>Coefficient on compressive strength (flexure)</t>
        </is>
      </c>
      <c r="D215" s="27" t="inlineStr">
        <is>
          <r>
            <rPr>
              <rFont val="Calibri"/>
              <i val="1"/>
              <color rgb="002B2B2B"/>
              <sz val="10"/>
            </rPr>
            <t>α</t>
          </r>
          <r>
            <rPr>
              <rFont val="Calibri"/>
              <i val="1"/>
              <color rgb="002B2B2B"/>
              <sz val="10"/>
              <vertAlign val="subscript"/>
            </rPr>
            <t>cc</t>
          </r>
        </is>
      </c>
      <c r="E215" s="43">
        <f>ndp_alpha_cc</f>
        <v/>
      </c>
      <c r="F215" s="23" t="n"/>
      <c r="G215" s="26" t="inlineStr">
        <is>
          <t>NDP sheet</t>
        </is>
      </c>
    </row>
    <row r="216" ht="17" customHeight="1">
      <c r="B216" s="26" t="inlineStr">
        <is>
          <t>6.2.2(1), 6.4.4(1)</t>
        </is>
      </c>
      <c r="C216" s="24" t="inlineStr">
        <is>
          <t>Coefficient  0.18 / γc</t>
        </is>
      </c>
      <c r="D216" s="27" t="inlineStr">
        <is>
          <r>
            <rPr>
              <rFont val="Calibri"/>
              <i val="1"/>
              <color rgb="002B2B2B"/>
              <sz val="10"/>
            </rPr>
            <t>C</t>
          </r>
          <r>
            <rPr>
              <rFont val="Calibri"/>
              <i val="1"/>
              <color rgb="002B2B2B"/>
              <sz val="10"/>
              <vertAlign val="subscript"/>
            </rPr>
            <t>Rd,c</t>
          </r>
        </is>
      </c>
      <c r="E216" s="41">
        <f>ndp_C_Rdc/ndp_gamma_c</f>
        <v/>
      </c>
      <c r="F216" s="23" t="n"/>
      <c r="G216" s="26" t="inlineStr">
        <is>
          <t>NDP sheet</t>
        </is>
      </c>
    </row>
    <row r="217" ht="17" customHeight="1">
      <c r="B217" s="26" t="inlineStr">
        <is>
          <t>Table 3.1</t>
        </is>
      </c>
      <c r="C217" s="24" t="inlineStr">
        <is>
          <t>Characteristic cylinder strength</t>
        </is>
      </c>
      <c r="D217" s="27" t="inlineStr">
        <is>
          <r>
            <rPr>
              <rFont val="Calibri"/>
              <i val="1"/>
              <color rgb="002B2B2B"/>
              <sz val="10"/>
            </rPr>
            <t>f</t>
          </r>
          <r>
            <rPr>
              <rFont val="Calibri"/>
              <i val="1"/>
              <color rgb="002B2B2B"/>
              <sz val="10"/>
              <vertAlign val="subscript"/>
            </rPr>
            <t>ck</t>
          </r>
        </is>
      </c>
      <c r="E217" s="40">
        <f>VALUE(MID(conc_class,2,FIND("/",conc_class)-2))</f>
        <v/>
      </c>
      <c r="F217" s="28" t="inlineStr">
        <is>
          <t>MPa</t>
        </is>
      </c>
      <c r="G217" s="23" t="n"/>
    </row>
    <row r="218" ht="17" customHeight="1">
      <c r="B218" s="26" t="inlineStr">
        <is>
          <t>Table 3.1</t>
        </is>
      </c>
      <c r="C218" s="24" t="inlineStr">
        <is>
          <t>Mean tensile strength</t>
        </is>
      </c>
      <c r="D218" s="27" t="inlineStr">
        <is>
          <r>
            <rPr>
              <rFont val="Calibri"/>
              <i val="1"/>
              <color rgb="002B2B2B"/>
              <sz val="10"/>
            </rPr>
            <t>f</t>
          </r>
          <r>
            <rPr>
              <rFont val="Calibri"/>
              <i val="1"/>
              <color rgb="002B2B2B"/>
              <sz val="10"/>
              <vertAlign val="subscript"/>
            </rPr>
            <t>ctm</t>
          </r>
        </is>
      </c>
      <c r="E218" s="43">
        <f>IF(f_ck&lt;=50,0.3*f_ck^(2/3),2.12*LN(1+(f_ck+8)/10))</f>
        <v/>
      </c>
      <c r="F218" s="28" t="inlineStr">
        <is>
          <t>MPa</t>
        </is>
      </c>
      <c r="G218" s="23" t="n"/>
    </row>
    <row r="219" ht="17" customHeight="1">
      <c r="B219" s="26" t="inlineStr">
        <is>
          <t>3.1.6(1)</t>
        </is>
      </c>
      <c r="C219" s="24" t="inlineStr">
        <is>
          <t>Design compressive strength  αcc fck / γc</t>
        </is>
      </c>
      <c r="D219" s="27" t="inlineStr">
        <is>
          <r>
            <rPr>
              <rFont val="Calibri"/>
              <i val="1"/>
              <color rgb="002B2B2B"/>
              <sz val="10"/>
            </rPr>
            <t>f</t>
          </r>
          <r>
            <rPr>
              <rFont val="Calibri"/>
              <i val="1"/>
              <color rgb="002B2B2B"/>
              <sz val="10"/>
              <vertAlign val="subscript"/>
            </rPr>
            <t>cd</t>
          </r>
        </is>
      </c>
      <c r="E219" s="43">
        <f>alpha_cc*f_ck/gamma_c</f>
        <v/>
      </c>
      <c r="F219" s="28" t="inlineStr">
        <is>
          <t>MPa</t>
        </is>
      </c>
      <c r="G219" s="23" t="n"/>
    </row>
    <row r="220" ht="17" customHeight="1">
      <c r="B220" s="26" t="inlineStr">
        <is>
          <t>3.2.7</t>
        </is>
      </c>
      <c r="C220" s="24" t="inlineStr">
        <is>
          <t>Design yield strength</t>
        </is>
      </c>
      <c r="D220" s="27" t="inlineStr">
        <is>
          <r>
            <rPr>
              <rFont val="Calibri"/>
              <i val="1"/>
              <color rgb="002B2B2B"/>
              <sz val="10"/>
            </rPr>
            <t>f</t>
          </r>
          <r>
            <rPr>
              <rFont val="Calibri"/>
              <i val="1"/>
              <color rgb="002B2B2B"/>
              <sz val="10"/>
              <vertAlign val="subscript"/>
            </rPr>
            <t>yd</t>
          </r>
        </is>
      </c>
      <c r="E220" s="42">
        <f>f_yk/gamma_s</f>
        <v/>
      </c>
      <c r="F220" s="28" t="inlineStr">
        <is>
          <t>MPa</t>
        </is>
      </c>
      <c r="G220" s="23" t="n"/>
    </row>
    <row r="221" ht="17" customHeight="1">
      <c r="B221" s="26" t="inlineStr">
        <is>
          <t>5.6.3</t>
        </is>
      </c>
      <c r="C221" s="24" t="inlineStr">
        <is>
          <t>Limit on K without compression bars  (ξ ≤ 0.45)</t>
        </is>
      </c>
      <c r="D221" s="27" t="inlineStr">
        <is>
          <r>
            <rPr>
              <rFont val="Calibri"/>
              <i val="1"/>
              <color rgb="002B2B2B"/>
              <sz val="10"/>
            </rPr>
            <t>K'</t>
          </r>
        </is>
      </c>
      <c r="E221" s="41">
        <f>alpha_cc/gamma_c*0.8*0.45*(1-0.4*0.45)</f>
        <v/>
      </c>
      <c r="F221" s="23" t="n"/>
      <c r="G221" s="23" t="n"/>
    </row>
    <row r="222" ht="17" customHeight="1">
      <c r="B222" s="26" t="inlineStr">
        <is>
          <t>8.2(2)</t>
        </is>
      </c>
      <c r="C222" s="24" t="inlineStr">
        <is>
          <t>Minimum clear gap  max(φ; dg + 5; 20)</t>
        </is>
      </c>
      <c r="D222" s="27" t="inlineStr">
        <is>
          <r>
            <rPr>
              <rFont val="Calibri"/>
              <i val="1"/>
              <color rgb="002B2B2B"/>
              <sz val="10"/>
            </rPr>
            <t>a</t>
          </r>
          <r>
            <rPr>
              <rFont val="Calibri"/>
              <i val="1"/>
              <color rgb="002B2B2B"/>
              <sz val="10"/>
              <vertAlign val="subscript"/>
            </rPr>
            <t>min</t>
          </r>
        </is>
      </c>
      <c r="E222" s="40">
        <f>MAX(phi_st,phi_he,phi_to,d_g+5,20)</f>
        <v/>
      </c>
      <c r="F222" s="28" t="inlineStr">
        <is>
          <t>mm</t>
        </is>
      </c>
      <c r="G222" s="23" t="n"/>
    </row>
    <row r="223" ht="17" customHeight="1">
      <c r="B223" s="23" t="n"/>
      <c r="C223" s="24" t="inlineStr">
        <is>
          <t>Stem: moment at the base  γG K γ Hs³/6 + γQ K q Hs²/2  (worst set)</t>
        </is>
      </c>
      <c r="D223" s="27" t="inlineStr">
        <is>
          <r>
            <rPr>
              <rFont val="Calibri"/>
              <i val="1"/>
              <color rgb="002B2B2B"/>
              <sz val="10"/>
            </rPr>
            <t>M</t>
          </r>
          <r>
            <rPr>
              <rFont val="Calibri"/>
              <i val="1"/>
              <color rgb="002B2B2B"/>
              <sz val="10"/>
              <vertAlign val="subscript"/>
            </rPr>
            <t>st</t>
          </r>
        </is>
      </c>
      <c r="E223" s="45">
        <f>MAX(Mst_1,IF(n_sets=2,Mst_2,0))</f>
        <v/>
      </c>
      <c r="F223" s="28" t="inlineStr">
        <is>
          <t>kNm/m</t>
        </is>
      </c>
      <c r="G223" s="23" t="n"/>
    </row>
    <row r="224" ht="17" customHeight="1">
      <c r="B224" s="23" t="n"/>
      <c r="C224" s="24" t="inlineStr">
        <is>
          <t>Stem: shear at the base</t>
        </is>
      </c>
      <c r="D224" s="27" t="inlineStr">
        <is>
          <r>
            <rPr>
              <rFont val="Calibri"/>
              <i val="1"/>
              <color rgb="002B2B2B"/>
              <sz val="10"/>
            </rPr>
            <t>V</t>
          </r>
          <r>
            <rPr>
              <rFont val="Calibri"/>
              <i val="1"/>
              <color rgb="002B2B2B"/>
              <sz val="10"/>
              <vertAlign val="subscript"/>
            </rPr>
            <t>st</t>
          </r>
        </is>
      </c>
      <c r="E224" s="42">
        <f>MAX(Vst_1,IF(n_sets=2,Vst_2,0))</f>
        <v/>
      </c>
      <c r="F224" s="28" t="inlineStr">
        <is>
          <t>kN/m</t>
        </is>
      </c>
      <c r="G224" s="23" t="n"/>
    </row>
    <row r="225" ht="17" customHeight="1">
      <c r="B225" s="23" t="n"/>
      <c r="C225" s="24" t="inlineStr">
        <is>
          <t>Stem: effective depth  t − c − φ/2</t>
        </is>
      </c>
      <c r="D225" s="27" t="inlineStr">
        <is>
          <r>
            <rPr>
              <rFont val="Calibri"/>
              <i val="1"/>
              <color rgb="002B2B2B"/>
              <sz val="10"/>
            </rPr>
            <t>d</t>
          </r>
        </is>
      </c>
      <c r="E225" s="40">
        <f>t_s-c_nom-phi_st/2</f>
        <v/>
      </c>
      <c r="F225" s="28" t="inlineStr">
        <is>
          <t>mm</t>
        </is>
      </c>
      <c r="G225" s="23" t="n"/>
    </row>
    <row r="226" ht="17" customHeight="1">
      <c r="B226" s="23" t="n"/>
      <c r="C226" s="24" t="inlineStr">
        <is>
          <t>Stem: K = M / (b d² fck)</t>
        </is>
      </c>
      <c r="D226" s="27" t="inlineStr">
        <is>
          <r>
            <rPr>
              <rFont val="Calibri"/>
              <i val="1"/>
              <color rgb="002B2B2B"/>
              <sz val="10"/>
            </rPr>
            <t>K</t>
          </r>
        </is>
      </c>
      <c r="E226" s="41">
        <f>MAX(0,M_st)*1E6/(1000*d_st^2*f_ck)</f>
        <v/>
      </c>
      <c r="F226" s="23" t="n"/>
      <c r="G226" s="23" t="n"/>
    </row>
    <row r="227" ht="17" customHeight="1">
      <c r="B227" s="26" t="inlineStr">
        <is>
          <t>3.1.7(3)</t>
        </is>
      </c>
      <c r="C227" s="24" t="inlineStr">
        <is>
          <t>Stem: lever arm  d (1 − 0.4ξ) ≤ 0.95 d</t>
        </is>
      </c>
      <c r="D227" s="27" t="inlineStr">
        <is>
          <r>
            <rPr>
              <rFont val="Calibri"/>
              <i val="1"/>
              <color rgb="002B2B2B"/>
              <sz val="10"/>
            </rPr>
            <t>z</t>
          </r>
        </is>
      </c>
      <c r="E227" s="40">
        <f>IF(K_st&lt;=K_lw,MIN(0.95*d_st,d_st*(1-0.5*(1-SQRT(1-2*K_st/(alpha_cc/gamma_c))))),NA())</f>
        <v/>
      </c>
      <c r="F227" s="28" t="inlineStr">
        <is>
          <t>mm</t>
        </is>
      </c>
      <c r="G227" s="23" t="n"/>
    </row>
    <row r="228" ht="17" customHeight="1">
      <c r="B228" s="23" t="n"/>
      <c r="C228" s="24" t="inlineStr">
        <is>
          <t>Stem: As required  M / (fyd z)</t>
        </is>
      </c>
      <c r="D228" s="27" t="inlineStr">
        <is>
          <r>
            <rPr>
              <rFont val="Calibri"/>
              <i val="1"/>
              <color rgb="002B2B2B"/>
              <sz val="10"/>
            </rPr>
            <t>A</t>
          </r>
          <r>
            <rPr>
              <rFont val="Calibri"/>
              <i val="1"/>
              <color rgb="002B2B2B"/>
              <sz val="10"/>
              <vertAlign val="subscript"/>
            </rPr>
            <t>s,req</t>
          </r>
        </is>
      </c>
      <c r="E228" s="40">
        <f>MAX(0,M_st)*1E6/(f_yd*z_st)</f>
        <v/>
      </c>
      <c r="F228" s="28" t="inlineStr">
        <is>
          <t>mm²/m</t>
        </is>
      </c>
      <c r="G228" s="23" t="n"/>
    </row>
    <row r="229" ht="17" customHeight="1">
      <c r="B229" s="26" t="inlineStr">
        <is>
          <t>(9.1N)</t>
        </is>
      </c>
      <c r="C229" s="24" t="inlineStr">
        <is>
          <t>Stem: As,min  max(0.26 fctm/fyk; 0.0013) b d</t>
        </is>
      </c>
      <c r="D229" s="27" t="inlineStr">
        <is>
          <r>
            <rPr>
              <rFont val="Calibri"/>
              <i val="1"/>
              <color rgb="002B2B2B"/>
              <sz val="10"/>
            </rPr>
            <t>A</t>
          </r>
          <r>
            <rPr>
              <rFont val="Calibri"/>
              <i val="1"/>
              <color rgb="002B2B2B"/>
              <sz val="10"/>
              <vertAlign val="subscript"/>
            </rPr>
            <t>s,min</t>
          </r>
        </is>
      </c>
      <c r="E229" s="40">
        <f>MAX(0.26*f_ctm/f_yk,0.0013)*1000*d_st</f>
        <v/>
      </c>
      <c r="F229" s="28" t="inlineStr">
        <is>
          <t>mm²/m</t>
        </is>
      </c>
      <c r="G229" s="23" t="n"/>
    </row>
    <row r="230" ht="17" customHeight="1">
      <c r="B230" s="23" t="n"/>
      <c r="C230" s="24" t="inlineStr">
        <is>
          <t>Stem: As provided  1000 π φ² / (4 s)  (rear face)</t>
        </is>
      </c>
      <c r="D230" s="27" t="inlineStr">
        <is>
          <r>
            <rPr>
              <rFont val="Calibri"/>
              <i val="1"/>
              <color rgb="002B2B2B"/>
              <sz val="10"/>
            </rPr>
            <t>A</t>
          </r>
          <r>
            <rPr>
              <rFont val="Calibri"/>
              <i val="1"/>
              <color rgb="002B2B2B"/>
              <sz val="10"/>
              <vertAlign val="subscript"/>
            </rPr>
            <t>s,prov</t>
          </r>
        </is>
      </c>
      <c r="E230" s="40">
        <f>1000*PI()*phi_st^2/4/s_st</f>
        <v/>
      </c>
      <c r="F230" s="28" t="inlineStr">
        <is>
          <t>mm²/m</t>
        </is>
      </c>
      <c r="G230" s="23" t="n"/>
    </row>
    <row r="231" ht="17" customHeight="1">
      <c r="B231" s="26" t="inlineStr">
        <is>
          <t>(6.2)</t>
        </is>
      </c>
      <c r="C231" s="24" t="inlineStr">
        <is>
          <t>Stem: VRd,c  (no links)</t>
        </is>
      </c>
      <c r="D231" s="27" t="inlineStr">
        <is>
          <r>
            <rPr>
              <rFont val="Calibri"/>
              <i val="1"/>
              <color rgb="002B2B2B"/>
              <sz val="10"/>
            </rPr>
            <t>V</t>
          </r>
          <r>
            <rPr>
              <rFont val="Calibri"/>
              <i val="1"/>
              <color rgb="002B2B2B"/>
              <sz val="10"/>
              <vertAlign val="subscript"/>
            </rPr>
            <t>Rd,c</t>
          </r>
        </is>
      </c>
      <c r="E231" s="42">
        <f>MAX(C_Rdc*MIN(2,1+SQRT(200/d_st))*(100*MIN(0.02,Asp_st/(1000*d_st))*f_ck)^(1/3),0.035*MIN(2,1+SQRT(200/d_st))^1.5*SQRT(f_ck))*d_st</f>
        <v/>
      </c>
      <c r="F231" s="28" t="inlineStr">
        <is>
          <t>kN/m</t>
        </is>
      </c>
      <c r="G231" s="23" t="n"/>
    </row>
    <row r="232" ht="17" customHeight="1">
      <c r="B232" s="26" t="inlineStr">
        <is>
          <t>9.6.1(1), 9.3.1.1(3)</t>
        </is>
      </c>
      <c r="C232" s="24" t="inlineStr">
        <is>
          <t>Stem: maximum bar spacing</t>
        </is>
      </c>
      <c r="D232" s="27" t="inlineStr">
        <is>
          <r>
            <rPr>
              <rFont val="Calibri"/>
              <i val="1"/>
              <color rgb="002B2B2B"/>
              <sz val="10"/>
            </rPr>
            <t>s</t>
          </r>
          <r>
            <rPr>
              <rFont val="Calibri"/>
              <i val="1"/>
              <color rgb="002B2B2B"/>
              <sz val="10"/>
              <vertAlign val="subscript"/>
            </rPr>
            <t>max</t>
          </r>
        </is>
      </c>
      <c r="E232" s="40">
        <f>MIN(2*t_s,250)</f>
        <v/>
      </c>
      <c r="F232" s="28" t="inlineStr">
        <is>
          <t>mm</t>
        </is>
      </c>
      <c r="G232" s="23" t="n"/>
    </row>
    <row r="233" ht="17" customHeight="1">
      <c r="B233" s="23" t="n"/>
      <c r="C233" s="24" t="inlineStr">
        <is>
          <t>Stem: bending  As,prov ≥ max(As,req; As,min)</t>
        </is>
      </c>
      <c r="D233" s="27" t="inlineStr">
        <is>
          <r>
            <rPr>
              <rFont val="Calibri"/>
              <i val="1"/>
              <color rgb="002B2B2B"/>
              <sz val="10"/>
            </rPr>
            <t>A</t>
          </r>
          <r>
            <rPr>
              <rFont val="Calibri"/>
              <i val="1"/>
              <color rgb="002B2B2B"/>
              <sz val="10"/>
              <vertAlign val="subscript"/>
            </rPr>
            <t>s</t>
          </r>
        </is>
      </c>
      <c r="E233" s="40">
        <f>Asp_st</f>
        <v/>
      </c>
      <c r="F233" s="28" t="inlineStr">
        <is>
          <t>mm²/m</t>
        </is>
      </c>
      <c r="G233" s="30">
        <f>IF(NOT(inputs_ok),"FAIL",IF(IFERROR(Asp_st&gt;=MAX(Asr_st,Asm_st),FALSE),"OK","FAIL"))</f>
        <v/>
      </c>
    </row>
    <row r="234" ht="17" customHeight="1">
      <c r="B234" s="26" t="inlineStr">
        <is>
          <t>(6.2)</t>
        </is>
      </c>
      <c r="C234" s="24" t="inlineStr">
        <is>
          <t>Stem: shear  VEd ≤ VRd,c</t>
        </is>
      </c>
      <c r="D234" s="27" t="inlineStr">
        <is>
          <r>
            <rPr>
              <rFont val="Calibri"/>
              <i val="1"/>
              <color rgb="002B2B2B"/>
              <sz val="10"/>
            </rPr>
            <t>V</t>
          </r>
          <r>
            <rPr>
              <rFont val="Calibri"/>
              <i val="1"/>
              <color rgb="002B2B2B"/>
              <sz val="10"/>
              <vertAlign val="subscript"/>
            </rPr>
            <t>Ed</t>
          </r>
        </is>
      </c>
      <c r="E234" s="42">
        <f>ABS(V_st)</f>
        <v/>
      </c>
      <c r="F234" s="28" t="inlineStr">
        <is>
          <t>kN/m</t>
        </is>
      </c>
      <c r="G234" s="30">
        <f>IF(NOT(inputs_ok),"FAIL",IF(ABS(V_st)&lt;=VRc_st,"OK","FAIL"))</f>
        <v/>
      </c>
    </row>
    <row r="235" ht="17" customHeight="1">
      <c r="B235" s="26" t="inlineStr">
        <is>
          <t>9.6.1(1), 9.3.1.1(3)</t>
        </is>
      </c>
      <c r="C235" s="24" t="inlineStr">
        <is>
          <t>Stem: spacing ≤ s_max, clear gap ≥ a_min, As ≤ 0.04 Ac</t>
        </is>
      </c>
      <c r="D235" s="27" t="inlineStr">
        <is>
          <r>
            <rPr>
              <rFont val="Calibri"/>
              <i val="1"/>
              <color rgb="002B2B2B"/>
              <sz val="10"/>
            </rPr>
            <t>s</t>
          </r>
        </is>
      </c>
      <c r="E235" s="40">
        <f>s_st</f>
        <v/>
      </c>
      <c r="F235" s="28" t="inlineStr">
        <is>
          <t>mm</t>
        </is>
      </c>
      <c r="G235" s="30">
        <f>IF(NOT(inputs_ok),"FAIL",IF(AND(s_st&lt;=smx_st,s_st-phi_st&gt;=gap_rw,Asp_st&lt;=0.04*1000*t_s),"OK","FAIL"))</f>
        <v/>
      </c>
    </row>
    <row r="236" ht="17" customHeight="1">
      <c r="B236" s="23" t="n"/>
      <c r="C236" s="24" t="inlineStr">
        <is>
          <t>Heel: largest moment, tension on top  (envelope)</t>
        </is>
      </c>
      <c r="D236" s="27" t="inlineStr">
        <is>
          <r>
            <rPr>
              <rFont val="Calibri"/>
              <i val="1"/>
              <color rgb="002B2B2B"/>
              <sz val="10"/>
            </rPr>
            <t>M</t>
          </r>
          <r>
            <rPr>
              <rFont val="Calibri"/>
              <i val="1"/>
              <color rgb="002B2B2B"/>
              <sz val="10"/>
              <vertAlign val="subscript"/>
            </rPr>
            <t>he</t>
          </r>
        </is>
      </c>
      <c r="E236" s="45">
        <f>MAX(0,MAX(IF(TRUE,Mhe_1a,-1E99),IF(TRUE,Mhe_1b,-1E99),IF(TRUE,Mhe_1c,-1E99),IF(TRUE,Mhe_1d,-1E99),IF(n_sets=2,Mhe_2a,-1E99),IF(n_sets=2,Mhe_2b,-1E99),IF(n_sets=2,Mhe_2c,-1E99),IF(n_sets=2,Mhe_2d,-1E99)))</f>
        <v/>
      </c>
      <c r="F236" s="28" t="inlineStr">
        <is>
          <t>kNm/m</t>
        </is>
      </c>
      <c r="G236" s="23" t="n"/>
    </row>
    <row r="237" ht="17" customHeight="1">
      <c r="B237" s="23" t="n"/>
      <c r="C237" s="24" t="inlineStr">
        <is>
          <t>Heel: largest reverse moment  (tension at the bottom)</t>
        </is>
      </c>
      <c r="D237" s="27" t="inlineStr">
        <is>
          <r>
            <rPr>
              <rFont val="Calibri"/>
              <i val="1"/>
              <color rgb="002B2B2B"/>
              <sz val="10"/>
            </rPr>
            <t>M</t>
          </r>
          <r>
            <rPr>
              <rFont val="Calibri"/>
              <i val="1"/>
              <color rgb="002B2B2B"/>
              <sz val="10"/>
              <vertAlign val="subscript"/>
            </rPr>
            <t>he,rev</t>
          </r>
        </is>
      </c>
      <c r="E237" s="42">
        <f>MIN(0,MIN(IF(TRUE,Mhe_1a,1E99),IF(TRUE,Mhe_1b,1E99),IF(TRUE,Mhe_1c,1E99),IF(TRUE,Mhe_1d,1E99),IF(n_sets=2,Mhe_2a,1E99),IF(n_sets=2,Mhe_2b,1E99),IF(n_sets=2,Mhe_2c,1E99),IF(n_sets=2,Mhe_2d,1E99)))</f>
        <v/>
      </c>
      <c r="F237" s="28" t="inlineStr">
        <is>
          <t>kNm/m</t>
        </is>
      </c>
      <c r="G237" s="23" t="n"/>
    </row>
    <row r="238" ht="17" customHeight="1">
      <c r="B238" s="23" t="n"/>
      <c r="C238" s="24" t="inlineStr">
        <is>
          <t>Heel: largest shear</t>
        </is>
      </c>
      <c r="D238" s="27" t="inlineStr">
        <is>
          <r>
            <rPr>
              <rFont val="Calibri"/>
              <i val="1"/>
              <color rgb="002B2B2B"/>
              <sz val="10"/>
            </rPr>
            <t>V</t>
          </r>
          <r>
            <rPr>
              <rFont val="Calibri"/>
              <i val="1"/>
              <color rgb="002B2B2B"/>
              <sz val="10"/>
              <vertAlign val="subscript"/>
            </rPr>
            <t>he</t>
          </r>
        </is>
      </c>
      <c r="E238" s="42">
        <f>MAX(MAX(IF(TRUE,Vhe_1a,-1E99),IF(TRUE,Vhe_1b,-1E99),IF(TRUE,Vhe_1c,-1E99),IF(TRUE,Vhe_1d,-1E99),IF(n_sets=2,Vhe_2a,-1E99),IF(n_sets=2,Vhe_2b,-1E99),IF(n_sets=2,Vhe_2c,-1E99),IF(n_sets=2,Vhe_2d,-1E99)),-MIN(IF(TRUE,Vhe_1a,1E99),IF(TRUE,Vhe_1b,1E99),IF(TRUE,Vhe_1c,1E99),IF(TRUE,Vhe_1d,1E99),IF(n_sets=2,Vhe_2a,1E99),IF(n_sets=2,Vhe_2b,1E99),IF(n_sets=2,Vhe_2c,1E99),IF(n_sets=2,Vhe_2d,1E99)))</f>
        <v/>
      </c>
      <c r="F238" s="28" t="inlineStr">
        <is>
          <t>kN/m</t>
        </is>
      </c>
      <c r="G238" s="23" t="n"/>
    </row>
    <row r="239" ht="17" customHeight="1">
      <c r="B239" s="23" t="n"/>
      <c r="C239" s="24" t="inlineStr">
        <is>
          <t>Heel: effective depth  t − c − φ/2</t>
        </is>
      </c>
      <c r="D239" s="27" t="inlineStr">
        <is>
          <r>
            <rPr>
              <rFont val="Calibri"/>
              <i val="1"/>
              <color rgb="002B2B2B"/>
              <sz val="10"/>
            </rPr>
            <t>d</t>
          </r>
        </is>
      </c>
      <c r="E239" s="40">
        <f>t_b-c_nom-phi_he/2</f>
        <v/>
      </c>
      <c r="F239" s="28" t="inlineStr">
        <is>
          <t>mm</t>
        </is>
      </c>
      <c r="G239" s="23" t="n"/>
    </row>
    <row r="240" ht="17" customHeight="1">
      <c r="B240" s="23" t="n"/>
      <c r="C240" s="24" t="inlineStr">
        <is>
          <t>Heel: K = M / (b d² fck)</t>
        </is>
      </c>
      <c r="D240" s="27" t="inlineStr">
        <is>
          <r>
            <rPr>
              <rFont val="Calibri"/>
              <i val="1"/>
              <color rgb="002B2B2B"/>
              <sz val="10"/>
            </rPr>
            <t>K</t>
          </r>
        </is>
      </c>
      <c r="E240" s="41">
        <f>MAX(0,M_he)*1E6/(1000*d_he^2*f_ck)</f>
        <v/>
      </c>
      <c r="F240" s="23" t="n"/>
      <c r="G240" s="23" t="n"/>
    </row>
    <row r="241" ht="17" customHeight="1">
      <c r="B241" s="26" t="inlineStr">
        <is>
          <t>3.1.7(3)</t>
        </is>
      </c>
      <c r="C241" s="24" t="inlineStr">
        <is>
          <t>Heel: lever arm  d (1 − 0.4ξ) ≤ 0.95 d</t>
        </is>
      </c>
      <c r="D241" s="27" t="inlineStr">
        <is>
          <r>
            <rPr>
              <rFont val="Calibri"/>
              <i val="1"/>
              <color rgb="002B2B2B"/>
              <sz val="10"/>
            </rPr>
            <t>z</t>
          </r>
        </is>
      </c>
      <c r="E241" s="40">
        <f>IF(K_he&lt;=K_lw,MIN(0.95*d_he,d_he*(1-0.5*(1-SQRT(1-2*K_he/(alpha_cc/gamma_c))))),NA())</f>
        <v/>
      </c>
      <c r="F241" s="28" t="inlineStr">
        <is>
          <t>mm</t>
        </is>
      </c>
      <c r="G241" s="23" t="n"/>
    </row>
    <row r="242" ht="17" customHeight="1">
      <c r="B242" s="23" t="n"/>
      <c r="C242" s="24" t="inlineStr">
        <is>
          <t>Heel: As required  M / (fyd z)</t>
        </is>
      </c>
      <c r="D242" s="27" t="inlineStr">
        <is>
          <r>
            <rPr>
              <rFont val="Calibri"/>
              <i val="1"/>
              <color rgb="002B2B2B"/>
              <sz val="10"/>
            </rPr>
            <t>A</t>
          </r>
          <r>
            <rPr>
              <rFont val="Calibri"/>
              <i val="1"/>
              <color rgb="002B2B2B"/>
              <sz val="10"/>
              <vertAlign val="subscript"/>
            </rPr>
            <t>s,req</t>
          </r>
        </is>
      </c>
      <c r="E242" s="40">
        <f>MAX(0,M_he)*1E6/(f_yd*z_he)</f>
        <v/>
      </c>
      <c r="F242" s="28" t="inlineStr">
        <is>
          <t>mm²/m</t>
        </is>
      </c>
      <c r="G242" s="23" t="n"/>
    </row>
    <row r="243" ht="17" customHeight="1">
      <c r="B243" s="26" t="inlineStr">
        <is>
          <t>(9.1N)</t>
        </is>
      </c>
      <c r="C243" s="24" t="inlineStr">
        <is>
          <t>Heel: As,min  max(0.26 fctm/fyk; 0.0013) b d</t>
        </is>
      </c>
      <c r="D243" s="27" t="inlineStr">
        <is>
          <r>
            <rPr>
              <rFont val="Calibri"/>
              <i val="1"/>
              <color rgb="002B2B2B"/>
              <sz val="10"/>
            </rPr>
            <t>A</t>
          </r>
          <r>
            <rPr>
              <rFont val="Calibri"/>
              <i val="1"/>
              <color rgb="002B2B2B"/>
              <sz val="10"/>
              <vertAlign val="subscript"/>
            </rPr>
            <t>s,min</t>
          </r>
        </is>
      </c>
      <c r="E243" s="40">
        <f>MAX(0.26*f_ctm/f_yk,0.0013)*1000*d_he</f>
        <v/>
      </c>
      <c r="F243" s="28" t="inlineStr">
        <is>
          <t>mm²/m</t>
        </is>
      </c>
      <c r="G243" s="23" t="n"/>
    </row>
    <row r="244" ht="17" customHeight="1">
      <c r="B244" s="23" t="n"/>
      <c r="C244" s="24" t="inlineStr">
        <is>
          <t>Heel: As provided  1000 π φ² / (4 s)  (top face)</t>
        </is>
      </c>
      <c r="D244" s="27" t="inlineStr">
        <is>
          <r>
            <rPr>
              <rFont val="Calibri"/>
              <i val="1"/>
              <color rgb="002B2B2B"/>
              <sz val="10"/>
            </rPr>
            <t>A</t>
          </r>
          <r>
            <rPr>
              <rFont val="Calibri"/>
              <i val="1"/>
              <color rgb="002B2B2B"/>
              <sz val="10"/>
              <vertAlign val="subscript"/>
            </rPr>
            <t>s,prov</t>
          </r>
        </is>
      </c>
      <c r="E244" s="40">
        <f>1000*PI()*phi_he^2/4/s_he</f>
        <v/>
      </c>
      <c r="F244" s="28" t="inlineStr">
        <is>
          <t>mm²/m</t>
        </is>
      </c>
      <c r="G244" s="23" t="n"/>
    </row>
    <row r="245" ht="17" customHeight="1">
      <c r="B245" s="26" t="inlineStr">
        <is>
          <t>(6.2)</t>
        </is>
      </c>
      <c r="C245" s="24" t="inlineStr">
        <is>
          <t>Heel: VRd,c  (no links)</t>
        </is>
      </c>
      <c r="D245" s="27" t="inlineStr">
        <is>
          <r>
            <rPr>
              <rFont val="Calibri"/>
              <i val="1"/>
              <color rgb="002B2B2B"/>
              <sz val="10"/>
            </rPr>
            <t>V</t>
          </r>
          <r>
            <rPr>
              <rFont val="Calibri"/>
              <i val="1"/>
              <color rgb="002B2B2B"/>
              <sz val="10"/>
              <vertAlign val="subscript"/>
            </rPr>
            <t>Rd,c</t>
          </r>
        </is>
      </c>
      <c r="E245" s="42">
        <f>MAX(C_Rdc*MIN(2,1+SQRT(200/d_he))*(100*MIN(0.02,Asp_he/(1000*d_he))*f_ck)^(1/3),0.035*MIN(2,1+SQRT(200/d_he))^1.5*SQRT(f_ck))*d_he</f>
        <v/>
      </c>
      <c r="F245" s="28" t="inlineStr">
        <is>
          <t>kN/m</t>
        </is>
      </c>
      <c r="G245" s="23" t="n"/>
    </row>
    <row r="246" ht="17" customHeight="1">
      <c r="B246" s="26" t="inlineStr">
        <is>
          <t>9.3.1.1(3)</t>
        </is>
      </c>
      <c r="C246" s="24" t="inlineStr">
        <is>
          <t>Heel: maximum bar spacing</t>
        </is>
      </c>
      <c r="D246" s="27" t="inlineStr">
        <is>
          <r>
            <rPr>
              <rFont val="Calibri"/>
              <i val="1"/>
              <color rgb="002B2B2B"/>
              <sz val="10"/>
            </rPr>
            <t>s</t>
          </r>
          <r>
            <rPr>
              <rFont val="Calibri"/>
              <i val="1"/>
              <color rgb="002B2B2B"/>
              <sz val="10"/>
              <vertAlign val="subscript"/>
            </rPr>
            <t>max</t>
          </r>
        </is>
      </c>
      <c r="E246" s="40">
        <f>MIN(2*t_b,250)</f>
        <v/>
      </c>
      <c r="F246" s="28" t="inlineStr">
        <is>
          <t>mm</t>
        </is>
      </c>
      <c r="G246" s="23" t="n"/>
    </row>
    <row r="247" ht="17" customHeight="1">
      <c r="B247" s="23" t="n"/>
      <c r="C247" s="24" t="inlineStr">
        <is>
          <t>Heel: bending  As,prov ≥ max(As,req; As,min)</t>
        </is>
      </c>
      <c r="D247" s="27" t="inlineStr">
        <is>
          <r>
            <rPr>
              <rFont val="Calibri"/>
              <i val="1"/>
              <color rgb="002B2B2B"/>
              <sz val="10"/>
            </rPr>
            <t>A</t>
          </r>
          <r>
            <rPr>
              <rFont val="Calibri"/>
              <i val="1"/>
              <color rgb="002B2B2B"/>
              <sz val="10"/>
              <vertAlign val="subscript"/>
            </rPr>
            <t>s</t>
          </r>
        </is>
      </c>
      <c r="E247" s="40">
        <f>Asp_he</f>
        <v/>
      </c>
      <c r="F247" s="28" t="inlineStr">
        <is>
          <t>mm²/m</t>
        </is>
      </c>
      <c r="G247" s="30">
        <f>IF(NOT(inputs_ok),"FAIL",IF(IFERROR(Asp_he&gt;=MAX(Asr_he,Asm_he),FALSE),"OK","FAIL"))</f>
        <v/>
      </c>
    </row>
    <row r="248" ht="17" customHeight="1">
      <c r="B248" s="26" t="inlineStr">
        <is>
          <t>(6.2)</t>
        </is>
      </c>
      <c r="C248" s="24" t="inlineStr">
        <is>
          <t>Heel: shear  VEd ≤ VRd,c</t>
        </is>
      </c>
      <c r="D248" s="27" t="inlineStr">
        <is>
          <r>
            <rPr>
              <rFont val="Calibri"/>
              <i val="1"/>
              <color rgb="002B2B2B"/>
              <sz val="10"/>
            </rPr>
            <t>V</t>
          </r>
          <r>
            <rPr>
              <rFont val="Calibri"/>
              <i val="1"/>
              <color rgb="002B2B2B"/>
              <sz val="10"/>
              <vertAlign val="subscript"/>
            </rPr>
            <t>Ed</t>
          </r>
        </is>
      </c>
      <c r="E248" s="42">
        <f>ABS(V_he)</f>
        <v/>
      </c>
      <c r="F248" s="28" t="inlineStr">
        <is>
          <t>kN/m</t>
        </is>
      </c>
      <c r="G248" s="30">
        <f>IF(NOT(inputs_ok),"FAIL",IF(ABS(V_he)&lt;=VRc_he,"OK","FAIL"))</f>
        <v/>
      </c>
    </row>
    <row r="249" ht="17" customHeight="1">
      <c r="B249" s="26" t="inlineStr">
        <is>
          <t>9.3.1.1(3)</t>
        </is>
      </c>
      <c r="C249" s="24" t="inlineStr">
        <is>
          <t>Heel: spacing ≤ s_max, clear gap ≥ a_min, As ≤ 0.04 Ac</t>
        </is>
      </c>
      <c r="D249" s="27" t="inlineStr">
        <is>
          <r>
            <rPr>
              <rFont val="Calibri"/>
              <i val="1"/>
              <color rgb="002B2B2B"/>
              <sz val="10"/>
            </rPr>
            <t>s</t>
          </r>
        </is>
      </c>
      <c r="E249" s="40">
        <f>s_he</f>
        <v/>
      </c>
      <c r="F249" s="28" t="inlineStr">
        <is>
          <t>mm</t>
        </is>
      </c>
      <c r="G249" s="30">
        <f>IF(NOT(inputs_ok),"FAIL",IF(AND(s_he&lt;=smx_he,s_he-phi_he&gt;=gap_rw,Asp_he&lt;=0.04*1000*t_b),"OK","FAIL"))</f>
        <v/>
      </c>
    </row>
    <row r="250" ht="17" customHeight="1">
      <c r="B250" s="23" t="n"/>
      <c r="C250" s="24" t="inlineStr">
        <is>
          <t>Toe: largest moment, tension at the bottom  (envelope)</t>
        </is>
      </c>
      <c r="D250" s="27" t="inlineStr">
        <is>
          <r>
            <rPr>
              <rFont val="Calibri"/>
              <i val="1"/>
              <color rgb="002B2B2B"/>
              <sz val="10"/>
            </rPr>
            <t>M</t>
          </r>
          <r>
            <rPr>
              <rFont val="Calibri"/>
              <i val="1"/>
              <color rgb="002B2B2B"/>
              <sz val="10"/>
              <vertAlign val="subscript"/>
            </rPr>
            <t>to</t>
          </r>
        </is>
      </c>
      <c r="E250" s="45">
        <f>MAX(0,MAX(IF(TRUE,Mto_1a,-1E99),IF(TRUE,Mto_1b,-1E99),IF(TRUE,Mto_1c,-1E99),IF(TRUE,Mto_1d,-1E99),IF(n_sets=2,Mto_2a,-1E99),IF(n_sets=2,Mto_2b,-1E99),IF(n_sets=2,Mto_2c,-1E99),IF(n_sets=2,Mto_2d,-1E99)))</f>
        <v/>
      </c>
      <c r="F250" s="28" t="inlineStr">
        <is>
          <t>kNm/m</t>
        </is>
      </c>
      <c r="G250" s="23" t="n"/>
    </row>
    <row r="251" ht="17" customHeight="1">
      <c r="B251" s="23" t="n"/>
      <c r="C251" s="24" t="inlineStr">
        <is>
          <t>Toe: largest reverse moment  (tension on top)</t>
        </is>
      </c>
      <c r="D251" s="27" t="inlineStr">
        <is>
          <r>
            <rPr>
              <rFont val="Calibri"/>
              <i val="1"/>
              <color rgb="002B2B2B"/>
              <sz val="10"/>
            </rPr>
            <t>M</t>
          </r>
          <r>
            <rPr>
              <rFont val="Calibri"/>
              <i val="1"/>
              <color rgb="002B2B2B"/>
              <sz val="10"/>
              <vertAlign val="subscript"/>
            </rPr>
            <t>to,rev</t>
          </r>
        </is>
      </c>
      <c r="E251" s="42">
        <f>MIN(0,MIN(IF(TRUE,Mto_1a,1E99),IF(TRUE,Mto_1b,1E99),IF(TRUE,Mto_1c,1E99),IF(TRUE,Mto_1d,1E99),IF(n_sets=2,Mto_2a,1E99),IF(n_sets=2,Mto_2b,1E99),IF(n_sets=2,Mto_2c,1E99),IF(n_sets=2,Mto_2d,1E99)))</f>
        <v/>
      </c>
      <c r="F251" s="28" t="inlineStr">
        <is>
          <t>kNm/m</t>
        </is>
      </c>
      <c r="G251" s="23" t="n"/>
    </row>
    <row r="252" ht="17" customHeight="1">
      <c r="B252" s="23" t="n"/>
      <c r="C252" s="24" t="inlineStr">
        <is>
          <t>Toe: largest shear</t>
        </is>
      </c>
      <c r="D252" s="27" t="inlineStr">
        <is>
          <r>
            <rPr>
              <rFont val="Calibri"/>
              <i val="1"/>
              <color rgb="002B2B2B"/>
              <sz val="10"/>
            </rPr>
            <t>V</t>
          </r>
          <r>
            <rPr>
              <rFont val="Calibri"/>
              <i val="1"/>
              <color rgb="002B2B2B"/>
              <sz val="10"/>
              <vertAlign val="subscript"/>
            </rPr>
            <t>to</t>
          </r>
        </is>
      </c>
      <c r="E252" s="42">
        <f>MAX(MAX(IF(TRUE,Vto_1a,-1E99),IF(TRUE,Vto_1b,-1E99),IF(TRUE,Vto_1c,-1E99),IF(TRUE,Vto_1d,-1E99),IF(n_sets=2,Vto_2a,-1E99),IF(n_sets=2,Vto_2b,-1E99),IF(n_sets=2,Vto_2c,-1E99),IF(n_sets=2,Vto_2d,-1E99)),-MIN(IF(TRUE,Vto_1a,1E99),IF(TRUE,Vto_1b,1E99),IF(TRUE,Vto_1c,1E99),IF(TRUE,Vto_1d,1E99),IF(n_sets=2,Vto_2a,1E99),IF(n_sets=2,Vto_2b,1E99),IF(n_sets=2,Vto_2c,1E99),IF(n_sets=2,Vto_2d,1E99)))</f>
        <v/>
      </c>
      <c r="F252" s="28" t="inlineStr">
        <is>
          <t>kN/m</t>
        </is>
      </c>
      <c r="G252" s="23" t="n"/>
    </row>
    <row r="253" ht="17" customHeight="1">
      <c r="B253" s="23" t="n"/>
      <c r="C253" s="24" t="inlineStr">
        <is>
          <t>Toe: effective depth  t − c − φ/2</t>
        </is>
      </c>
      <c r="D253" s="27" t="inlineStr">
        <is>
          <r>
            <rPr>
              <rFont val="Calibri"/>
              <i val="1"/>
              <color rgb="002B2B2B"/>
              <sz val="10"/>
            </rPr>
            <t>d</t>
          </r>
        </is>
      </c>
      <c r="E253" s="40">
        <f>t_b-c_nom-phi_to/2</f>
        <v/>
      </c>
      <c r="F253" s="28" t="inlineStr">
        <is>
          <t>mm</t>
        </is>
      </c>
      <c r="G253" s="23" t="n"/>
    </row>
    <row r="254" ht="17" customHeight="1">
      <c r="B254" s="23" t="n"/>
      <c r="C254" s="24" t="inlineStr">
        <is>
          <t>Toe: K = M / (b d² fck)</t>
        </is>
      </c>
      <c r="D254" s="27" t="inlineStr">
        <is>
          <r>
            <rPr>
              <rFont val="Calibri"/>
              <i val="1"/>
              <color rgb="002B2B2B"/>
              <sz val="10"/>
            </rPr>
            <t>K</t>
          </r>
        </is>
      </c>
      <c r="E254" s="41">
        <f>MAX(0,M_to)*1E6/(1000*d_to^2*f_ck)</f>
        <v/>
      </c>
      <c r="F254" s="23" t="n"/>
      <c r="G254" s="23" t="n"/>
    </row>
    <row r="255" ht="17" customHeight="1">
      <c r="B255" s="26" t="inlineStr">
        <is>
          <t>3.1.7(3)</t>
        </is>
      </c>
      <c r="C255" s="24" t="inlineStr">
        <is>
          <t>Toe: lever arm  d (1 − 0.4ξ) ≤ 0.95 d</t>
        </is>
      </c>
      <c r="D255" s="27" t="inlineStr">
        <is>
          <r>
            <rPr>
              <rFont val="Calibri"/>
              <i val="1"/>
              <color rgb="002B2B2B"/>
              <sz val="10"/>
            </rPr>
            <t>z</t>
          </r>
        </is>
      </c>
      <c r="E255" s="40">
        <f>IF(K_to&lt;=K_lw,MIN(0.95*d_to,d_to*(1-0.5*(1-SQRT(1-2*K_to/(alpha_cc/gamma_c))))),NA())</f>
        <v/>
      </c>
      <c r="F255" s="28" t="inlineStr">
        <is>
          <t>mm</t>
        </is>
      </c>
      <c r="G255" s="23" t="n"/>
    </row>
    <row r="256" ht="17" customHeight="1">
      <c r="B256" s="23" t="n"/>
      <c r="C256" s="24" t="inlineStr">
        <is>
          <t>Toe: As required  M / (fyd z)</t>
        </is>
      </c>
      <c r="D256" s="27" t="inlineStr">
        <is>
          <r>
            <rPr>
              <rFont val="Calibri"/>
              <i val="1"/>
              <color rgb="002B2B2B"/>
              <sz val="10"/>
            </rPr>
            <t>A</t>
          </r>
          <r>
            <rPr>
              <rFont val="Calibri"/>
              <i val="1"/>
              <color rgb="002B2B2B"/>
              <sz val="10"/>
              <vertAlign val="subscript"/>
            </rPr>
            <t>s,req</t>
          </r>
        </is>
      </c>
      <c r="E256" s="40">
        <f>MAX(0,M_to)*1E6/(f_yd*z_to)</f>
        <v/>
      </c>
      <c r="F256" s="28" t="inlineStr">
        <is>
          <t>mm²/m</t>
        </is>
      </c>
      <c r="G256" s="23" t="n"/>
    </row>
    <row r="257" ht="17" customHeight="1">
      <c r="B257" s="26" t="inlineStr">
        <is>
          <t>(9.1N)</t>
        </is>
      </c>
      <c r="C257" s="24" t="inlineStr">
        <is>
          <t>Toe: As,min  max(0.26 fctm/fyk; 0.0013) b d</t>
        </is>
      </c>
      <c r="D257" s="27" t="inlineStr">
        <is>
          <r>
            <rPr>
              <rFont val="Calibri"/>
              <i val="1"/>
              <color rgb="002B2B2B"/>
              <sz val="10"/>
            </rPr>
            <t>A</t>
          </r>
          <r>
            <rPr>
              <rFont val="Calibri"/>
              <i val="1"/>
              <color rgb="002B2B2B"/>
              <sz val="10"/>
              <vertAlign val="subscript"/>
            </rPr>
            <t>s,min</t>
          </r>
        </is>
      </c>
      <c r="E257" s="40">
        <f>MAX(0.26*f_ctm/f_yk,0.0013)*1000*d_to</f>
        <v/>
      </c>
      <c r="F257" s="28" t="inlineStr">
        <is>
          <t>mm²/m</t>
        </is>
      </c>
      <c r="G257" s="23" t="n"/>
    </row>
    <row r="258" ht="17" customHeight="1">
      <c r="B258" s="23" t="n"/>
      <c r="C258" s="24" t="inlineStr">
        <is>
          <t>Toe: As provided  1000 π φ² / (4 s)  (bottom face)</t>
        </is>
      </c>
      <c r="D258" s="27" t="inlineStr">
        <is>
          <r>
            <rPr>
              <rFont val="Calibri"/>
              <i val="1"/>
              <color rgb="002B2B2B"/>
              <sz val="10"/>
            </rPr>
            <t>A</t>
          </r>
          <r>
            <rPr>
              <rFont val="Calibri"/>
              <i val="1"/>
              <color rgb="002B2B2B"/>
              <sz val="10"/>
              <vertAlign val="subscript"/>
            </rPr>
            <t>s,prov</t>
          </r>
        </is>
      </c>
      <c r="E258" s="40">
        <f>1000*PI()*phi_to^2/4/s_to</f>
        <v/>
      </c>
      <c r="F258" s="28" t="inlineStr">
        <is>
          <t>mm²/m</t>
        </is>
      </c>
      <c r="G258" s="23" t="n"/>
    </row>
    <row r="259" ht="17" customHeight="1">
      <c r="B259" s="26" t="inlineStr">
        <is>
          <t>(6.2)</t>
        </is>
      </c>
      <c r="C259" s="24" t="inlineStr">
        <is>
          <t>Toe: VRd,c  (no links)</t>
        </is>
      </c>
      <c r="D259" s="27" t="inlineStr">
        <is>
          <r>
            <rPr>
              <rFont val="Calibri"/>
              <i val="1"/>
              <color rgb="002B2B2B"/>
              <sz val="10"/>
            </rPr>
            <t>V</t>
          </r>
          <r>
            <rPr>
              <rFont val="Calibri"/>
              <i val="1"/>
              <color rgb="002B2B2B"/>
              <sz val="10"/>
              <vertAlign val="subscript"/>
            </rPr>
            <t>Rd,c</t>
          </r>
        </is>
      </c>
      <c r="E259" s="42">
        <f>MAX(C_Rdc*MIN(2,1+SQRT(200/d_to))*(100*MIN(0.02,Asp_to/(1000*d_to))*f_ck)^(1/3),0.035*MIN(2,1+SQRT(200/d_to))^1.5*SQRT(f_ck))*d_to</f>
        <v/>
      </c>
      <c r="F259" s="28" t="inlineStr">
        <is>
          <t>kN/m</t>
        </is>
      </c>
      <c r="G259" s="23" t="n"/>
    </row>
    <row r="260" ht="17" customHeight="1">
      <c r="B260" s="26" t="inlineStr">
        <is>
          <t>9.3.1.1(3)</t>
        </is>
      </c>
      <c r="C260" s="24" t="inlineStr">
        <is>
          <t>Toe: maximum bar spacing</t>
        </is>
      </c>
      <c r="D260" s="27" t="inlineStr">
        <is>
          <r>
            <rPr>
              <rFont val="Calibri"/>
              <i val="1"/>
              <color rgb="002B2B2B"/>
              <sz val="10"/>
            </rPr>
            <t>s</t>
          </r>
          <r>
            <rPr>
              <rFont val="Calibri"/>
              <i val="1"/>
              <color rgb="002B2B2B"/>
              <sz val="10"/>
              <vertAlign val="subscript"/>
            </rPr>
            <t>max</t>
          </r>
        </is>
      </c>
      <c r="E260" s="40">
        <f>MIN(2*t_b,250)</f>
        <v/>
      </c>
      <c r="F260" s="28" t="inlineStr">
        <is>
          <t>mm</t>
        </is>
      </c>
      <c r="G260" s="23" t="n"/>
    </row>
    <row r="261" ht="17" customHeight="1">
      <c r="B261" s="23" t="n"/>
      <c r="C261" s="24" t="inlineStr">
        <is>
          <t>Toe: bending  As,prov ≥ max(As,req; As,min)</t>
        </is>
      </c>
      <c r="D261" s="27" t="inlineStr">
        <is>
          <r>
            <rPr>
              <rFont val="Calibri"/>
              <i val="1"/>
              <color rgb="002B2B2B"/>
              <sz val="10"/>
            </rPr>
            <t>A</t>
          </r>
          <r>
            <rPr>
              <rFont val="Calibri"/>
              <i val="1"/>
              <color rgb="002B2B2B"/>
              <sz val="10"/>
              <vertAlign val="subscript"/>
            </rPr>
            <t>s</t>
          </r>
        </is>
      </c>
      <c r="E261" s="40">
        <f>Asp_to</f>
        <v/>
      </c>
      <c r="F261" s="28" t="inlineStr">
        <is>
          <t>mm²/m</t>
        </is>
      </c>
      <c r="G261" s="30">
        <f>IF(NOT(inputs_ok),"FAIL",IF(IFERROR(Asp_to&gt;=MAX(Asr_to,Asm_to),FALSE),"OK","FAIL"))</f>
        <v/>
      </c>
    </row>
    <row r="262" ht="17" customHeight="1">
      <c r="B262" s="26" t="inlineStr">
        <is>
          <t>(6.2)</t>
        </is>
      </c>
      <c r="C262" s="24" t="inlineStr">
        <is>
          <t>Toe: shear  VEd ≤ VRd,c</t>
        </is>
      </c>
      <c r="D262" s="27" t="inlineStr">
        <is>
          <r>
            <rPr>
              <rFont val="Calibri"/>
              <i val="1"/>
              <color rgb="002B2B2B"/>
              <sz val="10"/>
            </rPr>
            <t>V</t>
          </r>
          <r>
            <rPr>
              <rFont val="Calibri"/>
              <i val="1"/>
              <color rgb="002B2B2B"/>
              <sz val="10"/>
              <vertAlign val="subscript"/>
            </rPr>
            <t>Ed</t>
          </r>
        </is>
      </c>
      <c r="E262" s="42">
        <f>ABS(V_to)</f>
        <v/>
      </c>
      <c r="F262" s="28" t="inlineStr">
        <is>
          <t>kN/m</t>
        </is>
      </c>
      <c r="G262" s="30">
        <f>IF(NOT(inputs_ok),"FAIL",IF(ABS(V_to)&lt;=VRc_to,"OK","FAIL"))</f>
        <v/>
      </c>
    </row>
    <row r="263" ht="17" customHeight="1">
      <c r="B263" s="26" t="inlineStr">
        <is>
          <t>9.3.1.1(3)</t>
        </is>
      </c>
      <c r="C263" s="24" t="inlineStr">
        <is>
          <t>Toe: spacing ≤ s_max, clear gap ≥ a_min, As ≤ 0.04 Ac</t>
        </is>
      </c>
      <c r="D263" s="27" t="inlineStr">
        <is>
          <r>
            <rPr>
              <rFont val="Calibri"/>
              <i val="1"/>
              <color rgb="002B2B2B"/>
              <sz val="10"/>
            </rPr>
            <t>s</t>
          </r>
        </is>
      </c>
      <c r="E263" s="40">
        <f>s_to</f>
        <v/>
      </c>
      <c r="F263" s="28" t="inlineStr">
        <is>
          <t>mm</t>
        </is>
      </c>
      <c r="G263" s="30">
        <f>IF(NOT(inputs_ok),"FAIL",IF(AND(s_to&lt;=smx_to,s_to-phi_to&gt;=gap_rw,Asp_to&lt;=0.04*1000*t_b),"OK","FAIL"))</f>
        <v/>
      </c>
    </row>
    <row r="264" ht="54" customHeight="1">
      <c r="B264" s="39" t="inlineStr">
        <is>
          <t>Heel and toe: envelope of the load cases at the faces of the stem (shear at the face is conservative; 6.2.1(8) allows d from the face). VRd,c assumes the bars are anchored beyond the section (6.2.2(1)). Base spacing uses the 2h ≤ 250 mm limit for the region of maximum moment (9.3.1.1(3)). Distribution bars, the stem-base joint and the anchorage of the stem bars are for the designer to detail.</t>
        </is>
      </c>
    </row>
    <row r="266" ht="29" customHeight="1">
      <c r="B266" s="3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10">
    <mergeCell ref="B266:G266"/>
    <mergeCell ref="E5:G5"/>
    <mergeCell ref="B264:G264"/>
    <mergeCell ref="B106:G106"/>
    <mergeCell ref="B92:G92"/>
    <mergeCell ref="D2:G2"/>
    <mergeCell ref="E7:G7"/>
    <mergeCell ref="E6:G6"/>
    <mergeCell ref="C3:G3"/>
    <mergeCell ref="B68:G68"/>
  </mergeCells>
  <conditionalFormatting sqref="G9:G267">
    <cfRule type="expression" priority="1" dxfId="0">
      <formula>G9="OK"</formula>
    </cfRule>
    <cfRule type="expression" priority="2" dxfId="1">
      <formula>G9="FAIL"</formula>
    </cfRule>
    <cfRule type="expression" priority="3" dxfId="2">
      <formula>LEFT(G9,1)="!"</formula>
    </cfRule>
  </conditionalFormatting>
  <dataValidations count="22">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E24 E26"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30"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2" showDropDown="0" showInputMessage="0" showErrorMessage="1" allowBlank="0" errorTitle="NA Engineering" error="Pick a value from the list." type="list" errorStyle="stop">
      <formula1>"Active Ka,At rest K0"</formula1>
    </dataValidation>
    <dataValidation sqref="E33"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Enter a number greater than 0." type="decimal" errorStyle="stop" operator="greaterThan">
      <formula1>0</formula1>
    </dataValidation>
    <dataValidation sqref="E35" showDropDown="0" showInputMessage="0" showErrorMessage="1" allowBlank="0" errorTitle="NA Engineering" error="Enter a number ≥ 0." type="decimal" errorStyle="stop" operator="greaterThanOrEqual">
      <formula1>0</formula1>
    </dataValidation>
    <dataValidation sqref="E36"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&amp;K8A8A8ANAE-RC-011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CB11"/>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wall</t>
        </is>
      </c>
      <c r="D2" t="inlineStr">
        <is>
          <t>backfill</t>
        </is>
      </c>
      <c r="G2" t="inlineStr">
        <is>
          <t>front ground</t>
        </is>
      </c>
      <c r="J2" t="inlineStr">
        <is>
          <t>virtual back</t>
        </is>
      </c>
      <c r="M2" t="inlineStr">
        <is>
          <t>earth pressure</t>
        </is>
      </c>
      <c r="P2" t="inlineStr">
        <is>
          <t>q 0</t>
        </is>
      </c>
      <c r="S2" t="inlineStr">
        <is>
          <t>q 1</t>
        </is>
      </c>
      <c r="V2" t="inlineStr">
        <is>
          <t>q 2</t>
        </is>
      </c>
      <c r="Y2" t="inlineStr">
        <is>
          <t>q 3</t>
        </is>
      </c>
      <c r="AB2" t="inlineStr">
        <is>
          <t>base pressure</t>
        </is>
      </c>
      <c r="AE2" t="inlineStr">
        <is>
          <t>stem bars</t>
        </is>
      </c>
      <c r="AH2" t="inlineStr">
        <is>
          <t>heel bars</t>
        </is>
      </c>
      <c r="AK2" t="inlineStr">
        <is>
          <t>toe bars</t>
        </is>
      </c>
      <c r="AN2" t="inlineStr">
        <is>
          <t>dim</t>
        </is>
      </c>
      <c r="AQ2">
        <f>"Hs = "&amp;TEXT(H_s,"0")</f>
        <v/>
      </c>
      <c r="AT2" t="inlineStr">
        <is>
          <t>dim</t>
        </is>
      </c>
      <c r="AW2">
        <f>"toe "&amp;TEXT(B_t,"0")</f>
        <v/>
      </c>
      <c r="AZ2" t="inlineStr">
        <is>
          <t>dim</t>
        </is>
      </c>
      <c r="BC2">
        <f>"heel "&amp;TEXT(B_h,"0")</f>
        <v/>
      </c>
      <c r="BF2" t="inlineStr">
        <is>
          <t>dim</t>
        </is>
      </c>
      <c r="BI2">
        <f>"B = "&amp;TEXT(B_w,"0")</f>
        <v/>
      </c>
      <c r="BL2">
        <f>"q = "&amp;q_k&amp;" kPa"</f>
        <v/>
      </c>
      <c r="BO2">
        <f>"pmax = "&amp;TEXT(MAX(pa_1a,pb_1a),"0")&amp;" kPa"</f>
        <v/>
      </c>
      <c r="BR2">
        <f>"φ"&amp;phi_st&amp;" @ "&amp;s_st</f>
        <v/>
      </c>
      <c r="BU2">
        <f>"φ"&amp;phi_he&amp;" @ "&amp;s_he</f>
        <v/>
      </c>
      <c r="BX2">
        <f>"φ"&amp;phi_to&amp;" @ "&amp;s_to</f>
        <v/>
      </c>
      <c r="CA2" t="inlineStr">
        <is>
          <t>frame</t>
        </is>
      </c>
    </row>
    <row r="3">
      <c r="A3">
        <f>0</f>
        <v/>
      </c>
      <c r="B3">
        <f>0</f>
        <v/>
      </c>
      <c r="D3">
        <f>(B_t+t_s)</f>
        <v/>
      </c>
      <c r="E3">
        <f>(t_b+H_s)</f>
        <v/>
      </c>
      <c r="G3">
        <f>-0.35*B_w</f>
        <v/>
      </c>
      <c r="H3">
        <f>D_f</f>
        <v/>
      </c>
      <c r="J3">
        <f>B_w</f>
        <v/>
      </c>
      <c r="K3">
        <f>0</f>
        <v/>
      </c>
      <c r="M3">
        <f>B_w</f>
        <v/>
      </c>
      <c r="N3">
        <f>(t_b+H_s)</f>
        <v/>
      </c>
      <c r="P3">
        <f>IF(q_k&gt;0,B_t+t_s+(0+0.5)*(B_w+0.5*(t_b+H_s)-B_t-t_s)/4,NA())</f>
        <v/>
      </c>
      <c r="Q3">
        <f>(t_b+H_s)+0.12*(t_b+H_s)</f>
        <v/>
      </c>
      <c r="S3">
        <f>IF(q_k&gt;0,B_t+t_s+(1+0.5)*(B_w+0.5*(t_b+H_s)-B_t-t_s)/4,NA())</f>
        <v/>
      </c>
      <c r="T3">
        <f>(t_b+H_s)+0.12*(t_b+H_s)</f>
        <v/>
      </c>
      <c r="V3">
        <f>IF(q_k&gt;0,B_t+t_s+(2+0.5)*(B_w+0.5*(t_b+H_s)-B_t-t_s)/4,NA())</f>
        <v/>
      </c>
      <c r="W3">
        <f>(t_b+H_s)+0.12*(t_b+H_s)</f>
        <v/>
      </c>
      <c r="Y3">
        <f>IF(q_k&gt;0,B_t+t_s+(3+0.5)*(B_w+0.5*(t_b+H_s)-B_t-t_s)/4,NA())</f>
        <v/>
      </c>
      <c r="Z3">
        <f>(t_b+H_s)+0.12*(t_b+H_s)</f>
        <v/>
      </c>
      <c r="AB3">
        <f>IF(ok_1a,xa_1a*1000,NA())</f>
        <v/>
      </c>
      <c r="AC3">
        <f>0</f>
        <v/>
      </c>
      <c r="AE3">
        <f>(B_t+t_s)-c_nom-phi_st/2</f>
        <v/>
      </c>
      <c r="AF3">
        <f>c_nom</f>
        <v/>
      </c>
      <c r="AH3">
        <f>B_t+c_nom</f>
        <v/>
      </c>
      <c r="AI3">
        <f>t_b-c_nom-phi_he/2</f>
        <v/>
      </c>
      <c r="AK3">
        <f>c_nom</f>
        <v/>
      </c>
      <c r="AL3">
        <f>c_nom+phi_to/2</f>
        <v/>
      </c>
      <c r="AN3">
        <f>IF(TRUE,-0.08*(t_b+H_s),NA())</f>
        <v/>
      </c>
      <c r="AO3">
        <f>IF(TRUE,t_b,NA())</f>
        <v/>
      </c>
      <c r="AQ3">
        <f>IF(TRUE,((-0.08*(t_b+H_s))+(-0.08*(t_b+H_s)))/2,NA())</f>
        <v/>
      </c>
      <c r="AR3">
        <f>IF(TRUE,((t_b)+((t_b+H_s)))/2,NA())</f>
        <v/>
      </c>
      <c r="AT3">
        <f>IF(B_t&gt;0,0,NA())</f>
        <v/>
      </c>
      <c r="AU3">
        <f>IF(B_t&gt;0,-0.3*(t_b+H_s),NA())</f>
        <v/>
      </c>
      <c r="AW3">
        <f>IF(B_t&gt;0,((0)+(B_t))/2,NA())</f>
        <v/>
      </c>
      <c r="AX3">
        <f>IF(B_t&gt;0,((-0.3*(t_b+H_s))+(-0.3*(t_b+H_s)))/2,NA())</f>
        <v/>
      </c>
      <c r="AZ3">
        <f>IF(TRUE,(B_t+t_s),NA())</f>
        <v/>
      </c>
      <c r="BA3">
        <f>IF(TRUE,-0.3*(t_b+H_s),NA())</f>
        <v/>
      </c>
      <c r="BC3">
        <f>IF(TRUE,(((B_t+t_s))+(B_w))/2,NA())</f>
        <v/>
      </c>
      <c r="BD3">
        <f>IF(TRUE,((-0.3*(t_b+H_s))+(-0.3*(t_b+H_s)))/2,NA())</f>
        <v/>
      </c>
      <c r="BF3">
        <f>IF(TRUE,0,NA())</f>
        <v/>
      </c>
      <c r="BG3">
        <f>IF(TRUE,-0.45*(t_b+H_s),NA())</f>
        <v/>
      </c>
      <c r="BI3">
        <f>IF(TRUE,((0)+(B_w))/2,NA())</f>
        <v/>
      </c>
      <c r="BJ3">
        <f>IF(TRUE,((-0.45*(t_b+H_s))+(-0.45*(t_b+H_s)))/2,NA())</f>
        <v/>
      </c>
      <c r="BL3">
        <f>B_t+t_s+0.5*(B_w+0.5*(t_b+H_s)-B_t-t_s)</f>
        <v/>
      </c>
      <c r="BM3">
        <f>(t_b+H_s)+0.12*(t_b+H_s)</f>
        <v/>
      </c>
      <c r="BO3">
        <f>IF(pa_1a&gt;=pb_1a,xa_1a,xb_1a)*1000</f>
        <v/>
      </c>
      <c r="BP3">
        <f>-(0.22*(t_b+H_s)/MAX(MAX(pa_1a,pb_1a),0.001))*MAX(pa_1a,pb_1a)</f>
        <v/>
      </c>
      <c r="BR3">
        <f>(B_t+t_s)</f>
        <v/>
      </c>
      <c r="BS3">
        <f>t_b+0.55*H_s</f>
        <v/>
      </c>
      <c r="BU3">
        <f>B_w-0.25*B_h</f>
        <v/>
      </c>
      <c r="BV3">
        <f>t_b</f>
        <v/>
      </c>
      <c r="BX3">
        <f>0.5*B_t</f>
        <v/>
      </c>
      <c r="BY3">
        <f>0</f>
        <v/>
      </c>
      <c r="CA3">
        <f>((-0.4*B_w)+(B_w+0.6*(t_b+H_s)))/2-MAX((1.18*(t_b+H_s))-(-0.55*(t_b+H_s)),((B_w+0.6*(t_b+H_s))-(-0.4*B_w))/1.55)*0.58*1.55</f>
        <v/>
      </c>
      <c r="CB3">
        <f>((-0.55*(t_b+H_s))+(1.18*(t_b+H_s)))/2-MAX((1.18*(t_b+H_s))-(-0.55*(t_b+H_s)),((B_w+0.6*(t_b+H_s))-(-0.4*B_w))/1.55)*0.58</f>
        <v/>
      </c>
    </row>
    <row r="4">
      <c r="A4">
        <f>B_w</f>
        <v/>
      </c>
      <c r="B4">
        <f>0</f>
        <v/>
      </c>
      <c r="D4">
        <f>B_w+0.5*(t_b+H_s)</f>
        <v/>
      </c>
      <c r="E4">
        <f>(t_b+H_s)</f>
        <v/>
      </c>
      <c r="G4">
        <f>B_t</f>
        <v/>
      </c>
      <c r="H4">
        <f>D_f</f>
        <v/>
      </c>
      <c r="J4">
        <f>B_w</f>
        <v/>
      </c>
      <c r="K4">
        <f>(t_b+H_s)</f>
        <v/>
      </c>
      <c r="M4">
        <f>B_w+(0.3*(t_b+H_s)/MAX(K_1*q_k+K_1*gam_s*Hv_m,0.001))*K_1*q_k</f>
        <v/>
      </c>
      <c r="N4">
        <f>(t_b+H_s)</f>
        <v/>
      </c>
      <c r="P4">
        <f>IF(q_k&gt;0,B_t+t_s+(0+0.5)*(B_w+0.5*(t_b+H_s)-B_t-t_s)/4,NA())</f>
        <v/>
      </c>
      <c r="Q4">
        <f>(t_b+H_s)+0.02*(t_b+H_s)</f>
        <v/>
      </c>
      <c r="S4">
        <f>IF(q_k&gt;0,B_t+t_s+(1+0.5)*(B_w+0.5*(t_b+H_s)-B_t-t_s)/4,NA())</f>
        <v/>
      </c>
      <c r="T4">
        <f>(t_b+H_s)+0.02*(t_b+H_s)</f>
        <v/>
      </c>
      <c r="V4">
        <f>IF(q_k&gt;0,B_t+t_s+(2+0.5)*(B_w+0.5*(t_b+H_s)-B_t-t_s)/4,NA())</f>
        <v/>
      </c>
      <c r="W4">
        <f>(t_b+H_s)+0.02*(t_b+H_s)</f>
        <v/>
      </c>
      <c r="Y4">
        <f>IF(q_k&gt;0,B_t+t_s+(3+0.5)*(B_w+0.5*(t_b+H_s)-B_t-t_s)/4,NA())</f>
        <v/>
      </c>
      <c r="Z4">
        <f>(t_b+H_s)+0.02*(t_b+H_s)</f>
        <v/>
      </c>
      <c r="AB4">
        <f>xa_1a*1000</f>
        <v/>
      </c>
      <c r="AC4">
        <f>-(0.22*(t_b+H_s)/MAX(MAX(pa_1a,pb_1a),0.001))*pa_1a</f>
        <v/>
      </c>
      <c r="AE4">
        <f>(B_t+t_s)-c_nom-phi_st/2</f>
        <v/>
      </c>
      <c r="AF4">
        <f>(t_b+H_s)-c_nom</f>
        <v/>
      </c>
      <c r="AH4">
        <f>B_w-c_nom</f>
        <v/>
      </c>
      <c r="AI4">
        <f>t_b-c_nom-phi_he/2</f>
        <v/>
      </c>
      <c r="AK4">
        <f>(B_t+t_s)-c_nom</f>
        <v/>
      </c>
      <c r="AL4">
        <f>c_nom+phi_to/2</f>
        <v/>
      </c>
      <c r="AN4">
        <f>IF(TRUE,-0.08*(t_b+H_s),NA())</f>
        <v/>
      </c>
      <c r="AO4">
        <f>IF(TRUE,(t_b+H_s),NA())</f>
        <v/>
      </c>
      <c r="AT4">
        <f>IF(B_t&gt;0,B_t,NA())</f>
        <v/>
      </c>
      <c r="AU4">
        <f>IF(B_t&gt;0,-0.3*(t_b+H_s),NA())</f>
        <v/>
      </c>
      <c r="AZ4">
        <f>IF(TRUE,B_w,NA())</f>
        <v/>
      </c>
      <c r="BA4">
        <f>IF(TRUE,-0.3*(t_b+H_s),NA())</f>
        <v/>
      </c>
      <c r="BF4">
        <f>IF(TRUE,B_w,NA())</f>
        <v/>
      </c>
      <c r="BG4">
        <f>IF(TRUE,-0.45*(t_b+H_s),NA())</f>
        <v/>
      </c>
      <c r="CA4">
        <f>((-0.4*B_w)+(B_w+0.6*(t_b+H_s)))/2+MAX((1.18*(t_b+H_s))-(-0.55*(t_b+H_s)),((B_w+0.6*(t_b+H_s))-(-0.4*B_w))/1.55)*0.58*1.55</f>
        <v/>
      </c>
      <c r="CB4">
        <f>((-0.55*(t_b+H_s))+(1.18*(t_b+H_s)))/2+MAX((1.18*(t_b+H_s))-(-0.55*(t_b+H_s)),((B_w+0.6*(t_b+H_s))-(-0.4*B_w))/1.55)*0.58</f>
        <v/>
      </c>
    </row>
    <row r="5">
      <c r="A5">
        <f>B_w</f>
        <v/>
      </c>
      <c r="B5">
        <f>t_b</f>
        <v/>
      </c>
      <c r="M5">
        <f>B_w+(0.3*(t_b+H_s)/MAX(K_1*q_k+K_1*gam_s*Hv_m,0.001))*(K_1*q_k+K_1*gam_s*Hv_m)</f>
        <v/>
      </c>
      <c r="N5">
        <f>0</f>
        <v/>
      </c>
      <c r="AB5">
        <f>xb_1a*1000</f>
        <v/>
      </c>
      <c r="AC5">
        <f>-(0.22*(t_b+H_s)/MAX(MAX(pa_1a,pb_1a),0.001))*pb_1a</f>
        <v/>
      </c>
    </row>
    <row r="6">
      <c r="A6">
        <f>(B_t+t_s)</f>
        <v/>
      </c>
      <c r="B6">
        <f>t_b</f>
        <v/>
      </c>
      <c r="M6">
        <f>B_w</f>
        <v/>
      </c>
      <c r="N6">
        <f>0</f>
        <v/>
      </c>
      <c r="AB6">
        <f>xb_1a*1000</f>
        <v/>
      </c>
      <c r="AC6">
        <f>0</f>
        <v/>
      </c>
    </row>
    <row r="7">
      <c r="A7">
        <f>(B_t+t_s)</f>
        <v/>
      </c>
      <c r="B7">
        <f>(t_b+H_s)</f>
        <v/>
      </c>
    </row>
    <row r="8">
      <c r="A8">
        <f>B_t</f>
        <v/>
      </c>
      <c r="B8">
        <f>(t_b+H_s)</f>
        <v/>
      </c>
    </row>
    <row r="9">
      <c r="A9">
        <f>B_t</f>
        <v/>
      </c>
      <c r="B9">
        <f>t_b</f>
        <v/>
      </c>
    </row>
    <row r="10">
      <c r="A10">
        <f>0</f>
        <v/>
      </c>
      <c r="B10">
        <f>t_b</f>
        <v/>
      </c>
    </row>
    <row r="11">
      <c r="A11">
        <f>0</f>
        <v/>
      </c>
      <c r="B11">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&amp;K8A8A8ANAE-RC-011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NAE-RC-011 Retaining wall</dc:title>
  <dc:subject xmlns:dc="http://purl.org/dc/elements/1.1/">Cantilever retaining walls  ·  EN 1997-1 §9, EN 1992-1-1  ·  UK NA (DA1) / PN-EN (DA2*)</dc:subject>
  <dcterms:created xmlns:dcterms="http://purl.org/dc/terms/" xmlns:xsi="http://www.w3.org/2001/XMLSchema-instance" xsi:type="dcterms:W3CDTF">2026-10-30T10:58:37Z</dcterms:created>
  <dcterms:modified xmlns:dcterms="http://purl.org/dc/terms/" xmlns:xsi="http://www.w3.org/2001/XMLSchema-instance" xsi:type="dcterms:W3CDTF">2026-10-30T10:58:37Z</dcterms:modified>
  <cp:lastModifiedBy>NA Engineering sp. z o.o.</cp:lastModifiedBy>
  <cp:keywords>NA Engineering; Eurocode 2; EN 1992-1-1</cp:keywords>
</cp:coreProperties>
</file>