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Tables" sheetId="4" state="visible" r:id="rId4"/>
  </sheets>
  <definedNames>
    <definedName name="phi_a">'Calculation'!$E$11</definedName>
    <definedName name="s_a">'Calculation'!$E$12</definedName>
    <definedName name="A_1a">'Calculation'!$E$15</definedName>
    <definedName name="As_s">'Calculation'!$E$16</definedName>
    <definedName name="phi_n">'Calculation'!$E$21</definedName>
    <definedName name="n_a">'Calculation'!$E$22</definedName>
    <definedName name="As_n">'Calculation'!$E$25</definedName>
    <definedName name="As_req_m">'Calculation'!$E$29</definedName>
    <definedName name="As_req_n">'Calculation'!$E$30</definedName>
    <definedName name="s_need">'Calculation'!$E$31</definedName>
    <definedName name="n_need">'Calculation'!$E$33</definedName>
    <definedName name="inputs_ok">IFERROR(AND(OR(AND(ISNUMBER(phi_a),phi_a=6),AND(ISNUMBER(phi_a),phi_a=8),AND(ISNUMBER(phi_a),phi_a=10),AND(ISNUMBER(phi_a),phi_a=12),AND(ISNUMBER(phi_a),phi_a=16),AND(ISNUMBER(phi_a),phi_a=20),AND(ISNUMBER(phi_a),phi_a=25),AND(ISNUMBER(phi_a),phi_a=32),AND(ISNUMBER(phi_a),phi_a=40)),ISNUMBER(s_a),s_a&gt;0,OR(AND(ISNUMBER(phi_n),phi_n=6),AND(ISNUMBER(phi_n),phi_n=8),AND(ISNUMBER(phi_n),phi_n=10),AND(ISNUMBER(phi_n),phi_n=12),AND(ISNUMBER(phi_n),phi_n=16),AND(ISNUMBER(phi_n),phi_n=20),AND(ISNUMBER(phi_n),phi_n=25),AND(ISNUMBER(phi_n),phi_n=32),AND(ISNUMBER(phi_n),phi_n=40)),OR(AND(ISNUMBER(n_a),n_a=1),AND(ISNUMBER(n_a),n_a=2),AND(ISNUMBER(n_a),n_a=3),AND(ISNUMBER(n_a),n_a=4),AND(ISNUMBER(n_a),n_a=5),AND(ISNUMBER(n_a),n_a=6),AND(ISNUMBER(n_a),n_a=7),AND(ISNUMBER(n_a),n_a=8),AND(ISNUMBER(n_a),n_a=9),AND(ISNUMBER(n_a),n_a=10),AND(ISNUMBER(n_a),n_a=11),AND(ISNUMBER(n_a),n_a=12),AND(ISNUMBER(n_a),n_a=13),AND(ISNUMBER(n_a),n_a=14),AND(ISNUMBER(n_a),n_a=15),AND(ISNUMBER(n_a),n_a=16),AND(ISNUMBER(n_a),n_a=17),AND(ISNUMBER(n_a),n_a=18),AND(ISNUMBER(n_a),n_a=19),AND(ISNUMBER(n_a),n_a=20)),ISNUMBER(As_req_m),As_req_m&gt;0,ISNUMBER(As_req_n),As_req_n&gt;0,AND(s_a&gt;=50,s_a&lt;=500)),FALSE)</definedName>
    <definedName name="input_status">'Calculation'!$G$35</definedName>
    <definedName name="_xlnm.Print_Area" localSheetId="0">'About'!$A$1:$D$39</definedName>
    <definedName name="_xlnm.Print_Area" localSheetId="1">'Calculation'!$A$1:$H$59</definedName>
    <definedName name="_xlnm.Print_Area" localSheetId="3">'Tables'!$A$1:$K$42</definedName>
  </definedNames>
  <calcPr calcId="124519" fullCalcOnLoad="1"/>
</workbook>
</file>

<file path=xl/styles.xml><?xml version="1.0" encoding="utf-8"?>
<styleSheet xmlns="http://schemas.openxmlformats.org/spreadsheetml/2006/main">
  <numFmts count="2">
    <numFmt numFmtId="164" formatCode="dd mmm yyyy"/>
    <numFmt numFmtId="165" formatCode="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2B2B2B"/>
      <sz val="11"/>
    </font>
    <font>
      <name val="Calibri"/>
      <b val="1"/>
      <color rgb="002B2B2B"/>
      <sz val="15"/>
    </font>
    <font>
      <name val="Calibri"/>
      <color rgb="008A8A8A"/>
      <sz val="8"/>
    </font>
    <font>
      <name val="Calibri"/>
      <b val="1"/>
      <color rgb="002B2B2B"/>
      <sz val="9"/>
    </font>
    <font>
      <name val="Calibri"/>
      <family val="2"/>
      <i val="1"/>
      <color rgb="008A8A8A"/>
      <sz val="9"/>
      <scheme val="minor"/>
    </font>
    <font>
      <name val="Calibri"/>
      <i val="1"/>
      <color rgb="008A8A8A"/>
      <sz val="8.5"/>
    </font>
    <font>
      <name val="Calibri"/>
      <i val="1"/>
      <color rgb="009A9A9A"/>
      <sz val="8.5"/>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49">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6" fillId="0" borderId="1" pivotButton="0" quotePrefix="0" xfId="0"/>
    <xf numFmtId="0" fontId="0" fillId="0" borderId="1" pivotButton="0" quotePrefix="0" xfId="0"/>
    <xf numFmtId="0" fontId="5" fillId="0" borderId="0" applyAlignment="1" pivotButton="0" quotePrefix="0" xfId="0">
      <alignment vertical="top" wrapText="1"/>
    </xf>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0" fillId="0" borderId="1" applyAlignment="1" pivotButton="0" quotePrefix="0" xfId="0">
      <alignment horizontal="center" vertical="center"/>
    </xf>
    <xf numFmtId="0" fontId="12" fillId="3" borderId="1" applyAlignment="1" applyProtection="1" pivotButton="0" quotePrefix="0" xfId="0">
      <alignment horizontal="center" vertical="center"/>
      <protection locked="0" hidden="0"/>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0" fontId="0" fillId="4" borderId="0" pivotButton="0" quotePrefix="0" xfId="0"/>
    <xf numFmtId="0" fontId="13" fillId="4" borderId="0" applyAlignment="1" pivotButton="0" quotePrefix="0" xfId="0">
      <alignment vertical="center"/>
    </xf>
    <xf numFmtId="0" fontId="0" fillId="4" borderId="0" applyAlignment="1" pivotButton="0" quotePrefix="0" xfId="0">
      <alignment horizontal="center" vertical="center"/>
    </xf>
    <xf numFmtId="1" fontId="14" fillId="4" borderId="0" applyAlignment="1" pivotButton="0" quotePrefix="0" xfId="0">
      <alignment horizontal="center" vertical="center"/>
    </xf>
    <xf numFmtId="0" fontId="4" fillId="4" borderId="0" applyAlignment="1" pivotButton="0" quotePrefix="0" xfId="0">
      <alignment vertical="center"/>
    </xf>
    <xf numFmtId="2" fontId="14" fillId="4" borderId="0" applyAlignment="1" pivotButton="0" quotePrefix="0" xfId="0">
      <alignment horizontal="center" vertical="center"/>
    </xf>
    <xf numFmtId="165" fontId="5" fillId="0" borderId="1" applyAlignment="1" pivotButton="0" quotePrefix="0" xfId="0">
      <alignment horizontal="center" vertical="center"/>
    </xf>
    <xf numFmtId="2" fontId="5" fillId="0" borderId="1" applyAlignment="1" pivotButton="0" quotePrefix="0" xfId="0">
      <alignment horizontal="center" vertical="center"/>
    </xf>
    <xf numFmtId="0" fontId="15" fillId="0" borderId="1" applyAlignment="1" pivotButton="0" quotePrefix="0" xfId="0">
      <alignment vertical="center"/>
    </xf>
    <xf numFmtId="1" fontId="12" fillId="0" borderId="1" applyAlignment="1" pivotButton="0" quotePrefix="0" xfId="0">
      <alignment horizontal="center" vertical="center"/>
    </xf>
    <xf numFmtId="1" fontId="5" fillId="0" borderId="1" applyAlignment="1" pivotButton="0" quotePrefix="0" xfId="0">
      <alignment horizontal="center" vertical="center"/>
    </xf>
    <xf numFmtId="0" fontId="16" fillId="0" borderId="1" applyAlignment="1" pivotButton="0" quotePrefix="0" xfId="0">
      <alignment horizontal="center" vertical="center"/>
    </xf>
    <xf numFmtId="0" fontId="17" fillId="0" borderId="0" pivotButton="0" quotePrefix="0" xfId="0"/>
    <xf numFmtId="0" fontId="18" fillId="0" borderId="0" applyAlignment="1" pivotButton="0" quotePrefix="0" xfId="0">
      <alignment vertical="top" wrapText="1"/>
    </xf>
    <xf numFmtId="0" fontId="10" fillId="0" borderId="0" pivotButton="0" quotePrefix="0" xfId="0"/>
    <xf numFmtId="0" fontId="19" fillId="0" borderId="0" pivotButton="0" quotePrefix="0" xfId="0"/>
    <xf numFmtId="0" fontId="20" fillId="0" borderId="0" pivotButton="0" quotePrefix="0" xfId="0"/>
    <xf numFmtId="0" fontId="12" fillId="0" borderId="2" applyAlignment="1" pivotButton="0" quotePrefix="0" xfId="0">
      <alignment horizontal="center"/>
    </xf>
    <xf numFmtId="0" fontId="12" fillId="0" borderId="0" applyAlignment="1" pivotButton="0" quotePrefix="0" xfId="0">
      <alignment horizontal="center"/>
    </xf>
    <xf numFmtId="1" fontId="5" fillId="0" borderId="1" applyAlignment="1" pivotButton="0" quotePrefix="0" xfId="0">
      <alignment horizontal="center"/>
    </xf>
  </cellXfs>
  <cellStyles count="1">
    <cellStyle name="Normal" xfId="0" builtinId="0" hidden="0"/>
  </cellStyles>
  <dxfs count="4">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
      <fill>
        <patternFill patternType="solid">
          <fgColor rgb="00DCE8EC"/>
          <bgColor rgb="00DCE8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strip</v>
          </tx>
          <spPr>
            <a:ln xmlns:a="http://schemas.openxmlformats.org/drawingml/2006/main" w="12700">
              <a:solidFill>
                <a:srgbClr val="9A9A9A"/>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bar s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'Geometry'!$D$3:$D$19</f>
            </numRef>
          </xVal>
          <yVal>
            <numRef>
              <f>'Geometry'!$E$3:$E$19</f>
            </numRef>
          </yVal>
          <smooth val="0"/>
        </ser>
        <ser>
          <idx val="2"/>
          <order val="2"/>
          <tx>
            <v>bar s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'Geometry'!$G$3:$G$19</f>
            </numRef>
          </xVal>
          <yVal>
            <numRef>
              <f>'Geometry'!$H$3:$H$19</f>
            </numRef>
          </yVal>
          <smooth val="0"/>
        </ser>
        <ser>
          <idx val="3"/>
          <order val="3"/>
          <tx>
            <v>bar s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'Geometry'!$J$3:$J$19</f>
            </numRef>
          </xVal>
          <yVal>
            <numRef>
              <f>'Geometry'!$K$3:$K$19</f>
            </numRef>
          </yVal>
          <smooth val="0"/>
        </ser>
        <ser>
          <idx val="4"/>
          <order val="4"/>
          <tx>
            <v>bar s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'Geometry'!$M$3:$M$19</f>
            </numRef>
          </xVal>
          <yVal>
            <numRef>
              <f>'Geometry'!$N$3:$N$19</f>
            </numRef>
          </yVal>
          <smooth val="0"/>
        </ser>
        <ser>
          <idx val="5"/>
          <order val="5"/>
          <tx>
            <v>bar s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'Geometry'!$P$3:$P$19</f>
            </numRef>
          </xVal>
          <yVal>
            <numRef>
              <f>'Geometry'!$Q$3:$Q$19</f>
            </numRef>
          </yVal>
          <smooth val="0"/>
        </ser>
        <ser>
          <idx val="6"/>
          <order val="6"/>
          <tx>
            <v>bar s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'Geometry'!$S$3:$S$19</f>
            </numRef>
          </xVal>
          <yVal>
            <numRef>
              <f>'Geometry'!$T$3:$T$19</f>
            </numRef>
          </yVal>
          <smooth val="0"/>
        </ser>
        <ser>
          <idx val="7"/>
          <order val="7"/>
          <tx>
            <v>bar s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'Geometry'!$V$3:$V$19</f>
            </numRef>
          </xVal>
          <yVal>
            <numRef>
              <f>'Geometry'!$W$3:$W$19</f>
            </numRef>
          </yVal>
          <smooth val="0"/>
        </ser>
        <ser>
          <idx val="8"/>
          <order val="8"/>
          <tx>
            <v>bar s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'Geometry'!$Y$3:$Y$19</f>
            </numRef>
          </xVal>
          <yVal>
            <numRef>
              <f>'Geometry'!$Z$3:$Z$19</f>
            </numRef>
          </yVal>
          <smooth val="0"/>
        </ser>
        <ser>
          <idx val="9"/>
          <order val="9"/>
          <tx>
            <v>bar s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'Geometry'!$AB$3:$AB$19</f>
            </numRef>
          </xVal>
          <yVal>
            <numRef>
              <f>'Geometry'!$AC$3:$AC$19</f>
            </numRef>
          </yVal>
          <smooth val="0"/>
        </ser>
        <ser>
          <idx val="10"/>
          <order val="10"/>
          <tx>
            <v>bar s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'Geometry'!$AE$3:$AE$19</f>
            </numRef>
          </xVal>
          <yVal>
            <numRef>
              <f>'Geometry'!$AF$3:$AF$19</f>
            </numRef>
          </yVal>
          <smooth val="0"/>
        </ser>
        <ser>
          <idx val="11"/>
          <order val="11"/>
          <tx>
            <v>bar s 10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'Geometry'!$AH$3:$AH$19</f>
            </numRef>
          </xVal>
          <yVal>
            <numRef>
              <f>'Geometry'!$AI$3:$AI$19</f>
            </numRef>
          </yVal>
          <smooth val="0"/>
        </ser>
        <ser>
          <idx val="12"/>
          <order val="12"/>
          <tx>
            <v>bar s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'Geometry'!$AK$3:$AK$19</f>
            </numRef>
          </xVal>
          <yVal>
            <numRef>
              <f>'Geometry'!$AL$3:$AL$19</f>
            </numRef>
          </yVal>
          <smooth val="0"/>
        </ser>
        <ser>
          <idx val="13"/>
          <order val="13"/>
          <tx>
            <v>bar s 12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'Geometry'!$AN$3:$AN$19</f>
            </numRef>
          </xVal>
          <yVal>
            <numRef>
              <f>'Geometry'!$AO$3:$AO$19</f>
            </numRef>
          </yVal>
          <smooth val="0"/>
        </ser>
        <ser>
          <idx val="14"/>
          <order val="14"/>
          <tx>
            <v>bar s 13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'Geometry'!$AQ$3:$AQ$19</f>
            </numRef>
          </xVal>
          <yVal>
            <numRef>
              <f>'Geometry'!$AR$3:$AR$19</f>
            </numRef>
          </yVal>
          <smooth val="0"/>
        </ser>
        <ser>
          <idx val="15"/>
          <order val="15"/>
          <tx>
            <v>bar s 14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'Geometry'!$AT$3:$AT$19</f>
            </numRef>
          </xVal>
          <yVal>
            <numRef>
              <f>'Geometry'!$AU$3:$AU$19</f>
            </numRef>
          </yVal>
          <smooth val="0"/>
        </ser>
        <ser>
          <idx val="16"/>
          <order val="16"/>
          <tx>
            <v>bar s 15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'Geometry'!$AW$3:$AW$19</f>
            </numRef>
          </xVal>
          <yVal>
            <numRef>
              <f>'Geometry'!$AX$3:$AX$19</f>
            </numRef>
          </yVal>
          <smooth val="0"/>
        </ser>
        <ser>
          <idx val="17"/>
          <order val="17"/>
          <tx>
            <v>bar s 16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'Geometry'!$AZ$3:$AZ$19</f>
            </numRef>
          </xVal>
          <yVal>
            <numRef>
              <f>'Geometry'!$BA$3:$BA$19</f>
            </numRef>
          </yVal>
          <smooth val="0"/>
        </ser>
        <ser>
          <idx val="18"/>
          <order val="18"/>
          <tx>
            <v>bar s 17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'Geometry'!$BC$3:$BC$19</f>
            </numRef>
          </xVal>
          <yVal>
            <numRef>
              <f>'Geometry'!$BD$3:$BD$19</f>
            </numRef>
          </yVal>
          <smooth val="0"/>
        </ser>
        <ser>
          <idx val="19"/>
          <order val="19"/>
          <tx>
            <v>bar s 18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'Geometry'!$BF$3:$BF$19</f>
            </numRef>
          </xVal>
          <yVal>
            <numRef>
              <f>'Geometry'!$BG$3:$BG$19</f>
            </numRef>
          </yVal>
          <smooth val="0"/>
        </ser>
        <ser>
          <idx val="20"/>
          <order val="20"/>
          <tx>
            <v>bar s 19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'Geometry'!$BI$3:$BI$19</f>
            </numRef>
          </xVal>
          <yVal>
            <numRef>
              <f>'Geometry'!$BJ$3:$BJ$19</f>
            </numRef>
          </yVal>
          <smooth val="0"/>
        </ser>
        <ser>
          <idx val="21"/>
          <order val="21"/>
          <tx>
            <v>bar s 20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'Geometry'!$BL$3:$BL$19</f>
            </numRef>
          </xVal>
          <yVal>
            <numRef>
              <f>'Geometry'!$BM$3:$BM$19</f>
            </numRef>
          </yVal>
          <smooth val="0"/>
        </ser>
        <ser>
          <idx val="22"/>
          <order val="22"/>
          <tx>
            <v>bar s 21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'Geometry'!$BO$3:$BO$19</f>
            </numRef>
          </xVal>
          <yVal>
            <numRef>
              <f>'Geometry'!$BP$3:$BP$19</f>
            </numRef>
          </yVal>
          <smooth val="0"/>
        </ser>
        <ser>
          <idx val="23"/>
          <order val="23"/>
          <tx>
            <v>bar s 22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'Geometry'!$BR$3:$BR$19</f>
            </numRef>
          </xVal>
          <yVal>
            <numRef>
              <f>'Geometry'!$BS$3:$BS$19</f>
            </numRef>
          </yVal>
          <smooth val="0"/>
        </ser>
        <ser>
          <idx val="24"/>
          <order val="24"/>
          <tx>
            <v>bar s 23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'Geometry'!$BU$3:$BU$19</f>
            </numRef>
          </xVal>
          <yVal>
            <numRef>
              <f>'Geometry'!$BV$3:$BV$19</f>
            </numRef>
          </yVal>
          <smooth val="0"/>
        </ser>
        <ser>
          <idx val="25"/>
          <order val="25"/>
          <tx>
            <v>bar s 24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'Geometry'!$BX$3:$BX$19</f>
            </numRef>
          </xVal>
          <yVal>
            <numRef>
              <f>'Geometry'!$BY$3:$BY$19</f>
            </numRef>
          </yVal>
          <smooth val="0"/>
        </ser>
        <ser>
          <idx val="26"/>
          <order val="26"/>
          <tx>
            <v>bar s 25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'Geometry'!$CA$3:$CA$19</f>
            </numRef>
          </xVal>
          <yVal>
            <numRef>
              <f>'Geometry'!$CB$3:$CB$19</f>
            </numRef>
          </yVal>
          <smooth val="0"/>
        </ser>
        <ser>
          <idx val="27"/>
          <order val="27"/>
          <tx>
            <v>bar s 26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'Geometry'!$CD$3:$CD$19</f>
            </numRef>
          </xVal>
          <yVal>
            <numRef>
              <f>'Geometry'!$CE$3:$CE$19</f>
            </numRef>
          </yVal>
          <smooth val="0"/>
        </ser>
        <ser>
          <idx val="28"/>
          <order val="28"/>
          <tx>
            <v>bar s 27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'Geometry'!$CG$3:$CG$19</f>
            </numRef>
          </xVal>
          <yVal>
            <numRef>
              <f>'Geometry'!$CH$3:$CH$19</f>
            </numRef>
          </yVal>
          <smooth val="0"/>
        </ser>
        <ser>
          <idx val="29"/>
          <order val="29"/>
          <tx>
            <v>bar s 28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'Geometry'!$CJ$3:$CJ$19</f>
            </numRef>
          </xVal>
          <yVal>
            <numRef>
              <f>'Geometry'!$CK$3:$CK$19</f>
            </numRef>
          </yVal>
          <smooth val="0"/>
        </ser>
        <ser>
          <idx val="30"/>
          <order val="30"/>
          <tx>
            <v>bar s 29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'Geometry'!$CM$3:$CM$19</f>
            </numRef>
          </xVal>
          <yVal>
            <numRef>
              <f>'Geometry'!$CN$3:$CN$19</f>
            </numRef>
          </yVal>
          <smooth val="0"/>
        </ser>
        <ser>
          <idx val="31"/>
          <order val="31"/>
          <tx>
            <v>bar s 30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'Geometry'!$CP$3:$CP$19</f>
            </numRef>
          </xVal>
          <yVal>
            <numRef>
              <f>'Geometry'!$CQ$3:$CQ$19</f>
            </numRef>
          </yVal>
          <smooth val="0"/>
        </ser>
        <ser>
          <idx val="32"/>
          <order val="32"/>
          <tx>
            <v>bar s 31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'Geometry'!$CS$3:$CS$19</f>
            </numRef>
          </xVal>
          <yVal>
            <numRef>
              <f>'Geometry'!$CT$3:$CT$19</f>
            </numRef>
          </yVal>
          <smooth val="0"/>
        </ser>
        <ser>
          <idx val="33"/>
          <order val="33"/>
          <tx>
            <v>bar s 32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'Geometry'!$CV$3:$CV$19</f>
            </numRef>
          </xVal>
          <yVal>
            <numRef>
              <f>'Geometry'!$CW$3:$CW$19</f>
            </numRef>
          </yVal>
          <smooth val="0"/>
        </ser>
        <ser>
          <idx val="34"/>
          <order val="34"/>
          <tx>
            <v>bar s 33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'Geometry'!$CY$3:$CY$19</f>
            </numRef>
          </xVal>
          <yVal>
            <numRef>
              <f>'Geometry'!$CZ$3:$CZ$19</f>
            </numRef>
          </yVal>
          <smooth val="0"/>
        </ser>
        <ser>
          <idx val="35"/>
          <order val="35"/>
          <tx>
            <v>bar s 34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'Geometry'!$DB$3:$DB$19</f>
            </numRef>
          </xVal>
          <yVal>
            <numRef>
              <f>'Geometry'!$DC$3:$DC$19</f>
            </numRef>
          </yVal>
          <smooth val="0"/>
        </ser>
        <ser>
          <idx val="36"/>
          <order val="36"/>
          <tx>
            <v>bar s 35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'Geometry'!$DE$3:$DE$19</f>
            </numRef>
          </xVal>
          <yVal>
            <numRef>
              <f>'Geometry'!$DF$3:$DF$19</f>
            </numRef>
          </yVal>
          <smooth val="0"/>
        </ser>
        <ser>
          <idx val="37"/>
          <order val="37"/>
          <tx>
            <v>bar s 36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'Geometry'!$DH$3:$DH$19</f>
            </numRef>
          </xVal>
          <yVal>
            <numRef>
              <f>'Geometry'!$DI$3:$DI$19</f>
            </numRef>
          </yVal>
          <smooth val="0"/>
        </ser>
        <ser>
          <idx val="38"/>
          <order val="38"/>
          <tx>
            <v>bar s 37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'Geometry'!$DK$3:$DK$19</f>
            </numRef>
          </xVal>
          <yVal>
            <numRef>
              <f>'Geometry'!$DL$3:$DL$19</f>
            </numRef>
          </yVal>
          <smooth val="0"/>
        </ser>
        <ser>
          <idx val="39"/>
          <order val="39"/>
          <tx>
            <v>bar s 38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'Geometry'!$DN$3:$DN$19</f>
            </numRef>
          </xVal>
          <yVal>
            <numRef>
              <f>'Geometry'!$DO$3:$DO$19</f>
            </numRef>
          </yVal>
          <smooth val="0"/>
        </ser>
        <ser>
          <idx val="40"/>
          <order val="40"/>
          <tx>
            <v>bar s 39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'Geometry'!$DQ$3:$DQ$19</f>
            </numRef>
          </xVal>
          <yVal>
            <numRef>
              <f>'Geometry'!$DR$3:$DR$19</f>
            </numRef>
          </yVal>
          <smooth val="0"/>
        </ser>
        <ser>
          <idx val="41"/>
          <order val="41"/>
          <tx>
            <v>bar n 0</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'Geometry'!$DT$3:$DT$19</f>
            </numRef>
          </xVal>
          <yVal>
            <numRef>
              <f>'Geometry'!$DU$3:$DU$19</f>
            </numRef>
          </yVal>
          <smooth val="0"/>
        </ser>
        <ser>
          <idx val="42"/>
          <order val="42"/>
          <tx>
            <v>bar n 1</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'Geometry'!$DW$3:$DW$19</f>
            </numRef>
          </xVal>
          <yVal>
            <numRef>
              <f>'Geometry'!$DX$3:$DX$19</f>
            </numRef>
          </yVal>
          <smooth val="0"/>
        </ser>
        <ser>
          <idx val="43"/>
          <order val="43"/>
          <tx>
            <v>bar n 2</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'Geometry'!$DZ$3:$DZ$19</f>
            </numRef>
          </xVal>
          <yVal>
            <numRef>
              <f>'Geometry'!$EA$3:$EA$19</f>
            </numRef>
          </yVal>
          <smooth val="0"/>
        </ser>
        <ser>
          <idx val="44"/>
          <order val="44"/>
          <tx>
            <v>bar n 3</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'Geometry'!$EC$3:$EC$19</f>
            </numRef>
          </xVal>
          <yVal>
            <numRef>
              <f>'Geometry'!$ED$3:$ED$19</f>
            </numRef>
          </yVal>
          <smooth val="0"/>
        </ser>
        <ser>
          <idx val="45"/>
          <order val="45"/>
          <tx>
            <v>bar n 4</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'Geometry'!$EF$3:$EF$19</f>
            </numRef>
          </xVal>
          <yVal>
            <numRef>
              <f>'Geometry'!$EG$3:$EG$19</f>
            </numRef>
          </yVal>
          <smooth val="0"/>
        </ser>
        <ser>
          <idx val="46"/>
          <order val="46"/>
          <tx>
            <v>bar n 5</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'Geometry'!$EI$3:$EI$19</f>
            </numRef>
          </xVal>
          <yVal>
            <numRef>
              <f>'Geometry'!$EJ$3:$EJ$19</f>
            </numRef>
          </yVal>
          <smooth val="0"/>
        </ser>
        <ser>
          <idx val="47"/>
          <order val="47"/>
          <tx>
            <v>bar n 6</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'Geometry'!$EL$3:$EL$19</f>
            </numRef>
          </xVal>
          <yVal>
            <numRef>
              <f>'Geometry'!$EM$3:$EM$19</f>
            </numRef>
          </yVal>
          <smooth val="0"/>
        </ser>
        <ser>
          <idx val="48"/>
          <order val="48"/>
          <tx>
            <v>bar n 7</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'Geometry'!$EO$3:$EO$19</f>
            </numRef>
          </xVal>
          <yVal>
            <numRef>
              <f>'Geometry'!$EP$3:$EP$19</f>
            </numRef>
          </yVal>
          <smooth val="0"/>
        </ser>
        <ser>
          <idx val="49"/>
          <order val="49"/>
          <tx>
            <v>bar n 8</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'Geometry'!$ER$3:$ER$19</f>
            </numRef>
          </xVal>
          <yVal>
            <numRef>
              <f>'Geometry'!$ES$3:$ES$19</f>
            </numRef>
          </yVal>
          <smooth val="0"/>
        </ser>
        <ser>
          <idx val="50"/>
          <order val="50"/>
          <tx>
            <v>bar n 9</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'Geometry'!$EU$3:$EU$19</f>
            </numRef>
          </xVal>
          <yVal>
            <numRef>
              <f>'Geometry'!$EV$3:$EV$19</f>
            </numRef>
          </yVal>
          <smooth val="0"/>
        </ser>
        <ser>
          <idx val="51"/>
          <order val="51"/>
          <tx>
            <v>bar n 10</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'Geometry'!$EX$3:$EX$19</f>
            </numRef>
          </xVal>
          <yVal>
            <numRef>
              <f>'Geometry'!$EY$3:$EY$19</f>
            </numRef>
          </yVal>
          <smooth val="0"/>
        </ser>
        <ser>
          <idx val="52"/>
          <order val="52"/>
          <tx>
            <v>bar n 11</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'Geometry'!$FA$3:$FA$19</f>
            </numRef>
          </xVal>
          <yVal>
            <numRef>
              <f>'Geometry'!$FB$3:$FB$19</f>
            </numRef>
          </yVal>
          <smooth val="0"/>
        </ser>
        <ser>
          <idx val="53"/>
          <order val="53"/>
          <tx>
            <v>bar n 12</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'Geometry'!$FD$3:$FD$19</f>
            </numRef>
          </xVal>
          <yVal>
            <numRef>
              <f>'Geometry'!$FE$3:$FE$19</f>
            </numRef>
          </yVal>
          <smooth val="0"/>
        </ser>
        <ser>
          <idx val="54"/>
          <order val="54"/>
          <tx>
            <v>bar n 13</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'Geometry'!$FG$3:$FG$19</f>
            </numRef>
          </xVal>
          <yVal>
            <numRef>
              <f>'Geometry'!$FH$3:$FH$19</f>
            </numRef>
          </yVal>
          <smooth val="0"/>
        </ser>
        <ser>
          <idx val="55"/>
          <order val="55"/>
          <tx>
            <v>bar n 14</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'Geometry'!$FJ$3:$FJ$19</f>
            </numRef>
          </xVal>
          <yVal>
            <numRef>
              <f>'Geometry'!$FK$3:$FK$19</f>
            </numRef>
          </yVal>
          <smooth val="0"/>
        </ser>
        <ser>
          <idx val="56"/>
          <order val="56"/>
          <tx>
            <v>bar n 15</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'Geometry'!$FM$3:$FM$19</f>
            </numRef>
          </xVal>
          <yVal>
            <numRef>
              <f>'Geometry'!$FN$3:$FN$19</f>
            </numRef>
          </yVal>
          <smooth val="0"/>
        </ser>
        <ser>
          <idx val="57"/>
          <order val="57"/>
          <tx>
            <v>bar n 16</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'Geometry'!$FP$3:$FP$19</f>
            </numRef>
          </xVal>
          <yVal>
            <numRef>
              <f>'Geometry'!$FQ$3:$FQ$19</f>
            </numRef>
          </yVal>
          <smooth val="0"/>
        </ser>
        <ser>
          <idx val="58"/>
          <order val="58"/>
          <tx>
            <v>bar n 17</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'Geometry'!$FS$3:$FS$19</f>
            </numRef>
          </xVal>
          <yVal>
            <numRef>
              <f>'Geometry'!$FT$3:$FT$19</f>
            </numRef>
          </yVal>
          <smooth val="0"/>
        </ser>
        <ser>
          <idx val="59"/>
          <order val="59"/>
          <tx>
            <v>bar n 18</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'Geometry'!$FV$3:$FV$19</f>
            </numRef>
          </xVal>
          <yVal>
            <numRef>
              <f>'Geometry'!$FW$3:$FW$19</f>
            </numRef>
          </yVal>
          <smooth val="0"/>
        </ser>
        <ser>
          <idx val="60"/>
          <order val="60"/>
          <tx>
            <v>bar n 19</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'Geometry'!$FY$3:$FY$19</f>
            </numRef>
          </xVal>
          <yVal>
            <numRef>
              <f>'Geometry'!$FZ$3:$FZ$19</f>
            </numRef>
          </yVal>
          <smooth val="0"/>
        </ser>
        <ser>
          <idx val="61"/>
          <order val="6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'Geometry'!$GB$3:$GB$4</f>
            </numRef>
          </xVal>
          <yVal>
            <numRef>
              <f>'Geometry'!$GC$3:$GC$4</f>
            </numRef>
          </yVal>
          <smooth val="0"/>
        </ser>
        <ser>
          <idx val="62"/>
          <order val="62"/>
          <tx>
            <strRef>
              <f>'Geometry'!$GE$2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'Geometry'!$GE$3</f>
            </numRef>
          </xVal>
          <yVal>
            <numRef>
              <f>'Geometry'!$GF$3</f>
            </numRef>
          </yVal>
          <smooth val="0"/>
        </ser>
        <ser>
          <idx val="63"/>
          <order val="6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'Geometry'!$GH$3:$GH$4</f>
            </numRef>
          </xVal>
          <yVal>
            <numRef>
              <f>'Geometry'!$GI$3:$GI$4</f>
            </numRef>
          </yVal>
          <smooth val="0"/>
        </ser>
        <ser>
          <idx val="64"/>
          <order val="64"/>
          <tx>
            <strRef>
              <f>'Geometry'!$GK$2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'Geometry'!$GK$3</f>
            </numRef>
          </xVal>
          <yVal>
            <numRef>
              <f>'Geometry'!$GL$3</f>
            </numRef>
          </yVal>
          <smooth val="0"/>
        </ser>
        <ser>
          <idx val="65"/>
          <order val="65"/>
          <tx>
            <strRef>
              <f>'Geometry'!$GN$2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'Geometry'!$GN$3</f>
            </numRef>
          </xVal>
          <yVal>
            <numRef>
              <f>'Geometry'!$GO$3</f>
            </numRef>
          </yVal>
          <smooth val="0"/>
        </ser>
        <ser>
          <idx val="66"/>
          <order val="66"/>
          <tx>
            <strRef>
              <f>'Geometry'!$GQ$2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'Geometry'!$GQ$3</f>
            </numRef>
          </xVal>
          <yVal>
            <numRef>
              <f>'Geometry'!$GR$3</f>
            </numRef>
          </yVal>
          <smooth val="0"/>
        </ser>
        <ser>
          <idx val="67"/>
          <order val="67"/>
          <tx>
            <strRef>
              <f>'Geometry'!$GT$2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b"/>
            <showLegendKey val="0"/>
            <showVal val="0"/>
            <showCatName val="0"/>
            <showSerName val="1"/>
            <showPercent val="0"/>
          </dLbls>
          <xVal>
            <numRef>
              <f>'Geometry'!$GT$3</f>
            </numRef>
          </xVal>
          <yVal>
            <numRef>
              <f>'Geometry'!$GU$3</f>
            </numRef>
          </yVal>
          <smooth val="0"/>
        </ser>
        <ser>
          <idx val="68"/>
          <order val="68"/>
          <tx>
            <strRef>
              <f>'Geometry'!$GW$2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b"/>
            <showLegendKey val="0"/>
            <showVal val="0"/>
            <showCatName val="0"/>
            <showSerName val="1"/>
            <showPercent val="0"/>
          </dLbls>
          <xVal>
            <numRef>
              <f>'Geometry'!$GW$3</f>
            </numRef>
          </xVal>
          <yVal>
            <numRef>
              <f>'Geometry'!$GX$3</f>
            </numRef>
          </yVal>
          <smooth val="0"/>
        </ser>
        <ser>
          <idx val="69"/>
          <order val="69"/>
          <tx>
            <v>frame</v>
          </tx>
          <spPr>
            <a:ln xmlns:a="http://schemas.openxmlformats.org/drawingml/2006/main">
              <a:noFill/>
              <a:prstDash val="solid"/>
            </a:ln>
          </spPr>
          <marker>
            <symbol val="none"/>
            <spPr>
              <a:ln xmlns:a="http://schemas.openxmlformats.org/drawingml/2006/main">
                <a:prstDash val="solid"/>
              </a:ln>
            </spPr>
          </marker>
          <xVal>
            <numRef>
              <f>'Geometry'!$GZ$3:$GZ$4</f>
            </numRef>
          </xVal>
          <yVal>
            <numRef>
              <f>'Geometry'!$HA$3:$HA$4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37</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Bar areas</t>
        </is>
      </c>
    </row>
    <row r="8" ht="20" customHeight="1">
      <c r="B8" s="4" t="inlineStr">
        <is>
          <t>Reinforcement areas  ·  bars at a spacing or in a group  ·  mm² and cm²</t>
        </is>
      </c>
    </row>
    <row r="10">
      <c r="B10" s="5" t="inlineStr">
        <is>
          <t>Reference</t>
        </is>
      </c>
      <c r="C10" s="6" t="inlineStr">
        <is>
          <t>NAE-RC-010  ·  version 1.0</t>
        </is>
      </c>
    </row>
    <row r="11">
      <c r="B11" s="5" t="inlineStr">
        <is>
          <t>Standards</t>
        </is>
      </c>
      <c r="C11" s="6" t="inlineStr">
        <is>
          <t>Nominal bar sizes of BS 4449 / PN-EN 10080 (ribbed bars B500)</t>
        </is>
      </c>
    </row>
    <row r="12">
      <c r="B12" s="5" t="inlineStr">
        <is>
          <t>National Annex</t>
        </is>
      </c>
      <c r="C12" s="6" t="inlineStr">
        <is>
          <t>Not applicable</t>
        </is>
      </c>
    </row>
    <row r="13">
      <c r="B13" s="5" t="inlineStr">
        <is>
          <t>Issued</t>
        </is>
      </c>
      <c r="C13" s="6" t="inlineStr">
        <is>
          <t>30 October 2026</t>
        </is>
      </c>
    </row>
    <row r="15" ht="20" customHeight="1">
      <c r="B15" s="7" t="inlineStr">
        <is>
          <t>What it does</t>
        </is>
      </c>
      <c r="C15" s="8" t="n"/>
    </row>
    <row r="16" ht="33" customHeight="1">
      <c r="B16" s="9" t="inlineStr">
        <is>
          <t>A quick reference for reinforcement areas: bars at a spacing (slabs, walls) and groups of bars (beams, columns), with the reverse look-up from a required area and full tables for 6 to 40 mm bars.</t>
        </is>
      </c>
    </row>
    <row r="18" ht="20" customHeight="1">
      <c r="B18" s="7" t="inlineStr">
        <is>
          <t>How to use</t>
        </is>
      </c>
      <c r="C18" s="8" t="n"/>
    </row>
    <row r="19" ht="62" customHeight="1">
      <c r="B19" s="9" t="inlineStr">
        <is>
          <t>1.  Pick a bar size and a spacing: the area per metre width is shown in mm²/m and cm²/m.
2.  Pick a bar size and a number of bars: the area of the group in mm² and cm².
3.  Enter the area you need: the sheet gives the largest spacing and the smallest number of bars that provide it. The Tables sheet lists every size.</t>
        </is>
      </c>
    </row>
    <row r="21" ht="20" customHeight="1">
      <c r="B21" s="7" t="inlineStr">
        <is>
          <t>Scope and limitations</t>
        </is>
      </c>
      <c r="C21" s="8" t="n"/>
    </row>
    <row r="22" ht="33" customHeight="1">
      <c r="B22" s="9" t="inlineStr">
        <is>
          <t>Nominal cross-sectional areas π φ² / 4 and nominal masses 0.00617 φ² kg/m. Spacings are centre to centre. Minimum and maximum spacing and the bar size rules of EN 1992-1-1 (8.2, 9.2, 9.3) are not checked here.</t>
        </is>
      </c>
    </row>
    <row r="24" ht="20" customHeight="1">
      <c r="B24" s="7" t="inlineStr">
        <is>
          <t>Further reading and independent cross-check</t>
        </is>
      </c>
      <c r="C24" s="8" t="n"/>
    </row>
    <row r="25" ht="62" customHeight="1">
      <c r="B25" s="10" t="inlineStr">
        <is>
          <t>•  BS 4449 Table 7 (nominal areas and masses).
•  The Concrete Centre, Standard method of detailing structural concrete.
NA Engineering is not affiliated with The Concrete Centre or CIRIA; their publications are referenced for information only.</t>
        </is>
      </c>
    </row>
    <row r="27" ht="20" customHeight="1">
      <c r="B27" s="7" t="inlineStr">
        <is>
          <t>About NA Engineering</t>
        </is>
      </c>
      <c r="C27" s="8" t="n"/>
    </row>
    <row r="28" ht="62" customHeight="1">
      <c r="B28" s="9"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7" t="inlineStr">
        <is>
          <t>Disclaimer</t>
        </is>
      </c>
      <c r="C34" s="8"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7" t="inlineStr">
        <is>
          <t>Revision history</t>
        </is>
      </c>
      <c r="C37" s="8"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&amp;K8A8A8ANAE-RC-010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58"/>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Bar areas</t>
        </is>
      </c>
      <c r="H2" s="1" t="n"/>
    </row>
    <row r="3" ht="16" customHeight="1">
      <c r="A3" s="1" t="n"/>
      <c r="B3" s="1" t="n"/>
      <c r="C3" s="15" t="inlineStr">
        <is>
          <t>NAE-RC-010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Bars at a spacing  ·  slabs and walls</t>
        </is>
      </c>
      <c r="C10" s="21" t="n"/>
      <c r="D10" s="21" t="n"/>
      <c r="E10" s="21" t="n"/>
      <c r="F10" s="21" t="n"/>
      <c r="G10" s="22" t="inlineStr">
        <is>
          <t>Shaded cells only</t>
        </is>
      </c>
    </row>
    <row r="11" ht="17" customHeight="1">
      <c r="B11" s="23" t="n"/>
      <c r="C11" s="24" t="inlineStr">
        <is>
          <t>Bar diameter</t>
        </is>
      </c>
      <c r="D11" s="25" t="inlineStr">
        <is>
          <r>
            <rPr>
              <rFont val="Calibri"/>
              <i val="1"/>
              <color rgb="002B2B2B"/>
              <sz val="10"/>
            </rPr>
            <t>φ</t>
          </r>
        </is>
      </c>
      <c r="E11" s="26" t="n">
        <v>12</v>
      </c>
      <c r="F11" s="27" t="inlineStr">
        <is>
          <t>mm</t>
        </is>
      </c>
      <c r="G11" s="23" t="n"/>
    </row>
    <row r="12" ht="17" customHeight="1">
      <c r="B12" s="23" t="n"/>
      <c r="C12" s="24" t="inlineStr">
        <is>
          <t>Spacing  (centre to centre, 50 – 500)</t>
        </is>
      </c>
      <c r="D12" s="25" t="inlineStr">
        <is>
          <r>
            <rPr>
              <rFont val="Calibri"/>
              <i val="1"/>
              <color rgb="002B2B2B"/>
              <sz val="10"/>
            </rPr>
            <t>s</t>
          </r>
        </is>
      </c>
      <c r="E12" s="28" t="n">
        <v>200</v>
      </c>
      <c r="F12" s="27" t="inlineStr">
        <is>
          <t>mm</t>
        </is>
      </c>
      <c r="G12" s="23" t="n"/>
    </row>
    <row r="13" ht="26" customHeight="1">
      <c r="B13" s="29" t="n"/>
      <c r="C13" s="30" t="inlineStr">
        <is>
          <t>Area per metre width</t>
        </is>
      </c>
      <c r="D13" s="31" t="inlineStr">
        <is>
          <r>
            <rPr>
              <rFont val="Calibri"/>
              <i val="1"/>
              <color rgb="002B2B2B"/>
              <sz val="11"/>
            </rPr>
            <t>A</t>
          </r>
          <r>
            <rPr>
              <rFont val="Calibri"/>
              <i val="1"/>
              <color rgb="002B2B2B"/>
              <sz val="11"/>
              <vertAlign val="subscript"/>
            </rPr>
            <t>s</t>
          </r>
        </is>
      </c>
      <c r="E13" s="32">
        <f>IF(inputs_ok,As_s,"–")</f>
        <v/>
      </c>
      <c r="F13" s="33" t="inlineStr">
        <is>
          <t>mm²/m</t>
        </is>
      </c>
      <c r="G13" s="29" t="n"/>
    </row>
    <row r="14" ht="26" customHeight="1">
      <c r="B14" s="29" t="n"/>
      <c r="C14" s="30" t="inlineStr">
        <is>
          <t>Area per metre width</t>
        </is>
      </c>
      <c r="D14" s="31" t="inlineStr">
        <is>
          <r>
            <rPr>
              <rFont val="Calibri"/>
              <i val="1"/>
              <color rgb="002B2B2B"/>
              <sz val="11"/>
            </rPr>
            <t>A</t>
          </r>
          <r>
            <rPr>
              <rFont val="Calibri"/>
              <i val="1"/>
              <color rgb="002B2B2B"/>
              <sz val="11"/>
              <vertAlign val="subscript"/>
            </rPr>
            <t>s</t>
          </r>
        </is>
      </c>
      <c r="E14" s="34">
        <f>IF(inputs_ok,As_s/100,"–")</f>
        <v/>
      </c>
      <c r="F14" s="33" t="inlineStr">
        <is>
          <t>cm²/m</t>
        </is>
      </c>
      <c r="G14" s="29" t="n"/>
    </row>
    <row r="15" ht="17" customHeight="1">
      <c r="B15" s="23" t="n"/>
      <c r="C15" s="24" t="inlineStr">
        <is>
          <t>Area of one bar  π φ² / 4</t>
        </is>
      </c>
      <c r="D15" s="25" t="inlineStr">
        <is>
          <r>
            <rPr>
              <rFont val="Calibri"/>
              <i val="1"/>
              <color rgb="002B2B2B"/>
              <sz val="10"/>
            </rPr>
            <t>A</t>
          </r>
          <r>
            <rPr>
              <rFont val="Calibri"/>
              <i val="1"/>
              <color rgb="002B2B2B"/>
              <sz val="10"/>
              <vertAlign val="subscript"/>
            </rPr>
            <t>1</t>
          </r>
        </is>
      </c>
      <c r="E15" s="35">
        <f>IF(inputs_ok,PI()*phi_a^2/4,"–")</f>
        <v/>
      </c>
      <c r="F15" s="27" t="inlineStr">
        <is>
          <t>mm²</t>
        </is>
      </c>
      <c r="G15" s="23" t="n"/>
    </row>
    <row r="16" ht="17" customHeight="1">
      <c r="B16" s="23" t="n"/>
      <c r="C16" s="24" t="inlineStr">
        <is>
          <t>Area per metre  1000 A1 / s</t>
        </is>
      </c>
      <c r="D16" s="25" t="inlineStr">
        <is>
          <r>
            <rPr>
              <rFont val="Calibri"/>
              <i val="1"/>
              <color rgb="002B2B2B"/>
              <sz val="10"/>
            </rPr>
            <t>A</t>
          </r>
          <r>
            <rPr>
              <rFont val="Calibri"/>
              <i val="1"/>
              <color rgb="002B2B2B"/>
              <sz val="10"/>
              <vertAlign val="subscript"/>
            </rPr>
            <t>s</t>
          </r>
        </is>
      </c>
      <c r="E16" s="35">
        <f>IF(inputs_ok,1000*A_1a/s_a,"–")</f>
        <v/>
      </c>
      <c r="F16" s="27" t="inlineStr">
        <is>
          <t>mm²/m</t>
        </is>
      </c>
      <c r="G16" s="23" t="n"/>
    </row>
    <row r="17" ht="17" customHeight="1">
      <c r="B17" s="23" t="n"/>
      <c r="C17" s="24" t="inlineStr">
        <is>
          <t>Bars per metre  1000 / s</t>
        </is>
      </c>
      <c r="D17" s="25" t="inlineStr">
        <is>
          <r>
            <rPr>
              <rFont val="Calibri"/>
              <i val="1"/>
              <color rgb="002B2B2B"/>
              <sz val="10"/>
            </rPr>
            <t>n</t>
          </r>
        </is>
      </c>
      <c r="E17" s="36">
        <f>IF(inputs_ok,1000/s_a,"–")</f>
        <v/>
      </c>
      <c r="F17" s="27" t="inlineStr">
        <is>
          <t>/m</t>
        </is>
      </c>
      <c r="G17" s="23" t="n"/>
    </row>
    <row r="18" ht="17" customHeight="1">
      <c r="B18" s="23" t="n"/>
      <c r="C18" s="24" t="inlineStr">
        <is>
          <t>Mass per square metre, one layer  0.00617 φ² · 1000 / s</t>
        </is>
      </c>
      <c r="D18" s="25" t="inlineStr">
        <is>
          <r>
            <rPr>
              <rFont val="Calibri"/>
              <i val="1"/>
              <color rgb="002B2B2B"/>
              <sz val="10"/>
            </rPr>
            <t>m</t>
          </r>
        </is>
      </c>
      <c r="E18" s="36">
        <f>IF(inputs_ok,0.00617*phi_a^2*1000/s_a,"–")</f>
        <v/>
      </c>
      <c r="F18" s="27" t="inlineStr">
        <is>
          <t>kg/m²</t>
        </is>
      </c>
      <c r="G18" s="23" t="n"/>
    </row>
    <row r="20" ht="22" customHeight="1">
      <c r="B20" s="20" t="inlineStr">
        <is>
          <t>A group of bars  ·  beams and columns</t>
        </is>
      </c>
      <c r="C20" s="21" t="n"/>
      <c r="D20" s="21" t="n"/>
      <c r="E20" s="21" t="n"/>
      <c r="F20" s="21" t="n"/>
      <c r="G20" s="21" t="n"/>
    </row>
    <row r="21" ht="17" customHeight="1">
      <c r="B21" s="23" t="n"/>
      <c r="C21" s="24" t="inlineStr">
        <is>
          <t>Bar diameter</t>
        </is>
      </c>
      <c r="D21" s="25" t="inlineStr">
        <is>
          <r>
            <rPr>
              <rFont val="Calibri"/>
              <i val="1"/>
              <color rgb="002B2B2B"/>
              <sz val="10"/>
            </rPr>
            <t>φ</t>
          </r>
        </is>
      </c>
      <c r="E21" s="26" t="n">
        <v>16</v>
      </c>
      <c r="F21" s="27" t="inlineStr">
        <is>
          <t>mm</t>
        </is>
      </c>
      <c r="G21" s="23" t="n"/>
    </row>
    <row r="22" ht="17" customHeight="1">
      <c r="B22" s="23" t="n"/>
      <c r="C22" s="24" t="inlineStr">
        <is>
          <t>Number of bars  (1 – 20)</t>
        </is>
      </c>
      <c r="D22" s="25" t="inlineStr">
        <is>
          <r>
            <rPr>
              <rFont val="Calibri"/>
              <i val="1"/>
              <color rgb="002B2B2B"/>
              <sz val="10"/>
            </rPr>
            <t>n</t>
          </r>
        </is>
      </c>
      <c r="E22" s="26" t="n">
        <v>4</v>
      </c>
      <c r="F22" s="23" t="n"/>
      <c r="G22" s="23" t="n"/>
    </row>
    <row r="23" ht="26" customHeight="1">
      <c r="B23" s="29" t="n"/>
      <c r="C23" s="30" t="inlineStr">
        <is>
          <t>Area of the group</t>
        </is>
      </c>
      <c r="D23" s="31" t="inlineStr">
        <is>
          <r>
            <rPr>
              <rFont val="Calibri"/>
              <i val="1"/>
              <color rgb="002B2B2B"/>
              <sz val="11"/>
            </rPr>
            <t>A</t>
          </r>
          <r>
            <rPr>
              <rFont val="Calibri"/>
              <i val="1"/>
              <color rgb="002B2B2B"/>
              <sz val="11"/>
              <vertAlign val="subscript"/>
            </rPr>
            <t>s</t>
          </r>
        </is>
      </c>
      <c r="E23" s="32">
        <f>IF(inputs_ok,As_n,"–")</f>
        <v/>
      </c>
      <c r="F23" s="33" t="inlineStr">
        <is>
          <t>mm²</t>
        </is>
      </c>
      <c r="G23" s="29" t="n"/>
    </row>
    <row r="24" ht="26" customHeight="1">
      <c r="B24" s="29" t="n"/>
      <c r="C24" s="30" t="inlineStr">
        <is>
          <t>Area of the group</t>
        </is>
      </c>
      <c r="D24" s="31" t="inlineStr">
        <is>
          <r>
            <rPr>
              <rFont val="Calibri"/>
              <i val="1"/>
              <color rgb="002B2B2B"/>
              <sz val="11"/>
            </rPr>
            <t>A</t>
          </r>
          <r>
            <rPr>
              <rFont val="Calibri"/>
              <i val="1"/>
              <color rgb="002B2B2B"/>
              <sz val="11"/>
              <vertAlign val="subscript"/>
            </rPr>
            <t>s</t>
          </r>
        </is>
      </c>
      <c r="E24" s="34">
        <f>IF(inputs_ok,As_n/100,"–")</f>
        <v/>
      </c>
      <c r="F24" s="33" t="inlineStr">
        <is>
          <t>cm²</t>
        </is>
      </c>
      <c r="G24" s="29" t="n"/>
    </row>
    <row r="25" ht="17" customHeight="1">
      <c r="B25" s="23" t="n"/>
      <c r="C25" s="24" t="inlineStr">
        <is>
          <t>Area  n π φ² / 4</t>
        </is>
      </c>
      <c r="D25" s="25" t="inlineStr">
        <is>
          <r>
            <rPr>
              <rFont val="Calibri"/>
              <i val="1"/>
              <color rgb="002B2B2B"/>
              <sz val="10"/>
            </rPr>
            <t>A</t>
          </r>
          <r>
            <rPr>
              <rFont val="Calibri"/>
              <i val="1"/>
              <color rgb="002B2B2B"/>
              <sz val="10"/>
              <vertAlign val="subscript"/>
            </rPr>
            <t>s</t>
          </r>
        </is>
      </c>
      <c r="E25" s="35">
        <f>IF(inputs_ok,n_a*PI()*phi_n^2/4,"–")</f>
        <v/>
      </c>
      <c r="F25" s="27" t="inlineStr">
        <is>
          <t>mm²</t>
        </is>
      </c>
      <c r="G25" s="23" t="n"/>
    </row>
    <row r="26" ht="17" customHeight="1">
      <c r="B26" s="23" t="n"/>
      <c r="C26" s="24" t="inlineStr">
        <is>
          <t>Mass per metre  0.00617 n φ²</t>
        </is>
      </c>
      <c r="D26" s="25" t="inlineStr">
        <is>
          <r>
            <rPr>
              <rFont val="Calibri"/>
              <i val="1"/>
              <color rgb="002B2B2B"/>
              <sz val="10"/>
            </rPr>
            <t>m</t>
          </r>
        </is>
      </c>
      <c r="E26" s="36">
        <f>IF(inputs_ok,0.00617*n_a*phi_n^2,"–")</f>
        <v/>
      </c>
      <c r="F26" s="27" t="inlineStr">
        <is>
          <t>kg/m</t>
        </is>
      </c>
      <c r="G26" s="23" t="n"/>
    </row>
    <row r="28" ht="22" customHeight="1">
      <c r="B28" s="20" t="inlineStr">
        <is>
          <t>From a required area</t>
        </is>
      </c>
      <c r="C28" s="21" t="n"/>
      <c r="D28" s="21" t="n"/>
      <c r="E28" s="21" t="n"/>
      <c r="F28" s="21" t="n"/>
      <c r="G28" s="21" t="n"/>
    </row>
    <row r="29" ht="17" customHeight="1">
      <c r="B29" s="23" t="n"/>
      <c r="C29" s="24" t="inlineStr">
        <is>
          <t>Required area per metre  (for the bar size above)</t>
        </is>
      </c>
      <c r="D29" s="25" t="inlineStr">
        <is>
          <r>
            <rPr>
              <rFont val="Calibri"/>
              <i val="1"/>
              <color rgb="002B2B2B"/>
              <sz val="10"/>
            </rPr>
            <t>A</t>
          </r>
          <r>
            <rPr>
              <rFont val="Calibri"/>
              <i val="1"/>
              <color rgb="002B2B2B"/>
              <sz val="10"/>
              <vertAlign val="subscript"/>
            </rPr>
            <t>s,req</t>
          </r>
        </is>
      </c>
      <c r="E29" s="28" t="n">
        <v>500</v>
      </c>
      <c r="F29" s="27" t="inlineStr">
        <is>
          <t>mm²/m</t>
        </is>
      </c>
      <c r="G29" s="23" t="n"/>
    </row>
    <row r="30" ht="17" customHeight="1">
      <c r="B30" s="23" t="n"/>
      <c r="C30" s="24" t="inlineStr">
        <is>
          <t>Required area of a group  (for the bar size above)</t>
        </is>
      </c>
      <c r="D30" s="25" t="inlineStr">
        <is>
          <r>
            <rPr>
              <rFont val="Calibri"/>
              <i val="1"/>
              <color rgb="002B2B2B"/>
              <sz val="10"/>
            </rPr>
            <t>A</t>
          </r>
          <r>
            <rPr>
              <rFont val="Calibri"/>
              <i val="1"/>
              <color rgb="002B2B2B"/>
              <sz val="10"/>
              <vertAlign val="subscript"/>
            </rPr>
            <t>s,req</t>
          </r>
        </is>
      </c>
      <c r="E30" s="28" t="n">
        <v>900</v>
      </c>
      <c r="F30" s="27" t="inlineStr">
        <is>
          <t>mm²</t>
        </is>
      </c>
      <c r="G30" s="23" t="n"/>
    </row>
    <row r="31" ht="17" customHeight="1">
      <c r="B31" s="37" t="inlineStr">
        <is>
          <t>8.2(2)</t>
        </is>
      </c>
      <c r="C31" s="24" t="inlineStr">
        <is>
          <t>Largest spacing  1000 A1 / As,req  (down to 25 mm, ≤ 500, clear gap ≥ max(φ, 20))</t>
        </is>
      </c>
      <c r="D31" s="25" t="inlineStr">
        <is>
          <r>
            <rPr>
              <rFont val="Calibri"/>
              <i val="1"/>
              <color rgb="002B2B2B"/>
              <sz val="10"/>
            </rPr>
            <t>s</t>
          </r>
          <r>
            <rPr>
              <rFont val="Calibri"/>
              <i val="1"/>
              <color rgb="002B2B2B"/>
              <sz val="10"/>
              <vertAlign val="subscript"/>
            </rPr>
            <t>max</t>
          </r>
        </is>
      </c>
      <c r="E31" s="38">
        <f>IF(inputs_ok,IF(MIN(500,FLOOR(1000*A_1a/As_req_m,25))-phi_a&gt;=MAX(phi_a,20),MIN(500,FLOOR(1000*A_1a/As_req_m,25)),"none: use a larger bar"),"–")</f>
        <v/>
      </c>
      <c r="F31" s="27" t="inlineStr">
        <is>
          <t>mm</t>
        </is>
      </c>
      <c r="G31" s="23" t="n"/>
    </row>
    <row r="32" ht="17" customHeight="1">
      <c r="B32" s="23" t="n"/>
      <c r="C32" s="24" t="inlineStr">
        <is>
          <t>Area at that spacing</t>
        </is>
      </c>
      <c r="D32" s="25" t="inlineStr">
        <is>
          <r>
            <rPr>
              <rFont val="Calibri"/>
              <i val="1"/>
              <color rgb="002B2B2B"/>
              <sz val="10"/>
            </rPr>
            <t>A</t>
          </r>
          <r>
            <rPr>
              <rFont val="Calibri"/>
              <i val="1"/>
              <color rgb="002B2B2B"/>
              <sz val="10"/>
              <vertAlign val="subscript"/>
            </rPr>
            <t>s</t>
          </r>
        </is>
      </c>
      <c r="E32" s="39">
        <f>IF(ISNUMBER(s_need),1000*A_1a/s_need,"–")</f>
        <v/>
      </c>
      <c r="F32" s="27" t="inlineStr">
        <is>
          <t>mm²/m</t>
        </is>
      </c>
      <c r="G32" s="23" t="n"/>
    </row>
    <row r="33" ht="17" customHeight="1">
      <c r="B33" s="23" t="n"/>
      <c r="C33" s="24" t="inlineStr">
        <is>
          <t>Smallest number of bars  As,req / A1, rounded up</t>
        </is>
      </c>
      <c r="D33" s="25" t="inlineStr">
        <is>
          <r>
            <rPr>
              <rFont val="Calibri"/>
              <i val="1"/>
              <color rgb="002B2B2B"/>
              <sz val="10"/>
            </rPr>
            <t>n</t>
          </r>
          <r>
            <rPr>
              <rFont val="Calibri"/>
              <i val="1"/>
              <color rgb="002B2B2B"/>
              <sz val="10"/>
              <vertAlign val="subscript"/>
            </rPr>
            <t>min</t>
          </r>
        </is>
      </c>
      <c r="E33" s="38">
        <f>IF(inputs_ok,CEILING(As_req_n/(PI()*phi_n^2/4),1),"–")</f>
        <v/>
      </c>
      <c r="F33" s="23" t="n"/>
      <c r="G33" s="23" t="n"/>
    </row>
    <row r="34" ht="17" customHeight="1">
      <c r="B34" s="23" t="n"/>
      <c r="C34" s="24" t="inlineStr">
        <is>
          <t>Area of those bars</t>
        </is>
      </c>
      <c r="D34" s="25" t="inlineStr">
        <is>
          <r>
            <rPr>
              <rFont val="Calibri"/>
              <i val="1"/>
              <color rgb="002B2B2B"/>
              <sz val="10"/>
            </rPr>
            <t>A</t>
          </r>
          <r>
            <rPr>
              <rFont val="Calibri"/>
              <i val="1"/>
              <color rgb="002B2B2B"/>
              <sz val="10"/>
              <vertAlign val="subscript"/>
            </rPr>
            <t>s</t>
          </r>
        </is>
      </c>
      <c r="E34" s="39">
        <f>IF(ISNUMBER(n_need),n_need*PI()*phi_n^2/4,"–")</f>
        <v/>
      </c>
      <c r="F34" s="27" t="inlineStr">
        <is>
          <t>mm²</t>
        </is>
      </c>
      <c r="G34" s="23" t="n"/>
    </row>
    <row r="35" ht="17" customHeight="1">
      <c r="B35" s="23" t="n"/>
      <c r="C35" s="24" t="inlineStr">
        <is>
          <t>Inputs valid and consistent</t>
        </is>
      </c>
      <c r="D35" s="23" t="n"/>
      <c r="E35" s="8" t="n"/>
      <c r="F35" s="23" t="n"/>
      <c r="G35" s="40">
        <f>IF(inputs_ok,"OK","FAIL")</f>
        <v/>
      </c>
    </row>
    <row r="37">
      <c r="B37" s="41" t="inlineStr">
        <is>
          <t>Your bars, to scale  ·  top: 1 m strip at spacing s  ·  bottom: n bars</t>
        </is>
      </c>
    </row>
    <row r="58" ht="29" customHeight="1">
      <c r="B58" s="42"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6">
    <mergeCell ref="E5:G5"/>
    <mergeCell ref="B58:G58"/>
    <mergeCell ref="D2:G2"/>
    <mergeCell ref="E7:G7"/>
    <mergeCell ref="E6:G6"/>
    <mergeCell ref="C3:G3"/>
  </mergeCells>
  <conditionalFormatting sqref="G9:G59">
    <cfRule type="expression" priority="1" dxfId="0">
      <formula>G9="OK"</formula>
    </cfRule>
    <cfRule type="expression" priority="2" dxfId="1">
      <formula>G9="FAIL"</formula>
    </cfRule>
    <cfRule type="expression" priority="3" dxfId="2">
      <formula>LEFT(G9,1)="!"</formula>
    </cfRule>
  </conditionalFormatting>
  <dataValidations count="5">
    <dataValidation sqref="E11 E21" showDropDown="0" showInputMessage="0" showErrorMessage="1" allowBlank="0" errorTitle="NA Engineering" error="Pick a value from the list." type="list" errorStyle="stop">
      <formula1>"6,8,10,12,16,20,25,32,40"</formula1>
    </dataValidation>
    <dataValidation sqref="E12"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Pick a value from the list." type="list" errorStyle="stop">
      <formula1>"1,2,3,4,5,6,7,8,9,10,11,12,13,14,15,16,17,18,19,20"</formula1>
    </dataValidation>
    <dataValidation sqref="E29"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&amp;K8A8A8ANAE-RC-010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A19"/>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strip</t>
        </is>
      </c>
      <c r="D2" t="inlineStr">
        <is>
          <t>bar s 0</t>
        </is>
      </c>
      <c r="G2" t="inlineStr">
        <is>
          <t>bar s 1</t>
        </is>
      </c>
      <c r="J2" t="inlineStr">
        <is>
          <t>bar s 2</t>
        </is>
      </c>
      <c r="M2" t="inlineStr">
        <is>
          <t>bar s 3</t>
        </is>
      </c>
      <c r="P2" t="inlineStr">
        <is>
          <t>bar s 4</t>
        </is>
      </c>
      <c r="S2" t="inlineStr">
        <is>
          <t>bar s 5</t>
        </is>
      </c>
      <c r="V2" t="inlineStr">
        <is>
          <t>bar s 6</t>
        </is>
      </c>
      <c r="Y2" t="inlineStr">
        <is>
          <t>bar s 7</t>
        </is>
      </c>
      <c r="AB2" t="inlineStr">
        <is>
          <t>bar s 8</t>
        </is>
      </c>
      <c r="AE2" t="inlineStr">
        <is>
          <t>bar s 9</t>
        </is>
      </c>
      <c r="AH2" t="inlineStr">
        <is>
          <t>bar s 10</t>
        </is>
      </c>
      <c r="AK2" t="inlineStr">
        <is>
          <t>bar s 11</t>
        </is>
      </c>
      <c r="AN2" t="inlineStr">
        <is>
          <t>bar s 12</t>
        </is>
      </c>
      <c r="AQ2" t="inlineStr">
        <is>
          <t>bar s 13</t>
        </is>
      </c>
      <c r="AT2" t="inlineStr">
        <is>
          <t>bar s 14</t>
        </is>
      </c>
      <c r="AW2" t="inlineStr">
        <is>
          <t>bar s 15</t>
        </is>
      </c>
      <c r="AZ2" t="inlineStr">
        <is>
          <t>bar s 16</t>
        </is>
      </c>
      <c r="BC2" t="inlineStr">
        <is>
          <t>bar s 17</t>
        </is>
      </c>
      <c r="BF2" t="inlineStr">
        <is>
          <t>bar s 18</t>
        </is>
      </c>
      <c r="BI2" t="inlineStr">
        <is>
          <t>bar s 19</t>
        </is>
      </c>
      <c r="BL2" t="inlineStr">
        <is>
          <t>bar s 20</t>
        </is>
      </c>
      <c r="BO2" t="inlineStr">
        <is>
          <t>bar s 21</t>
        </is>
      </c>
      <c r="BR2" t="inlineStr">
        <is>
          <t>bar s 22</t>
        </is>
      </c>
      <c r="BU2" t="inlineStr">
        <is>
          <t>bar s 23</t>
        </is>
      </c>
      <c r="BX2" t="inlineStr">
        <is>
          <t>bar s 24</t>
        </is>
      </c>
      <c r="CA2" t="inlineStr">
        <is>
          <t>bar s 25</t>
        </is>
      </c>
      <c r="CD2" t="inlineStr">
        <is>
          <t>bar s 26</t>
        </is>
      </c>
      <c r="CG2" t="inlineStr">
        <is>
          <t>bar s 27</t>
        </is>
      </c>
      <c r="CJ2" t="inlineStr">
        <is>
          <t>bar s 28</t>
        </is>
      </c>
      <c r="CM2" t="inlineStr">
        <is>
          <t>bar s 29</t>
        </is>
      </c>
      <c r="CP2" t="inlineStr">
        <is>
          <t>bar s 30</t>
        </is>
      </c>
      <c r="CS2" t="inlineStr">
        <is>
          <t>bar s 31</t>
        </is>
      </c>
      <c r="CV2" t="inlineStr">
        <is>
          <t>bar s 32</t>
        </is>
      </c>
      <c r="CY2" t="inlineStr">
        <is>
          <t>bar s 33</t>
        </is>
      </c>
      <c r="DB2" t="inlineStr">
        <is>
          <t>bar s 34</t>
        </is>
      </c>
      <c r="DE2" t="inlineStr">
        <is>
          <t>bar s 35</t>
        </is>
      </c>
      <c r="DH2" t="inlineStr">
        <is>
          <t>bar s 36</t>
        </is>
      </c>
      <c r="DK2" t="inlineStr">
        <is>
          <t>bar s 37</t>
        </is>
      </c>
      <c r="DN2" t="inlineStr">
        <is>
          <t>bar s 38</t>
        </is>
      </c>
      <c r="DQ2" t="inlineStr">
        <is>
          <t>bar s 39</t>
        </is>
      </c>
      <c r="DT2" t="inlineStr">
        <is>
          <t>bar n 0</t>
        </is>
      </c>
      <c r="DW2" t="inlineStr">
        <is>
          <t>bar n 1</t>
        </is>
      </c>
      <c r="DZ2" t="inlineStr">
        <is>
          <t>bar n 2</t>
        </is>
      </c>
      <c r="EC2" t="inlineStr">
        <is>
          <t>bar n 3</t>
        </is>
      </c>
      <c r="EF2" t="inlineStr">
        <is>
          <t>bar n 4</t>
        </is>
      </c>
      <c r="EI2" t="inlineStr">
        <is>
          <t>bar n 5</t>
        </is>
      </c>
      <c r="EL2" t="inlineStr">
        <is>
          <t>bar n 6</t>
        </is>
      </c>
      <c r="EO2" t="inlineStr">
        <is>
          <t>bar n 7</t>
        </is>
      </c>
      <c r="ER2" t="inlineStr">
        <is>
          <t>bar n 8</t>
        </is>
      </c>
      <c r="EU2" t="inlineStr">
        <is>
          <t>bar n 9</t>
        </is>
      </c>
      <c r="EX2" t="inlineStr">
        <is>
          <t>bar n 10</t>
        </is>
      </c>
      <c r="FA2" t="inlineStr">
        <is>
          <t>bar n 11</t>
        </is>
      </c>
      <c r="FD2" t="inlineStr">
        <is>
          <t>bar n 12</t>
        </is>
      </c>
      <c r="FG2" t="inlineStr">
        <is>
          <t>bar n 13</t>
        </is>
      </c>
      <c r="FJ2" t="inlineStr">
        <is>
          <t>bar n 14</t>
        </is>
      </c>
      <c r="FM2" t="inlineStr">
        <is>
          <t>bar n 15</t>
        </is>
      </c>
      <c r="FP2" t="inlineStr">
        <is>
          <t>bar n 16</t>
        </is>
      </c>
      <c r="FS2" t="inlineStr">
        <is>
          <t>bar n 17</t>
        </is>
      </c>
      <c r="FV2" t="inlineStr">
        <is>
          <t>bar n 18</t>
        </is>
      </c>
      <c r="FY2" t="inlineStr">
        <is>
          <t>bar n 19</t>
        </is>
      </c>
      <c r="GB2" t="inlineStr">
        <is>
          <t>dim</t>
        </is>
      </c>
      <c r="GE2">
        <f>"1000 mm"</f>
        <v/>
      </c>
      <c r="GH2" t="inlineStr">
        <is>
          <t>dim</t>
        </is>
      </c>
      <c r="GK2">
        <f>"s = "&amp;s_a</f>
        <v/>
      </c>
      <c r="GN2">
        <f>IF(inputs_ok,"φ"&amp;phi_a&amp;" @ "&amp;s_a&amp;" = "&amp;TEXT(As_s,"0")&amp;" mm²/m","check the inputs")</f>
        <v/>
      </c>
      <c r="GQ2">
        <f>IF(inputs_ok,"= "&amp;TEXT(As_s/100,"0.00")&amp;" cm²/m","")</f>
        <v/>
      </c>
      <c r="GT2">
        <f>IF(inputs_ok,n_a&amp;" × φ"&amp;phi_n&amp;" = "&amp;TEXT(As_n,"0")&amp;" mm²","")</f>
        <v/>
      </c>
      <c r="GW2">
        <f>IF(inputs_ok,"= "&amp;TEXT(As_n/100,"0.00")&amp;" cm²","")</f>
        <v/>
      </c>
      <c r="GZ2" t="inlineStr">
        <is>
          <t>frame</t>
        </is>
      </c>
    </row>
    <row r="3">
      <c r="A3">
        <f>0</f>
        <v/>
      </c>
      <c r="B3">
        <f>0</f>
        <v/>
      </c>
      <c r="D3">
        <f>IF(AND(inputs_ok,s_a/2+0*s_a&lt;1000),(s_a/2+0*s_a)+(phi_a/2)*1.000000,NA())</f>
        <v/>
      </c>
      <c r="E3">
        <f>IF(AND(inputs_ok,s_a/2+0*s_a&lt;1000),(60)+(phi_a/2)*0.000000,NA())</f>
        <v/>
      </c>
      <c r="G3">
        <f>IF(AND(inputs_ok,s_a/2+1*s_a&lt;1000),(s_a/2+1*s_a)+(phi_a/2)*1.000000,NA())</f>
        <v/>
      </c>
      <c r="H3">
        <f>IF(AND(inputs_ok,s_a/2+1*s_a&lt;1000),(60)+(phi_a/2)*0.000000,NA())</f>
        <v/>
      </c>
      <c r="J3">
        <f>IF(AND(inputs_ok,s_a/2+2*s_a&lt;1000),(s_a/2+2*s_a)+(phi_a/2)*1.000000,NA())</f>
        <v/>
      </c>
      <c r="K3">
        <f>IF(AND(inputs_ok,s_a/2+2*s_a&lt;1000),(60)+(phi_a/2)*0.000000,NA())</f>
        <v/>
      </c>
      <c r="M3">
        <f>IF(AND(inputs_ok,s_a/2+3*s_a&lt;1000),(s_a/2+3*s_a)+(phi_a/2)*1.000000,NA())</f>
        <v/>
      </c>
      <c r="N3">
        <f>IF(AND(inputs_ok,s_a/2+3*s_a&lt;1000),(60)+(phi_a/2)*0.000000,NA())</f>
        <v/>
      </c>
      <c r="P3">
        <f>IF(AND(inputs_ok,s_a/2+4*s_a&lt;1000),(s_a/2+4*s_a)+(phi_a/2)*1.000000,NA())</f>
        <v/>
      </c>
      <c r="Q3">
        <f>IF(AND(inputs_ok,s_a/2+4*s_a&lt;1000),(60)+(phi_a/2)*0.000000,NA())</f>
        <v/>
      </c>
      <c r="S3">
        <f>IF(AND(inputs_ok,s_a/2+5*s_a&lt;1000),(s_a/2+5*s_a)+(phi_a/2)*1.000000,NA())</f>
        <v/>
      </c>
      <c r="T3">
        <f>IF(AND(inputs_ok,s_a/2+5*s_a&lt;1000),(60)+(phi_a/2)*0.000000,NA())</f>
        <v/>
      </c>
      <c r="V3">
        <f>IF(AND(inputs_ok,s_a/2+6*s_a&lt;1000),(s_a/2+6*s_a)+(phi_a/2)*1.000000,NA())</f>
        <v/>
      </c>
      <c r="W3">
        <f>IF(AND(inputs_ok,s_a/2+6*s_a&lt;1000),(60)+(phi_a/2)*0.000000,NA())</f>
        <v/>
      </c>
      <c r="Y3">
        <f>IF(AND(inputs_ok,s_a/2+7*s_a&lt;1000),(s_a/2+7*s_a)+(phi_a/2)*1.000000,NA())</f>
        <v/>
      </c>
      <c r="Z3">
        <f>IF(AND(inputs_ok,s_a/2+7*s_a&lt;1000),(60)+(phi_a/2)*0.000000,NA())</f>
        <v/>
      </c>
      <c r="AB3">
        <f>IF(AND(inputs_ok,s_a/2+8*s_a&lt;1000),(s_a/2+8*s_a)+(phi_a/2)*1.000000,NA())</f>
        <v/>
      </c>
      <c r="AC3">
        <f>IF(AND(inputs_ok,s_a/2+8*s_a&lt;1000),(60)+(phi_a/2)*0.000000,NA())</f>
        <v/>
      </c>
      <c r="AE3">
        <f>IF(AND(inputs_ok,s_a/2+9*s_a&lt;1000),(s_a/2+9*s_a)+(phi_a/2)*1.000000,NA())</f>
        <v/>
      </c>
      <c r="AF3">
        <f>IF(AND(inputs_ok,s_a/2+9*s_a&lt;1000),(60)+(phi_a/2)*0.000000,NA())</f>
        <v/>
      </c>
      <c r="AH3">
        <f>IF(AND(inputs_ok,s_a/2+10*s_a&lt;1000),(s_a/2+10*s_a)+(phi_a/2)*1.000000,NA())</f>
        <v/>
      </c>
      <c r="AI3">
        <f>IF(AND(inputs_ok,s_a/2+10*s_a&lt;1000),(60)+(phi_a/2)*0.000000,NA())</f>
        <v/>
      </c>
      <c r="AK3">
        <f>IF(AND(inputs_ok,s_a/2+11*s_a&lt;1000),(s_a/2+11*s_a)+(phi_a/2)*1.000000,NA())</f>
        <v/>
      </c>
      <c r="AL3">
        <f>IF(AND(inputs_ok,s_a/2+11*s_a&lt;1000),(60)+(phi_a/2)*0.000000,NA())</f>
        <v/>
      </c>
      <c r="AN3">
        <f>IF(AND(inputs_ok,s_a/2+12*s_a&lt;1000),(s_a/2+12*s_a)+(phi_a/2)*1.000000,NA())</f>
        <v/>
      </c>
      <c r="AO3">
        <f>IF(AND(inputs_ok,s_a/2+12*s_a&lt;1000),(60)+(phi_a/2)*0.000000,NA())</f>
        <v/>
      </c>
      <c r="AQ3">
        <f>IF(AND(inputs_ok,s_a/2+13*s_a&lt;1000),(s_a/2+13*s_a)+(phi_a/2)*1.000000,NA())</f>
        <v/>
      </c>
      <c r="AR3">
        <f>IF(AND(inputs_ok,s_a/2+13*s_a&lt;1000),(60)+(phi_a/2)*0.000000,NA())</f>
        <v/>
      </c>
      <c r="AT3">
        <f>IF(AND(inputs_ok,s_a/2+14*s_a&lt;1000),(s_a/2+14*s_a)+(phi_a/2)*1.000000,NA())</f>
        <v/>
      </c>
      <c r="AU3">
        <f>IF(AND(inputs_ok,s_a/2+14*s_a&lt;1000),(60)+(phi_a/2)*0.000000,NA())</f>
        <v/>
      </c>
      <c r="AW3">
        <f>IF(AND(inputs_ok,s_a/2+15*s_a&lt;1000),(s_a/2+15*s_a)+(phi_a/2)*1.000000,NA())</f>
        <v/>
      </c>
      <c r="AX3">
        <f>IF(AND(inputs_ok,s_a/2+15*s_a&lt;1000),(60)+(phi_a/2)*0.000000,NA())</f>
        <v/>
      </c>
      <c r="AZ3">
        <f>IF(AND(inputs_ok,s_a/2+16*s_a&lt;1000),(s_a/2+16*s_a)+(phi_a/2)*1.000000,NA())</f>
        <v/>
      </c>
      <c r="BA3">
        <f>IF(AND(inputs_ok,s_a/2+16*s_a&lt;1000),(60)+(phi_a/2)*0.000000,NA())</f>
        <v/>
      </c>
      <c r="BC3">
        <f>IF(AND(inputs_ok,s_a/2+17*s_a&lt;1000),(s_a/2+17*s_a)+(phi_a/2)*1.000000,NA())</f>
        <v/>
      </c>
      <c r="BD3">
        <f>IF(AND(inputs_ok,s_a/2+17*s_a&lt;1000),(60)+(phi_a/2)*0.000000,NA())</f>
        <v/>
      </c>
      <c r="BF3">
        <f>IF(AND(inputs_ok,s_a/2+18*s_a&lt;1000),(s_a/2+18*s_a)+(phi_a/2)*1.000000,NA())</f>
        <v/>
      </c>
      <c r="BG3">
        <f>IF(AND(inputs_ok,s_a/2+18*s_a&lt;1000),(60)+(phi_a/2)*0.000000,NA())</f>
        <v/>
      </c>
      <c r="BI3">
        <f>IF(AND(inputs_ok,s_a/2+19*s_a&lt;1000),(s_a/2+19*s_a)+(phi_a/2)*1.000000,NA())</f>
        <v/>
      </c>
      <c r="BJ3">
        <f>IF(AND(inputs_ok,s_a/2+19*s_a&lt;1000),(60)+(phi_a/2)*0.000000,NA())</f>
        <v/>
      </c>
      <c r="BL3">
        <f>IF(AND(inputs_ok,s_a/2+20*s_a&lt;1000),(s_a/2+20*s_a)+(phi_a/2)*1.000000,NA())</f>
        <v/>
      </c>
      <c r="BM3">
        <f>IF(AND(inputs_ok,s_a/2+20*s_a&lt;1000),(60)+(phi_a/2)*0.000000,NA())</f>
        <v/>
      </c>
      <c r="BO3">
        <f>IF(AND(inputs_ok,s_a/2+21*s_a&lt;1000),(s_a/2+21*s_a)+(phi_a/2)*1.000000,NA())</f>
        <v/>
      </c>
      <c r="BP3">
        <f>IF(AND(inputs_ok,s_a/2+21*s_a&lt;1000),(60)+(phi_a/2)*0.000000,NA())</f>
        <v/>
      </c>
      <c r="BR3">
        <f>IF(AND(inputs_ok,s_a/2+22*s_a&lt;1000),(s_a/2+22*s_a)+(phi_a/2)*1.000000,NA())</f>
        <v/>
      </c>
      <c r="BS3">
        <f>IF(AND(inputs_ok,s_a/2+22*s_a&lt;1000),(60)+(phi_a/2)*0.000000,NA())</f>
        <v/>
      </c>
      <c r="BU3">
        <f>IF(AND(inputs_ok,s_a/2+23*s_a&lt;1000),(s_a/2+23*s_a)+(phi_a/2)*1.000000,NA())</f>
        <v/>
      </c>
      <c r="BV3">
        <f>IF(AND(inputs_ok,s_a/2+23*s_a&lt;1000),(60)+(phi_a/2)*0.000000,NA())</f>
        <v/>
      </c>
      <c r="BX3">
        <f>IF(AND(inputs_ok,s_a/2+24*s_a&lt;1000),(s_a/2+24*s_a)+(phi_a/2)*1.000000,NA())</f>
        <v/>
      </c>
      <c r="BY3">
        <f>IF(AND(inputs_ok,s_a/2+24*s_a&lt;1000),(60)+(phi_a/2)*0.000000,NA())</f>
        <v/>
      </c>
      <c r="CA3">
        <f>IF(AND(inputs_ok,s_a/2+25*s_a&lt;1000),(s_a/2+25*s_a)+(phi_a/2)*1.000000,NA())</f>
        <v/>
      </c>
      <c r="CB3">
        <f>IF(AND(inputs_ok,s_a/2+25*s_a&lt;1000),(60)+(phi_a/2)*0.000000,NA())</f>
        <v/>
      </c>
      <c r="CD3">
        <f>IF(AND(inputs_ok,s_a/2+26*s_a&lt;1000),(s_a/2+26*s_a)+(phi_a/2)*1.000000,NA())</f>
        <v/>
      </c>
      <c r="CE3">
        <f>IF(AND(inputs_ok,s_a/2+26*s_a&lt;1000),(60)+(phi_a/2)*0.000000,NA())</f>
        <v/>
      </c>
      <c r="CG3">
        <f>IF(AND(inputs_ok,s_a/2+27*s_a&lt;1000),(s_a/2+27*s_a)+(phi_a/2)*1.000000,NA())</f>
        <v/>
      </c>
      <c r="CH3">
        <f>IF(AND(inputs_ok,s_a/2+27*s_a&lt;1000),(60)+(phi_a/2)*0.000000,NA())</f>
        <v/>
      </c>
      <c r="CJ3">
        <f>IF(AND(inputs_ok,s_a/2+28*s_a&lt;1000),(s_a/2+28*s_a)+(phi_a/2)*1.000000,NA())</f>
        <v/>
      </c>
      <c r="CK3">
        <f>IF(AND(inputs_ok,s_a/2+28*s_a&lt;1000),(60)+(phi_a/2)*0.000000,NA())</f>
        <v/>
      </c>
      <c r="CM3">
        <f>IF(AND(inputs_ok,s_a/2+29*s_a&lt;1000),(s_a/2+29*s_a)+(phi_a/2)*1.000000,NA())</f>
        <v/>
      </c>
      <c r="CN3">
        <f>IF(AND(inputs_ok,s_a/2+29*s_a&lt;1000),(60)+(phi_a/2)*0.000000,NA())</f>
        <v/>
      </c>
      <c r="CP3">
        <f>IF(AND(inputs_ok,s_a/2+30*s_a&lt;1000),(s_a/2+30*s_a)+(phi_a/2)*1.000000,NA())</f>
        <v/>
      </c>
      <c r="CQ3">
        <f>IF(AND(inputs_ok,s_a/2+30*s_a&lt;1000),(60)+(phi_a/2)*0.000000,NA())</f>
        <v/>
      </c>
      <c r="CS3">
        <f>IF(AND(inputs_ok,s_a/2+31*s_a&lt;1000),(s_a/2+31*s_a)+(phi_a/2)*1.000000,NA())</f>
        <v/>
      </c>
      <c r="CT3">
        <f>IF(AND(inputs_ok,s_a/2+31*s_a&lt;1000),(60)+(phi_a/2)*0.000000,NA())</f>
        <v/>
      </c>
      <c r="CV3">
        <f>IF(AND(inputs_ok,s_a/2+32*s_a&lt;1000),(s_a/2+32*s_a)+(phi_a/2)*1.000000,NA())</f>
        <v/>
      </c>
      <c r="CW3">
        <f>IF(AND(inputs_ok,s_a/2+32*s_a&lt;1000),(60)+(phi_a/2)*0.000000,NA())</f>
        <v/>
      </c>
      <c r="CY3">
        <f>IF(AND(inputs_ok,s_a/2+33*s_a&lt;1000),(s_a/2+33*s_a)+(phi_a/2)*1.000000,NA())</f>
        <v/>
      </c>
      <c r="CZ3">
        <f>IF(AND(inputs_ok,s_a/2+33*s_a&lt;1000),(60)+(phi_a/2)*0.000000,NA())</f>
        <v/>
      </c>
      <c r="DB3">
        <f>IF(AND(inputs_ok,s_a/2+34*s_a&lt;1000),(s_a/2+34*s_a)+(phi_a/2)*1.000000,NA())</f>
        <v/>
      </c>
      <c r="DC3">
        <f>IF(AND(inputs_ok,s_a/2+34*s_a&lt;1000),(60)+(phi_a/2)*0.000000,NA())</f>
        <v/>
      </c>
      <c r="DE3">
        <f>IF(AND(inputs_ok,s_a/2+35*s_a&lt;1000),(s_a/2+35*s_a)+(phi_a/2)*1.000000,NA())</f>
        <v/>
      </c>
      <c r="DF3">
        <f>IF(AND(inputs_ok,s_a/2+35*s_a&lt;1000),(60)+(phi_a/2)*0.000000,NA())</f>
        <v/>
      </c>
      <c r="DH3">
        <f>IF(AND(inputs_ok,s_a/2+36*s_a&lt;1000),(s_a/2+36*s_a)+(phi_a/2)*1.000000,NA())</f>
        <v/>
      </c>
      <c r="DI3">
        <f>IF(AND(inputs_ok,s_a/2+36*s_a&lt;1000),(60)+(phi_a/2)*0.000000,NA())</f>
        <v/>
      </c>
      <c r="DK3">
        <f>IF(AND(inputs_ok,s_a/2+37*s_a&lt;1000),(s_a/2+37*s_a)+(phi_a/2)*1.000000,NA())</f>
        <v/>
      </c>
      <c r="DL3">
        <f>IF(AND(inputs_ok,s_a/2+37*s_a&lt;1000),(60)+(phi_a/2)*0.000000,NA())</f>
        <v/>
      </c>
      <c r="DN3">
        <f>IF(AND(inputs_ok,s_a/2+38*s_a&lt;1000),(s_a/2+38*s_a)+(phi_a/2)*1.000000,NA())</f>
        <v/>
      </c>
      <c r="DO3">
        <f>IF(AND(inputs_ok,s_a/2+38*s_a&lt;1000),(60)+(phi_a/2)*0.000000,NA())</f>
        <v/>
      </c>
      <c r="DQ3">
        <f>IF(AND(inputs_ok,s_a/2+39*s_a&lt;1000),(s_a/2+39*s_a)+(phi_a/2)*1.000000,NA())</f>
        <v/>
      </c>
      <c r="DR3">
        <f>IF(AND(inputs_ok,s_a/2+39*s_a&lt;1000),(60)+(phi_a/2)*0.000000,NA())</f>
        <v/>
      </c>
      <c r="DT3">
        <f>IF(AND(inputs_ok,0&lt;n_a),((1000-(n_a-1)*MAX(2*phi_n,phi_n+25))/2+0*MAX(2*phi_n,phi_n+25))+(phi_n/2)*1.000000,NA())</f>
        <v/>
      </c>
      <c r="DU3">
        <f>IF(AND(inputs_ok,0&lt;n_a),(-150)+(phi_n/2)*0.000000,NA())</f>
        <v/>
      </c>
      <c r="DW3">
        <f>IF(AND(inputs_ok,1&lt;n_a),((1000-(n_a-1)*MAX(2*phi_n,phi_n+25))/2+1*MAX(2*phi_n,phi_n+25))+(phi_n/2)*1.000000,NA())</f>
        <v/>
      </c>
      <c r="DX3">
        <f>IF(AND(inputs_ok,1&lt;n_a),(-150)+(phi_n/2)*0.000000,NA())</f>
        <v/>
      </c>
      <c r="DZ3">
        <f>IF(AND(inputs_ok,2&lt;n_a),((1000-(n_a-1)*MAX(2*phi_n,phi_n+25))/2+2*MAX(2*phi_n,phi_n+25))+(phi_n/2)*1.000000,NA())</f>
        <v/>
      </c>
      <c r="EA3">
        <f>IF(AND(inputs_ok,2&lt;n_a),(-150)+(phi_n/2)*0.000000,NA())</f>
        <v/>
      </c>
      <c r="EC3">
        <f>IF(AND(inputs_ok,3&lt;n_a),((1000-(n_a-1)*MAX(2*phi_n,phi_n+25))/2+3*MAX(2*phi_n,phi_n+25))+(phi_n/2)*1.000000,NA())</f>
        <v/>
      </c>
      <c r="ED3">
        <f>IF(AND(inputs_ok,3&lt;n_a),(-150)+(phi_n/2)*0.000000,NA())</f>
        <v/>
      </c>
      <c r="EF3">
        <f>IF(AND(inputs_ok,4&lt;n_a),((1000-(n_a-1)*MAX(2*phi_n,phi_n+25))/2+4*MAX(2*phi_n,phi_n+25))+(phi_n/2)*1.000000,NA())</f>
        <v/>
      </c>
      <c r="EG3">
        <f>IF(AND(inputs_ok,4&lt;n_a),(-150)+(phi_n/2)*0.000000,NA())</f>
        <v/>
      </c>
      <c r="EI3">
        <f>IF(AND(inputs_ok,5&lt;n_a),((1000-(n_a-1)*MAX(2*phi_n,phi_n+25))/2+5*MAX(2*phi_n,phi_n+25))+(phi_n/2)*1.000000,NA())</f>
        <v/>
      </c>
      <c r="EJ3">
        <f>IF(AND(inputs_ok,5&lt;n_a),(-150)+(phi_n/2)*0.000000,NA())</f>
        <v/>
      </c>
      <c r="EL3">
        <f>IF(AND(inputs_ok,6&lt;n_a),((1000-(n_a-1)*MAX(2*phi_n,phi_n+25))/2+6*MAX(2*phi_n,phi_n+25))+(phi_n/2)*1.000000,NA())</f>
        <v/>
      </c>
      <c r="EM3">
        <f>IF(AND(inputs_ok,6&lt;n_a),(-150)+(phi_n/2)*0.000000,NA())</f>
        <v/>
      </c>
      <c r="EO3">
        <f>IF(AND(inputs_ok,7&lt;n_a),((1000-(n_a-1)*MAX(2*phi_n,phi_n+25))/2+7*MAX(2*phi_n,phi_n+25))+(phi_n/2)*1.000000,NA())</f>
        <v/>
      </c>
      <c r="EP3">
        <f>IF(AND(inputs_ok,7&lt;n_a),(-150)+(phi_n/2)*0.000000,NA())</f>
        <v/>
      </c>
      <c r="ER3">
        <f>IF(AND(inputs_ok,8&lt;n_a),((1000-(n_a-1)*MAX(2*phi_n,phi_n+25))/2+8*MAX(2*phi_n,phi_n+25))+(phi_n/2)*1.000000,NA())</f>
        <v/>
      </c>
      <c r="ES3">
        <f>IF(AND(inputs_ok,8&lt;n_a),(-150)+(phi_n/2)*0.000000,NA())</f>
        <v/>
      </c>
      <c r="EU3">
        <f>IF(AND(inputs_ok,9&lt;n_a),((1000-(n_a-1)*MAX(2*phi_n,phi_n+25))/2+9*MAX(2*phi_n,phi_n+25))+(phi_n/2)*1.000000,NA())</f>
        <v/>
      </c>
      <c r="EV3">
        <f>IF(AND(inputs_ok,9&lt;n_a),(-150)+(phi_n/2)*0.000000,NA())</f>
        <v/>
      </c>
      <c r="EX3">
        <f>IF(AND(inputs_ok,10&lt;n_a),((1000-(n_a-1)*MAX(2*phi_n,phi_n+25))/2+10*MAX(2*phi_n,phi_n+25))+(phi_n/2)*1.000000,NA())</f>
        <v/>
      </c>
      <c r="EY3">
        <f>IF(AND(inputs_ok,10&lt;n_a),(-150)+(phi_n/2)*0.000000,NA())</f>
        <v/>
      </c>
      <c r="FA3">
        <f>IF(AND(inputs_ok,11&lt;n_a),((1000-(n_a-1)*MAX(2*phi_n,phi_n+25))/2+11*MAX(2*phi_n,phi_n+25))+(phi_n/2)*1.000000,NA())</f>
        <v/>
      </c>
      <c r="FB3">
        <f>IF(AND(inputs_ok,11&lt;n_a),(-150)+(phi_n/2)*0.000000,NA())</f>
        <v/>
      </c>
      <c r="FD3">
        <f>IF(AND(inputs_ok,12&lt;n_a),((1000-(n_a-1)*MAX(2*phi_n,phi_n+25))/2+12*MAX(2*phi_n,phi_n+25))+(phi_n/2)*1.000000,NA())</f>
        <v/>
      </c>
      <c r="FE3">
        <f>IF(AND(inputs_ok,12&lt;n_a),(-150)+(phi_n/2)*0.000000,NA())</f>
        <v/>
      </c>
      <c r="FG3">
        <f>IF(AND(inputs_ok,13&lt;n_a),((1000-(n_a-1)*MAX(2*phi_n,phi_n+25))/2+13*MAX(2*phi_n,phi_n+25))+(phi_n/2)*1.000000,NA())</f>
        <v/>
      </c>
      <c r="FH3">
        <f>IF(AND(inputs_ok,13&lt;n_a),(-150)+(phi_n/2)*0.000000,NA())</f>
        <v/>
      </c>
      <c r="FJ3">
        <f>IF(AND(inputs_ok,14&lt;n_a),((1000-(n_a-1)*MAX(2*phi_n,phi_n+25))/2+14*MAX(2*phi_n,phi_n+25))+(phi_n/2)*1.000000,NA())</f>
        <v/>
      </c>
      <c r="FK3">
        <f>IF(AND(inputs_ok,14&lt;n_a),(-150)+(phi_n/2)*0.000000,NA())</f>
        <v/>
      </c>
      <c r="FM3">
        <f>IF(AND(inputs_ok,15&lt;n_a),((1000-(n_a-1)*MAX(2*phi_n,phi_n+25))/2+15*MAX(2*phi_n,phi_n+25))+(phi_n/2)*1.000000,NA())</f>
        <v/>
      </c>
      <c r="FN3">
        <f>IF(AND(inputs_ok,15&lt;n_a),(-150)+(phi_n/2)*0.000000,NA())</f>
        <v/>
      </c>
      <c r="FP3">
        <f>IF(AND(inputs_ok,16&lt;n_a),((1000-(n_a-1)*MAX(2*phi_n,phi_n+25))/2+16*MAX(2*phi_n,phi_n+25))+(phi_n/2)*1.000000,NA())</f>
        <v/>
      </c>
      <c r="FQ3">
        <f>IF(AND(inputs_ok,16&lt;n_a),(-150)+(phi_n/2)*0.000000,NA())</f>
        <v/>
      </c>
      <c r="FS3">
        <f>IF(AND(inputs_ok,17&lt;n_a),((1000-(n_a-1)*MAX(2*phi_n,phi_n+25))/2+17*MAX(2*phi_n,phi_n+25))+(phi_n/2)*1.000000,NA())</f>
        <v/>
      </c>
      <c r="FT3">
        <f>IF(AND(inputs_ok,17&lt;n_a),(-150)+(phi_n/2)*0.000000,NA())</f>
        <v/>
      </c>
      <c r="FV3">
        <f>IF(AND(inputs_ok,18&lt;n_a),((1000-(n_a-1)*MAX(2*phi_n,phi_n+25))/2+18*MAX(2*phi_n,phi_n+25))+(phi_n/2)*1.000000,NA())</f>
        <v/>
      </c>
      <c r="FW3">
        <f>IF(AND(inputs_ok,18&lt;n_a),(-150)+(phi_n/2)*0.000000,NA())</f>
        <v/>
      </c>
      <c r="FY3">
        <f>IF(AND(inputs_ok,19&lt;n_a),((1000-(n_a-1)*MAX(2*phi_n,phi_n+25))/2+19*MAX(2*phi_n,phi_n+25))+(phi_n/2)*1.000000,NA())</f>
        <v/>
      </c>
      <c r="FZ3">
        <f>IF(AND(inputs_ok,19&lt;n_a),(-150)+(phi_n/2)*0.000000,NA())</f>
        <v/>
      </c>
      <c r="GB3">
        <f>IF(TRUE,0,NA())</f>
        <v/>
      </c>
      <c r="GC3">
        <f>IF(TRUE,150,NA())</f>
        <v/>
      </c>
      <c r="GE3">
        <f>IF(TRUE,((0)+(1000))/2,NA())</f>
        <v/>
      </c>
      <c r="GF3">
        <f>IF(TRUE,((150)+(150))/2,NA())</f>
        <v/>
      </c>
      <c r="GH3">
        <f>IF(AND(inputs_ok,1.5*s_a&lt;1000),s_a/2,NA())</f>
        <v/>
      </c>
      <c r="GI3">
        <f>IF(AND(inputs_ok,1.5*s_a&lt;1000),-30,NA())</f>
        <v/>
      </c>
      <c r="GK3">
        <f>IF(AND(inputs_ok,1.5*s_a&lt;1000),((s_a/2)+(1.5*s_a))/2,NA())</f>
        <v/>
      </c>
      <c r="GL3">
        <f>IF(AND(inputs_ok,1.5*s_a&lt;1000),((-30)+(-30))/2,NA())</f>
        <v/>
      </c>
      <c r="GN3">
        <f>500</f>
        <v/>
      </c>
      <c r="GO3">
        <f>250</f>
        <v/>
      </c>
      <c r="GQ3">
        <f>500</f>
        <v/>
      </c>
      <c r="GR3">
        <f>200</f>
        <v/>
      </c>
      <c r="GT3">
        <f>500</f>
        <v/>
      </c>
      <c r="GU3">
        <f>-200</f>
        <v/>
      </c>
      <c r="GW3">
        <f>500</f>
        <v/>
      </c>
      <c r="GX3">
        <f>-250</f>
        <v/>
      </c>
      <c r="GZ3">
        <f>((-30)+(1030))/2-MAX((330)-(-330),((1030)-(-30))/1.55)*0.54*1.55</f>
        <v/>
      </c>
      <c r="HA3">
        <f>((-330)+(330))/2-MAX((330)-(-330),((1030)-(-30))/1.55)*0.54</f>
        <v/>
      </c>
    </row>
    <row r="4">
      <c r="A4">
        <f>1000</f>
        <v/>
      </c>
      <c r="B4">
        <f>0</f>
        <v/>
      </c>
      <c r="D4">
        <f>IF(AND(inputs_ok,s_a/2+0*s_a&lt;1000),(s_a/2+0*s_a)+(phi_a/2)*0.923880,NA())</f>
        <v/>
      </c>
      <c r="E4">
        <f>IF(AND(inputs_ok,s_a/2+0*s_a&lt;1000),(60)+(phi_a/2)*0.382683,NA())</f>
        <v/>
      </c>
      <c r="G4">
        <f>IF(AND(inputs_ok,s_a/2+1*s_a&lt;1000),(s_a/2+1*s_a)+(phi_a/2)*0.923880,NA())</f>
        <v/>
      </c>
      <c r="H4">
        <f>IF(AND(inputs_ok,s_a/2+1*s_a&lt;1000),(60)+(phi_a/2)*0.382683,NA())</f>
        <v/>
      </c>
      <c r="J4">
        <f>IF(AND(inputs_ok,s_a/2+2*s_a&lt;1000),(s_a/2+2*s_a)+(phi_a/2)*0.923880,NA())</f>
        <v/>
      </c>
      <c r="K4">
        <f>IF(AND(inputs_ok,s_a/2+2*s_a&lt;1000),(60)+(phi_a/2)*0.382683,NA())</f>
        <v/>
      </c>
      <c r="M4">
        <f>IF(AND(inputs_ok,s_a/2+3*s_a&lt;1000),(s_a/2+3*s_a)+(phi_a/2)*0.923880,NA())</f>
        <v/>
      </c>
      <c r="N4">
        <f>IF(AND(inputs_ok,s_a/2+3*s_a&lt;1000),(60)+(phi_a/2)*0.382683,NA())</f>
        <v/>
      </c>
      <c r="P4">
        <f>IF(AND(inputs_ok,s_a/2+4*s_a&lt;1000),(s_a/2+4*s_a)+(phi_a/2)*0.923880,NA())</f>
        <v/>
      </c>
      <c r="Q4">
        <f>IF(AND(inputs_ok,s_a/2+4*s_a&lt;1000),(60)+(phi_a/2)*0.382683,NA())</f>
        <v/>
      </c>
      <c r="S4">
        <f>IF(AND(inputs_ok,s_a/2+5*s_a&lt;1000),(s_a/2+5*s_a)+(phi_a/2)*0.923880,NA())</f>
        <v/>
      </c>
      <c r="T4">
        <f>IF(AND(inputs_ok,s_a/2+5*s_a&lt;1000),(60)+(phi_a/2)*0.382683,NA())</f>
        <v/>
      </c>
      <c r="V4">
        <f>IF(AND(inputs_ok,s_a/2+6*s_a&lt;1000),(s_a/2+6*s_a)+(phi_a/2)*0.923880,NA())</f>
        <v/>
      </c>
      <c r="W4">
        <f>IF(AND(inputs_ok,s_a/2+6*s_a&lt;1000),(60)+(phi_a/2)*0.382683,NA())</f>
        <v/>
      </c>
      <c r="Y4">
        <f>IF(AND(inputs_ok,s_a/2+7*s_a&lt;1000),(s_a/2+7*s_a)+(phi_a/2)*0.923880,NA())</f>
        <v/>
      </c>
      <c r="Z4">
        <f>IF(AND(inputs_ok,s_a/2+7*s_a&lt;1000),(60)+(phi_a/2)*0.382683,NA())</f>
        <v/>
      </c>
      <c r="AB4">
        <f>IF(AND(inputs_ok,s_a/2+8*s_a&lt;1000),(s_a/2+8*s_a)+(phi_a/2)*0.923880,NA())</f>
        <v/>
      </c>
      <c r="AC4">
        <f>IF(AND(inputs_ok,s_a/2+8*s_a&lt;1000),(60)+(phi_a/2)*0.382683,NA())</f>
        <v/>
      </c>
      <c r="AE4">
        <f>IF(AND(inputs_ok,s_a/2+9*s_a&lt;1000),(s_a/2+9*s_a)+(phi_a/2)*0.923880,NA())</f>
        <v/>
      </c>
      <c r="AF4">
        <f>IF(AND(inputs_ok,s_a/2+9*s_a&lt;1000),(60)+(phi_a/2)*0.382683,NA())</f>
        <v/>
      </c>
      <c r="AH4">
        <f>IF(AND(inputs_ok,s_a/2+10*s_a&lt;1000),(s_a/2+10*s_a)+(phi_a/2)*0.923880,NA())</f>
        <v/>
      </c>
      <c r="AI4">
        <f>IF(AND(inputs_ok,s_a/2+10*s_a&lt;1000),(60)+(phi_a/2)*0.382683,NA())</f>
        <v/>
      </c>
      <c r="AK4">
        <f>IF(AND(inputs_ok,s_a/2+11*s_a&lt;1000),(s_a/2+11*s_a)+(phi_a/2)*0.923880,NA())</f>
        <v/>
      </c>
      <c r="AL4">
        <f>IF(AND(inputs_ok,s_a/2+11*s_a&lt;1000),(60)+(phi_a/2)*0.382683,NA())</f>
        <v/>
      </c>
      <c r="AN4">
        <f>IF(AND(inputs_ok,s_a/2+12*s_a&lt;1000),(s_a/2+12*s_a)+(phi_a/2)*0.923880,NA())</f>
        <v/>
      </c>
      <c r="AO4">
        <f>IF(AND(inputs_ok,s_a/2+12*s_a&lt;1000),(60)+(phi_a/2)*0.382683,NA())</f>
        <v/>
      </c>
      <c r="AQ4">
        <f>IF(AND(inputs_ok,s_a/2+13*s_a&lt;1000),(s_a/2+13*s_a)+(phi_a/2)*0.923880,NA())</f>
        <v/>
      </c>
      <c r="AR4">
        <f>IF(AND(inputs_ok,s_a/2+13*s_a&lt;1000),(60)+(phi_a/2)*0.382683,NA())</f>
        <v/>
      </c>
      <c r="AT4">
        <f>IF(AND(inputs_ok,s_a/2+14*s_a&lt;1000),(s_a/2+14*s_a)+(phi_a/2)*0.923880,NA())</f>
        <v/>
      </c>
      <c r="AU4">
        <f>IF(AND(inputs_ok,s_a/2+14*s_a&lt;1000),(60)+(phi_a/2)*0.382683,NA())</f>
        <v/>
      </c>
      <c r="AW4">
        <f>IF(AND(inputs_ok,s_a/2+15*s_a&lt;1000),(s_a/2+15*s_a)+(phi_a/2)*0.923880,NA())</f>
        <v/>
      </c>
      <c r="AX4">
        <f>IF(AND(inputs_ok,s_a/2+15*s_a&lt;1000),(60)+(phi_a/2)*0.382683,NA())</f>
        <v/>
      </c>
      <c r="AZ4">
        <f>IF(AND(inputs_ok,s_a/2+16*s_a&lt;1000),(s_a/2+16*s_a)+(phi_a/2)*0.923880,NA())</f>
        <v/>
      </c>
      <c r="BA4">
        <f>IF(AND(inputs_ok,s_a/2+16*s_a&lt;1000),(60)+(phi_a/2)*0.382683,NA())</f>
        <v/>
      </c>
      <c r="BC4">
        <f>IF(AND(inputs_ok,s_a/2+17*s_a&lt;1000),(s_a/2+17*s_a)+(phi_a/2)*0.923880,NA())</f>
        <v/>
      </c>
      <c r="BD4">
        <f>IF(AND(inputs_ok,s_a/2+17*s_a&lt;1000),(60)+(phi_a/2)*0.382683,NA())</f>
        <v/>
      </c>
      <c r="BF4">
        <f>IF(AND(inputs_ok,s_a/2+18*s_a&lt;1000),(s_a/2+18*s_a)+(phi_a/2)*0.923880,NA())</f>
        <v/>
      </c>
      <c r="BG4">
        <f>IF(AND(inputs_ok,s_a/2+18*s_a&lt;1000),(60)+(phi_a/2)*0.382683,NA())</f>
        <v/>
      </c>
      <c r="BI4">
        <f>IF(AND(inputs_ok,s_a/2+19*s_a&lt;1000),(s_a/2+19*s_a)+(phi_a/2)*0.923880,NA())</f>
        <v/>
      </c>
      <c r="BJ4">
        <f>IF(AND(inputs_ok,s_a/2+19*s_a&lt;1000),(60)+(phi_a/2)*0.382683,NA())</f>
        <v/>
      </c>
      <c r="BL4">
        <f>IF(AND(inputs_ok,s_a/2+20*s_a&lt;1000),(s_a/2+20*s_a)+(phi_a/2)*0.923880,NA())</f>
        <v/>
      </c>
      <c r="BM4">
        <f>IF(AND(inputs_ok,s_a/2+20*s_a&lt;1000),(60)+(phi_a/2)*0.382683,NA())</f>
        <v/>
      </c>
      <c r="BO4">
        <f>IF(AND(inputs_ok,s_a/2+21*s_a&lt;1000),(s_a/2+21*s_a)+(phi_a/2)*0.923880,NA())</f>
        <v/>
      </c>
      <c r="BP4">
        <f>IF(AND(inputs_ok,s_a/2+21*s_a&lt;1000),(60)+(phi_a/2)*0.382683,NA())</f>
        <v/>
      </c>
      <c r="BR4">
        <f>IF(AND(inputs_ok,s_a/2+22*s_a&lt;1000),(s_a/2+22*s_a)+(phi_a/2)*0.923880,NA())</f>
        <v/>
      </c>
      <c r="BS4">
        <f>IF(AND(inputs_ok,s_a/2+22*s_a&lt;1000),(60)+(phi_a/2)*0.382683,NA())</f>
        <v/>
      </c>
      <c r="BU4">
        <f>IF(AND(inputs_ok,s_a/2+23*s_a&lt;1000),(s_a/2+23*s_a)+(phi_a/2)*0.923880,NA())</f>
        <v/>
      </c>
      <c r="BV4">
        <f>IF(AND(inputs_ok,s_a/2+23*s_a&lt;1000),(60)+(phi_a/2)*0.382683,NA())</f>
        <v/>
      </c>
      <c r="BX4">
        <f>IF(AND(inputs_ok,s_a/2+24*s_a&lt;1000),(s_a/2+24*s_a)+(phi_a/2)*0.923880,NA())</f>
        <v/>
      </c>
      <c r="BY4">
        <f>IF(AND(inputs_ok,s_a/2+24*s_a&lt;1000),(60)+(phi_a/2)*0.382683,NA())</f>
        <v/>
      </c>
      <c r="CA4">
        <f>IF(AND(inputs_ok,s_a/2+25*s_a&lt;1000),(s_a/2+25*s_a)+(phi_a/2)*0.923880,NA())</f>
        <v/>
      </c>
      <c r="CB4">
        <f>IF(AND(inputs_ok,s_a/2+25*s_a&lt;1000),(60)+(phi_a/2)*0.382683,NA())</f>
        <v/>
      </c>
      <c r="CD4">
        <f>IF(AND(inputs_ok,s_a/2+26*s_a&lt;1000),(s_a/2+26*s_a)+(phi_a/2)*0.923880,NA())</f>
        <v/>
      </c>
      <c r="CE4">
        <f>IF(AND(inputs_ok,s_a/2+26*s_a&lt;1000),(60)+(phi_a/2)*0.382683,NA())</f>
        <v/>
      </c>
      <c r="CG4">
        <f>IF(AND(inputs_ok,s_a/2+27*s_a&lt;1000),(s_a/2+27*s_a)+(phi_a/2)*0.923880,NA())</f>
        <v/>
      </c>
      <c r="CH4">
        <f>IF(AND(inputs_ok,s_a/2+27*s_a&lt;1000),(60)+(phi_a/2)*0.382683,NA())</f>
        <v/>
      </c>
      <c r="CJ4">
        <f>IF(AND(inputs_ok,s_a/2+28*s_a&lt;1000),(s_a/2+28*s_a)+(phi_a/2)*0.923880,NA())</f>
        <v/>
      </c>
      <c r="CK4">
        <f>IF(AND(inputs_ok,s_a/2+28*s_a&lt;1000),(60)+(phi_a/2)*0.382683,NA())</f>
        <v/>
      </c>
      <c r="CM4">
        <f>IF(AND(inputs_ok,s_a/2+29*s_a&lt;1000),(s_a/2+29*s_a)+(phi_a/2)*0.923880,NA())</f>
        <v/>
      </c>
      <c r="CN4">
        <f>IF(AND(inputs_ok,s_a/2+29*s_a&lt;1000),(60)+(phi_a/2)*0.382683,NA())</f>
        <v/>
      </c>
      <c r="CP4">
        <f>IF(AND(inputs_ok,s_a/2+30*s_a&lt;1000),(s_a/2+30*s_a)+(phi_a/2)*0.923880,NA())</f>
        <v/>
      </c>
      <c r="CQ4">
        <f>IF(AND(inputs_ok,s_a/2+30*s_a&lt;1000),(60)+(phi_a/2)*0.382683,NA())</f>
        <v/>
      </c>
      <c r="CS4">
        <f>IF(AND(inputs_ok,s_a/2+31*s_a&lt;1000),(s_a/2+31*s_a)+(phi_a/2)*0.923880,NA())</f>
        <v/>
      </c>
      <c r="CT4">
        <f>IF(AND(inputs_ok,s_a/2+31*s_a&lt;1000),(60)+(phi_a/2)*0.382683,NA())</f>
        <v/>
      </c>
      <c r="CV4">
        <f>IF(AND(inputs_ok,s_a/2+32*s_a&lt;1000),(s_a/2+32*s_a)+(phi_a/2)*0.923880,NA())</f>
        <v/>
      </c>
      <c r="CW4">
        <f>IF(AND(inputs_ok,s_a/2+32*s_a&lt;1000),(60)+(phi_a/2)*0.382683,NA())</f>
        <v/>
      </c>
      <c r="CY4">
        <f>IF(AND(inputs_ok,s_a/2+33*s_a&lt;1000),(s_a/2+33*s_a)+(phi_a/2)*0.923880,NA())</f>
        <v/>
      </c>
      <c r="CZ4">
        <f>IF(AND(inputs_ok,s_a/2+33*s_a&lt;1000),(60)+(phi_a/2)*0.382683,NA())</f>
        <v/>
      </c>
      <c r="DB4">
        <f>IF(AND(inputs_ok,s_a/2+34*s_a&lt;1000),(s_a/2+34*s_a)+(phi_a/2)*0.923880,NA())</f>
        <v/>
      </c>
      <c r="DC4">
        <f>IF(AND(inputs_ok,s_a/2+34*s_a&lt;1000),(60)+(phi_a/2)*0.382683,NA())</f>
        <v/>
      </c>
      <c r="DE4">
        <f>IF(AND(inputs_ok,s_a/2+35*s_a&lt;1000),(s_a/2+35*s_a)+(phi_a/2)*0.923880,NA())</f>
        <v/>
      </c>
      <c r="DF4">
        <f>IF(AND(inputs_ok,s_a/2+35*s_a&lt;1000),(60)+(phi_a/2)*0.382683,NA())</f>
        <v/>
      </c>
      <c r="DH4">
        <f>IF(AND(inputs_ok,s_a/2+36*s_a&lt;1000),(s_a/2+36*s_a)+(phi_a/2)*0.923880,NA())</f>
        <v/>
      </c>
      <c r="DI4">
        <f>IF(AND(inputs_ok,s_a/2+36*s_a&lt;1000),(60)+(phi_a/2)*0.382683,NA())</f>
        <v/>
      </c>
      <c r="DK4">
        <f>IF(AND(inputs_ok,s_a/2+37*s_a&lt;1000),(s_a/2+37*s_a)+(phi_a/2)*0.923880,NA())</f>
        <v/>
      </c>
      <c r="DL4">
        <f>IF(AND(inputs_ok,s_a/2+37*s_a&lt;1000),(60)+(phi_a/2)*0.382683,NA())</f>
        <v/>
      </c>
      <c r="DN4">
        <f>IF(AND(inputs_ok,s_a/2+38*s_a&lt;1000),(s_a/2+38*s_a)+(phi_a/2)*0.923880,NA())</f>
        <v/>
      </c>
      <c r="DO4">
        <f>IF(AND(inputs_ok,s_a/2+38*s_a&lt;1000),(60)+(phi_a/2)*0.382683,NA())</f>
        <v/>
      </c>
      <c r="DQ4">
        <f>IF(AND(inputs_ok,s_a/2+39*s_a&lt;1000),(s_a/2+39*s_a)+(phi_a/2)*0.923880,NA())</f>
        <v/>
      </c>
      <c r="DR4">
        <f>IF(AND(inputs_ok,s_a/2+39*s_a&lt;1000),(60)+(phi_a/2)*0.382683,NA())</f>
        <v/>
      </c>
      <c r="DT4">
        <f>IF(AND(inputs_ok,0&lt;n_a),((1000-(n_a-1)*MAX(2*phi_n,phi_n+25))/2+0*MAX(2*phi_n,phi_n+25))+(phi_n/2)*0.923880,NA())</f>
        <v/>
      </c>
      <c r="DU4">
        <f>IF(AND(inputs_ok,0&lt;n_a),(-150)+(phi_n/2)*0.382683,NA())</f>
        <v/>
      </c>
      <c r="DW4">
        <f>IF(AND(inputs_ok,1&lt;n_a),((1000-(n_a-1)*MAX(2*phi_n,phi_n+25))/2+1*MAX(2*phi_n,phi_n+25))+(phi_n/2)*0.923880,NA())</f>
        <v/>
      </c>
      <c r="DX4">
        <f>IF(AND(inputs_ok,1&lt;n_a),(-150)+(phi_n/2)*0.382683,NA())</f>
        <v/>
      </c>
      <c r="DZ4">
        <f>IF(AND(inputs_ok,2&lt;n_a),((1000-(n_a-1)*MAX(2*phi_n,phi_n+25))/2+2*MAX(2*phi_n,phi_n+25))+(phi_n/2)*0.923880,NA())</f>
        <v/>
      </c>
      <c r="EA4">
        <f>IF(AND(inputs_ok,2&lt;n_a),(-150)+(phi_n/2)*0.382683,NA())</f>
        <v/>
      </c>
      <c r="EC4">
        <f>IF(AND(inputs_ok,3&lt;n_a),((1000-(n_a-1)*MAX(2*phi_n,phi_n+25))/2+3*MAX(2*phi_n,phi_n+25))+(phi_n/2)*0.923880,NA())</f>
        <v/>
      </c>
      <c r="ED4">
        <f>IF(AND(inputs_ok,3&lt;n_a),(-150)+(phi_n/2)*0.382683,NA())</f>
        <v/>
      </c>
      <c r="EF4">
        <f>IF(AND(inputs_ok,4&lt;n_a),((1000-(n_a-1)*MAX(2*phi_n,phi_n+25))/2+4*MAX(2*phi_n,phi_n+25))+(phi_n/2)*0.923880,NA())</f>
        <v/>
      </c>
      <c r="EG4">
        <f>IF(AND(inputs_ok,4&lt;n_a),(-150)+(phi_n/2)*0.382683,NA())</f>
        <v/>
      </c>
      <c r="EI4">
        <f>IF(AND(inputs_ok,5&lt;n_a),((1000-(n_a-1)*MAX(2*phi_n,phi_n+25))/2+5*MAX(2*phi_n,phi_n+25))+(phi_n/2)*0.923880,NA())</f>
        <v/>
      </c>
      <c r="EJ4">
        <f>IF(AND(inputs_ok,5&lt;n_a),(-150)+(phi_n/2)*0.382683,NA())</f>
        <v/>
      </c>
      <c r="EL4">
        <f>IF(AND(inputs_ok,6&lt;n_a),((1000-(n_a-1)*MAX(2*phi_n,phi_n+25))/2+6*MAX(2*phi_n,phi_n+25))+(phi_n/2)*0.923880,NA())</f>
        <v/>
      </c>
      <c r="EM4">
        <f>IF(AND(inputs_ok,6&lt;n_a),(-150)+(phi_n/2)*0.382683,NA())</f>
        <v/>
      </c>
      <c r="EO4">
        <f>IF(AND(inputs_ok,7&lt;n_a),((1000-(n_a-1)*MAX(2*phi_n,phi_n+25))/2+7*MAX(2*phi_n,phi_n+25))+(phi_n/2)*0.923880,NA())</f>
        <v/>
      </c>
      <c r="EP4">
        <f>IF(AND(inputs_ok,7&lt;n_a),(-150)+(phi_n/2)*0.382683,NA())</f>
        <v/>
      </c>
      <c r="ER4">
        <f>IF(AND(inputs_ok,8&lt;n_a),((1000-(n_a-1)*MAX(2*phi_n,phi_n+25))/2+8*MAX(2*phi_n,phi_n+25))+(phi_n/2)*0.923880,NA())</f>
        <v/>
      </c>
      <c r="ES4">
        <f>IF(AND(inputs_ok,8&lt;n_a),(-150)+(phi_n/2)*0.382683,NA())</f>
        <v/>
      </c>
      <c r="EU4">
        <f>IF(AND(inputs_ok,9&lt;n_a),((1000-(n_a-1)*MAX(2*phi_n,phi_n+25))/2+9*MAX(2*phi_n,phi_n+25))+(phi_n/2)*0.923880,NA())</f>
        <v/>
      </c>
      <c r="EV4">
        <f>IF(AND(inputs_ok,9&lt;n_a),(-150)+(phi_n/2)*0.382683,NA())</f>
        <v/>
      </c>
      <c r="EX4">
        <f>IF(AND(inputs_ok,10&lt;n_a),((1000-(n_a-1)*MAX(2*phi_n,phi_n+25))/2+10*MAX(2*phi_n,phi_n+25))+(phi_n/2)*0.923880,NA())</f>
        <v/>
      </c>
      <c r="EY4">
        <f>IF(AND(inputs_ok,10&lt;n_a),(-150)+(phi_n/2)*0.382683,NA())</f>
        <v/>
      </c>
      <c r="FA4">
        <f>IF(AND(inputs_ok,11&lt;n_a),((1000-(n_a-1)*MAX(2*phi_n,phi_n+25))/2+11*MAX(2*phi_n,phi_n+25))+(phi_n/2)*0.923880,NA())</f>
        <v/>
      </c>
      <c r="FB4">
        <f>IF(AND(inputs_ok,11&lt;n_a),(-150)+(phi_n/2)*0.382683,NA())</f>
        <v/>
      </c>
      <c r="FD4">
        <f>IF(AND(inputs_ok,12&lt;n_a),((1000-(n_a-1)*MAX(2*phi_n,phi_n+25))/2+12*MAX(2*phi_n,phi_n+25))+(phi_n/2)*0.923880,NA())</f>
        <v/>
      </c>
      <c r="FE4">
        <f>IF(AND(inputs_ok,12&lt;n_a),(-150)+(phi_n/2)*0.382683,NA())</f>
        <v/>
      </c>
      <c r="FG4">
        <f>IF(AND(inputs_ok,13&lt;n_a),((1000-(n_a-1)*MAX(2*phi_n,phi_n+25))/2+13*MAX(2*phi_n,phi_n+25))+(phi_n/2)*0.923880,NA())</f>
        <v/>
      </c>
      <c r="FH4">
        <f>IF(AND(inputs_ok,13&lt;n_a),(-150)+(phi_n/2)*0.382683,NA())</f>
        <v/>
      </c>
      <c r="FJ4">
        <f>IF(AND(inputs_ok,14&lt;n_a),((1000-(n_a-1)*MAX(2*phi_n,phi_n+25))/2+14*MAX(2*phi_n,phi_n+25))+(phi_n/2)*0.923880,NA())</f>
        <v/>
      </c>
      <c r="FK4">
        <f>IF(AND(inputs_ok,14&lt;n_a),(-150)+(phi_n/2)*0.382683,NA())</f>
        <v/>
      </c>
      <c r="FM4">
        <f>IF(AND(inputs_ok,15&lt;n_a),((1000-(n_a-1)*MAX(2*phi_n,phi_n+25))/2+15*MAX(2*phi_n,phi_n+25))+(phi_n/2)*0.923880,NA())</f>
        <v/>
      </c>
      <c r="FN4">
        <f>IF(AND(inputs_ok,15&lt;n_a),(-150)+(phi_n/2)*0.382683,NA())</f>
        <v/>
      </c>
      <c r="FP4">
        <f>IF(AND(inputs_ok,16&lt;n_a),((1000-(n_a-1)*MAX(2*phi_n,phi_n+25))/2+16*MAX(2*phi_n,phi_n+25))+(phi_n/2)*0.923880,NA())</f>
        <v/>
      </c>
      <c r="FQ4">
        <f>IF(AND(inputs_ok,16&lt;n_a),(-150)+(phi_n/2)*0.382683,NA())</f>
        <v/>
      </c>
      <c r="FS4">
        <f>IF(AND(inputs_ok,17&lt;n_a),((1000-(n_a-1)*MAX(2*phi_n,phi_n+25))/2+17*MAX(2*phi_n,phi_n+25))+(phi_n/2)*0.923880,NA())</f>
        <v/>
      </c>
      <c r="FT4">
        <f>IF(AND(inputs_ok,17&lt;n_a),(-150)+(phi_n/2)*0.382683,NA())</f>
        <v/>
      </c>
      <c r="FV4">
        <f>IF(AND(inputs_ok,18&lt;n_a),((1000-(n_a-1)*MAX(2*phi_n,phi_n+25))/2+18*MAX(2*phi_n,phi_n+25))+(phi_n/2)*0.923880,NA())</f>
        <v/>
      </c>
      <c r="FW4">
        <f>IF(AND(inputs_ok,18&lt;n_a),(-150)+(phi_n/2)*0.382683,NA())</f>
        <v/>
      </c>
      <c r="FY4">
        <f>IF(AND(inputs_ok,19&lt;n_a),((1000-(n_a-1)*MAX(2*phi_n,phi_n+25))/2+19*MAX(2*phi_n,phi_n+25))+(phi_n/2)*0.923880,NA())</f>
        <v/>
      </c>
      <c r="FZ4">
        <f>IF(AND(inputs_ok,19&lt;n_a),(-150)+(phi_n/2)*0.382683,NA())</f>
        <v/>
      </c>
      <c r="GB4">
        <f>IF(TRUE,1000,NA())</f>
        <v/>
      </c>
      <c r="GC4">
        <f>IF(TRUE,150,NA())</f>
        <v/>
      </c>
      <c r="GH4">
        <f>IF(AND(inputs_ok,1.5*s_a&lt;1000),1.5*s_a,NA())</f>
        <v/>
      </c>
      <c r="GI4">
        <f>IF(AND(inputs_ok,1.5*s_a&lt;1000),-30,NA())</f>
        <v/>
      </c>
      <c r="GZ4">
        <f>((-30)+(1030))/2+MAX((330)-(-330),((1030)-(-30))/1.55)*0.54*1.55</f>
        <v/>
      </c>
      <c r="HA4">
        <f>((-330)+(330))/2+MAX((330)-(-330),((1030)-(-30))/1.55)*0.54</f>
        <v/>
      </c>
    </row>
    <row r="5">
      <c r="A5">
        <f>1000</f>
        <v/>
      </c>
      <c r="B5">
        <f>120</f>
        <v/>
      </c>
      <c r="D5">
        <f>IF(AND(inputs_ok,s_a/2+0*s_a&lt;1000),(s_a/2+0*s_a)+(phi_a/2)*0.707107,NA())</f>
        <v/>
      </c>
      <c r="E5">
        <f>IF(AND(inputs_ok,s_a/2+0*s_a&lt;1000),(60)+(phi_a/2)*0.707107,NA())</f>
        <v/>
      </c>
      <c r="G5">
        <f>IF(AND(inputs_ok,s_a/2+1*s_a&lt;1000),(s_a/2+1*s_a)+(phi_a/2)*0.707107,NA())</f>
        <v/>
      </c>
      <c r="H5">
        <f>IF(AND(inputs_ok,s_a/2+1*s_a&lt;1000),(60)+(phi_a/2)*0.707107,NA())</f>
        <v/>
      </c>
      <c r="J5">
        <f>IF(AND(inputs_ok,s_a/2+2*s_a&lt;1000),(s_a/2+2*s_a)+(phi_a/2)*0.707107,NA())</f>
        <v/>
      </c>
      <c r="K5">
        <f>IF(AND(inputs_ok,s_a/2+2*s_a&lt;1000),(60)+(phi_a/2)*0.707107,NA())</f>
        <v/>
      </c>
      <c r="M5">
        <f>IF(AND(inputs_ok,s_a/2+3*s_a&lt;1000),(s_a/2+3*s_a)+(phi_a/2)*0.707107,NA())</f>
        <v/>
      </c>
      <c r="N5">
        <f>IF(AND(inputs_ok,s_a/2+3*s_a&lt;1000),(60)+(phi_a/2)*0.707107,NA())</f>
        <v/>
      </c>
      <c r="P5">
        <f>IF(AND(inputs_ok,s_a/2+4*s_a&lt;1000),(s_a/2+4*s_a)+(phi_a/2)*0.707107,NA())</f>
        <v/>
      </c>
      <c r="Q5">
        <f>IF(AND(inputs_ok,s_a/2+4*s_a&lt;1000),(60)+(phi_a/2)*0.707107,NA())</f>
        <v/>
      </c>
      <c r="S5">
        <f>IF(AND(inputs_ok,s_a/2+5*s_a&lt;1000),(s_a/2+5*s_a)+(phi_a/2)*0.707107,NA())</f>
        <v/>
      </c>
      <c r="T5">
        <f>IF(AND(inputs_ok,s_a/2+5*s_a&lt;1000),(60)+(phi_a/2)*0.707107,NA())</f>
        <v/>
      </c>
      <c r="V5">
        <f>IF(AND(inputs_ok,s_a/2+6*s_a&lt;1000),(s_a/2+6*s_a)+(phi_a/2)*0.707107,NA())</f>
        <v/>
      </c>
      <c r="W5">
        <f>IF(AND(inputs_ok,s_a/2+6*s_a&lt;1000),(60)+(phi_a/2)*0.707107,NA())</f>
        <v/>
      </c>
      <c r="Y5">
        <f>IF(AND(inputs_ok,s_a/2+7*s_a&lt;1000),(s_a/2+7*s_a)+(phi_a/2)*0.707107,NA())</f>
        <v/>
      </c>
      <c r="Z5">
        <f>IF(AND(inputs_ok,s_a/2+7*s_a&lt;1000),(60)+(phi_a/2)*0.707107,NA())</f>
        <v/>
      </c>
      <c r="AB5">
        <f>IF(AND(inputs_ok,s_a/2+8*s_a&lt;1000),(s_a/2+8*s_a)+(phi_a/2)*0.707107,NA())</f>
        <v/>
      </c>
      <c r="AC5">
        <f>IF(AND(inputs_ok,s_a/2+8*s_a&lt;1000),(60)+(phi_a/2)*0.707107,NA())</f>
        <v/>
      </c>
      <c r="AE5">
        <f>IF(AND(inputs_ok,s_a/2+9*s_a&lt;1000),(s_a/2+9*s_a)+(phi_a/2)*0.707107,NA())</f>
        <v/>
      </c>
      <c r="AF5">
        <f>IF(AND(inputs_ok,s_a/2+9*s_a&lt;1000),(60)+(phi_a/2)*0.707107,NA())</f>
        <v/>
      </c>
      <c r="AH5">
        <f>IF(AND(inputs_ok,s_a/2+10*s_a&lt;1000),(s_a/2+10*s_a)+(phi_a/2)*0.707107,NA())</f>
        <v/>
      </c>
      <c r="AI5">
        <f>IF(AND(inputs_ok,s_a/2+10*s_a&lt;1000),(60)+(phi_a/2)*0.707107,NA())</f>
        <v/>
      </c>
      <c r="AK5">
        <f>IF(AND(inputs_ok,s_a/2+11*s_a&lt;1000),(s_a/2+11*s_a)+(phi_a/2)*0.707107,NA())</f>
        <v/>
      </c>
      <c r="AL5">
        <f>IF(AND(inputs_ok,s_a/2+11*s_a&lt;1000),(60)+(phi_a/2)*0.707107,NA())</f>
        <v/>
      </c>
      <c r="AN5">
        <f>IF(AND(inputs_ok,s_a/2+12*s_a&lt;1000),(s_a/2+12*s_a)+(phi_a/2)*0.707107,NA())</f>
        <v/>
      </c>
      <c r="AO5">
        <f>IF(AND(inputs_ok,s_a/2+12*s_a&lt;1000),(60)+(phi_a/2)*0.707107,NA())</f>
        <v/>
      </c>
      <c r="AQ5">
        <f>IF(AND(inputs_ok,s_a/2+13*s_a&lt;1000),(s_a/2+13*s_a)+(phi_a/2)*0.707107,NA())</f>
        <v/>
      </c>
      <c r="AR5">
        <f>IF(AND(inputs_ok,s_a/2+13*s_a&lt;1000),(60)+(phi_a/2)*0.707107,NA())</f>
        <v/>
      </c>
      <c r="AT5">
        <f>IF(AND(inputs_ok,s_a/2+14*s_a&lt;1000),(s_a/2+14*s_a)+(phi_a/2)*0.707107,NA())</f>
        <v/>
      </c>
      <c r="AU5">
        <f>IF(AND(inputs_ok,s_a/2+14*s_a&lt;1000),(60)+(phi_a/2)*0.707107,NA())</f>
        <v/>
      </c>
      <c r="AW5">
        <f>IF(AND(inputs_ok,s_a/2+15*s_a&lt;1000),(s_a/2+15*s_a)+(phi_a/2)*0.707107,NA())</f>
        <v/>
      </c>
      <c r="AX5">
        <f>IF(AND(inputs_ok,s_a/2+15*s_a&lt;1000),(60)+(phi_a/2)*0.707107,NA())</f>
        <v/>
      </c>
      <c r="AZ5">
        <f>IF(AND(inputs_ok,s_a/2+16*s_a&lt;1000),(s_a/2+16*s_a)+(phi_a/2)*0.707107,NA())</f>
        <v/>
      </c>
      <c r="BA5">
        <f>IF(AND(inputs_ok,s_a/2+16*s_a&lt;1000),(60)+(phi_a/2)*0.707107,NA())</f>
        <v/>
      </c>
      <c r="BC5">
        <f>IF(AND(inputs_ok,s_a/2+17*s_a&lt;1000),(s_a/2+17*s_a)+(phi_a/2)*0.707107,NA())</f>
        <v/>
      </c>
      <c r="BD5">
        <f>IF(AND(inputs_ok,s_a/2+17*s_a&lt;1000),(60)+(phi_a/2)*0.707107,NA())</f>
        <v/>
      </c>
      <c r="BF5">
        <f>IF(AND(inputs_ok,s_a/2+18*s_a&lt;1000),(s_a/2+18*s_a)+(phi_a/2)*0.707107,NA())</f>
        <v/>
      </c>
      <c r="BG5">
        <f>IF(AND(inputs_ok,s_a/2+18*s_a&lt;1000),(60)+(phi_a/2)*0.707107,NA())</f>
        <v/>
      </c>
      <c r="BI5">
        <f>IF(AND(inputs_ok,s_a/2+19*s_a&lt;1000),(s_a/2+19*s_a)+(phi_a/2)*0.707107,NA())</f>
        <v/>
      </c>
      <c r="BJ5">
        <f>IF(AND(inputs_ok,s_a/2+19*s_a&lt;1000),(60)+(phi_a/2)*0.707107,NA())</f>
        <v/>
      </c>
      <c r="BL5">
        <f>IF(AND(inputs_ok,s_a/2+20*s_a&lt;1000),(s_a/2+20*s_a)+(phi_a/2)*0.707107,NA())</f>
        <v/>
      </c>
      <c r="BM5">
        <f>IF(AND(inputs_ok,s_a/2+20*s_a&lt;1000),(60)+(phi_a/2)*0.707107,NA())</f>
        <v/>
      </c>
      <c r="BO5">
        <f>IF(AND(inputs_ok,s_a/2+21*s_a&lt;1000),(s_a/2+21*s_a)+(phi_a/2)*0.707107,NA())</f>
        <v/>
      </c>
      <c r="BP5">
        <f>IF(AND(inputs_ok,s_a/2+21*s_a&lt;1000),(60)+(phi_a/2)*0.707107,NA())</f>
        <v/>
      </c>
      <c r="BR5">
        <f>IF(AND(inputs_ok,s_a/2+22*s_a&lt;1000),(s_a/2+22*s_a)+(phi_a/2)*0.707107,NA())</f>
        <v/>
      </c>
      <c r="BS5">
        <f>IF(AND(inputs_ok,s_a/2+22*s_a&lt;1000),(60)+(phi_a/2)*0.707107,NA())</f>
        <v/>
      </c>
      <c r="BU5">
        <f>IF(AND(inputs_ok,s_a/2+23*s_a&lt;1000),(s_a/2+23*s_a)+(phi_a/2)*0.707107,NA())</f>
        <v/>
      </c>
      <c r="BV5">
        <f>IF(AND(inputs_ok,s_a/2+23*s_a&lt;1000),(60)+(phi_a/2)*0.707107,NA())</f>
        <v/>
      </c>
      <c r="BX5">
        <f>IF(AND(inputs_ok,s_a/2+24*s_a&lt;1000),(s_a/2+24*s_a)+(phi_a/2)*0.707107,NA())</f>
        <v/>
      </c>
      <c r="BY5">
        <f>IF(AND(inputs_ok,s_a/2+24*s_a&lt;1000),(60)+(phi_a/2)*0.707107,NA())</f>
        <v/>
      </c>
      <c r="CA5">
        <f>IF(AND(inputs_ok,s_a/2+25*s_a&lt;1000),(s_a/2+25*s_a)+(phi_a/2)*0.707107,NA())</f>
        <v/>
      </c>
      <c r="CB5">
        <f>IF(AND(inputs_ok,s_a/2+25*s_a&lt;1000),(60)+(phi_a/2)*0.707107,NA())</f>
        <v/>
      </c>
      <c r="CD5">
        <f>IF(AND(inputs_ok,s_a/2+26*s_a&lt;1000),(s_a/2+26*s_a)+(phi_a/2)*0.707107,NA())</f>
        <v/>
      </c>
      <c r="CE5">
        <f>IF(AND(inputs_ok,s_a/2+26*s_a&lt;1000),(60)+(phi_a/2)*0.707107,NA())</f>
        <v/>
      </c>
      <c r="CG5">
        <f>IF(AND(inputs_ok,s_a/2+27*s_a&lt;1000),(s_a/2+27*s_a)+(phi_a/2)*0.707107,NA())</f>
        <v/>
      </c>
      <c r="CH5">
        <f>IF(AND(inputs_ok,s_a/2+27*s_a&lt;1000),(60)+(phi_a/2)*0.707107,NA())</f>
        <v/>
      </c>
      <c r="CJ5">
        <f>IF(AND(inputs_ok,s_a/2+28*s_a&lt;1000),(s_a/2+28*s_a)+(phi_a/2)*0.707107,NA())</f>
        <v/>
      </c>
      <c r="CK5">
        <f>IF(AND(inputs_ok,s_a/2+28*s_a&lt;1000),(60)+(phi_a/2)*0.707107,NA())</f>
        <v/>
      </c>
      <c r="CM5">
        <f>IF(AND(inputs_ok,s_a/2+29*s_a&lt;1000),(s_a/2+29*s_a)+(phi_a/2)*0.707107,NA())</f>
        <v/>
      </c>
      <c r="CN5">
        <f>IF(AND(inputs_ok,s_a/2+29*s_a&lt;1000),(60)+(phi_a/2)*0.707107,NA())</f>
        <v/>
      </c>
      <c r="CP5">
        <f>IF(AND(inputs_ok,s_a/2+30*s_a&lt;1000),(s_a/2+30*s_a)+(phi_a/2)*0.707107,NA())</f>
        <v/>
      </c>
      <c r="CQ5">
        <f>IF(AND(inputs_ok,s_a/2+30*s_a&lt;1000),(60)+(phi_a/2)*0.707107,NA())</f>
        <v/>
      </c>
      <c r="CS5">
        <f>IF(AND(inputs_ok,s_a/2+31*s_a&lt;1000),(s_a/2+31*s_a)+(phi_a/2)*0.707107,NA())</f>
        <v/>
      </c>
      <c r="CT5">
        <f>IF(AND(inputs_ok,s_a/2+31*s_a&lt;1000),(60)+(phi_a/2)*0.707107,NA())</f>
        <v/>
      </c>
      <c r="CV5">
        <f>IF(AND(inputs_ok,s_a/2+32*s_a&lt;1000),(s_a/2+32*s_a)+(phi_a/2)*0.707107,NA())</f>
        <v/>
      </c>
      <c r="CW5">
        <f>IF(AND(inputs_ok,s_a/2+32*s_a&lt;1000),(60)+(phi_a/2)*0.707107,NA())</f>
        <v/>
      </c>
      <c r="CY5">
        <f>IF(AND(inputs_ok,s_a/2+33*s_a&lt;1000),(s_a/2+33*s_a)+(phi_a/2)*0.707107,NA())</f>
        <v/>
      </c>
      <c r="CZ5">
        <f>IF(AND(inputs_ok,s_a/2+33*s_a&lt;1000),(60)+(phi_a/2)*0.707107,NA())</f>
        <v/>
      </c>
      <c r="DB5">
        <f>IF(AND(inputs_ok,s_a/2+34*s_a&lt;1000),(s_a/2+34*s_a)+(phi_a/2)*0.707107,NA())</f>
        <v/>
      </c>
      <c r="DC5">
        <f>IF(AND(inputs_ok,s_a/2+34*s_a&lt;1000),(60)+(phi_a/2)*0.707107,NA())</f>
        <v/>
      </c>
      <c r="DE5">
        <f>IF(AND(inputs_ok,s_a/2+35*s_a&lt;1000),(s_a/2+35*s_a)+(phi_a/2)*0.707107,NA())</f>
        <v/>
      </c>
      <c r="DF5">
        <f>IF(AND(inputs_ok,s_a/2+35*s_a&lt;1000),(60)+(phi_a/2)*0.707107,NA())</f>
        <v/>
      </c>
      <c r="DH5">
        <f>IF(AND(inputs_ok,s_a/2+36*s_a&lt;1000),(s_a/2+36*s_a)+(phi_a/2)*0.707107,NA())</f>
        <v/>
      </c>
      <c r="DI5">
        <f>IF(AND(inputs_ok,s_a/2+36*s_a&lt;1000),(60)+(phi_a/2)*0.707107,NA())</f>
        <v/>
      </c>
      <c r="DK5">
        <f>IF(AND(inputs_ok,s_a/2+37*s_a&lt;1000),(s_a/2+37*s_a)+(phi_a/2)*0.707107,NA())</f>
        <v/>
      </c>
      <c r="DL5">
        <f>IF(AND(inputs_ok,s_a/2+37*s_a&lt;1000),(60)+(phi_a/2)*0.707107,NA())</f>
        <v/>
      </c>
      <c r="DN5">
        <f>IF(AND(inputs_ok,s_a/2+38*s_a&lt;1000),(s_a/2+38*s_a)+(phi_a/2)*0.707107,NA())</f>
        <v/>
      </c>
      <c r="DO5">
        <f>IF(AND(inputs_ok,s_a/2+38*s_a&lt;1000),(60)+(phi_a/2)*0.707107,NA())</f>
        <v/>
      </c>
      <c r="DQ5">
        <f>IF(AND(inputs_ok,s_a/2+39*s_a&lt;1000),(s_a/2+39*s_a)+(phi_a/2)*0.707107,NA())</f>
        <v/>
      </c>
      <c r="DR5">
        <f>IF(AND(inputs_ok,s_a/2+39*s_a&lt;1000),(60)+(phi_a/2)*0.707107,NA())</f>
        <v/>
      </c>
      <c r="DT5">
        <f>IF(AND(inputs_ok,0&lt;n_a),((1000-(n_a-1)*MAX(2*phi_n,phi_n+25))/2+0*MAX(2*phi_n,phi_n+25))+(phi_n/2)*0.707107,NA())</f>
        <v/>
      </c>
      <c r="DU5">
        <f>IF(AND(inputs_ok,0&lt;n_a),(-150)+(phi_n/2)*0.707107,NA())</f>
        <v/>
      </c>
      <c r="DW5">
        <f>IF(AND(inputs_ok,1&lt;n_a),((1000-(n_a-1)*MAX(2*phi_n,phi_n+25))/2+1*MAX(2*phi_n,phi_n+25))+(phi_n/2)*0.707107,NA())</f>
        <v/>
      </c>
      <c r="DX5">
        <f>IF(AND(inputs_ok,1&lt;n_a),(-150)+(phi_n/2)*0.707107,NA())</f>
        <v/>
      </c>
      <c r="DZ5">
        <f>IF(AND(inputs_ok,2&lt;n_a),((1000-(n_a-1)*MAX(2*phi_n,phi_n+25))/2+2*MAX(2*phi_n,phi_n+25))+(phi_n/2)*0.707107,NA())</f>
        <v/>
      </c>
      <c r="EA5">
        <f>IF(AND(inputs_ok,2&lt;n_a),(-150)+(phi_n/2)*0.707107,NA())</f>
        <v/>
      </c>
      <c r="EC5">
        <f>IF(AND(inputs_ok,3&lt;n_a),((1000-(n_a-1)*MAX(2*phi_n,phi_n+25))/2+3*MAX(2*phi_n,phi_n+25))+(phi_n/2)*0.707107,NA())</f>
        <v/>
      </c>
      <c r="ED5">
        <f>IF(AND(inputs_ok,3&lt;n_a),(-150)+(phi_n/2)*0.707107,NA())</f>
        <v/>
      </c>
      <c r="EF5">
        <f>IF(AND(inputs_ok,4&lt;n_a),((1000-(n_a-1)*MAX(2*phi_n,phi_n+25))/2+4*MAX(2*phi_n,phi_n+25))+(phi_n/2)*0.707107,NA())</f>
        <v/>
      </c>
      <c r="EG5">
        <f>IF(AND(inputs_ok,4&lt;n_a),(-150)+(phi_n/2)*0.707107,NA())</f>
        <v/>
      </c>
      <c r="EI5">
        <f>IF(AND(inputs_ok,5&lt;n_a),((1000-(n_a-1)*MAX(2*phi_n,phi_n+25))/2+5*MAX(2*phi_n,phi_n+25))+(phi_n/2)*0.707107,NA())</f>
        <v/>
      </c>
      <c r="EJ5">
        <f>IF(AND(inputs_ok,5&lt;n_a),(-150)+(phi_n/2)*0.707107,NA())</f>
        <v/>
      </c>
      <c r="EL5">
        <f>IF(AND(inputs_ok,6&lt;n_a),((1000-(n_a-1)*MAX(2*phi_n,phi_n+25))/2+6*MAX(2*phi_n,phi_n+25))+(phi_n/2)*0.707107,NA())</f>
        <v/>
      </c>
      <c r="EM5">
        <f>IF(AND(inputs_ok,6&lt;n_a),(-150)+(phi_n/2)*0.707107,NA())</f>
        <v/>
      </c>
      <c r="EO5">
        <f>IF(AND(inputs_ok,7&lt;n_a),((1000-(n_a-1)*MAX(2*phi_n,phi_n+25))/2+7*MAX(2*phi_n,phi_n+25))+(phi_n/2)*0.707107,NA())</f>
        <v/>
      </c>
      <c r="EP5">
        <f>IF(AND(inputs_ok,7&lt;n_a),(-150)+(phi_n/2)*0.707107,NA())</f>
        <v/>
      </c>
      <c r="ER5">
        <f>IF(AND(inputs_ok,8&lt;n_a),((1000-(n_a-1)*MAX(2*phi_n,phi_n+25))/2+8*MAX(2*phi_n,phi_n+25))+(phi_n/2)*0.707107,NA())</f>
        <v/>
      </c>
      <c r="ES5">
        <f>IF(AND(inputs_ok,8&lt;n_a),(-150)+(phi_n/2)*0.707107,NA())</f>
        <v/>
      </c>
      <c r="EU5">
        <f>IF(AND(inputs_ok,9&lt;n_a),((1000-(n_a-1)*MAX(2*phi_n,phi_n+25))/2+9*MAX(2*phi_n,phi_n+25))+(phi_n/2)*0.707107,NA())</f>
        <v/>
      </c>
      <c r="EV5">
        <f>IF(AND(inputs_ok,9&lt;n_a),(-150)+(phi_n/2)*0.707107,NA())</f>
        <v/>
      </c>
      <c r="EX5">
        <f>IF(AND(inputs_ok,10&lt;n_a),((1000-(n_a-1)*MAX(2*phi_n,phi_n+25))/2+10*MAX(2*phi_n,phi_n+25))+(phi_n/2)*0.707107,NA())</f>
        <v/>
      </c>
      <c r="EY5">
        <f>IF(AND(inputs_ok,10&lt;n_a),(-150)+(phi_n/2)*0.707107,NA())</f>
        <v/>
      </c>
      <c r="FA5">
        <f>IF(AND(inputs_ok,11&lt;n_a),((1000-(n_a-1)*MAX(2*phi_n,phi_n+25))/2+11*MAX(2*phi_n,phi_n+25))+(phi_n/2)*0.707107,NA())</f>
        <v/>
      </c>
      <c r="FB5">
        <f>IF(AND(inputs_ok,11&lt;n_a),(-150)+(phi_n/2)*0.707107,NA())</f>
        <v/>
      </c>
      <c r="FD5">
        <f>IF(AND(inputs_ok,12&lt;n_a),((1000-(n_a-1)*MAX(2*phi_n,phi_n+25))/2+12*MAX(2*phi_n,phi_n+25))+(phi_n/2)*0.707107,NA())</f>
        <v/>
      </c>
      <c r="FE5">
        <f>IF(AND(inputs_ok,12&lt;n_a),(-150)+(phi_n/2)*0.707107,NA())</f>
        <v/>
      </c>
      <c r="FG5">
        <f>IF(AND(inputs_ok,13&lt;n_a),((1000-(n_a-1)*MAX(2*phi_n,phi_n+25))/2+13*MAX(2*phi_n,phi_n+25))+(phi_n/2)*0.707107,NA())</f>
        <v/>
      </c>
      <c r="FH5">
        <f>IF(AND(inputs_ok,13&lt;n_a),(-150)+(phi_n/2)*0.707107,NA())</f>
        <v/>
      </c>
      <c r="FJ5">
        <f>IF(AND(inputs_ok,14&lt;n_a),((1000-(n_a-1)*MAX(2*phi_n,phi_n+25))/2+14*MAX(2*phi_n,phi_n+25))+(phi_n/2)*0.707107,NA())</f>
        <v/>
      </c>
      <c r="FK5">
        <f>IF(AND(inputs_ok,14&lt;n_a),(-150)+(phi_n/2)*0.707107,NA())</f>
        <v/>
      </c>
      <c r="FM5">
        <f>IF(AND(inputs_ok,15&lt;n_a),((1000-(n_a-1)*MAX(2*phi_n,phi_n+25))/2+15*MAX(2*phi_n,phi_n+25))+(phi_n/2)*0.707107,NA())</f>
        <v/>
      </c>
      <c r="FN5">
        <f>IF(AND(inputs_ok,15&lt;n_a),(-150)+(phi_n/2)*0.707107,NA())</f>
        <v/>
      </c>
      <c r="FP5">
        <f>IF(AND(inputs_ok,16&lt;n_a),((1000-(n_a-1)*MAX(2*phi_n,phi_n+25))/2+16*MAX(2*phi_n,phi_n+25))+(phi_n/2)*0.707107,NA())</f>
        <v/>
      </c>
      <c r="FQ5">
        <f>IF(AND(inputs_ok,16&lt;n_a),(-150)+(phi_n/2)*0.707107,NA())</f>
        <v/>
      </c>
      <c r="FS5">
        <f>IF(AND(inputs_ok,17&lt;n_a),((1000-(n_a-1)*MAX(2*phi_n,phi_n+25))/2+17*MAX(2*phi_n,phi_n+25))+(phi_n/2)*0.707107,NA())</f>
        <v/>
      </c>
      <c r="FT5">
        <f>IF(AND(inputs_ok,17&lt;n_a),(-150)+(phi_n/2)*0.707107,NA())</f>
        <v/>
      </c>
      <c r="FV5">
        <f>IF(AND(inputs_ok,18&lt;n_a),((1000-(n_a-1)*MAX(2*phi_n,phi_n+25))/2+18*MAX(2*phi_n,phi_n+25))+(phi_n/2)*0.707107,NA())</f>
        <v/>
      </c>
      <c r="FW5">
        <f>IF(AND(inputs_ok,18&lt;n_a),(-150)+(phi_n/2)*0.707107,NA())</f>
        <v/>
      </c>
      <c r="FY5">
        <f>IF(AND(inputs_ok,19&lt;n_a),((1000-(n_a-1)*MAX(2*phi_n,phi_n+25))/2+19*MAX(2*phi_n,phi_n+25))+(phi_n/2)*0.707107,NA())</f>
        <v/>
      </c>
      <c r="FZ5">
        <f>IF(AND(inputs_ok,19&lt;n_a),(-150)+(phi_n/2)*0.707107,NA())</f>
        <v/>
      </c>
    </row>
    <row r="6">
      <c r="A6">
        <f>0</f>
        <v/>
      </c>
      <c r="B6">
        <f>120</f>
        <v/>
      </c>
      <c r="D6">
        <f>IF(AND(inputs_ok,s_a/2+0*s_a&lt;1000),(s_a/2+0*s_a)+(phi_a/2)*0.382683,NA())</f>
        <v/>
      </c>
      <c r="E6">
        <f>IF(AND(inputs_ok,s_a/2+0*s_a&lt;1000),(60)+(phi_a/2)*0.923880,NA())</f>
        <v/>
      </c>
      <c r="G6">
        <f>IF(AND(inputs_ok,s_a/2+1*s_a&lt;1000),(s_a/2+1*s_a)+(phi_a/2)*0.382683,NA())</f>
        <v/>
      </c>
      <c r="H6">
        <f>IF(AND(inputs_ok,s_a/2+1*s_a&lt;1000),(60)+(phi_a/2)*0.923880,NA())</f>
        <v/>
      </c>
      <c r="J6">
        <f>IF(AND(inputs_ok,s_a/2+2*s_a&lt;1000),(s_a/2+2*s_a)+(phi_a/2)*0.382683,NA())</f>
        <v/>
      </c>
      <c r="K6">
        <f>IF(AND(inputs_ok,s_a/2+2*s_a&lt;1000),(60)+(phi_a/2)*0.923880,NA())</f>
        <v/>
      </c>
      <c r="M6">
        <f>IF(AND(inputs_ok,s_a/2+3*s_a&lt;1000),(s_a/2+3*s_a)+(phi_a/2)*0.382683,NA())</f>
        <v/>
      </c>
      <c r="N6">
        <f>IF(AND(inputs_ok,s_a/2+3*s_a&lt;1000),(60)+(phi_a/2)*0.923880,NA())</f>
        <v/>
      </c>
      <c r="P6">
        <f>IF(AND(inputs_ok,s_a/2+4*s_a&lt;1000),(s_a/2+4*s_a)+(phi_a/2)*0.382683,NA())</f>
        <v/>
      </c>
      <c r="Q6">
        <f>IF(AND(inputs_ok,s_a/2+4*s_a&lt;1000),(60)+(phi_a/2)*0.923880,NA())</f>
        <v/>
      </c>
      <c r="S6">
        <f>IF(AND(inputs_ok,s_a/2+5*s_a&lt;1000),(s_a/2+5*s_a)+(phi_a/2)*0.382683,NA())</f>
        <v/>
      </c>
      <c r="T6">
        <f>IF(AND(inputs_ok,s_a/2+5*s_a&lt;1000),(60)+(phi_a/2)*0.923880,NA())</f>
        <v/>
      </c>
      <c r="V6">
        <f>IF(AND(inputs_ok,s_a/2+6*s_a&lt;1000),(s_a/2+6*s_a)+(phi_a/2)*0.382683,NA())</f>
        <v/>
      </c>
      <c r="W6">
        <f>IF(AND(inputs_ok,s_a/2+6*s_a&lt;1000),(60)+(phi_a/2)*0.923880,NA())</f>
        <v/>
      </c>
      <c r="Y6">
        <f>IF(AND(inputs_ok,s_a/2+7*s_a&lt;1000),(s_a/2+7*s_a)+(phi_a/2)*0.382683,NA())</f>
        <v/>
      </c>
      <c r="Z6">
        <f>IF(AND(inputs_ok,s_a/2+7*s_a&lt;1000),(60)+(phi_a/2)*0.923880,NA())</f>
        <v/>
      </c>
      <c r="AB6">
        <f>IF(AND(inputs_ok,s_a/2+8*s_a&lt;1000),(s_a/2+8*s_a)+(phi_a/2)*0.382683,NA())</f>
        <v/>
      </c>
      <c r="AC6">
        <f>IF(AND(inputs_ok,s_a/2+8*s_a&lt;1000),(60)+(phi_a/2)*0.923880,NA())</f>
        <v/>
      </c>
      <c r="AE6">
        <f>IF(AND(inputs_ok,s_a/2+9*s_a&lt;1000),(s_a/2+9*s_a)+(phi_a/2)*0.382683,NA())</f>
        <v/>
      </c>
      <c r="AF6">
        <f>IF(AND(inputs_ok,s_a/2+9*s_a&lt;1000),(60)+(phi_a/2)*0.923880,NA())</f>
        <v/>
      </c>
      <c r="AH6">
        <f>IF(AND(inputs_ok,s_a/2+10*s_a&lt;1000),(s_a/2+10*s_a)+(phi_a/2)*0.382683,NA())</f>
        <v/>
      </c>
      <c r="AI6">
        <f>IF(AND(inputs_ok,s_a/2+10*s_a&lt;1000),(60)+(phi_a/2)*0.923880,NA())</f>
        <v/>
      </c>
      <c r="AK6">
        <f>IF(AND(inputs_ok,s_a/2+11*s_a&lt;1000),(s_a/2+11*s_a)+(phi_a/2)*0.382683,NA())</f>
        <v/>
      </c>
      <c r="AL6">
        <f>IF(AND(inputs_ok,s_a/2+11*s_a&lt;1000),(60)+(phi_a/2)*0.923880,NA())</f>
        <v/>
      </c>
      <c r="AN6">
        <f>IF(AND(inputs_ok,s_a/2+12*s_a&lt;1000),(s_a/2+12*s_a)+(phi_a/2)*0.382683,NA())</f>
        <v/>
      </c>
      <c r="AO6">
        <f>IF(AND(inputs_ok,s_a/2+12*s_a&lt;1000),(60)+(phi_a/2)*0.923880,NA())</f>
        <v/>
      </c>
      <c r="AQ6">
        <f>IF(AND(inputs_ok,s_a/2+13*s_a&lt;1000),(s_a/2+13*s_a)+(phi_a/2)*0.382683,NA())</f>
        <v/>
      </c>
      <c r="AR6">
        <f>IF(AND(inputs_ok,s_a/2+13*s_a&lt;1000),(60)+(phi_a/2)*0.923880,NA())</f>
        <v/>
      </c>
      <c r="AT6">
        <f>IF(AND(inputs_ok,s_a/2+14*s_a&lt;1000),(s_a/2+14*s_a)+(phi_a/2)*0.382683,NA())</f>
        <v/>
      </c>
      <c r="AU6">
        <f>IF(AND(inputs_ok,s_a/2+14*s_a&lt;1000),(60)+(phi_a/2)*0.923880,NA())</f>
        <v/>
      </c>
      <c r="AW6">
        <f>IF(AND(inputs_ok,s_a/2+15*s_a&lt;1000),(s_a/2+15*s_a)+(phi_a/2)*0.382683,NA())</f>
        <v/>
      </c>
      <c r="AX6">
        <f>IF(AND(inputs_ok,s_a/2+15*s_a&lt;1000),(60)+(phi_a/2)*0.923880,NA())</f>
        <v/>
      </c>
      <c r="AZ6">
        <f>IF(AND(inputs_ok,s_a/2+16*s_a&lt;1000),(s_a/2+16*s_a)+(phi_a/2)*0.382683,NA())</f>
        <v/>
      </c>
      <c r="BA6">
        <f>IF(AND(inputs_ok,s_a/2+16*s_a&lt;1000),(60)+(phi_a/2)*0.923880,NA())</f>
        <v/>
      </c>
      <c r="BC6">
        <f>IF(AND(inputs_ok,s_a/2+17*s_a&lt;1000),(s_a/2+17*s_a)+(phi_a/2)*0.382683,NA())</f>
        <v/>
      </c>
      <c r="BD6">
        <f>IF(AND(inputs_ok,s_a/2+17*s_a&lt;1000),(60)+(phi_a/2)*0.923880,NA())</f>
        <v/>
      </c>
      <c r="BF6">
        <f>IF(AND(inputs_ok,s_a/2+18*s_a&lt;1000),(s_a/2+18*s_a)+(phi_a/2)*0.382683,NA())</f>
        <v/>
      </c>
      <c r="BG6">
        <f>IF(AND(inputs_ok,s_a/2+18*s_a&lt;1000),(60)+(phi_a/2)*0.923880,NA())</f>
        <v/>
      </c>
      <c r="BI6">
        <f>IF(AND(inputs_ok,s_a/2+19*s_a&lt;1000),(s_a/2+19*s_a)+(phi_a/2)*0.382683,NA())</f>
        <v/>
      </c>
      <c r="BJ6">
        <f>IF(AND(inputs_ok,s_a/2+19*s_a&lt;1000),(60)+(phi_a/2)*0.923880,NA())</f>
        <v/>
      </c>
      <c r="BL6">
        <f>IF(AND(inputs_ok,s_a/2+20*s_a&lt;1000),(s_a/2+20*s_a)+(phi_a/2)*0.382683,NA())</f>
        <v/>
      </c>
      <c r="BM6">
        <f>IF(AND(inputs_ok,s_a/2+20*s_a&lt;1000),(60)+(phi_a/2)*0.923880,NA())</f>
        <v/>
      </c>
      <c r="BO6">
        <f>IF(AND(inputs_ok,s_a/2+21*s_a&lt;1000),(s_a/2+21*s_a)+(phi_a/2)*0.382683,NA())</f>
        <v/>
      </c>
      <c r="BP6">
        <f>IF(AND(inputs_ok,s_a/2+21*s_a&lt;1000),(60)+(phi_a/2)*0.923880,NA())</f>
        <v/>
      </c>
      <c r="BR6">
        <f>IF(AND(inputs_ok,s_a/2+22*s_a&lt;1000),(s_a/2+22*s_a)+(phi_a/2)*0.382683,NA())</f>
        <v/>
      </c>
      <c r="BS6">
        <f>IF(AND(inputs_ok,s_a/2+22*s_a&lt;1000),(60)+(phi_a/2)*0.923880,NA())</f>
        <v/>
      </c>
      <c r="BU6">
        <f>IF(AND(inputs_ok,s_a/2+23*s_a&lt;1000),(s_a/2+23*s_a)+(phi_a/2)*0.382683,NA())</f>
        <v/>
      </c>
      <c r="BV6">
        <f>IF(AND(inputs_ok,s_a/2+23*s_a&lt;1000),(60)+(phi_a/2)*0.923880,NA())</f>
        <v/>
      </c>
      <c r="BX6">
        <f>IF(AND(inputs_ok,s_a/2+24*s_a&lt;1000),(s_a/2+24*s_a)+(phi_a/2)*0.382683,NA())</f>
        <v/>
      </c>
      <c r="BY6">
        <f>IF(AND(inputs_ok,s_a/2+24*s_a&lt;1000),(60)+(phi_a/2)*0.923880,NA())</f>
        <v/>
      </c>
      <c r="CA6">
        <f>IF(AND(inputs_ok,s_a/2+25*s_a&lt;1000),(s_a/2+25*s_a)+(phi_a/2)*0.382683,NA())</f>
        <v/>
      </c>
      <c r="CB6">
        <f>IF(AND(inputs_ok,s_a/2+25*s_a&lt;1000),(60)+(phi_a/2)*0.923880,NA())</f>
        <v/>
      </c>
      <c r="CD6">
        <f>IF(AND(inputs_ok,s_a/2+26*s_a&lt;1000),(s_a/2+26*s_a)+(phi_a/2)*0.382683,NA())</f>
        <v/>
      </c>
      <c r="CE6">
        <f>IF(AND(inputs_ok,s_a/2+26*s_a&lt;1000),(60)+(phi_a/2)*0.923880,NA())</f>
        <v/>
      </c>
      <c r="CG6">
        <f>IF(AND(inputs_ok,s_a/2+27*s_a&lt;1000),(s_a/2+27*s_a)+(phi_a/2)*0.382683,NA())</f>
        <v/>
      </c>
      <c r="CH6">
        <f>IF(AND(inputs_ok,s_a/2+27*s_a&lt;1000),(60)+(phi_a/2)*0.923880,NA())</f>
        <v/>
      </c>
      <c r="CJ6">
        <f>IF(AND(inputs_ok,s_a/2+28*s_a&lt;1000),(s_a/2+28*s_a)+(phi_a/2)*0.382683,NA())</f>
        <v/>
      </c>
      <c r="CK6">
        <f>IF(AND(inputs_ok,s_a/2+28*s_a&lt;1000),(60)+(phi_a/2)*0.923880,NA())</f>
        <v/>
      </c>
      <c r="CM6">
        <f>IF(AND(inputs_ok,s_a/2+29*s_a&lt;1000),(s_a/2+29*s_a)+(phi_a/2)*0.382683,NA())</f>
        <v/>
      </c>
      <c r="CN6">
        <f>IF(AND(inputs_ok,s_a/2+29*s_a&lt;1000),(60)+(phi_a/2)*0.923880,NA())</f>
        <v/>
      </c>
      <c r="CP6">
        <f>IF(AND(inputs_ok,s_a/2+30*s_a&lt;1000),(s_a/2+30*s_a)+(phi_a/2)*0.382683,NA())</f>
        <v/>
      </c>
      <c r="CQ6">
        <f>IF(AND(inputs_ok,s_a/2+30*s_a&lt;1000),(60)+(phi_a/2)*0.923880,NA())</f>
        <v/>
      </c>
      <c r="CS6">
        <f>IF(AND(inputs_ok,s_a/2+31*s_a&lt;1000),(s_a/2+31*s_a)+(phi_a/2)*0.382683,NA())</f>
        <v/>
      </c>
      <c r="CT6">
        <f>IF(AND(inputs_ok,s_a/2+31*s_a&lt;1000),(60)+(phi_a/2)*0.923880,NA())</f>
        <v/>
      </c>
      <c r="CV6">
        <f>IF(AND(inputs_ok,s_a/2+32*s_a&lt;1000),(s_a/2+32*s_a)+(phi_a/2)*0.382683,NA())</f>
        <v/>
      </c>
      <c r="CW6">
        <f>IF(AND(inputs_ok,s_a/2+32*s_a&lt;1000),(60)+(phi_a/2)*0.923880,NA())</f>
        <v/>
      </c>
      <c r="CY6">
        <f>IF(AND(inputs_ok,s_a/2+33*s_a&lt;1000),(s_a/2+33*s_a)+(phi_a/2)*0.382683,NA())</f>
        <v/>
      </c>
      <c r="CZ6">
        <f>IF(AND(inputs_ok,s_a/2+33*s_a&lt;1000),(60)+(phi_a/2)*0.923880,NA())</f>
        <v/>
      </c>
      <c r="DB6">
        <f>IF(AND(inputs_ok,s_a/2+34*s_a&lt;1000),(s_a/2+34*s_a)+(phi_a/2)*0.382683,NA())</f>
        <v/>
      </c>
      <c r="DC6">
        <f>IF(AND(inputs_ok,s_a/2+34*s_a&lt;1000),(60)+(phi_a/2)*0.923880,NA())</f>
        <v/>
      </c>
      <c r="DE6">
        <f>IF(AND(inputs_ok,s_a/2+35*s_a&lt;1000),(s_a/2+35*s_a)+(phi_a/2)*0.382683,NA())</f>
        <v/>
      </c>
      <c r="DF6">
        <f>IF(AND(inputs_ok,s_a/2+35*s_a&lt;1000),(60)+(phi_a/2)*0.923880,NA())</f>
        <v/>
      </c>
      <c r="DH6">
        <f>IF(AND(inputs_ok,s_a/2+36*s_a&lt;1000),(s_a/2+36*s_a)+(phi_a/2)*0.382683,NA())</f>
        <v/>
      </c>
      <c r="DI6">
        <f>IF(AND(inputs_ok,s_a/2+36*s_a&lt;1000),(60)+(phi_a/2)*0.923880,NA())</f>
        <v/>
      </c>
      <c r="DK6">
        <f>IF(AND(inputs_ok,s_a/2+37*s_a&lt;1000),(s_a/2+37*s_a)+(phi_a/2)*0.382683,NA())</f>
        <v/>
      </c>
      <c r="DL6">
        <f>IF(AND(inputs_ok,s_a/2+37*s_a&lt;1000),(60)+(phi_a/2)*0.923880,NA())</f>
        <v/>
      </c>
      <c r="DN6">
        <f>IF(AND(inputs_ok,s_a/2+38*s_a&lt;1000),(s_a/2+38*s_a)+(phi_a/2)*0.382683,NA())</f>
        <v/>
      </c>
      <c r="DO6">
        <f>IF(AND(inputs_ok,s_a/2+38*s_a&lt;1000),(60)+(phi_a/2)*0.923880,NA())</f>
        <v/>
      </c>
      <c r="DQ6">
        <f>IF(AND(inputs_ok,s_a/2+39*s_a&lt;1000),(s_a/2+39*s_a)+(phi_a/2)*0.382683,NA())</f>
        <v/>
      </c>
      <c r="DR6">
        <f>IF(AND(inputs_ok,s_a/2+39*s_a&lt;1000),(60)+(phi_a/2)*0.923880,NA())</f>
        <v/>
      </c>
      <c r="DT6">
        <f>IF(AND(inputs_ok,0&lt;n_a),((1000-(n_a-1)*MAX(2*phi_n,phi_n+25))/2+0*MAX(2*phi_n,phi_n+25))+(phi_n/2)*0.382683,NA())</f>
        <v/>
      </c>
      <c r="DU6">
        <f>IF(AND(inputs_ok,0&lt;n_a),(-150)+(phi_n/2)*0.923880,NA())</f>
        <v/>
      </c>
      <c r="DW6">
        <f>IF(AND(inputs_ok,1&lt;n_a),((1000-(n_a-1)*MAX(2*phi_n,phi_n+25))/2+1*MAX(2*phi_n,phi_n+25))+(phi_n/2)*0.382683,NA())</f>
        <v/>
      </c>
      <c r="DX6">
        <f>IF(AND(inputs_ok,1&lt;n_a),(-150)+(phi_n/2)*0.923880,NA())</f>
        <v/>
      </c>
      <c r="DZ6">
        <f>IF(AND(inputs_ok,2&lt;n_a),((1000-(n_a-1)*MAX(2*phi_n,phi_n+25))/2+2*MAX(2*phi_n,phi_n+25))+(phi_n/2)*0.382683,NA())</f>
        <v/>
      </c>
      <c r="EA6">
        <f>IF(AND(inputs_ok,2&lt;n_a),(-150)+(phi_n/2)*0.923880,NA())</f>
        <v/>
      </c>
      <c r="EC6">
        <f>IF(AND(inputs_ok,3&lt;n_a),((1000-(n_a-1)*MAX(2*phi_n,phi_n+25))/2+3*MAX(2*phi_n,phi_n+25))+(phi_n/2)*0.382683,NA())</f>
        <v/>
      </c>
      <c r="ED6">
        <f>IF(AND(inputs_ok,3&lt;n_a),(-150)+(phi_n/2)*0.923880,NA())</f>
        <v/>
      </c>
      <c r="EF6">
        <f>IF(AND(inputs_ok,4&lt;n_a),((1000-(n_a-1)*MAX(2*phi_n,phi_n+25))/2+4*MAX(2*phi_n,phi_n+25))+(phi_n/2)*0.382683,NA())</f>
        <v/>
      </c>
      <c r="EG6">
        <f>IF(AND(inputs_ok,4&lt;n_a),(-150)+(phi_n/2)*0.923880,NA())</f>
        <v/>
      </c>
      <c r="EI6">
        <f>IF(AND(inputs_ok,5&lt;n_a),((1000-(n_a-1)*MAX(2*phi_n,phi_n+25))/2+5*MAX(2*phi_n,phi_n+25))+(phi_n/2)*0.382683,NA())</f>
        <v/>
      </c>
      <c r="EJ6">
        <f>IF(AND(inputs_ok,5&lt;n_a),(-150)+(phi_n/2)*0.923880,NA())</f>
        <v/>
      </c>
      <c r="EL6">
        <f>IF(AND(inputs_ok,6&lt;n_a),((1000-(n_a-1)*MAX(2*phi_n,phi_n+25))/2+6*MAX(2*phi_n,phi_n+25))+(phi_n/2)*0.382683,NA())</f>
        <v/>
      </c>
      <c r="EM6">
        <f>IF(AND(inputs_ok,6&lt;n_a),(-150)+(phi_n/2)*0.923880,NA())</f>
        <v/>
      </c>
      <c r="EO6">
        <f>IF(AND(inputs_ok,7&lt;n_a),((1000-(n_a-1)*MAX(2*phi_n,phi_n+25))/2+7*MAX(2*phi_n,phi_n+25))+(phi_n/2)*0.382683,NA())</f>
        <v/>
      </c>
      <c r="EP6">
        <f>IF(AND(inputs_ok,7&lt;n_a),(-150)+(phi_n/2)*0.923880,NA())</f>
        <v/>
      </c>
      <c r="ER6">
        <f>IF(AND(inputs_ok,8&lt;n_a),((1000-(n_a-1)*MAX(2*phi_n,phi_n+25))/2+8*MAX(2*phi_n,phi_n+25))+(phi_n/2)*0.382683,NA())</f>
        <v/>
      </c>
      <c r="ES6">
        <f>IF(AND(inputs_ok,8&lt;n_a),(-150)+(phi_n/2)*0.923880,NA())</f>
        <v/>
      </c>
      <c r="EU6">
        <f>IF(AND(inputs_ok,9&lt;n_a),((1000-(n_a-1)*MAX(2*phi_n,phi_n+25))/2+9*MAX(2*phi_n,phi_n+25))+(phi_n/2)*0.382683,NA())</f>
        <v/>
      </c>
      <c r="EV6">
        <f>IF(AND(inputs_ok,9&lt;n_a),(-150)+(phi_n/2)*0.923880,NA())</f>
        <v/>
      </c>
      <c r="EX6">
        <f>IF(AND(inputs_ok,10&lt;n_a),((1000-(n_a-1)*MAX(2*phi_n,phi_n+25))/2+10*MAX(2*phi_n,phi_n+25))+(phi_n/2)*0.382683,NA())</f>
        <v/>
      </c>
      <c r="EY6">
        <f>IF(AND(inputs_ok,10&lt;n_a),(-150)+(phi_n/2)*0.923880,NA())</f>
        <v/>
      </c>
      <c r="FA6">
        <f>IF(AND(inputs_ok,11&lt;n_a),((1000-(n_a-1)*MAX(2*phi_n,phi_n+25))/2+11*MAX(2*phi_n,phi_n+25))+(phi_n/2)*0.382683,NA())</f>
        <v/>
      </c>
      <c r="FB6">
        <f>IF(AND(inputs_ok,11&lt;n_a),(-150)+(phi_n/2)*0.923880,NA())</f>
        <v/>
      </c>
      <c r="FD6">
        <f>IF(AND(inputs_ok,12&lt;n_a),((1000-(n_a-1)*MAX(2*phi_n,phi_n+25))/2+12*MAX(2*phi_n,phi_n+25))+(phi_n/2)*0.382683,NA())</f>
        <v/>
      </c>
      <c r="FE6">
        <f>IF(AND(inputs_ok,12&lt;n_a),(-150)+(phi_n/2)*0.923880,NA())</f>
        <v/>
      </c>
      <c r="FG6">
        <f>IF(AND(inputs_ok,13&lt;n_a),((1000-(n_a-1)*MAX(2*phi_n,phi_n+25))/2+13*MAX(2*phi_n,phi_n+25))+(phi_n/2)*0.382683,NA())</f>
        <v/>
      </c>
      <c r="FH6">
        <f>IF(AND(inputs_ok,13&lt;n_a),(-150)+(phi_n/2)*0.923880,NA())</f>
        <v/>
      </c>
      <c r="FJ6">
        <f>IF(AND(inputs_ok,14&lt;n_a),((1000-(n_a-1)*MAX(2*phi_n,phi_n+25))/2+14*MAX(2*phi_n,phi_n+25))+(phi_n/2)*0.382683,NA())</f>
        <v/>
      </c>
      <c r="FK6">
        <f>IF(AND(inputs_ok,14&lt;n_a),(-150)+(phi_n/2)*0.923880,NA())</f>
        <v/>
      </c>
      <c r="FM6">
        <f>IF(AND(inputs_ok,15&lt;n_a),((1000-(n_a-1)*MAX(2*phi_n,phi_n+25))/2+15*MAX(2*phi_n,phi_n+25))+(phi_n/2)*0.382683,NA())</f>
        <v/>
      </c>
      <c r="FN6">
        <f>IF(AND(inputs_ok,15&lt;n_a),(-150)+(phi_n/2)*0.923880,NA())</f>
        <v/>
      </c>
      <c r="FP6">
        <f>IF(AND(inputs_ok,16&lt;n_a),((1000-(n_a-1)*MAX(2*phi_n,phi_n+25))/2+16*MAX(2*phi_n,phi_n+25))+(phi_n/2)*0.382683,NA())</f>
        <v/>
      </c>
      <c r="FQ6">
        <f>IF(AND(inputs_ok,16&lt;n_a),(-150)+(phi_n/2)*0.923880,NA())</f>
        <v/>
      </c>
      <c r="FS6">
        <f>IF(AND(inputs_ok,17&lt;n_a),((1000-(n_a-1)*MAX(2*phi_n,phi_n+25))/2+17*MAX(2*phi_n,phi_n+25))+(phi_n/2)*0.382683,NA())</f>
        <v/>
      </c>
      <c r="FT6">
        <f>IF(AND(inputs_ok,17&lt;n_a),(-150)+(phi_n/2)*0.923880,NA())</f>
        <v/>
      </c>
      <c r="FV6">
        <f>IF(AND(inputs_ok,18&lt;n_a),((1000-(n_a-1)*MAX(2*phi_n,phi_n+25))/2+18*MAX(2*phi_n,phi_n+25))+(phi_n/2)*0.382683,NA())</f>
        <v/>
      </c>
      <c r="FW6">
        <f>IF(AND(inputs_ok,18&lt;n_a),(-150)+(phi_n/2)*0.923880,NA())</f>
        <v/>
      </c>
      <c r="FY6">
        <f>IF(AND(inputs_ok,19&lt;n_a),((1000-(n_a-1)*MAX(2*phi_n,phi_n+25))/2+19*MAX(2*phi_n,phi_n+25))+(phi_n/2)*0.382683,NA())</f>
        <v/>
      </c>
      <c r="FZ6">
        <f>IF(AND(inputs_ok,19&lt;n_a),(-150)+(phi_n/2)*0.923880,NA())</f>
        <v/>
      </c>
    </row>
    <row r="7">
      <c r="A7">
        <f>0</f>
        <v/>
      </c>
      <c r="B7">
        <f>0</f>
        <v/>
      </c>
      <c r="D7">
        <f>IF(AND(inputs_ok,s_a/2+0*s_a&lt;1000),(s_a/2+0*s_a)+(phi_a/2)*0.000000,NA())</f>
        <v/>
      </c>
      <c r="E7">
        <f>IF(AND(inputs_ok,s_a/2+0*s_a&lt;1000),(60)+(phi_a/2)*1.000000,NA())</f>
        <v/>
      </c>
      <c r="G7">
        <f>IF(AND(inputs_ok,s_a/2+1*s_a&lt;1000),(s_a/2+1*s_a)+(phi_a/2)*0.000000,NA())</f>
        <v/>
      </c>
      <c r="H7">
        <f>IF(AND(inputs_ok,s_a/2+1*s_a&lt;1000),(60)+(phi_a/2)*1.000000,NA())</f>
        <v/>
      </c>
      <c r="J7">
        <f>IF(AND(inputs_ok,s_a/2+2*s_a&lt;1000),(s_a/2+2*s_a)+(phi_a/2)*0.000000,NA())</f>
        <v/>
      </c>
      <c r="K7">
        <f>IF(AND(inputs_ok,s_a/2+2*s_a&lt;1000),(60)+(phi_a/2)*1.000000,NA())</f>
        <v/>
      </c>
      <c r="M7">
        <f>IF(AND(inputs_ok,s_a/2+3*s_a&lt;1000),(s_a/2+3*s_a)+(phi_a/2)*0.000000,NA())</f>
        <v/>
      </c>
      <c r="N7">
        <f>IF(AND(inputs_ok,s_a/2+3*s_a&lt;1000),(60)+(phi_a/2)*1.000000,NA())</f>
        <v/>
      </c>
      <c r="P7">
        <f>IF(AND(inputs_ok,s_a/2+4*s_a&lt;1000),(s_a/2+4*s_a)+(phi_a/2)*0.000000,NA())</f>
        <v/>
      </c>
      <c r="Q7">
        <f>IF(AND(inputs_ok,s_a/2+4*s_a&lt;1000),(60)+(phi_a/2)*1.000000,NA())</f>
        <v/>
      </c>
      <c r="S7">
        <f>IF(AND(inputs_ok,s_a/2+5*s_a&lt;1000),(s_a/2+5*s_a)+(phi_a/2)*0.000000,NA())</f>
        <v/>
      </c>
      <c r="T7">
        <f>IF(AND(inputs_ok,s_a/2+5*s_a&lt;1000),(60)+(phi_a/2)*1.000000,NA())</f>
        <v/>
      </c>
      <c r="V7">
        <f>IF(AND(inputs_ok,s_a/2+6*s_a&lt;1000),(s_a/2+6*s_a)+(phi_a/2)*0.000000,NA())</f>
        <v/>
      </c>
      <c r="W7">
        <f>IF(AND(inputs_ok,s_a/2+6*s_a&lt;1000),(60)+(phi_a/2)*1.000000,NA())</f>
        <v/>
      </c>
      <c r="Y7">
        <f>IF(AND(inputs_ok,s_a/2+7*s_a&lt;1000),(s_a/2+7*s_a)+(phi_a/2)*0.000000,NA())</f>
        <v/>
      </c>
      <c r="Z7">
        <f>IF(AND(inputs_ok,s_a/2+7*s_a&lt;1000),(60)+(phi_a/2)*1.000000,NA())</f>
        <v/>
      </c>
      <c r="AB7">
        <f>IF(AND(inputs_ok,s_a/2+8*s_a&lt;1000),(s_a/2+8*s_a)+(phi_a/2)*0.000000,NA())</f>
        <v/>
      </c>
      <c r="AC7">
        <f>IF(AND(inputs_ok,s_a/2+8*s_a&lt;1000),(60)+(phi_a/2)*1.000000,NA())</f>
        <v/>
      </c>
      <c r="AE7">
        <f>IF(AND(inputs_ok,s_a/2+9*s_a&lt;1000),(s_a/2+9*s_a)+(phi_a/2)*0.000000,NA())</f>
        <v/>
      </c>
      <c r="AF7">
        <f>IF(AND(inputs_ok,s_a/2+9*s_a&lt;1000),(60)+(phi_a/2)*1.000000,NA())</f>
        <v/>
      </c>
      <c r="AH7">
        <f>IF(AND(inputs_ok,s_a/2+10*s_a&lt;1000),(s_a/2+10*s_a)+(phi_a/2)*0.000000,NA())</f>
        <v/>
      </c>
      <c r="AI7">
        <f>IF(AND(inputs_ok,s_a/2+10*s_a&lt;1000),(60)+(phi_a/2)*1.000000,NA())</f>
        <v/>
      </c>
      <c r="AK7">
        <f>IF(AND(inputs_ok,s_a/2+11*s_a&lt;1000),(s_a/2+11*s_a)+(phi_a/2)*0.000000,NA())</f>
        <v/>
      </c>
      <c r="AL7">
        <f>IF(AND(inputs_ok,s_a/2+11*s_a&lt;1000),(60)+(phi_a/2)*1.000000,NA())</f>
        <v/>
      </c>
      <c r="AN7">
        <f>IF(AND(inputs_ok,s_a/2+12*s_a&lt;1000),(s_a/2+12*s_a)+(phi_a/2)*0.000000,NA())</f>
        <v/>
      </c>
      <c r="AO7">
        <f>IF(AND(inputs_ok,s_a/2+12*s_a&lt;1000),(60)+(phi_a/2)*1.000000,NA())</f>
        <v/>
      </c>
      <c r="AQ7">
        <f>IF(AND(inputs_ok,s_a/2+13*s_a&lt;1000),(s_a/2+13*s_a)+(phi_a/2)*0.000000,NA())</f>
        <v/>
      </c>
      <c r="AR7">
        <f>IF(AND(inputs_ok,s_a/2+13*s_a&lt;1000),(60)+(phi_a/2)*1.000000,NA())</f>
        <v/>
      </c>
      <c r="AT7">
        <f>IF(AND(inputs_ok,s_a/2+14*s_a&lt;1000),(s_a/2+14*s_a)+(phi_a/2)*0.000000,NA())</f>
        <v/>
      </c>
      <c r="AU7">
        <f>IF(AND(inputs_ok,s_a/2+14*s_a&lt;1000),(60)+(phi_a/2)*1.000000,NA())</f>
        <v/>
      </c>
      <c r="AW7">
        <f>IF(AND(inputs_ok,s_a/2+15*s_a&lt;1000),(s_a/2+15*s_a)+(phi_a/2)*0.000000,NA())</f>
        <v/>
      </c>
      <c r="AX7">
        <f>IF(AND(inputs_ok,s_a/2+15*s_a&lt;1000),(60)+(phi_a/2)*1.000000,NA())</f>
        <v/>
      </c>
      <c r="AZ7">
        <f>IF(AND(inputs_ok,s_a/2+16*s_a&lt;1000),(s_a/2+16*s_a)+(phi_a/2)*0.000000,NA())</f>
        <v/>
      </c>
      <c r="BA7">
        <f>IF(AND(inputs_ok,s_a/2+16*s_a&lt;1000),(60)+(phi_a/2)*1.000000,NA())</f>
        <v/>
      </c>
      <c r="BC7">
        <f>IF(AND(inputs_ok,s_a/2+17*s_a&lt;1000),(s_a/2+17*s_a)+(phi_a/2)*0.000000,NA())</f>
        <v/>
      </c>
      <c r="BD7">
        <f>IF(AND(inputs_ok,s_a/2+17*s_a&lt;1000),(60)+(phi_a/2)*1.000000,NA())</f>
        <v/>
      </c>
      <c r="BF7">
        <f>IF(AND(inputs_ok,s_a/2+18*s_a&lt;1000),(s_a/2+18*s_a)+(phi_a/2)*0.000000,NA())</f>
        <v/>
      </c>
      <c r="BG7">
        <f>IF(AND(inputs_ok,s_a/2+18*s_a&lt;1000),(60)+(phi_a/2)*1.000000,NA())</f>
        <v/>
      </c>
      <c r="BI7">
        <f>IF(AND(inputs_ok,s_a/2+19*s_a&lt;1000),(s_a/2+19*s_a)+(phi_a/2)*0.000000,NA())</f>
        <v/>
      </c>
      <c r="BJ7">
        <f>IF(AND(inputs_ok,s_a/2+19*s_a&lt;1000),(60)+(phi_a/2)*1.000000,NA())</f>
        <v/>
      </c>
      <c r="BL7">
        <f>IF(AND(inputs_ok,s_a/2+20*s_a&lt;1000),(s_a/2+20*s_a)+(phi_a/2)*0.000000,NA())</f>
        <v/>
      </c>
      <c r="BM7">
        <f>IF(AND(inputs_ok,s_a/2+20*s_a&lt;1000),(60)+(phi_a/2)*1.000000,NA())</f>
        <v/>
      </c>
      <c r="BO7">
        <f>IF(AND(inputs_ok,s_a/2+21*s_a&lt;1000),(s_a/2+21*s_a)+(phi_a/2)*0.000000,NA())</f>
        <v/>
      </c>
      <c r="BP7">
        <f>IF(AND(inputs_ok,s_a/2+21*s_a&lt;1000),(60)+(phi_a/2)*1.000000,NA())</f>
        <v/>
      </c>
      <c r="BR7">
        <f>IF(AND(inputs_ok,s_a/2+22*s_a&lt;1000),(s_a/2+22*s_a)+(phi_a/2)*0.000000,NA())</f>
        <v/>
      </c>
      <c r="BS7">
        <f>IF(AND(inputs_ok,s_a/2+22*s_a&lt;1000),(60)+(phi_a/2)*1.000000,NA())</f>
        <v/>
      </c>
      <c r="BU7">
        <f>IF(AND(inputs_ok,s_a/2+23*s_a&lt;1000),(s_a/2+23*s_a)+(phi_a/2)*0.000000,NA())</f>
        <v/>
      </c>
      <c r="BV7">
        <f>IF(AND(inputs_ok,s_a/2+23*s_a&lt;1000),(60)+(phi_a/2)*1.000000,NA())</f>
        <v/>
      </c>
      <c r="BX7">
        <f>IF(AND(inputs_ok,s_a/2+24*s_a&lt;1000),(s_a/2+24*s_a)+(phi_a/2)*0.000000,NA())</f>
        <v/>
      </c>
      <c r="BY7">
        <f>IF(AND(inputs_ok,s_a/2+24*s_a&lt;1000),(60)+(phi_a/2)*1.000000,NA())</f>
        <v/>
      </c>
      <c r="CA7">
        <f>IF(AND(inputs_ok,s_a/2+25*s_a&lt;1000),(s_a/2+25*s_a)+(phi_a/2)*0.000000,NA())</f>
        <v/>
      </c>
      <c r="CB7">
        <f>IF(AND(inputs_ok,s_a/2+25*s_a&lt;1000),(60)+(phi_a/2)*1.000000,NA())</f>
        <v/>
      </c>
      <c r="CD7">
        <f>IF(AND(inputs_ok,s_a/2+26*s_a&lt;1000),(s_a/2+26*s_a)+(phi_a/2)*0.000000,NA())</f>
        <v/>
      </c>
      <c r="CE7">
        <f>IF(AND(inputs_ok,s_a/2+26*s_a&lt;1000),(60)+(phi_a/2)*1.000000,NA())</f>
        <v/>
      </c>
      <c r="CG7">
        <f>IF(AND(inputs_ok,s_a/2+27*s_a&lt;1000),(s_a/2+27*s_a)+(phi_a/2)*0.000000,NA())</f>
        <v/>
      </c>
      <c r="CH7">
        <f>IF(AND(inputs_ok,s_a/2+27*s_a&lt;1000),(60)+(phi_a/2)*1.000000,NA())</f>
        <v/>
      </c>
      <c r="CJ7">
        <f>IF(AND(inputs_ok,s_a/2+28*s_a&lt;1000),(s_a/2+28*s_a)+(phi_a/2)*0.000000,NA())</f>
        <v/>
      </c>
      <c r="CK7">
        <f>IF(AND(inputs_ok,s_a/2+28*s_a&lt;1000),(60)+(phi_a/2)*1.000000,NA())</f>
        <v/>
      </c>
      <c r="CM7">
        <f>IF(AND(inputs_ok,s_a/2+29*s_a&lt;1000),(s_a/2+29*s_a)+(phi_a/2)*0.000000,NA())</f>
        <v/>
      </c>
      <c r="CN7">
        <f>IF(AND(inputs_ok,s_a/2+29*s_a&lt;1000),(60)+(phi_a/2)*1.000000,NA())</f>
        <v/>
      </c>
      <c r="CP7">
        <f>IF(AND(inputs_ok,s_a/2+30*s_a&lt;1000),(s_a/2+30*s_a)+(phi_a/2)*0.000000,NA())</f>
        <v/>
      </c>
      <c r="CQ7">
        <f>IF(AND(inputs_ok,s_a/2+30*s_a&lt;1000),(60)+(phi_a/2)*1.000000,NA())</f>
        <v/>
      </c>
      <c r="CS7">
        <f>IF(AND(inputs_ok,s_a/2+31*s_a&lt;1000),(s_a/2+31*s_a)+(phi_a/2)*0.000000,NA())</f>
        <v/>
      </c>
      <c r="CT7">
        <f>IF(AND(inputs_ok,s_a/2+31*s_a&lt;1000),(60)+(phi_a/2)*1.000000,NA())</f>
        <v/>
      </c>
      <c r="CV7">
        <f>IF(AND(inputs_ok,s_a/2+32*s_a&lt;1000),(s_a/2+32*s_a)+(phi_a/2)*0.000000,NA())</f>
        <v/>
      </c>
      <c r="CW7">
        <f>IF(AND(inputs_ok,s_a/2+32*s_a&lt;1000),(60)+(phi_a/2)*1.000000,NA())</f>
        <v/>
      </c>
      <c r="CY7">
        <f>IF(AND(inputs_ok,s_a/2+33*s_a&lt;1000),(s_a/2+33*s_a)+(phi_a/2)*0.000000,NA())</f>
        <v/>
      </c>
      <c r="CZ7">
        <f>IF(AND(inputs_ok,s_a/2+33*s_a&lt;1000),(60)+(phi_a/2)*1.000000,NA())</f>
        <v/>
      </c>
      <c r="DB7">
        <f>IF(AND(inputs_ok,s_a/2+34*s_a&lt;1000),(s_a/2+34*s_a)+(phi_a/2)*0.000000,NA())</f>
        <v/>
      </c>
      <c r="DC7">
        <f>IF(AND(inputs_ok,s_a/2+34*s_a&lt;1000),(60)+(phi_a/2)*1.000000,NA())</f>
        <v/>
      </c>
      <c r="DE7">
        <f>IF(AND(inputs_ok,s_a/2+35*s_a&lt;1000),(s_a/2+35*s_a)+(phi_a/2)*0.000000,NA())</f>
        <v/>
      </c>
      <c r="DF7">
        <f>IF(AND(inputs_ok,s_a/2+35*s_a&lt;1000),(60)+(phi_a/2)*1.000000,NA())</f>
        <v/>
      </c>
      <c r="DH7">
        <f>IF(AND(inputs_ok,s_a/2+36*s_a&lt;1000),(s_a/2+36*s_a)+(phi_a/2)*0.000000,NA())</f>
        <v/>
      </c>
      <c r="DI7">
        <f>IF(AND(inputs_ok,s_a/2+36*s_a&lt;1000),(60)+(phi_a/2)*1.000000,NA())</f>
        <v/>
      </c>
      <c r="DK7">
        <f>IF(AND(inputs_ok,s_a/2+37*s_a&lt;1000),(s_a/2+37*s_a)+(phi_a/2)*0.000000,NA())</f>
        <v/>
      </c>
      <c r="DL7">
        <f>IF(AND(inputs_ok,s_a/2+37*s_a&lt;1000),(60)+(phi_a/2)*1.000000,NA())</f>
        <v/>
      </c>
      <c r="DN7">
        <f>IF(AND(inputs_ok,s_a/2+38*s_a&lt;1000),(s_a/2+38*s_a)+(phi_a/2)*0.000000,NA())</f>
        <v/>
      </c>
      <c r="DO7">
        <f>IF(AND(inputs_ok,s_a/2+38*s_a&lt;1000),(60)+(phi_a/2)*1.000000,NA())</f>
        <v/>
      </c>
      <c r="DQ7">
        <f>IF(AND(inputs_ok,s_a/2+39*s_a&lt;1000),(s_a/2+39*s_a)+(phi_a/2)*0.000000,NA())</f>
        <v/>
      </c>
      <c r="DR7">
        <f>IF(AND(inputs_ok,s_a/2+39*s_a&lt;1000),(60)+(phi_a/2)*1.000000,NA())</f>
        <v/>
      </c>
      <c r="DT7">
        <f>IF(AND(inputs_ok,0&lt;n_a),((1000-(n_a-1)*MAX(2*phi_n,phi_n+25))/2+0*MAX(2*phi_n,phi_n+25))+(phi_n/2)*0.000000,NA())</f>
        <v/>
      </c>
      <c r="DU7">
        <f>IF(AND(inputs_ok,0&lt;n_a),(-150)+(phi_n/2)*1.000000,NA())</f>
        <v/>
      </c>
      <c r="DW7">
        <f>IF(AND(inputs_ok,1&lt;n_a),((1000-(n_a-1)*MAX(2*phi_n,phi_n+25))/2+1*MAX(2*phi_n,phi_n+25))+(phi_n/2)*0.000000,NA())</f>
        <v/>
      </c>
      <c r="DX7">
        <f>IF(AND(inputs_ok,1&lt;n_a),(-150)+(phi_n/2)*1.000000,NA())</f>
        <v/>
      </c>
      <c r="DZ7">
        <f>IF(AND(inputs_ok,2&lt;n_a),((1000-(n_a-1)*MAX(2*phi_n,phi_n+25))/2+2*MAX(2*phi_n,phi_n+25))+(phi_n/2)*0.000000,NA())</f>
        <v/>
      </c>
      <c r="EA7">
        <f>IF(AND(inputs_ok,2&lt;n_a),(-150)+(phi_n/2)*1.000000,NA())</f>
        <v/>
      </c>
      <c r="EC7">
        <f>IF(AND(inputs_ok,3&lt;n_a),((1000-(n_a-1)*MAX(2*phi_n,phi_n+25))/2+3*MAX(2*phi_n,phi_n+25))+(phi_n/2)*0.000000,NA())</f>
        <v/>
      </c>
      <c r="ED7">
        <f>IF(AND(inputs_ok,3&lt;n_a),(-150)+(phi_n/2)*1.000000,NA())</f>
        <v/>
      </c>
      <c r="EF7">
        <f>IF(AND(inputs_ok,4&lt;n_a),((1000-(n_a-1)*MAX(2*phi_n,phi_n+25))/2+4*MAX(2*phi_n,phi_n+25))+(phi_n/2)*0.000000,NA())</f>
        <v/>
      </c>
      <c r="EG7">
        <f>IF(AND(inputs_ok,4&lt;n_a),(-150)+(phi_n/2)*1.000000,NA())</f>
        <v/>
      </c>
      <c r="EI7">
        <f>IF(AND(inputs_ok,5&lt;n_a),((1000-(n_a-1)*MAX(2*phi_n,phi_n+25))/2+5*MAX(2*phi_n,phi_n+25))+(phi_n/2)*0.000000,NA())</f>
        <v/>
      </c>
      <c r="EJ7">
        <f>IF(AND(inputs_ok,5&lt;n_a),(-150)+(phi_n/2)*1.000000,NA())</f>
        <v/>
      </c>
      <c r="EL7">
        <f>IF(AND(inputs_ok,6&lt;n_a),((1000-(n_a-1)*MAX(2*phi_n,phi_n+25))/2+6*MAX(2*phi_n,phi_n+25))+(phi_n/2)*0.000000,NA())</f>
        <v/>
      </c>
      <c r="EM7">
        <f>IF(AND(inputs_ok,6&lt;n_a),(-150)+(phi_n/2)*1.000000,NA())</f>
        <v/>
      </c>
      <c r="EO7">
        <f>IF(AND(inputs_ok,7&lt;n_a),((1000-(n_a-1)*MAX(2*phi_n,phi_n+25))/2+7*MAX(2*phi_n,phi_n+25))+(phi_n/2)*0.000000,NA())</f>
        <v/>
      </c>
      <c r="EP7">
        <f>IF(AND(inputs_ok,7&lt;n_a),(-150)+(phi_n/2)*1.000000,NA())</f>
        <v/>
      </c>
      <c r="ER7">
        <f>IF(AND(inputs_ok,8&lt;n_a),((1000-(n_a-1)*MAX(2*phi_n,phi_n+25))/2+8*MAX(2*phi_n,phi_n+25))+(phi_n/2)*0.000000,NA())</f>
        <v/>
      </c>
      <c r="ES7">
        <f>IF(AND(inputs_ok,8&lt;n_a),(-150)+(phi_n/2)*1.000000,NA())</f>
        <v/>
      </c>
      <c r="EU7">
        <f>IF(AND(inputs_ok,9&lt;n_a),((1000-(n_a-1)*MAX(2*phi_n,phi_n+25))/2+9*MAX(2*phi_n,phi_n+25))+(phi_n/2)*0.000000,NA())</f>
        <v/>
      </c>
      <c r="EV7">
        <f>IF(AND(inputs_ok,9&lt;n_a),(-150)+(phi_n/2)*1.000000,NA())</f>
        <v/>
      </c>
      <c r="EX7">
        <f>IF(AND(inputs_ok,10&lt;n_a),((1000-(n_a-1)*MAX(2*phi_n,phi_n+25))/2+10*MAX(2*phi_n,phi_n+25))+(phi_n/2)*0.000000,NA())</f>
        <v/>
      </c>
      <c r="EY7">
        <f>IF(AND(inputs_ok,10&lt;n_a),(-150)+(phi_n/2)*1.000000,NA())</f>
        <v/>
      </c>
      <c r="FA7">
        <f>IF(AND(inputs_ok,11&lt;n_a),((1000-(n_a-1)*MAX(2*phi_n,phi_n+25))/2+11*MAX(2*phi_n,phi_n+25))+(phi_n/2)*0.000000,NA())</f>
        <v/>
      </c>
      <c r="FB7">
        <f>IF(AND(inputs_ok,11&lt;n_a),(-150)+(phi_n/2)*1.000000,NA())</f>
        <v/>
      </c>
      <c r="FD7">
        <f>IF(AND(inputs_ok,12&lt;n_a),((1000-(n_a-1)*MAX(2*phi_n,phi_n+25))/2+12*MAX(2*phi_n,phi_n+25))+(phi_n/2)*0.000000,NA())</f>
        <v/>
      </c>
      <c r="FE7">
        <f>IF(AND(inputs_ok,12&lt;n_a),(-150)+(phi_n/2)*1.000000,NA())</f>
        <v/>
      </c>
      <c r="FG7">
        <f>IF(AND(inputs_ok,13&lt;n_a),((1000-(n_a-1)*MAX(2*phi_n,phi_n+25))/2+13*MAX(2*phi_n,phi_n+25))+(phi_n/2)*0.000000,NA())</f>
        <v/>
      </c>
      <c r="FH7">
        <f>IF(AND(inputs_ok,13&lt;n_a),(-150)+(phi_n/2)*1.000000,NA())</f>
        <v/>
      </c>
      <c r="FJ7">
        <f>IF(AND(inputs_ok,14&lt;n_a),((1000-(n_a-1)*MAX(2*phi_n,phi_n+25))/2+14*MAX(2*phi_n,phi_n+25))+(phi_n/2)*0.000000,NA())</f>
        <v/>
      </c>
      <c r="FK7">
        <f>IF(AND(inputs_ok,14&lt;n_a),(-150)+(phi_n/2)*1.000000,NA())</f>
        <v/>
      </c>
      <c r="FM7">
        <f>IF(AND(inputs_ok,15&lt;n_a),((1000-(n_a-1)*MAX(2*phi_n,phi_n+25))/2+15*MAX(2*phi_n,phi_n+25))+(phi_n/2)*0.000000,NA())</f>
        <v/>
      </c>
      <c r="FN7">
        <f>IF(AND(inputs_ok,15&lt;n_a),(-150)+(phi_n/2)*1.000000,NA())</f>
        <v/>
      </c>
      <c r="FP7">
        <f>IF(AND(inputs_ok,16&lt;n_a),((1000-(n_a-1)*MAX(2*phi_n,phi_n+25))/2+16*MAX(2*phi_n,phi_n+25))+(phi_n/2)*0.000000,NA())</f>
        <v/>
      </c>
      <c r="FQ7">
        <f>IF(AND(inputs_ok,16&lt;n_a),(-150)+(phi_n/2)*1.000000,NA())</f>
        <v/>
      </c>
      <c r="FS7">
        <f>IF(AND(inputs_ok,17&lt;n_a),((1000-(n_a-1)*MAX(2*phi_n,phi_n+25))/2+17*MAX(2*phi_n,phi_n+25))+(phi_n/2)*0.000000,NA())</f>
        <v/>
      </c>
      <c r="FT7">
        <f>IF(AND(inputs_ok,17&lt;n_a),(-150)+(phi_n/2)*1.000000,NA())</f>
        <v/>
      </c>
      <c r="FV7">
        <f>IF(AND(inputs_ok,18&lt;n_a),((1000-(n_a-1)*MAX(2*phi_n,phi_n+25))/2+18*MAX(2*phi_n,phi_n+25))+(phi_n/2)*0.000000,NA())</f>
        <v/>
      </c>
      <c r="FW7">
        <f>IF(AND(inputs_ok,18&lt;n_a),(-150)+(phi_n/2)*1.000000,NA())</f>
        <v/>
      </c>
      <c r="FY7">
        <f>IF(AND(inputs_ok,19&lt;n_a),((1000-(n_a-1)*MAX(2*phi_n,phi_n+25))/2+19*MAX(2*phi_n,phi_n+25))+(phi_n/2)*0.000000,NA())</f>
        <v/>
      </c>
      <c r="FZ7">
        <f>IF(AND(inputs_ok,19&lt;n_a),(-150)+(phi_n/2)*1.000000,NA())</f>
        <v/>
      </c>
    </row>
    <row r="8">
      <c r="D8">
        <f>IF(AND(inputs_ok,s_a/2+0*s_a&lt;1000),(s_a/2+0*s_a)+(phi_a/2)*-0.382683,NA())</f>
        <v/>
      </c>
      <c r="E8">
        <f>IF(AND(inputs_ok,s_a/2+0*s_a&lt;1000),(60)+(phi_a/2)*0.923880,NA())</f>
        <v/>
      </c>
      <c r="G8">
        <f>IF(AND(inputs_ok,s_a/2+1*s_a&lt;1000),(s_a/2+1*s_a)+(phi_a/2)*-0.382683,NA())</f>
        <v/>
      </c>
      <c r="H8">
        <f>IF(AND(inputs_ok,s_a/2+1*s_a&lt;1000),(60)+(phi_a/2)*0.923880,NA())</f>
        <v/>
      </c>
      <c r="J8">
        <f>IF(AND(inputs_ok,s_a/2+2*s_a&lt;1000),(s_a/2+2*s_a)+(phi_a/2)*-0.382683,NA())</f>
        <v/>
      </c>
      <c r="K8">
        <f>IF(AND(inputs_ok,s_a/2+2*s_a&lt;1000),(60)+(phi_a/2)*0.923880,NA())</f>
        <v/>
      </c>
      <c r="M8">
        <f>IF(AND(inputs_ok,s_a/2+3*s_a&lt;1000),(s_a/2+3*s_a)+(phi_a/2)*-0.382683,NA())</f>
        <v/>
      </c>
      <c r="N8">
        <f>IF(AND(inputs_ok,s_a/2+3*s_a&lt;1000),(60)+(phi_a/2)*0.923880,NA())</f>
        <v/>
      </c>
      <c r="P8">
        <f>IF(AND(inputs_ok,s_a/2+4*s_a&lt;1000),(s_a/2+4*s_a)+(phi_a/2)*-0.382683,NA())</f>
        <v/>
      </c>
      <c r="Q8">
        <f>IF(AND(inputs_ok,s_a/2+4*s_a&lt;1000),(60)+(phi_a/2)*0.923880,NA())</f>
        <v/>
      </c>
      <c r="S8">
        <f>IF(AND(inputs_ok,s_a/2+5*s_a&lt;1000),(s_a/2+5*s_a)+(phi_a/2)*-0.382683,NA())</f>
        <v/>
      </c>
      <c r="T8">
        <f>IF(AND(inputs_ok,s_a/2+5*s_a&lt;1000),(60)+(phi_a/2)*0.923880,NA())</f>
        <v/>
      </c>
      <c r="V8">
        <f>IF(AND(inputs_ok,s_a/2+6*s_a&lt;1000),(s_a/2+6*s_a)+(phi_a/2)*-0.382683,NA())</f>
        <v/>
      </c>
      <c r="W8">
        <f>IF(AND(inputs_ok,s_a/2+6*s_a&lt;1000),(60)+(phi_a/2)*0.923880,NA())</f>
        <v/>
      </c>
      <c r="Y8">
        <f>IF(AND(inputs_ok,s_a/2+7*s_a&lt;1000),(s_a/2+7*s_a)+(phi_a/2)*-0.382683,NA())</f>
        <v/>
      </c>
      <c r="Z8">
        <f>IF(AND(inputs_ok,s_a/2+7*s_a&lt;1000),(60)+(phi_a/2)*0.923880,NA())</f>
        <v/>
      </c>
      <c r="AB8">
        <f>IF(AND(inputs_ok,s_a/2+8*s_a&lt;1000),(s_a/2+8*s_a)+(phi_a/2)*-0.382683,NA())</f>
        <v/>
      </c>
      <c r="AC8">
        <f>IF(AND(inputs_ok,s_a/2+8*s_a&lt;1000),(60)+(phi_a/2)*0.923880,NA())</f>
        <v/>
      </c>
      <c r="AE8">
        <f>IF(AND(inputs_ok,s_a/2+9*s_a&lt;1000),(s_a/2+9*s_a)+(phi_a/2)*-0.382683,NA())</f>
        <v/>
      </c>
      <c r="AF8">
        <f>IF(AND(inputs_ok,s_a/2+9*s_a&lt;1000),(60)+(phi_a/2)*0.923880,NA())</f>
        <v/>
      </c>
      <c r="AH8">
        <f>IF(AND(inputs_ok,s_a/2+10*s_a&lt;1000),(s_a/2+10*s_a)+(phi_a/2)*-0.382683,NA())</f>
        <v/>
      </c>
      <c r="AI8">
        <f>IF(AND(inputs_ok,s_a/2+10*s_a&lt;1000),(60)+(phi_a/2)*0.923880,NA())</f>
        <v/>
      </c>
      <c r="AK8">
        <f>IF(AND(inputs_ok,s_a/2+11*s_a&lt;1000),(s_a/2+11*s_a)+(phi_a/2)*-0.382683,NA())</f>
        <v/>
      </c>
      <c r="AL8">
        <f>IF(AND(inputs_ok,s_a/2+11*s_a&lt;1000),(60)+(phi_a/2)*0.923880,NA())</f>
        <v/>
      </c>
      <c r="AN8">
        <f>IF(AND(inputs_ok,s_a/2+12*s_a&lt;1000),(s_a/2+12*s_a)+(phi_a/2)*-0.382683,NA())</f>
        <v/>
      </c>
      <c r="AO8">
        <f>IF(AND(inputs_ok,s_a/2+12*s_a&lt;1000),(60)+(phi_a/2)*0.923880,NA())</f>
        <v/>
      </c>
      <c r="AQ8">
        <f>IF(AND(inputs_ok,s_a/2+13*s_a&lt;1000),(s_a/2+13*s_a)+(phi_a/2)*-0.382683,NA())</f>
        <v/>
      </c>
      <c r="AR8">
        <f>IF(AND(inputs_ok,s_a/2+13*s_a&lt;1000),(60)+(phi_a/2)*0.923880,NA())</f>
        <v/>
      </c>
      <c r="AT8">
        <f>IF(AND(inputs_ok,s_a/2+14*s_a&lt;1000),(s_a/2+14*s_a)+(phi_a/2)*-0.382683,NA())</f>
        <v/>
      </c>
      <c r="AU8">
        <f>IF(AND(inputs_ok,s_a/2+14*s_a&lt;1000),(60)+(phi_a/2)*0.923880,NA())</f>
        <v/>
      </c>
      <c r="AW8">
        <f>IF(AND(inputs_ok,s_a/2+15*s_a&lt;1000),(s_a/2+15*s_a)+(phi_a/2)*-0.382683,NA())</f>
        <v/>
      </c>
      <c r="AX8">
        <f>IF(AND(inputs_ok,s_a/2+15*s_a&lt;1000),(60)+(phi_a/2)*0.923880,NA())</f>
        <v/>
      </c>
      <c r="AZ8">
        <f>IF(AND(inputs_ok,s_a/2+16*s_a&lt;1000),(s_a/2+16*s_a)+(phi_a/2)*-0.382683,NA())</f>
        <v/>
      </c>
      <c r="BA8">
        <f>IF(AND(inputs_ok,s_a/2+16*s_a&lt;1000),(60)+(phi_a/2)*0.923880,NA())</f>
        <v/>
      </c>
      <c r="BC8">
        <f>IF(AND(inputs_ok,s_a/2+17*s_a&lt;1000),(s_a/2+17*s_a)+(phi_a/2)*-0.382683,NA())</f>
        <v/>
      </c>
      <c r="BD8">
        <f>IF(AND(inputs_ok,s_a/2+17*s_a&lt;1000),(60)+(phi_a/2)*0.923880,NA())</f>
        <v/>
      </c>
      <c r="BF8">
        <f>IF(AND(inputs_ok,s_a/2+18*s_a&lt;1000),(s_a/2+18*s_a)+(phi_a/2)*-0.382683,NA())</f>
        <v/>
      </c>
      <c r="BG8">
        <f>IF(AND(inputs_ok,s_a/2+18*s_a&lt;1000),(60)+(phi_a/2)*0.923880,NA())</f>
        <v/>
      </c>
      <c r="BI8">
        <f>IF(AND(inputs_ok,s_a/2+19*s_a&lt;1000),(s_a/2+19*s_a)+(phi_a/2)*-0.382683,NA())</f>
        <v/>
      </c>
      <c r="BJ8">
        <f>IF(AND(inputs_ok,s_a/2+19*s_a&lt;1000),(60)+(phi_a/2)*0.923880,NA())</f>
        <v/>
      </c>
      <c r="BL8">
        <f>IF(AND(inputs_ok,s_a/2+20*s_a&lt;1000),(s_a/2+20*s_a)+(phi_a/2)*-0.382683,NA())</f>
        <v/>
      </c>
      <c r="BM8">
        <f>IF(AND(inputs_ok,s_a/2+20*s_a&lt;1000),(60)+(phi_a/2)*0.923880,NA())</f>
        <v/>
      </c>
      <c r="BO8">
        <f>IF(AND(inputs_ok,s_a/2+21*s_a&lt;1000),(s_a/2+21*s_a)+(phi_a/2)*-0.382683,NA())</f>
        <v/>
      </c>
      <c r="BP8">
        <f>IF(AND(inputs_ok,s_a/2+21*s_a&lt;1000),(60)+(phi_a/2)*0.923880,NA())</f>
        <v/>
      </c>
      <c r="BR8">
        <f>IF(AND(inputs_ok,s_a/2+22*s_a&lt;1000),(s_a/2+22*s_a)+(phi_a/2)*-0.382683,NA())</f>
        <v/>
      </c>
      <c r="BS8">
        <f>IF(AND(inputs_ok,s_a/2+22*s_a&lt;1000),(60)+(phi_a/2)*0.923880,NA())</f>
        <v/>
      </c>
      <c r="BU8">
        <f>IF(AND(inputs_ok,s_a/2+23*s_a&lt;1000),(s_a/2+23*s_a)+(phi_a/2)*-0.382683,NA())</f>
        <v/>
      </c>
      <c r="BV8">
        <f>IF(AND(inputs_ok,s_a/2+23*s_a&lt;1000),(60)+(phi_a/2)*0.923880,NA())</f>
        <v/>
      </c>
      <c r="BX8">
        <f>IF(AND(inputs_ok,s_a/2+24*s_a&lt;1000),(s_a/2+24*s_a)+(phi_a/2)*-0.382683,NA())</f>
        <v/>
      </c>
      <c r="BY8">
        <f>IF(AND(inputs_ok,s_a/2+24*s_a&lt;1000),(60)+(phi_a/2)*0.923880,NA())</f>
        <v/>
      </c>
      <c r="CA8">
        <f>IF(AND(inputs_ok,s_a/2+25*s_a&lt;1000),(s_a/2+25*s_a)+(phi_a/2)*-0.382683,NA())</f>
        <v/>
      </c>
      <c r="CB8">
        <f>IF(AND(inputs_ok,s_a/2+25*s_a&lt;1000),(60)+(phi_a/2)*0.923880,NA())</f>
        <v/>
      </c>
      <c r="CD8">
        <f>IF(AND(inputs_ok,s_a/2+26*s_a&lt;1000),(s_a/2+26*s_a)+(phi_a/2)*-0.382683,NA())</f>
        <v/>
      </c>
      <c r="CE8">
        <f>IF(AND(inputs_ok,s_a/2+26*s_a&lt;1000),(60)+(phi_a/2)*0.923880,NA())</f>
        <v/>
      </c>
      <c r="CG8">
        <f>IF(AND(inputs_ok,s_a/2+27*s_a&lt;1000),(s_a/2+27*s_a)+(phi_a/2)*-0.382683,NA())</f>
        <v/>
      </c>
      <c r="CH8">
        <f>IF(AND(inputs_ok,s_a/2+27*s_a&lt;1000),(60)+(phi_a/2)*0.923880,NA())</f>
        <v/>
      </c>
      <c r="CJ8">
        <f>IF(AND(inputs_ok,s_a/2+28*s_a&lt;1000),(s_a/2+28*s_a)+(phi_a/2)*-0.382683,NA())</f>
        <v/>
      </c>
      <c r="CK8">
        <f>IF(AND(inputs_ok,s_a/2+28*s_a&lt;1000),(60)+(phi_a/2)*0.923880,NA())</f>
        <v/>
      </c>
      <c r="CM8">
        <f>IF(AND(inputs_ok,s_a/2+29*s_a&lt;1000),(s_a/2+29*s_a)+(phi_a/2)*-0.382683,NA())</f>
        <v/>
      </c>
      <c r="CN8">
        <f>IF(AND(inputs_ok,s_a/2+29*s_a&lt;1000),(60)+(phi_a/2)*0.923880,NA())</f>
        <v/>
      </c>
      <c r="CP8">
        <f>IF(AND(inputs_ok,s_a/2+30*s_a&lt;1000),(s_a/2+30*s_a)+(phi_a/2)*-0.382683,NA())</f>
        <v/>
      </c>
      <c r="CQ8">
        <f>IF(AND(inputs_ok,s_a/2+30*s_a&lt;1000),(60)+(phi_a/2)*0.923880,NA())</f>
        <v/>
      </c>
      <c r="CS8">
        <f>IF(AND(inputs_ok,s_a/2+31*s_a&lt;1000),(s_a/2+31*s_a)+(phi_a/2)*-0.382683,NA())</f>
        <v/>
      </c>
      <c r="CT8">
        <f>IF(AND(inputs_ok,s_a/2+31*s_a&lt;1000),(60)+(phi_a/2)*0.923880,NA())</f>
        <v/>
      </c>
      <c r="CV8">
        <f>IF(AND(inputs_ok,s_a/2+32*s_a&lt;1000),(s_a/2+32*s_a)+(phi_a/2)*-0.382683,NA())</f>
        <v/>
      </c>
      <c r="CW8">
        <f>IF(AND(inputs_ok,s_a/2+32*s_a&lt;1000),(60)+(phi_a/2)*0.923880,NA())</f>
        <v/>
      </c>
      <c r="CY8">
        <f>IF(AND(inputs_ok,s_a/2+33*s_a&lt;1000),(s_a/2+33*s_a)+(phi_a/2)*-0.382683,NA())</f>
        <v/>
      </c>
      <c r="CZ8">
        <f>IF(AND(inputs_ok,s_a/2+33*s_a&lt;1000),(60)+(phi_a/2)*0.923880,NA())</f>
        <v/>
      </c>
      <c r="DB8">
        <f>IF(AND(inputs_ok,s_a/2+34*s_a&lt;1000),(s_a/2+34*s_a)+(phi_a/2)*-0.382683,NA())</f>
        <v/>
      </c>
      <c r="DC8">
        <f>IF(AND(inputs_ok,s_a/2+34*s_a&lt;1000),(60)+(phi_a/2)*0.923880,NA())</f>
        <v/>
      </c>
      <c r="DE8">
        <f>IF(AND(inputs_ok,s_a/2+35*s_a&lt;1000),(s_a/2+35*s_a)+(phi_a/2)*-0.382683,NA())</f>
        <v/>
      </c>
      <c r="DF8">
        <f>IF(AND(inputs_ok,s_a/2+35*s_a&lt;1000),(60)+(phi_a/2)*0.923880,NA())</f>
        <v/>
      </c>
      <c r="DH8">
        <f>IF(AND(inputs_ok,s_a/2+36*s_a&lt;1000),(s_a/2+36*s_a)+(phi_a/2)*-0.382683,NA())</f>
        <v/>
      </c>
      <c r="DI8">
        <f>IF(AND(inputs_ok,s_a/2+36*s_a&lt;1000),(60)+(phi_a/2)*0.923880,NA())</f>
        <v/>
      </c>
      <c r="DK8">
        <f>IF(AND(inputs_ok,s_a/2+37*s_a&lt;1000),(s_a/2+37*s_a)+(phi_a/2)*-0.382683,NA())</f>
        <v/>
      </c>
      <c r="DL8">
        <f>IF(AND(inputs_ok,s_a/2+37*s_a&lt;1000),(60)+(phi_a/2)*0.923880,NA())</f>
        <v/>
      </c>
      <c r="DN8">
        <f>IF(AND(inputs_ok,s_a/2+38*s_a&lt;1000),(s_a/2+38*s_a)+(phi_a/2)*-0.382683,NA())</f>
        <v/>
      </c>
      <c r="DO8">
        <f>IF(AND(inputs_ok,s_a/2+38*s_a&lt;1000),(60)+(phi_a/2)*0.923880,NA())</f>
        <v/>
      </c>
      <c r="DQ8">
        <f>IF(AND(inputs_ok,s_a/2+39*s_a&lt;1000),(s_a/2+39*s_a)+(phi_a/2)*-0.382683,NA())</f>
        <v/>
      </c>
      <c r="DR8">
        <f>IF(AND(inputs_ok,s_a/2+39*s_a&lt;1000),(60)+(phi_a/2)*0.923880,NA())</f>
        <v/>
      </c>
      <c r="DT8">
        <f>IF(AND(inputs_ok,0&lt;n_a),((1000-(n_a-1)*MAX(2*phi_n,phi_n+25))/2+0*MAX(2*phi_n,phi_n+25))+(phi_n/2)*-0.382683,NA())</f>
        <v/>
      </c>
      <c r="DU8">
        <f>IF(AND(inputs_ok,0&lt;n_a),(-150)+(phi_n/2)*0.923880,NA())</f>
        <v/>
      </c>
      <c r="DW8">
        <f>IF(AND(inputs_ok,1&lt;n_a),((1000-(n_a-1)*MAX(2*phi_n,phi_n+25))/2+1*MAX(2*phi_n,phi_n+25))+(phi_n/2)*-0.382683,NA())</f>
        <v/>
      </c>
      <c r="DX8">
        <f>IF(AND(inputs_ok,1&lt;n_a),(-150)+(phi_n/2)*0.923880,NA())</f>
        <v/>
      </c>
      <c r="DZ8">
        <f>IF(AND(inputs_ok,2&lt;n_a),((1000-(n_a-1)*MAX(2*phi_n,phi_n+25))/2+2*MAX(2*phi_n,phi_n+25))+(phi_n/2)*-0.382683,NA())</f>
        <v/>
      </c>
      <c r="EA8">
        <f>IF(AND(inputs_ok,2&lt;n_a),(-150)+(phi_n/2)*0.923880,NA())</f>
        <v/>
      </c>
      <c r="EC8">
        <f>IF(AND(inputs_ok,3&lt;n_a),((1000-(n_a-1)*MAX(2*phi_n,phi_n+25))/2+3*MAX(2*phi_n,phi_n+25))+(phi_n/2)*-0.382683,NA())</f>
        <v/>
      </c>
      <c r="ED8">
        <f>IF(AND(inputs_ok,3&lt;n_a),(-150)+(phi_n/2)*0.923880,NA())</f>
        <v/>
      </c>
      <c r="EF8">
        <f>IF(AND(inputs_ok,4&lt;n_a),((1000-(n_a-1)*MAX(2*phi_n,phi_n+25))/2+4*MAX(2*phi_n,phi_n+25))+(phi_n/2)*-0.382683,NA())</f>
        <v/>
      </c>
      <c r="EG8">
        <f>IF(AND(inputs_ok,4&lt;n_a),(-150)+(phi_n/2)*0.923880,NA())</f>
        <v/>
      </c>
      <c r="EI8">
        <f>IF(AND(inputs_ok,5&lt;n_a),((1000-(n_a-1)*MAX(2*phi_n,phi_n+25))/2+5*MAX(2*phi_n,phi_n+25))+(phi_n/2)*-0.382683,NA())</f>
        <v/>
      </c>
      <c r="EJ8">
        <f>IF(AND(inputs_ok,5&lt;n_a),(-150)+(phi_n/2)*0.923880,NA())</f>
        <v/>
      </c>
      <c r="EL8">
        <f>IF(AND(inputs_ok,6&lt;n_a),((1000-(n_a-1)*MAX(2*phi_n,phi_n+25))/2+6*MAX(2*phi_n,phi_n+25))+(phi_n/2)*-0.382683,NA())</f>
        <v/>
      </c>
      <c r="EM8">
        <f>IF(AND(inputs_ok,6&lt;n_a),(-150)+(phi_n/2)*0.923880,NA())</f>
        <v/>
      </c>
      <c r="EO8">
        <f>IF(AND(inputs_ok,7&lt;n_a),((1000-(n_a-1)*MAX(2*phi_n,phi_n+25))/2+7*MAX(2*phi_n,phi_n+25))+(phi_n/2)*-0.382683,NA())</f>
        <v/>
      </c>
      <c r="EP8">
        <f>IF(AND(inputs_ok,7&lt;n_a),(-150)+(phi_n/2)*0.923880,NA())</f>
        <v/>
      </c>
      <c r="ER8">
        <f>IF(AND(inputs_ok,8&lt;n_a),((1000-(n_a-1)*MAX(2*phi_n,phi_n+25))/2+8*MAX(2*phi_n,phi_n+25))+(phi_n/2)*-0.382683,NA())</f>
        <v/>
      </c>
      <c r="ES8">
        <f>IF(AND(inputs_ok,8&lt;n_a),(-150)+(phi_n/2)*0.923880,NA())</f>
        <v/>
      </c>
      <c r="EU8">
        <f>IF(AND(inputs_ok,9&lt;n_a),((1000-(n_a-1)*MAX(2*phi_n,phi_n+25))/2+9*MAX(2*phi_n,phi_n+25))+(phi_n/2)*-0.382683,NA())</f>
        <v/>
      </c>
      <c r="EV8">
        <f>IF(AND(inputs_ok,9&lt;n_a),(-150)+(phi_n/2)*0.923880,NA())</f>
        <v/>
      </c>
      <c r="EX8">
        <f>IF(AND(inputs_ok,10&lt;n_a),((1000-(n_a-1)*MAX(2*phi_n,phi_n+25))/2+10*MAX(2*phi_n,phi_n+25))+(phi_n/2)*-0.382683,NA())</f>
        <v/>
      </c>
      <c r="EY8">
        <f>IF(AND(inputs_ok,10&lt;n_a),(-150)+(phi_n/2)*0.923880,NA())</f>
        <v/>
      </c>
      <c r="FA8">
        <f>IF(AND(inputs_ok,11&lt;n_a),((1000-(n_a-1)*MAX(2*phi_n,phi_n+25))/2+11*MAX(2*phi_n,phi_n+25))+(phi_n/2)*-0.382683,NA())</f>
        <v/>
      </c>
      <c r="FB8">
        <f>IF(AND(inputs_ok,11&lt;n_a),(-150)+(phi_n/2)*0.923880,NA())</f>
        <v/>
      </c>
      <c r="FD8">
        <f>IF(AND(inputs_ok,12&lt;n_a),((1000-(n_a-1)*MAX(2*phi_n,phi_n+25))/2+12*MAX(2*phi_n,phi_n+25))+(phi_n/2)*-0.382683,NA())</f>
        <v/>
      </c>
      <c r="FE8">
        <f>IF(AND(inputs_ok,12&lt;n_a),(-150)+(phi_n/2)*0.923880,NA())</f>
        <v/>
      </c>
      <c r="FG8">
        <f>IF(AND(inputs_ok,13&lt;n_a),((1000-(n_a-1)*MAX(2*phi_n,phi_n+25))/2+13*MAX(2*phi_n,phi_n+25))+(phi_n/2)*-0.382683,NA())</f>
        <v/>
      </c>
      <c r="FH8">
        <f>IF(AND(inputs_ok,13&lt;n_a),(-150)+(phi_n/2)*0.923880,NA())</f>
        <v/>
      </c>
      <c r="FJ8">
        <f>IF(AND(inputs_ok,14&lt;n_a),((1000-(n_a-1)*MAX(2*phi_n,phi_n+25))/2+14*MAX(2*phi_n,phi_n+25))+(phi_n/2)*-0.382683,NA())</f>
        <v/>
      </c>
      <c r="FK8">
        <f>IF(AND(inputs_ok,14&lt;n_a),(-150)+(phi_n/2)*0.923880,NA())</f>
        <v/>
      </c>
      <c r="FM8">
        <f>IF(AND(inputs_ok,15&lt;n_a),((1000-(n_a-1)*MAX(2*phi_n,phi_n+25))/2+15*MAX(2*phi_n,phi_n+25))+(phi_n/2)*-0.382683,NA())</f>
        <v/>
      </c>
      <c r="FN8">
        <f>IF(AND(inputs_ok,15&lt;n_a),(-150)+(phi_n/2)*0.923880,NA())</f>
        <v/>
      </c>
      <c r="FP8">
        <f>IF(AND(inputs_ok,16&lt;n_a),((1000-(n_a-1)*MAX(2*phi_n,phi_n+25))/2+16*MAX(2*phi_n,phi_n+25))+(phi_n/2)*-0.382683,NA())</f>
        <v/>
      </c>
      <c r="FQ8">
        <f>IF(AND(inputs_ok,16&lt;n_a),(-150)+(phi_n/2)*0.923880,NA())</f>
        <v/>
      </c>
      <c r="FS8">
        <f>IF(AND(inputs_ok,17&lt;n_a),((1000-(n_a-1)*MAX(2*phi_n,phi_n+25))/2+17*MAX(2*phi_n,phi_n+25))+(phi_n/2)*-0.382683,NA())</f>
        <v/>
      </c>
      <c r="FT8">
        <f>IF(AND(inputs_ok,17&lt;n_a),(-150)+(phi_n/2)*0.923880,NA())</f>
        <v/>
      </c>
      <c r="FV8">
        <f>IF(AND(inputs_ok,18&lt;n_a),((1000-(n_a-1)*MAX(2*phi_n,phi_n+25))/2+18*MAX(2*phi_n,phi_n+25))+(phi_n/2)*-0.382683,NA())</f>
        <v/>
      </c>
      <c r="FW8">
        <f>IF(AND(inputs_ok,18&lt;n_a),(-150)+(phi_n/2)*0.923880,NA())</f>
        <v/>
      </c>
      <c r="FY8">
        <f>IF(AND(inputs_ok,19&lt;n_a),((1000-(n_a-1)*MAX(2*phi_n,phi_n+25))/2+19*MAX(2*phi_n,phi_n+25))+(phi_n/2)*-0.382683,NA())</f>
        <v/>
      </c>
      <c r="FZ8">
        <f>IF(AND(inputs_ok,19&lt;n_a),(-150)+(phi_n/2)*0.923880,NA())</f>
        <v/>
      </c>
    </row>
    <row r="9">
      <c r="D9">
        <f>IF(AND(inputs_ok,s_a/2+0*s_a&lt;1000),(s_a/2+0*s_a)+(phi_a/2)*-0.707107,NA())</f>
        <v/>
      </c>
      <c r="E9">
        <f>IF(AND(inputs_ok,s_a/2+0*s_a&lt;1000),(60)+(phi_a/2)*0.707107,NA())</f>
        <v/>
      </c>
      <c r="G9">
        <f>IF(AND(inputs_ok,s_a/2+1*s_a&lt;1000),(s_a/2+1*s_a)+(phi_a/2)*-0.707107,NA())</f>
        <v/>
      </c>
      <c r="H9">
        <f>IF(AND(inputs_ok,s_a/2+1*s_a&lt;1000),(60)+(phi_a/2)*0.707107,NA())</f>
        <v/>
      </c>
      <c r="J9">
        <f>IF(AND(inputs_ok,s_a/2+2*s_a&lt;1000),(s_a/2+2*s_a)+(phi_a/2)*-0.707107,NA())</f>
        <v/>
      </c>
      <c r="K9">
        <f>IF(AND(inputs_ok,s_a/2+2*s_a&lt;1000),(60)+(phi_a/2)*0.707107,NA())</f>
        <v/>
      </c>
      <c r="M9">
        <f>IF(AND(inputs_ok,s_a/2+3*s_a&lt;1000),(s_a/2+3*s_a)+(phi_a/2)*-0.707107,NA())</f>
        <v/>
      </c>
      <c r="N9">
        <f>IF(AND(inputs_ok,s_a/2+3*s_a&lt;1000),(60)+(phi_a/2)*0.707107,NA())</f>
        <v/>
      </c>
      <c r="P9">
        <f>IF(AND(inputs_ok,s_a/2+4*s_a&lt;1000),(s_a/2+4*s_a)+(phi_a/2)*-0.707107,NA())</f>
        <v/>
      </c>
      <c r="Q9">
        <f>IF(AND(inputs_ok,s_a/2+4*s_a&lt;1000),(60)+(phi_a/2)*0.707107,NA())</f>
        <v/>
      </c>
      <c r="S9">
        <f>IF(AND(inputs_ok,s_a/2+5*s_a&lt;1000),(s_a/2+5*s_a)+(phi_a/2)*-0.707107,NA())</f>
        <v/>
      </c>
      <c r="T9">
        <f>IF(AND(inputs_ok,s_a/2+5*s_a&lt;1000),(60)+(phi_a/2)*0.707107,NA())</f>
        <v/>
      </c>
      <c r="V9">
        <f>IF(AND(inputs_ok,s_a/2+6*s_a&lt;1000),(s_a/2+6*s_a)+(phi_a/2)*-0.707107,NA())</f>
        <v/>
      </c>
      <c r="W9">
        <f>IF(AND(inputs_ok,s_a/2+6*s_a&lt;1000),(60)+(phi_a/2)*0.707107,NA())</f>
        <v/>
      </c>
      <c r="Y9">
        <f>IF(AND(inputs_ok,s_a/2+7*s_a&lt;1000),(s_a/2+7*s_a)+(phi_a/2)*-0.707107,NA())</f>
        <v/>
      </c>
      <c r="Z9">
        <f>IF(AND(inputs_ok,s_a/2+7*s_a&lt;1000),(60)+(phi_a/2)*0.707107,NA())</f>
        <v/>
      </c>
      <c r="AB9">
        <f>IF(AND(inputs_ok,s_a/2+8*s_a&lt;1000),(s_a/2+8*s_a)+(phi_a/2)*-0.707107,NA())</f>
        <v/>
      </c>
      <c r="AC9">
        <f>IF(AND(inputs_ok,s_a/2+8*s_a&lt;1000),(60)+(phi_a/2)*0.707107,NA())</f>
        <v/>
      </c>
      <c r="AE9">
        <f>IF(AND(inputs_ok,s_a/2+9*s_a&lt;1000),(s_a/2+9*s_a)+(phi_a/2)*-0.707107,NA())</f>
        <v/>
      </c>
      <c r="AF9">
        <f>IF(AND(inputs_ok,s_a/2+9*s_a&lt;1000),(60)+(phi_a/2)*0.707107,NA())</f>
        <v/>
      </c>
      <c r="AH9">
        <f>IF(AND(inputs_ok,s_a/2+10*s_a&lt;1000),(s_a/2+10*s_a)+(phi_a/2)*-0.707107,NA())</f>
        <v/>
      </c>
      <c r="AI9">
        <f>IF(AND(inputs_ok,s_a/2+10*s_a&lt;1000),(60)+(phi_a/2)*0.707107,NA())</f>
        <v/>
      </c>
      <c r="AK9">
        <f>IF(AND(inputs_ok,s_a/2+11*s_a&lt;1000),(s_a/2+11*s_a)+(phi_a/2)*-0.707107,NA())</f>
        <v/>
      </c>
      <c r="AL9">
        <f>IF(AND(inputs_ok,s_a/2+11*s_a&lt;1000),(60)+(phi_a/2)*0.707107,NA())</f>
        <v/>
      </c>
      <c r="AN9">
        <f>IF(AND(inputs_ok,s_a/2+12*s_a&lt;1000),(s_a/2+12*s_a)+(phi_a/2)*-0.707107,NA())</f>
        <v/>
      </c>
      <c r="AO9">
        <f>IF(AND(inputs_ok,s_a/2+12*s_a&lt;1000),(60)+(phi_a/2)*0.707107,NA())</f>
        <v/>
      </c>
      <c r="AQ9">
        <f>IF(AND(inputs_ok,s_a/2+13*s_a&lt;1000),(s_a/2+13*s_a)+(phi_a/2)*-0.707107,NA())</f>
        <v/>
      </c>
      <c r="AR9">
        <f>IF(AND(inputs_ok,s_a/2+13*s_a&lt;1000),(60)+(phi_a/2)*0.707107,NA())</f>
        <v/>
      </c>
      <c r="AT9">
        <f>IF(AND(inputs_ok,s_a/2+14*s_a&lt;1000),(s_a/2+14*s_a)+(phi_a/2)*-0.707107,NA())</f>
        <v/>
      </c>
      <c r="AU9">
        <f>IF(AND(inputs_ok,s_a/2+14*s_a&lt;1000),(60)+(phi_a/2)*0.707107,NA())</f>
        <v/>
      </c>
      <c r="AW9">
        <f>IF(AND(inputs_ok,s_a/2+15*s_a&lt;1000),(s_a/2+15*s_a)+(phi_a/2)*-0.707107,NA())</f>
        <v/>
      </c>
      <c r="AX9">
        <f>IF(AND(inputs_ok,s_a/2+15*s_a&lt;1000),(60)+(phi_a/2)*0.707107,NA())</f>
        <v/>
      </c>
      <c r="AZ9">
        <f>IF(AND(inputs_ok,s_a/2+16*s_a&lt;1000),(s_a/2+16*s_a)+(phi_a/2)*-0.707107,NA())</f>
        <v/>
      </c>
      <c r="BA9">
        <f>IF(AND(inputs_ok,s_a/2+16*s_a&lt;1000),(60)+(phi_a/2)*0.707107,NA())</f>
        <v/>
      </c>
      <c r="BC9">
        <f>IF(AND(inputs_ok,s_a/2+17*s_a&lt;1000),(s_a/2+17*s_a)+(phi_a/2)*-0.707107,NA())</f>
        <v/>
      </c>
      <c r="BD9">
        <f>IF(AND(inputs_ok,s_a/2+17*s_a&lt;1000),(60)+(phi_a/2)*0.707107,NA())</f>
        <v/>
      </c>
      <c r="BF9">
        <f>IF(AND(inputs_ok,s_a/2+18*s_a&lt;1000),(s_a/2+18*s_a)+(phi_a/2)*-0.707107,NA())</f>
        <v/>
      </c>
      <c r="BG9">
        <f>IF(AND(inputs_ok,s_a/2+18*s_a&lt;1000),(60)+(phi_a/2)*0.707107,NA())</f>
        <v/>
      </c>
      <c r="BI9">
        <f>IF(AND(inputs_ok,s_a/2+19*s_a&lt;1000),(s_a/2+19*s_a)+(phi_a/2)*-0.707107,NA())</f>
        <v/>
      </c>
      <c r="BJ9">
        <f>IF(AND(inputs_ok,s_a/2+19*s_a&lt;1000),(60)+(phi_a/2)*0.707107,NA())</f>
        <v/>
      </c>
      <c r="BL9">
        <f>IF(AND(inputs_ok,s_a/2+20*s_a&lt;1000),(s_a/2+20*s_a)+(phi_a/2)*-0.707107,NA())</f>
        <v/>
      </c>
      <c r="BM9">
        <f>IF(AND(inputs_ok,s_a/2+20*s_a&lt;1000),(60)+(phi_a/2)*0.707107,NA())</f>
        <v/>
      </c>
      <c r="BO9">
        <f>IF(AND(inputs_ok,s_a/2+21*s_a&lt;1000),(s_a/2+21*s_a)+(phi_a/2)*-0.707107,NA())</f>
        <v/>
      </c>
      <c r="BP9">
        <f>IF(AND(inputs_ok,s_a/2+21*s_a&lt;1000),(60)+(phi_a/2)*0.707107,NA())</f>
        <v/>
      </c>
      <c r="BR9">
        <f>IF(AND(inputs_ok,s_a/2+22*s_a&lt;1000),(s_a/2+22*s_a)+(phi_a/2)*-0.707107,NA())</f>
        <v/>
      </c>
      <c r="BS9">
        <f>IF(AND(inputs_ok,s_a/2+22*s_a&lt;1000),(60)+(phi_a/2)*0.707107,NA())</f>
        <v/>
      </c>
      <c r="BU9">
        <f>IF(AND(inputs_ok,s_a/2+23*s_a&lt;1000),(s_a/2+23*s_a)+(phi_a/2)*-0.707107,NA())</f>
        <v/>
      </c>
      <c r="BV9">
        <f>IF(AND(inputs_ok,s_a/2+23*s_a&lt;1000),(60)+(phi_a/2)*0.707107,NA())</f>
        <v/>
      </c>
      <c r="BX9">
        <f>IF(AND(inputs_ok,s_a/2+24*s_a&lt;1000),(s_a/2+24*s_a)+(phi_a/2)*-0.707107,NA())</f>
        <v/>
      </c>
      <c r="BY9">
        <f>IF(AND(inputs_ok,s_a/2+24*s_a&lt;1000),(60)+(phi_a/2)*0.707107,NA())</f>
        <v/>
      </c>
      <c r="CA9">
        <f>IF(AND(inputs_ok,s_a/2+25*s_a&lt;1000),(s_a/2+25*s_a)+(phi_a/2)*-0.707107,NA())</f>
        <v/>
      </c>
      <c r="CB9">
        <f>IF(AND(inputs_ok,s_a/2+25*s_a&lt;1000),(60)+(phi_a/2)*0.707107,NA())</f>
        <v/>
      </c>
      <c r="CD9">
        <f>IF(AND(inputs_ok,s_a/2+26*s_a&lt;1000),(s_a/2+26*s_a)+(phi_a/2)*-0.707107,NA())</f>
        <v/>
      </c>
      <c r="CE9">
        <f>IF(AND(inputs_ok,s_a/2+26*s_a&lt;1000),(60)+(phi_a/2)*0.707107,NA())</f>
        <v/>
      </c>
      <c r="CG9">
        <f>IF(AND(inputs_ok,s_a/2+27*s_a&lt;1000),(s_a/2+27*s_a)+(phi_a/2)*-0.707107,NA())</f>
        <v/>
      </c>
      <c r="CH9">
        <f>IF(AND(inputs_ok,s_a/2+27*s_a&lt;1000),(60)+(phi_a/2)*0.707107,NA())</f>
        <v/>
      </c>
      <c r="CJ9">
        <f>IF(AND(inputs_ok,s_a/2+28*s_a&lt;1000),(s_a/2+28*s_a)+(phi_a/2)*-0.707107,NA())</f>
        <v/>
      </c>
      <c r="CK9">
        <f>IF(AND(inputs_ok,s_a/2+28*s_a&lt;1000),(60)+(phi_a/2)*0.707107,NA())</f>
        <v/>
      </c>
      <c r="CM9">
        <f>IF(AND(inputs_ok,s_a/2+29*s_a&lt;1000),(s_a/2+29*s_a)+(phi_a/2)*-0.707107,NA())</f>
        <v/>
      </c>
      <c r="CN9">
        <f>IF(AND(inputs_ok,s_a/2+29*s_a&lt;1000),(60)+(phi_a/2)*0.707107,NA())</f>
        <v/>
      </c>
      <c r="CP9">
        <f>IF(AND(inputs_ok,s_a/2+30*s_a&lt;1000),(s_a/2+30*s_a)+(phi_a/2)*-0.707107,NA())</f>
        <v/>
      </c>
      <c r="CQ9">
        <f>IF(AND(inputs_ok,s_a/2+30*s_a&lt;1000),(60)+(phi_a/2)*0.707107,NA())</f>
        <v/>
      </c>
      <c r="CS9">
        <f>IF(AND(inputs_ok,s_a/2+31*s_a&lt;1000),(s_a/2+31*s_a)+(phi_a/2)*-0.707107,NA())</f>
        <v/>
      </c>
      <c r="CT9">
        <f>IF(AND(inputs_ok,s_a/2+31*s_a&lt;1000),(60)+(phi_a/2)*0.707107,NA())</f>
        <v/>
      </c>
      <c r="CV9">
        <f>IF(AND(inputs_ok,s_a/2+32*s_a&lt;1000),(s_a/2+32*s_a)+(phi_a/2)*-0.707107,NA())</f>
        <v/>
      </c>
      <c r="CW9">
        <f>IF(AND(inputs_ok,s_a/2+32*s_a&lt;1000),(60)+(phi_a/2)*0.707107,NA())</f>
        <v/>
      </c>
      <c r="CY9">
        <f>IF(AND(inputs_ok,s_a/2+33*s_a&lt;1000),(s_a/2+33*s_a)+(phi_a/2)*-0.707107,NA())</f>
        <v/>
      </c>
      <c r="CZ9">
        <f>IF(AND(inputs_ok,s_a/2+33*s_a&lt;1000),(60)+(phi_a/2)*0.707107,NA())</f>
        <v/>
      </c>
      <c r="DB9">
        <f>IF(AND(inputs_ok,s_a/2+34*s_a&lt;1000),(s_a/2+34*s_a)+(phi_a/2)*-0.707107,NA())</f>
        <v/>
      </c>
      <c r="DC9">
        <f>IF(AND(inputs_ok,s_a/2+34*s_a&lt;1000),(60)+(phi_a/2)*0.707107,NA())</f>
        <v/>
      </c>
      <c r="DE9">
        <f>IF(AND(inputs_ok,s_a/2+35*s_a&lt;1000),(s_a/2+35*s_a)+(phi_a/2)*-0.707107,NA())</f>
        <v/>
      </c>
      <c r="DF9">
        <f>IF(AND(inputs_ok,s_a/2+35*s_a&lt;1000),(60)+(phi_a/2)*0.707107,NA())</f>
        <v/>
      </c>
      <c r="DH9">
        <f>IF(AND(inputs_ok,s_a/2+36*s_a&lt;1000),(s_a/2+36*s_a)+(phi_a/2)*-0.707107,NA())</f>
        <v/>
      </c>
      <c r="DI9">
        <f>IF(AND(inputs_ok,s_a/2+36*s_a&lt;1000),(60)+(phi_a/2)*0.707107,NA())</f>
        <v/>
      </c>
      <c r="DK9">
        <f>IF(AND(inputs_ok,s_a/2+37*s_a&lt;1000),(s_a/2+37*s_a)+(phi_a/2)*-0.707107,NA())</f>
        <v/>
      </c>
      <c r="DL9">
        <f>IF(AND(inputs_ok,s_a/2+37*s_a&lt;1000),(60)+(phi_a/2)*0.707107,NA())</f>
        <v/>
      </c>
      <c r="DN9">
        <f>IF(AND(inputs_ok,s_a/2+38*s_a&lt;1000),(s_a/2+38*s_a)+(phi_a/2)*-0.707107,NA())</f>
        <v/>
      </c>
      <c r="DO9">
        <f>IF(AND(inputs_ok,s_a/2+38*s_a&lt;1000),(60)+(phi_a/2)*0.707107,NA())</f>
        <v/>
      </c>
      <c r="DQ9">
        <f>IF(AND(inputs_ok,s_a/2+39*s_a&lt;1000),(s_a/2+39*s_a)+(phi_a/2)*-0.707107,NA())</f>
        <v/>
      </c>
      <c r="DR9">
        <f>IF(AND(inputs_ok,s_a/2+39*s_a&lt;1000),(60)+(phi_a/2)*0.707107,NA())</f>
        <v/>
      </c>
      <c r="DT9">
        <f>IF(AND(inputs_ok,0&lt;n_a),((1000-(n_a-1)*MAX(2*phi_n,phi_n+25))/2+0*MAX(2*phi_n,phi_n+25))+(phi_n/2)*-0.707107,NA())</f>
        <v/>
      </c>
      <c r="DU9">
        <f>IF(AND(inputs_ok,0&lt;n_a),(-150)+(phi_n/2)*0.707107,NA())</f>
        <v/>
      </c>
      <c r="DW9">
        <f>IF(AND(inputs_ok,1&lt;n_a),((1000-(n_a-1)*MAX(2*phi_n,phi_n+25))/2+1*MAX(2*phi_n,phi_n+25))+(phi_n/2)*-0.707107,NA())</f>
        <v/>
      </c>
      <c r="DX9">
        <f>IF(AND(inputs_ok,1&lt;n_a),(-150)+(phi_n/2)*0.707107,NA())</f>
        <v/>
      </c>
      <c r="DZ9">
        <f>IF(AND(inputs_ok,2&lt;n_a),((1000-(n_a-1)*MAX(2*phi_n,phi_n+25))/2+2*MAX(2*phi_n,phi_n+25))+(phi_n/2)*-0.707107,NA())</f>
        <v/>
      </c>
      <c r="EA9">
        <f>IF(AND(inputs_ok,2&lt;n_a),(-150)+(phi_n/2)*0.707107,NA())</f>
        <v/>
      </c>
      <c r="EC9">
        <f>IF(AND(inputs_ok,3&lt;n_a),((1000-(n_a-1)*MAX(2*phi_n,phi_n+25))/2+3*MAX(2*phi_n,phi_n+25))+(phi_n/2)*-0.707107,NA())</f>
        <v/>
      </c>
      <c r="ED9">
        <f>IF(AND(inputs_ok,3&lt;n_a),(-150)+(phi_n/2)*0.707107,NA())</f>
        <v/>
      </c>
      <c r="EF9">
        <f>IF(AND(inputs_ok,4&lt;n_a),((1000-(n_a-1)*MAX(2*phi_n,phi_n+25))/2+4*MAX(2*phi_n,phi_n+25))+(phi_n/2)*-0.707107,NA())</f>
        <v/>
      </c>
      <c r="EG9">
        <f>IF(AND(inputs_ok,4&lt;n_a),(-150)+(phi_n/2)*0.707107,NA())</f>
        <v/>
      </c>
      <c r="EI9">
        <f>IF(AND(inputs_ok,5&lt;n_a),((1000-(n_a-1)*MAX(2*phi_n,phi_n+25))/2+5*MAX(2*phi_n,phi_n+25))+(phi_n/2)*-0.707107,NA())</f>
        <v/>
      </c>
      <c r="EJ9">
        <f>IF(AND(inputs_ok,5&lt;n_a),(-150)+(phi_n/2)*0.707107,NA())</f>
        <v/>
      </c>
      <c r="EL9">
        <f>IF(AND(inputs_ok,6&lt;n_a),((1000-(n_a-1)*MAX(2*phi_n,phi_n+25))/2+6*MAX(2*phi_n,phi_n+25))+(phi_n/2)*-0.707107,NA())</f>
        <v/>
      </c>
      <c r="EM9">
        <f>IF(AND(inputs_ok,6&lt;n_a),(-150)+(phi_n/2)*0.707107,NA())</f>
        <v/>
      </c>
      <c r="EO9">
        <f>IF(AND(inputs_ok,7&lt;n_a),((1000-(n_a-1)*MAX(2*phi_n,phi_n+25))/2+7*MAX(2*phi_n,phi_n+25))+(phi_n/2)*-0.707107,NA())</f>
        <v/>
      </c>
      <c r="EP9">
        <f>IF(AND(inputs_ok,7&lt;n_a),(-150)+(phi_n/2)*0.707107,NA())</f>
        <v/>
      </c>
      <c r="ER9">
        <f>IF(AND(inputs_ok,8&lt;n_a),((1000-(n_a-1)*MAX(2*phi_n,phi_n+25))/2+8*MAX(2*phi_n,phi_n+25))+(phi_n/2)*-0.707107,NA())</f>
        <v/>
      </c>
      <c r="ES9">
        <f>IF(AND(inputs_ok,8&lt;n_a),(-150)+(phi_n/2)*0.707107,NA())</f>
        <v/>
      </c>
      <c r="EU9">
        <f>IF(AND(inputs_ok,9&lt;n_a),((1000-(n_a-1)*MAX(2*phi_n,phi_n+25))/2+9*MAX(2*phi_n,phi_n+25))+(phi_n/2)*-0.707107,NA())</f>
        <v/>
      </c>
      <c r="EV9">
        <f>IF(AND(inputs_ok,9&lt;n_a),(-150)+(phi_n/2)*0.707107,NA())</f>
        <v/>
      </c>
      <c r="EX9">
        <f>IF(AND(inputs_ok,10&lt;n_a),((1000-(n_a-1)*MAX(2*phi_n,phi_n+25))/2+10*MAX(2*phi_n,phi_n+25))+(phi_n/2)*-0.707107,NA())</f>
        <v/>
      </c>
      <c r="EY9">
        <f>IF(AND(inputs_ok,10&lt;n_a),(-150)+(phi_n/2)*0.707107,NA())</f>
        <v/>
      </c>
      <c r="FA9">
        <f>IF(AND(inputs_ok,11&lt;n_a),((1000-(n_a-1)*MAX(2*phi_n,phi_n+25))/2+11*MAX(2*phi_n,phi_n+25))+(phi_n/2)*-0.707107,NA())</f>
        <v/>
      </c>
      <c r="FB9">
        <f>IF(AND(inputs_ok,11&lt;n_a),(-150)+(phi_n/2)*0.707107,NA())</f>
        <v/>
      </c>
      <c r="FD9">
        <f>IF(AND(inputs_ok,12&lt;n_a),((1000-(n_a-1)*MAX(2*phi_n,phi_n+25))/2+12*MAX(2*phi_n,phi_n+25))+(phi_n/2)*-0.707107,NA())</f>
        <v/>
      </c>
      <c r="FE9">
        <f>IF(AND(inputs_ok,12&lt;n_a),(-150)+(phi_n/2)*0.707107,NA())</f>
        <v/>
      </c>
      <c r="FG9">
        <f>IF(AND(inputs_ok,13&lt;n_a),((1000-(n_a-1)*MAX(2*phi_n,phi_n+25))/2+13*MAX(2*phi_n,phi_n+25))+(phi_n/2)*-0.707107,NA())</f>
        <v/>
      </c>
      <c r="FH9">
        <f>IF(AND(inputs_ok,13&lt;n_a),(-150)+(phi_n/2)*0.707107,NA())</f>
        <v/>
      </c>
      <c r="FJ9">
        <f>IF(AND(inputs_ok,14&lt;n_a),((1000-(n_a-1)*MAX(2*phi_n,phi_n+25))/2+14*MAX(2*phi_n,phi_n+25))+(phi_n/2)*-0.707107,NA())</f>
        <v/>
      </c>
      <c r="FK9">
        <f>IF(AND(inputs_ok,14&lt;n_a),(-150)+(phi_n/2)*0.707107,NA())</f>
        <v/>
      </c>
      <c r="FM9">
        <f>IF(AND(inputs_ok,15&lt;n_a),((1000-(n_a-1)*MAX(2*phi_n,phi_n+25))/2+15*MAX(2*phi_n,phi_n+25))+(phi_n/2)*-0.707107,NA())</f>
        <v/>
      </c>
      <c r="FN9">
        <f>IF(AND(inputs_ok,15&lt;n_a),(-150)+(phi_n/2)*0.707107,NA())</f>
        <v/>
      </c>
      <c r="FP9">
        <f>IF(AND(inputs_ok,16&lt;n_a),((1000-(n_a-1)*MAX(2*phi_n,phi_n+25))/2+16*MAX(2*phi_n,phi_n+25))+(phi_n/2)*-0.707107,NA())</f>
        <v/>
      </c>
      <c r="FQ9">
        <f>IF(AND(inputs_ok,16&lt;n_a),(-150)+(phi_n/2)*0.707107,NA())</f>
        <v/>
      </c>
      <c r="FS9">
        <f>IF(AND(inputs_ok,17&lt;n_a),((1000-(n_a-1)*MAX(2*phi_n,phi_n+25))/2+17*MAX(2*phi_n,phi_n+25))+(phi_n/2)*-0.707107,NA())</f>
        <v/>
      </c>
      <c r="FT9">
        <f>IF(AND(inputs_ok,17&lt;n_a),(-150)+(phi_n/2)*0.707107,NA())</f>
        <v/>
      </c>
      <c r="FV9">
        <f>IF(AND(inputs_ok,18&lt;n_a),((1000-(n_a-1)*MAX(2*phi_n,phi_n+25))/2+18*MAX(2*phi_n,phi_n+25))+(phi_n/2)*-0.707107,NA())</f>
        <v/>
      </c>
      <c r="FW9">
        <f>IF(AND(inputs_ok,18&lt;n_a),(-150)+(phi_n/2)*0.707107,NA())</f>
        <v/>
      </c>
      <c r="FY9">
        <f>IF(AND(inputs_ok,19&lt;n_a),((1000-(n_a-1)*MAX(2*phi_n,phi_n+25))/2+19*MAX(2*phi_n,phi_n+25))+(phi_n/2)*-0.707107,NA())</f>
        <v/>
      </c>
      <c r="FZ9">
        <f>IF(AND(inputs_ok,19&lt;n_a),(-150)+(phi_n/2)*0.707107,NA())</f>
        <v/>
      </c>
    </row>
    <row r="10">
      <c r="D10">
        <f>IF(AND(inputs_ok,s_a/2+0*s_a&lt;1000),(s_a/2+0*s_a)+(phi_a/2)*-0.923880,NA())</f>
        <v/>
      </c>
      <c r="E10">
        <f>IF(AND(inputs_ok,s_a/2+0*s_a&lt;1000),(60)+(phi_a/2)*0.382683,NA())</f>
        <v/>
      </c>
      <c r="G10">
        <f>IF(AND(inputs_ok,s_a/2+1*s_a&lt;1000),(s_a/2+1*s_a)+(phi_a/2)*-0.923880,NA())</f>
        <v/>
      </c>
      <c r="H10">
        <f>IF(AND(inputs_ok,s_a/2+1*s_a&lt;1000),(60)+(phi_a/2)*0.382683,NA())</f>
        <v/>
      </c>
      <c r="J10">
        <f>IF(AND(inputs_ok,s_a/2+2*s_a&lt;1000),(s_a/2+2*s_a)+(phi_a/2)*-0.923880,NA())</f>
        <v/>
      </c>
      <c r="K10">
        <f>IF(AND(inputs_ok,s_a/2+2*s_a&lt;1000),(60)+(phi_a/2)*0.382683,NA())</f>
        <v/>
      </c>
      <c r="M10">
        <f>IF(AND(inputs_ok,s_a/2+3*s_a&lt;1000),(s_a/2+3*s_a)+(phi_a/2)*-0.923880,NA())</f>
        <v/>
      </c>
      <c r="N10">
        <f>IF(AND(inputs_ok,s_a/2+3*s_a&lt;1000),(60)+(phi_a/2)*0.382683,NA())</f>
        <v/>
      </c>
      <c r="P10">
        <f>IF(AND(inputs_ok,s_a/2+4*s_a&lt;1000),(s_a/2+4*s_a)+(phi_a/2)*-0.923880,NA())</f>
        <v/>
      </c>
      <c r="Q10">
        <f>IF(AND(inputs_ok,s_a/2+4*s_a&lt;1000),(60)+(phi_a/2)*0.382683,NA())</f>
        <v/>
      </c>
      <c r="S10">
        <f>IF(AND(inputs_ok,s_a/2+5*s_a&lt;1000),(s_a/2+5*s_a)+(phi_a/2)*-0.923880,NA())</f>
        <v/>
      </c>
      <c r="T10">
        <f>IF(AND(inputs_ok,s_a/2+5*s_a&lt;1000),(60)+(phi_a/2)*0.382683,NA())</f>
        <v/>
      </c>
      <c r="V10">
        <f>IF(AND(inputs_ok,s_a/2+6*s_a&lt;1000),(s_a/2+6*s_a)+(phi_a/2)*-0.923880,NA())</f>
        <v/>
      </c>
      <c r="W10">
        <f>IF(AND(inputs_ok,s_a/2+6*s_a&lt;1000),(60)+(phi_a/2)*0.382683,NA())</f>
        <v/>
      </c>
      <c r="Y10">
        <f>IF(AND(inputs_ok,s_a/2+7*s_a&lt;1000),(s_a/2+7*s_a)+(phi_a/2)*-0.923880,NA())</f>
        <v/>
      </c>
      <c r="Z10">
        <f>IF(AND(inputs_ok,s_a/2+7*s_a&lt;1000),(60)+(phi_a/2)*0.382683,NA())</f>
        <v/>
      </c>
      <c r="AB10">
        <f>IF(AND(inputs_ok,s_a/2+8*s_a&lt;1000),(s_a/2+8*s_a)+(phi_a/2)*-0.923880,NA())</f>
        <v/>
      </c>
      <c r="AC10">
        <f>IF(AND(inputs_ok,s_a/2+8*s_a&lt;1000),(60)+(phi_a/2)*0.382683,NA())</f>
        <v/>
      </c>
      <c r="AE10">
        <f>IF(AND(inputs_ok,s_a/2+9*s_a&lt;1000),(s_a/2+9*s_a)+(phi_a/2)*-0.923880,NA())</f>
        <v/>
      </c>
      <c r="AF10">
        <f>IF(AND(inputs_ok,s_a/2+9*s_a&lt;1000),(60)+(phi_a/2)*0.382683,NA())</f>
        <v/>
      </c>
      <c r="AH10">
        <f>IF(AND(inputs_ok,s_a/2+10*s_a&lt;1000),(s_a/2+10*s_a)+(phi_a/2)*-0.923880,NA())</f>
        <v/>
      </c>
      <c r="AI10">
        <f>IF(AND(inputs_ok,s_a/2+10*s_a&lt;1000),(60)+(phi_a/2)*0.382683,NA())</f>
        <v/>
      </c>
      <c r="AK10">
        <f>IF(AND(inputs_ok,s_a/2+11*s_a&lt;1000),(s_a/2+11*s_a)+(phi_a/2)*-0.923880,NA())</f>
        <v/>
      </c>
      <c r="AL10">
        <f>IF(AND(inputs_ok,s_a/2+11*s_a&lt;1000),(60)+(phi_a/2)*0.382683,NA())</f>
        <v/>
      </c>
      <c r="AN10">
        <f>IF(AND(inputs_ok,s_a/2+12*s_a&lt;1000),(s_a/2+12*s_a)+(phi_a/2)*-0.923880,NA())</f>
        <v/>
      </c>
      <c r="AO10">
        <f>IF(AND(inputs_ok,s_a/2+12*s_a&lt;1000),(60)+(phi_a/2)*0.382683,NA())</f>
        <v/>
      </c>
      <c r="AQ10">
        <f>IF(AND(inputs_ok,s_a/2+13*s_a&lt;1000),(s_a/2+13*s_a)+(phi_a/2)*-0.923880,NA())</f>
        <v/>
      </c>
      <c r="AR10">
        <f>IF(AND(inputs_ok,s_a/2+13*s_a&lt;1000),(60)+(phi_a/2)*0.382683,NA())</f>
        <v/>
      </c>
      <c r="AT10">
        <f>IF(AND(inputs_ok,s_a/2+14*s_a&lt;1000),(s_a/2+14*s_a)+(phi_a/2)*-0.923880,NA())</f>
        <v/>
      </c>
      <c r="AU10">
        <f>IF(AND(inputs_ok,s_a/2+14*s_a&lt;1000),(60)+(phi_a/2)*0.382683,NA())</f>
        <v/>
      </c>
      <c r="AW10">
        <f>IF(AND(inputs_ok,s_a/2+15*s_a&lt;1000),(s_a/2+15*s_a)+(phi_a/2)*-0.923880,NA())</f>
        <v/>
      </c>
      <c r="AX10">
        <f>IF(AND(inputs_ok,s_a/2+15*s_a&lt;1000),(60)+(phi_a/2)*0.382683,NA())</f>
        <v/>
      </c>
      <c r="AZ10">
        <f>IF(AND(inputs_ok,s_a/2+16*s_a&lt;1000),(s_a/2+16*s_a)+(phi_a/2)*-0.923880,NA())</f>
        <v/>
      </c>
      <c r="BA10">
        <f>IF(AND(inputs_ok,s_a/2+16*s_a&lt;1000),(60)+(phi_a/2)*0.382683,NA())</f>
        <v/>
      </c>
      <c r="BC10">
        <f>IF(AND(inputs_ok,s_a/2+17*s_a&lt;1000),(s_a/2+17*s_a)+(phi_a/2)*-0.923880,NA())</f>
        <v/>
      </c>
      <c r="BD10">
        <f>IF(AND(inputs_ok,s_a/2+17*s_a&lt;1000),(60)+(phi_a/2)*0.382683,NA())</f>
        <v/>
      </c>
      <c r="BF10">
        <f>IF(AND(inputs_ok,s_a/2+18*s_a&lt;1000),(s_a/2+18*s_a)+(phi_a/2)*-0.923880,NA())</f>
        <v/>
      </c>
      <c r="BG10">
        <f>IF(AND(inputs_ok,s_a/2+18*s_a&lt;1000),(60)+(phi_a/2)*0.382683,NA())</f>
        <v/>
      </c>
      <c r="BI10">
        <f>IF(AND(inputs_ok,s_a/2+19*s_a&lt;1000),(s_a/2+19*s_a)+(phi_a/2)*-0.923880,NA())</f>
        <v/>
      </c>
      <c r="BJ10">
        <f>IF(AND(inputs_ok,s_a/2+19*s_a&lt;1000),(60)+(phi_a/2)*0.382683,NA())</f>
        <v/>
      </c>
      <c r="BL10">
        <f>IF(AND(inputs_ok,s_a/2+20*s_a&lt;1000),(s_a/2+20*s_a)+(phi_a/2)*-0.923880,NA())</f>
        <v/>
      </c>
      <c r="BM10">
        <f>IF(AND(inputs_ok,s_a/2+20*s_a&lt;1000),(60)+(phi_a/2)*0.382683,NA())</f>
        <v/>
      </c>
      <c r="BO10">
        <f>IF(AND(inputs_ok,s_a/2+21*s_a&lt;1000),(s_a/2+21*s_a)+(phi_a/2)*-0.923880,NA())</f>
        <v/>
      </c>
      <c r="BP10">
        <f>IF(AND(inputs_ok,s_a/2+21*s_a&lt;1000),(60)+(phi_a/2)*0.382683,NA())</f>
        <v/>
      </c>
      <c r="BR10">
        <f>IF(AND(inputs_ok,s_a/2+22*s_a&lt;1000),(s_a/2+22*s_a)+(phi_a/2)*-0.923880,NA())</f>
        <v/>
      </c>
      <c r="BS10">
        <f>IF(AND(inputs_ok,s_a/2+22*s_a&lt;1000),(60)+(phi_a/2)*0.382683,NA())</f>
        <v/>
      </c>
      <c r="BU10">
        <f>IF(AND(inputs_ok,s_a/2+23*s_a&lt;1000),(s_a/2+23*s_a)+(phi_a/2)*-0.923880,NA())</f>
        <v/>
      </c>
      <c r="BV10">
        <f>IF(AND(inputs_ok,s_a/2+23*s_a&lt;1000),(60)+(phi_a/2)*0.382683,NA())</f>
        <v/>
      </c>
      <c r="BX10">
        <f>IF(AND(inputs_ok,s_a/2+24*s_a&lt;1000),(s_a/2+24*s_a)+(phi_a/2)*-0.923880,NA())</f>
        <v/>
      </c>
      <c r="BY10">
        <f>IF(AND(inputs_ok,s_a/2+24*s_a&lt;1000),(60)+(phi_a/2)*0.382683,NA())</f>
        <v/>
      </c>
      <c r="CA10">
        <f>IF(AND(inputs_ok,s_a/2+25*s_a&lt;1000),(s_a/2+25*s_a)+(phi_a/2)*-0.923880,NA())</f>
        <v/>
      </c>
      <c r="CB10">
        <f>IF(AND(inputs_ok,s_a/2+25*s_a&lt;1000),(60)+(phi_a/2)*0.382683,NA())</f>
        <v/>
      </c>
      <c r="CD10">
        <f>IF(AND(inputs_ok,s_a/2+26*s_a&lt;1000),(s_a/2+26*s_a)+(phi_a/2)*-0.923880,NA())</f>
        <v/>
      </c>
      <c r="CE10">
        <f>IF(AND(inputs_ok,s_a/2+26*s_a&lt;1000),(60)+(phi_a/2)*0.382683,NA())</f>
        <v/>
      </c>
      <c r="CG10">
        <f>IF(AND(inputs_ok,s_a/2+27*s_a&lt;1000),(s_a/2+27*s_a)+(phi_a/2)*-0.923880,NA())</f>
        <v/>
      </c>
      <c r="CH10">
        <f>IF(AND(inputs_ok,s_a/2+27*s_a&lt;1000),(60)+(phi_a/2)*0.382683,NA())</f>
        <v/>
      </c>
      <c r="CJ10">
        <f>IF(AND(inputs_ok,s_a/2+28*s_a&lt;1000),(s_a/2+28*s_a)+(phi_a/2)*-0.923880,NA())</f>
        <v/>
      </c>
      <c r="CK10">
        <f>IF(AND(inputs_ok,s_a/2+28*s_a&lt;1000),(60)+(phi_a/2)*0.382683,NA())</f>
        <v/>
      </c>
      <c r="CM10">
        <f>IF(AND(inputs_ok,s_a/2+29*s_a&lt;1000),(s_a/2+29*s_a)+(phi_a/2)*-0.923880,NA())</f>
        <v/>
      </c>
      <c r="CN10">
        <f>IF(AND(inputs_ok,s_a/2+29*s_a&lt;1000),(60)+(phi_a/2)*0.382683,NA())</f>
        <v/>
      </c>
      <c r="CP10">
        <f>IF(AND(inputs_ok,s_a/2+30*s_a&lt;1000),(s_a/2+30*s_a)+(phi_a/2)*-0.923880,NA())</f>
        <v/>
      </c>
      <c r="CQ10">
        <f>IF(AND(inputs_ok,s_a/2+30*s_a&lt;1000),(60)+(phi_a/2)*0.382683,NA())</f>
        <v/>
      </c>
      <c r="CS10">
        <f>IF(AND(inputs_ok,s_a/2+31*s_a&lt;1000),(s_a/2+31*s_a)+(phi_a/2)*-0.923880,NA())</f>
        <v/>
      </c>
      <c r="CT10">
        <f>IF(AND(inputs_ok,s_a/2+31*s_a&lt;1000),(60)+(phi_a/2)*0.382683,NA())</f>
        <v/>
      </c>
      <c r="CV10">
        <f>IF(AND(inputs_ok,s_a/2+32*s_a&lt;1000),(s_a/2+32*s_a)+(phi_a/2)*-0.923880,NA())</f>
        <v/>
      </c>
      <c r="CW10">
        <f>IF(AND(inputs_ok,s_a/2+32*s_a&lt;1000),(60)+(phi_a/2)*0.382683,NA())</f>
        <v/>
      </c>
      <c r="CY10">
        <f>IF(AND(inputs_ok,s_a/2+33*s_a&lt;1000),(s_a/2+33*s_a)+(phi_a/2)*-0.923880,NA())</f>
        <v/>
      </c>
      <c r="CZ10">
        <f>IF(AND(inputs_ok,s_a/2+33*s_a&lt;1000),(60)+(phi_a/2)*0.382683,NA())</f>
        <v/>
      </c>
      <c r="DB10">
        <f>IF(AND(inputs_ok,s_a/2+34*s_a&lt;1000),(s_a/2+34*s_a)+(phi_a/2)*-0.923880,NA())</f>
        <v/>
      </c>
      <c r="DC10">
        <f>IF(AND(inputs_ok,s_a/2+34*s_a&lt;1000),(60)+(phi_a/2)*0.382683,NA())</f>
        <v/>
      </c>
      <c r="DE10">
        <f>IF(AND(inputs_ok,s_a/2+35*s_a&lt;1000),(s_a/2+35*s_a)+(phi_a/2)*-0.923880,NA())</f>
        <v/>
      </c>
      <c r="DF10">
        <f>IF(AND(inputs_ok,s_a/2+35*s_a&lt;1000),(60)+(phi_a/2)*0.382683,NA())</f>
        <v/>
      </c>
      <c r="DH10">
        <f>IF(AND(inputs_ok,s_a/2+36*s_a&lt;1000),(s_a/2+36*s_a)+(phi_a/2)*-0.923880,NA())</f>
        <v/>
      </c>
      <c r="DI10">
        <f>IF(AND(inputs_ok,s_a/2+36*s_a&lt;1000),(60)+(phi_a/2)*0.382683,NA())</f>
        <v/>
      </c>
      <c r="DK10">
        <f>IF(AND(inputs_ok,s_a/2+37*s_a&lt;1000),(s_a/2+37*s_a)+(phi_a/2)*-0.923880,NA())</f>
        <v/>
      </c>
      <c r="DL10">
        <f>IF(AND(inputs_ok,s_a/2+37*s_a&lt;1000),(60)+(phi_a/2)*0.382683,NA())</f>
        <v/>
      </c>
      <c r="DN10">
        <f>IF(AND(inputs_ok,s_a/2+38*s_a&lt;1000),(s_a/2+38*s_a)+(phi_a/2)*-0.923880,NA())</f>
        <v/>
      </c>
      <c r="DO10">
        <f>IF(AND(inputs_ok,s_a/2+38*s_a&lt;1000),(60)+(phi_a/2)*0.382683,NA())</f>
        <v/>
      </c>
      <c r="DQ10">
        <f>IF(AND(inputs_ok,s_a/2+39*s_a&lt;1000),(s_a/2+39*s_a)+(phi_a/2)*-0.923880,NA())</f>
        <v/>
      </c>
      <c r="DR10">
        <f>IF(AND(inputs_ok,s_a/2+39*s_a&lt;1000),(60)+(phi_a/2)*0.382683,NA())</f>
        <v/>
      </c>
      <c r="DT10">
        <f>IF(AND(inputs_ok,0&lt;n_a),((1000-(n_a-1)*MAX(2*phi_n,phi_n+25))/2+0*MAX(2*phi_n,phi_n+25))+(phi_n/2)*-0.923880,NA())</f>
        <v/>
      </c>
      <c r="DU10">
        <f>IF(AND(inputs_ok,0&lt;n_a),(-150)+(phi_n/2)*0.382683,NA())</f>
        <v/>
      </c>
      <c r="DW10">
        <f>IF(AND(inputs_ok,1&lt;n_a),((1000-(n_a-1)*MAX(2*phi_n,phi_n+25))/2+1*MAX(2*phi_n,phi_n+25))+(phi_n/2)*-0.923880,NA())</f>
        <v/>
      </c>
      <c r="DX10">
        <f>IF(AND(inputs_ok,1&lt;n_a),(-150)+(phi_n/2)*0.382683,NA())</f>
        <v/>
      </c>
      <c r="DZ10">
        <f>IF(AND(inputs_ok,2&lt;n_a),((1000-(n_a-1)*MAX(2*phi_n,phi_n+25))/2+2*MAX(2*phi_n,phi_n+25))+(phi_n/2)*-0.923880,NA())</f>
        <v/>
      </c>
      <c r="EA10">
        <f>IF(AND(inputs_ok,2&lt;n_a),(-150)+(phi_n/2)*0.382683,NA())</f>
        <v/>
      </c>
      <c r="EC10">
        <f>IF(AND(inputs_ok,3&lt;n_a),((1000-(n_a-1)*MAX(2*phi_n,phi_n+25))/2+3*MAX(2*phi_n,phi_n+25))+(phi_n/2)*-0.923880,NA())</f>
        <v/>
      </c>
      <c r="ED10">
        <f>IF(AND(inputs_ok,3&lt;n_a),(-150)+(phi_n/2)*0.382683,NA())</f>
        <v/>
      </c>
      <c r="EF10">
        <f>IF(AND(inputs_ok,4&lt;n_a),((1000-(n_a-1)*MAX(2*phi_n,phi_n+25))/2+4*MAX(2*phi_n,phi_n+25))+(phi_n/2)*-0.923880,NA())</f>
        <v/>
      </c>
      <c r="EG10">
        <f>IF(AND(inputs_ok,4&lt;n_a),(-150)+(phi_n/2)*0.382683,NA())</f>
        <v/>
      </c>
      <c r="EI10">
        <f>IF(AND(inputs_ok,5&lt;n_a),((1000-(n_a-1)*MAX(2*phi_n,phi_n+25))/2+5*MAX(2*phi_n,phi_n+25))+(phi_n/2)*-0.923880,NA())</f>
        <v/>
      </c>
      <c r="EJ10">
        <f>IF(AND(inputs_ok,5&lt;n_a),(-150)+(phi_n/2)*0.382683,NA())</f>
        <v/>
      </c>
      <c r="EL10">
        <f>IF(AND(inputs_ok,6&lt;n_a),((1000-(n_a-1)*MAX(2*phi_n,phi_n+25))/2+6*MAX(2*phi_n,phi_n+25))+(phi_n/2)*-0.923880,NA())</f>
        <v/>
      </c>
      <c r="EM10">
        <f>IF(AND(inputs_ok,6&lt;n_a),(-150)+(phi_n/2)*0.382683,NA())</f>
        <v/>
      </c>
      <c r="EO10">
        <f>IF(AND(inputs_ok,7&lt;n_a),((1000-(n_a-1)*MAX(2*phi_n,phi_n+25))/2+7*MAX(2*phi_n,phi_n+25))+(phi_n/2)*-0.923880,NA())</f>
        <v/>
      </c>
      <c r="EP10">
        <f>IF(AND(inputs_ok,7&lt;n_a),(-150)+(phi_n/2)*0.382683,NA())</f>
        <v/>
      </c>
      <c r="ER10">
        <f>IF(AND(inputs_ok,8&lt;n_a),((1000-(n_a-1)*MAX(2*phi_n,phi_n+25))/2+8*MAX(2*phi_n,phi_n+25))+(phi_n/2)*-0.923880,NA())</f>
        <v/>
      </c>
      <c r="ES10">
        <f>IF(AND(inputs_ok,8&lt;n_a),(-150)+(phi_n/2)*0.382683,NA())</f>
        <v/>
      </c>
      <c r="EU10">
        <f>IF(AND(inputs_ok,9&lt;n_a),((1000-(n_a-1)*MAX(2*phi_n,phi_n+25))/2+9*MAX(2*phi_n,phi_n+25))+(phi_n/2)*-0.923880,NA())</f>
        <v/>
      </c>
      <c r="EV10">
        <f>IF(AND(inputs_ok,9&lt;n_a),(-150)+(phi_n/2)*0.382683,NA())</f>
        <v/>
      </c>
      <c r="EX10">
        <f>IF(AND(inputs_ok,10&lt;n_a),((1000-(n_a-1)*MAX(2*phi_n,phi_n+25))/2+10*MAX(2*phi_n,phi_n+25))+(phi_n/2)*-0.923880,NA())</f>
        <v/>
      </c>
      <c r="EY10">
        <f>IF(AND(inputs_ok,10&lt;n_a),(-150)+(phi_n/2)*0.382683,NA())</f>
        <v/>
      </c>
      <c r="FA10">
        <f>IF(AND(inputs_ok,11&lt;n_a),((1000-(n_a-1)*MAX(2*phi_n,phi_n+25))/2+11*MAX(2*phi_n,phi_n+25))+(phi_n/2)*-0.923880,NA())</f>
        <v/>
      </c>
      <c r="FB10">
        <f>IF(AND(inputs_ok,11&lt;n_a),(-150)+(phi_n/2)*0.382683,NA())</f>
        <v/>
      </c>
      <c r="FD10">
        <f>IF(AND(inputs_ok,12&lt;n_a),((1000-(n_a-1)*MAX(2*phi_n,phi_n+25))/2+12*MAX(2*phi_n,phi_n+25))+(phi_n/2)*-0.923880,NA())</f>
        <v/>
      </c>
      <c r="FE10">
        <f>IF(AND(inputs_ok,12&lt;n_a),(-150)+(phi_n/2)*0.382683,NA())</f>
        <v/>
      </c>
      <c r="FG10">
        <f>IF(AND(inputs_ok,13&lt;n_a),((1000-(n_a-1)*MAX(2*phi_n,phi_n+25))/2+13*MAX(2*phi_n,phi_n+25))+(phi_n/2)*-0.923880,NA())</f>
        <v/>
      </c>
      <c r="FH10">
        <f>IF(AND(inputs_ok,13&lt;n_a),(-150)+(phi_n/2)*0.382683,NA())</f>
        <v/>
      </c>
      <c r="FJ10">
        <f>IF(AND(inputs_ok,14&lt;n_a),((1000-(n_a-1)*MAX(2*phi_n,phi_n+25))/2+14*MAX(2*phi_n,phi_n+25))+(phi_n/2)*-0.923880,NA())</f>
        <v/>
      </c>
      <c r="FK10">
        <f>IF(AND(inputs_ok,14&lt;n_a),(-150)+(phi_n/2)*0.382683,NA())</f>
        <v/>
      </c>
      <c r="FM10">
        <f>IF(AND(inputs_ok,15&lt;n_a),((1000-(n_a-1)*MAX(2*phi_n,phi_n+25))/2+15*MAX(2*phi_n,phi_n+25))+(phi_n/2)*-0.923880,NA())</f>
        <v/>
      </c>
      <c r="FN10">
        <f>IF(AND(inputs_ok,15&lt;n_a),(-150)+(phi_n/2)*0.382683,NA())</f>
        <v/>
      </c>
      <c r="FP10">
        <f>IF(AND(inputs_ok,16&lt;n_a),((1000-(n_a-1)*MAX(2*phi_n,phi_n+25))/2+16*MAX(2*phi_n,phi_n+25))+(phi_n/2)*-0.923880,NA())</f>
        <v/>
      </c>
      <c r="FQ10">
        <f>IF(AND(inputs_ok,16&lt;n_a),(-150)+(phi_n/2)*0.382683,NA())</f>
        <v/>
      </c>
      <c r="FS10">
        <f>IF(AND(inputs_ok,17&lt;n_a),((1000-(n_a-1)*MAX(2*phi_n,phi_n+25))/2+17*MAX(2*phi_n,phi_n+25))+(phi_n/2)*-0.923880,NA())</f>
        <v/>
      </c>
      <c r="FT10">
        <f>IF(AND(inputs_ok,17&lt;n_a),(-150)+(phi_n/2)*0.382683,NA())</f>
        <v/>
      </c>
      <c r="FV10">
        <f>IF(AND(inputs_ok,18&lt;n_a),((1000-(n_a-1)*MAX(2*phi_n,phi_n+25))/2+18*MAX(2*phi_n,phi_n+25))+(phi_n/2)*-0.923880,NA())</f>
        <v/>
      </c>
      <c r="FW10">
        <f>IF(AND(inputs_ok,18&lt;n_a),(-150)+(phi_n/2)*0.382683,NA())</f>
        <v/>
      </c>
      <c r="FY10">
        <f>IF(AND(inputs_ok,19&lt;n_a),((1000-(n_a-1)*MAX(2*phi_n,phi_n+25))/2+19*MAX(2*phi_n,phi_n+25))+(phi_n/2)*-0.923880,NA())</f>
        <v/>
      </c>
      <c r="FZ10">
        <f>IF(AND(inputs_ok,19&lt;n_a),(-150)+(phi_n/2)*0.382683,NA())</f>
        <v/>
      </c>
    </row>
    <row r="11">
      <c r="D11">
        <f>IF(AND(inputs_ok,s_a/2+0*s_a&lt;1000),(s_a/2+0*s_a)+(phi_a/2)*-1.000000,NA())</f>
        <v/>
      </c>
      <c r="E11">
        <f>IF(AND(inputs_ok,s_a/2+0*s_a&lt;1000),(60)+(phi_a/2)*0.000000,NA())</f>
        <v/>
      </c>
      <c r="G11">
        <f>IF(AND(inputs_ok,s_a/2+1*s_a&lt;1000),(s_a/2+1*s_a)+(phi_a/2)*-1.000000,NA())</f>
        <v/>
      </c>
      <c r="H11">
        <f>IF(AND(inputs_ok,s_a/2+1*s_a&lt;1000),(60)+(phi_a/2)*0.000000,NA())</f>
        <v/>
      </c>
      <c r="J11">
        <f>IF(AND(inputs_ok,s_a/2+2*s_a&lt;1000),(s_a/2+2*s_a)+(phi_a/2)*-1.000000,NA())</f>
        <v/>
      </c>
      <c r="K11">
        <f>IF(AND(inputs_ok,s_a/2+2*s_a&lt;1000),(60)+(phi_a/2)*0.000000,NA())</f>
        <v/>
      </c>
      <c r="M11">
        <f>IF(AND(inputs_ok,s_a/2+3*s_a&lt;1000),(s_a/2+3*s_a)+(phi_a/2)*-1.000000,NA())</f>
        <v/>
      </c>
      <c r="N11">
        <f>IF(AND(inputs_ok,s_a/2+3*s_a&lt;1000),(60)+(phi_a/2)*0.000000,NA())</f>
        <v/>
      </c>
      <c r="P11">
        <f>IF(AND(inputs_ok,s_a/2+4*s_a&lt;1000),(s_a/2+4*s_a)+(phi_a/2)*-1.000000,NA())</f>
        <v/>
      </c>
      <c r="Q11">
        <f>IF(AND(inputs_ok,s_a/2+4*s_a&lt;1000),(60)+(phi_a/2)*0.000000,NA())</f>
        <v/>
      </c>
      <c r="S11">
        <f>IF(AND(inputs_ok,s_a/2+5*s_a&lt;1000),(s_a/2+5*s_a)+(phi_a/2)*-1.000000,NA())</f>
        <v/>
      </c>
      <c r="T11">
        <f>IF(AND(inputs_ok,s_a/2+5*s_a&lt;1000),(60)+(phi_a/2)*0.000000,NA())</f>
        <v/>
      </c>
      <c r="V11">
        <f>IF(AND(inputs_ok,s_a/2+6*s_a&lt;1000),(s_a/2+6*s_a)+(phi_a/2)*-1.000000,NA())</f>
        <v/>
      </c>
      <c r="W11">
        <f>IF(AND(inputs_ok,s_a/2+6*s_a&lt;1000),(60)+(phi_a/2)*0.000000,NA())</f>
        <v/>
      </c>
      <c r="Y11">
        <f>IF(AND(inputs_ok,s_a/2+7*s_a&lt;1000),(s_a/2+7*s_a)+(phi_a/2)*-1.000000,NA())</f>
        <v/>
      </c>
      <c r="Z11">
        <f>IF(AND(inputs_ok,s_a/2+7*s_a&lt;1000),(60)+(phi_a/2)*0.000000,NA())</f>
        <v/>
      </c>
      <c r="AB11">
        <f>IF(AND(inputs_ok,s_a/2+8*s_a&lt;1000),(s_a/2+8*s_a)+(phi_a/2)*-1.000000,NA())</f>
        <v/>
      </c>
      <c r="AC11">
        <f>IF(AND(inputs_ok,s_a/2+8*s_a&lt;1000),(60)+(phi_a/2)*0.000000,NA())</f>
        <v/>
      </c>
      <c r="AE11">
        <f>IF(AND(inputs_ok,s_a/2+9*s_a&lt;1000),(s_a/2+9*s_a)+(phi_a/2)*-1.000000,NA())</f>
        <v/>
      </c>
      <c r="AF11">
        <f>IF(AND(inputs_ok,s_a/2+9*s_a&lt;1000),(60)+(phi_a/2)*0.000000,NA())</f>
        <v/>
      </c>
      <c r="AH11">
        <f>IF(AND(inputs_ok,s_a/2+10*s_a&lt;1000),(s_a/2+10*s_a)+(phi_a/2)*-1.000000,NA())</f>
        <v/>
      </c>
      <c r="AI11">
        <f>IF(AND(inputs_ok,s_a/2+10*s_a&lt;1000),(60)+(phi_a/2)*0.000000,NA())</f>
        <v/>
      </c>
      <c r="AK11">
        <f>IF(AND(inputs_ok,s_a/2+11*s_a&lt;1000),(s_a/2+11*s_a)+(phi_a/2)*-1.000000,NA())</f>
        <v/>
      </c>
      <c r="AL11">
        <f>IF(AND(inputs_ok,s_a/2+11*s_a&lt;1000),(60)+(phi_a/2)*0.000000,NA())</f>
        <v/>
      </c>
      <c r="AN11">
        <f>IF(AND(inputs_ok,s_a/2+12*s_a&lt;1000),(s_a/2+12*s_a)+(phi_a/2)*-1.000000,NA())</f>
        <v/>
      </c>
      <c r="AO11">
        <f>IF(AND(inputs_ok,s_a/2+12*s_a&lt;1000),(60)+(phi_a/2)*0.000000,NA())</f>
        <v/>
      </c>
      <c r="AQ11">
        <f>IF(AND(inputs_ok,s_a/2+13*s_a&lt;1000),(s_a/2+13*s_a)+(phi_a/2)*-1.000000,NA())</f>
        <v/>
      </c>
      <c r="AR11">
        <f>IF(AND(inputs_ok,s_a/2+13*s_a&lt;1000),(60)+(phi_a/2)*0.000000,NA())</f>
        <v/>
      </c>
      <c r="AT11">
        <f>IF(AND(inputs_ok,s_a/2+14*s_a&lt;1000),(s_a/2+14*s_a)+(phi_a/2)*-1.000000,NA())</f>
        <v/>
      </c>
      <c r="AU11">
        <f>IF(AND(inputs_ok,s_a/2+14*s_a&lt;1000),(60)+(phi_a/2)*0.000000,NA())</f>
        <v/>
      </c>
      <c r="AW11">
        <f>IF(AND(inputs_ok,s_a/2+15*s_a&lt;1000),(s_a/2+15*s_a)+(phi_a/2)*-1.000000,NA())</f>
        <v/>
      </c>
      <c r="AX11">
        <f>IF(AND(inputs_ok,s_a/2+15*s_a&lt;1000),(60)+(phi_a/2)*0.000000,NA())</f>
        <v/>
      </c>
      <c r="AZ11">
        <f>IF(AND(inputs_ok,s_a/2+16*s_a&lt;1000),(s_a/2+16*s_a)+(phi_a/2)*-1.000000,NA())</f>
        <v/>
      </c>
      <c r="BA11">
        <f>IF(AND(inputs_ok,s_a/2+16*s_a&lt;1000),(60)+(phi_a/2)*0.000000,NA())</f>
        <v/>
      </c>
      <c r="BC11">
        <f>IF(AND(inputs_ok,s_a/2+17*s_a&lt;1000),(s_a/2+17*s_a)+(phi_a/2)*-1.000000,NA())</f>
        <v/>
      </c>
      <c r="BD11">
        <f>IF(AND(inputs_ok,s_a/2+17*s_a&lt;1000),(60)+(phi_a/2)*0.000000,NA())</f>
        <v/>
      </c>
      <c r="BF11">
        <f>IF(AND(inputs_ok,s_a/2+18*s_a&lt;1000),(s_a/2+18*s_a)+(phi_a/2)*-1.000000,NA())</f>
        <v/>
      </c>
      <c r="BG11">
        <f>IF(AND(inputs_ok,s_a/2+18*s_a&lt;1000),(60)+(phi_a/2)*0.000000,NA())</f>
        <v/>
      </c>
      <c r="BI11">
        <f>IF(AND(inputs_ok,s_a/2+19*s_a&lt;1000),(s_a/2+19*s_a)+(phi_a/2)*-1.000000,NA())</f>
        <v/>
      </c>
      <c r="BJ11">
        <f>IF(AND(inputs_ok,s_a/2+19*s_a&lt;1000),(60)+(phi_a/2)*0.000000,NA())</f>
        <v/>
      </c>
      <c r="BL11">
        <f>IF(AND(inputs_ok,s_a/2+20*s_a&lt;1000),(s_a/2+20*s_a)+(phi_a/2)*-1.000000,NA())</f>
        <v/>
      </c>
      <c r="BM11">
        <f>IF(AND(inputs_ok,s_a/2+20*s_a&lt;1000),(60)+(phi_a/2)*0.000000,NA())</f>
        <v/>
      </c>
      <c r="BO11">
        <f>IF(AND(inputs_ok,s_a/2+21*s_a&lt;1000),(s_a/2+21*s_a)+(phi_a/2)*-1.000000,NA())</f>
        <v/>
      </c>
      <c r="BP11">
        <f>IF(AND(inputs_ok,s_a/2+21*s_a&lt;1000),(60)+(phi_a/2)*0.000000,NA())</f>
        <v/>
      </c>
      <c r="BR11">
        <f>IF(AND(inputs_ok,s_a/2+22*s_a&lt;1000),(s_a/2+22*s_a)+(phi_a/2)*-1.000000,NA())</f>
        <v/>
      </c>
      <c r="BS11">
        <f>IF(AND(inputs_ok,s_a/2+22*s_a&lt;1000),(60)+(phi_a/2)*0.000000,NA())</f>
        <v/>
      </c>
      <c r="BU11">
        <f>IF(AND(inputs_ok,s_a/2+23*s_a&lt;1000),(s_a/2+23*s_a)+(phi_a/2)*-1.000000,NA())</f>
        <v/>
      </c>
      <c r="BV11">
        <f>IF(AND(inputs_ok,s_a/2+23*s_a&lt;1000),(60)+(phi_a/2)*0.000000,NA())</f>
        <v/>
      </c>
      <c r="BX11">
        <f>IF(AND(inputs_ok,s_a/2+24*s_a&lt;1000),(s_a/2+24*s_a)+(phi_a/2)*-1.000000,NA())</f>
        <v/>
      </c>
      <c r="BY11">
        <f>IF(AND(inputs_ok,s_a/2+24*s_a&lt;1000),(60)+(phi_a/2)*0.000000,NA())</f>
        <v/>
      </c>
      <c r="CA11">
        <f>IF(AND(inputs_ok,s_a/2+25*s_a&lt;1000),(s_a/2+25*s_a)+(phi_a/2)*-1.000000,NA())</f>
        <v/>
      </c>
      <c r="CB11">
        <f>IF(AND(inputs_ok,s_a/2+25*s_a&lt;1000),(60)+(phi_a/2)*0.000000,NA())</f>
        <v/>
      </c>
      <c r="CD11">
        <f>IF(AND(inputs_ok,s_a/2+26*s_a&lt;1000),(s_a/2+26*s_a)+(phi_a/2)*-1.000000,NA())</f>
        <v/>
      </c>
      <c r="CE11">
        <f>IF(AND(inputs_ok,s_a/2+26*s_a&lt;1000),(60)+(phi_a/2)*0.000000,NA())</f>
        <v/>
      </c>
      <c r="CG11">
        <f>IF(AND(inputs_ok,s_a/2+27*s_a&lt;1000),(s_a/2+27*s_a)+(phi_a/2)*-1.000000,NA())</f>
        <v/>
      </c>
      <c r="CH11">
        <f>IF(AND(inputs_ok,s_a/2+27*s_a&lt;1000),(60)+(phi_a/2)*0.000000,NA())</f>
        <v/>
      </c>
      <c r="CJ11">
        <f>IF(AND(inputs_ok,s_a/2+28*s_a&lt;1000),(s_a/2+28*s_a)+(phi_a/2)*-1.000000,NA())</f>
        <v/>
      </c>
      <c r="CK11">
        <f>IF(AND(inputs_ok,s_a/2+28*s_a&lt;1000),(60)+(phi_a/2)*0.000000,NA())</f>
        <v/>
      </c>
      <c r="CM11">
        <f>IF(AND(inputs_ok,s_a/2+29*s_a&lt;1000),(s_a/2+29*s_a)+(phi_a/2)*-1.000000,NA())</f>
        <v/>
      </c>
      <c r="CN11">
        <f>IF(AND(inputs_ok,s_a/2+29*s_a&lt;1000),(60)+(phi_a/2)*0.000000,NA())</f>
        <v/>
      </c>
      <c r="CP11">
        <f>IF(AND(inputs_ok,s_a/2+30*s_a&lt;1000),(s_a/2+30*s_a)+(phi_a/2)*-1.000000,NA())</f>
        <v/>
      </c>
      <c r="CQ11">
        <f>IF(AND(inputs_ok,s_a/2+30*s_a&lt;1000),(60)+(phi_a/2)*0.000000,NA())</f>
        <v/>
      </c>
      <c r="CS11">
        <f>IF(AND(inputs_ok,s_a/2+31*s_a&lt;1000),(s_a/2+31*s_a)+(phi_a/2)*-1.000000,NA())</f>
        <v/>
      </c>
      <c r="CT11">
        <f>IF(AND(inputs_ok,s_a/2+31*s_a&lt;1000),(60)+(phi_a/2)*0.000000,NA())</f>
        <v/>
      </c>
      <c r="CV11">
        <f>IF(AND(inputs_ok,s_a/2+32*s_a&lt;1000),(s_a/2+32*s_a)+(phi_a/2)*-1.000000,NA())</f>
        <v/>
      </c>
      <c r="CW11">
        <f>IF(AND(inputs_ok,s_a/2+32*s_a&lt;1000),(60)+(phi_a/2)*0.000000,NA())</f>
        <v/>
      </c>
      <c r="CY11">
        <f>IF(AND(inputs_ok,s_a/2+33*s_a&lt;1000),(s_a/2+33*s_a)+(phi_a/2)*-1.000000,NA())</f>
        <v/>
      </c>
      <c r="CZ11">
        <f>IF(AND(inputs_ok,s_a/2+33*s_a&lt;1000),(60)+(phi_a/2)*0.000000,NA())</f>
        <v/>
      </c>
      <c r="DB11">
        <f>IF(AND(inputs_ok,s_a/2+34*s_a&lt;1000),(s_a/2+34*s_a)+(phi_a/2)*-1.000000,NA())</f>
        <v/>
      </c>
      <c r="DC11">
        <f>IF(AND(inputs_ok,s_a/2+34*s_a&lt;1000),(60)+(phi_a/2)*0.000000,NA())</f>
        <v/>
      </c>
      <c r="DE11">
        <f>IF(AND(inputs_ok,s_a/2+35*s_a&lt;1000),(s_a/2+35*s_a)+(phi_a/2)*-1.000000,NA())</f>
        <v/>
      </c>
      <c r="DF11">
        <f>IF(AND(inputs_ok,s_a/2+35*s_a&lt;1000),(60)+(phi_a/2)*0.000000,NA())</f>
        <v/>
      </c>
      <c r="DH11">
        <f>IF(AND(inputs_ok,s_a/2+36*s_a&lt;1000),(s_a/2+36*s_a)+(phi_a/2)*-1.000000,NA())</f>
        <v/>
      </c>
      <c r="DI11">
        <f>IF(AND(inputs_ok,s_a/2+36*s_a&lt;1000),(60)+(phi_a/2)*0.000000,NA())</f>
        <v/>
      </c>
      <c r="DK11">
        <f>IF(AND(inputs_ok,s_a/2+37*s_a&lt;1000),(s_a/2+37*s_a)+(phi_a/2)*-1.000000,NA())</f>
        <v/>
      </c>
      <c r="DL11">
        <f>IF(AND(inputs_ok,s_a/2+37*s_a&lt;1000),(60)+(phi_a/2)*0.000000,NA())</f>
        <v/>
      </c>
      <c r="DN11">
        <f>IF(AND(inputs_ok,s_a/2+38*s_a&lt;1000),(s_a/2+38*s_a)+(phi_a/2)*-1.000000,NA())</f>
        <v/>
      </c>
      <c r="DO11">
        <f>IF(AND(inputs_ok,s_a/2+38*s_a&lt;1000),(60)+(phi_a/2)*0.000000,NA())</f>
        <v/>
      </c>
      <c r="DQ11">
        <f>IF(AND(inputs_ok,s_a/2+39*s_a&lt;1000),(s_a/2+39*s_a)+(phi_a/2)*-1.000000,NA())</f>
        <v/>
      </c>
      <c r="DR11">
        <f>IF(AND(inputs_ok,s_a/2+39*s_a&lt;1000),(60)+(phi_a/2)*0.000000,NA())</f>
        <v/>
      </c>
      <c r="DT11">
        <f>IF(AND(inputs_ok,0&lt;n_a),((1000-(n_a-1)*MAX(2*phi_n,phi_n+25))/2+0*MAX(2*phi_n,phi_n+25))+(phi_n/2)*-1.000000,NA())</f>
        <v/>
      </c>
      <c r="DU11">
        <f>IF(AND(inputs_ok,0&lt;n_a),(-150)+(phi_n/2)*0.000000,NA())</f>
        <v/>
      </c>
      <c r="DW11">
        <f>IF(AND(inputs_ok,1&lt;n_a),((1000-(n_a-1)*MAX(2*phi_n,phi_n+25))/2+1*MAX(2*phi_n,phi_n+25))+(phi_n/2)*-1.000000,NA())</f>
        <v/>
      </c>
      <c r="DX11">
        <f>IF(AND(inputs_ok,1&lt;n_a),(-150)+(phi_n/2)*0.000000,NA())</f>
        <v/>
      </c>
      <c r="DZ11">
        <f>IF(AND(inputs_ok,2&lt;n_a),((1000-(n_a-1)*MAX(2*phi_n,phi_n+25))/2+2*MAX(2*phi_n,phi_n+25))+(phi_n/2)*-1.000000,NA())</f>
        <v/>
      </c>
      <c r="EA11">
        <f>IF(AND(inputs_ok,2&lt;n_a),(-150)+(phi_n/2)*0.000000,NA())</f>
        <v/>
      </c>
      <c r="EC11">
        <f>IF(AND(inputs_ok,3&lt;n_a),((1000-(n_a-1)*MAX(2*phi_n,phi_n+25))/2+3*MAX(2*phi_n,phi_n+25))+(phi_n/2)*-1.000000,NA())</f>
        <v/>
      </c>
      <c r="ED11">
        <f>IF(AND(inputs_ok,3&lt;n_a),(-150)+(phi_n/2)*0.000000,NA())</f>
        <v/>
      </c>
      <c r="EF11">
        <f>IF(AND(inputs_ok,4&lt;n_a),((1000-(n_a-1)*MAX(2*phi_n,phi_n+25))/2+4*MAX(2*phi_n,phi_n+25))+(phi_n/2)*-1.000000,NA())</f>
        <v/>
      </c>
      <c r="EG11">
        <f>IF(AND(inputs_ok,4&lt;n_a),(-150)+(phi_n/2)*0.000000,NA())</f>
        <v/>
      </c>
      <c r="EI11">
        <f>IF(AND(inputs_ok,5&lt;n_a),((1000-(n_a-1)*MAX(2*phi_n,phi_n+25))/2+5*MAX(2*phi_n,phi_n+25))+(phi_n/2)*-1.000000,NA())</f>
        <v/>
      </c>
      <c r="EJ11">
        <f>IF(AND(inputs_ok,5&lt;n_a),(-150)+(phi_n/2)*0.000000,NA())</f>
        <v/>
      </c>
      <c r="EL11">
        <f>IF(AND(inputs_ok,6&lt;n_a),((1000-(n_a-1)*MAX(2*phi_n,phi_n+25))/2+6*MAX(2*phi_n,phi_n+25))+(phi_n/2)*-1.000000,NA())</f>
        <v/>
      </c>
      <c r="EM11">
        <f>IF(AND(inputs_ok,6&lt;n_a),(-150)+(phi_n/2)*0.000000,NA())</f>
        <v/>
      </c>
      <c r="EO11">
        <f>IF(AND(inputs_ok,7&lt;n_a),((1000-(n_a-1)*MAX(2*phi_n,phi_n+25))/2+7*MAX(2*phi_n,phi_n+25))+(phi_n/2)*-1.000000,NA())</f>
        <v/>
      </c>
      <c r="EP11">
        <f>IF(AND(inputs_ok,7&lt;n_a),(-150)+(phi_n/2)*0.000000,NA())</f>
        <v/>
      </c>
      <c r="ER11">
        <f>IF(AND(inputs_ok,8&lt;n_a),((1000-(n_a-1)*MAX(2*phi_n,phi_n+25))/2+8*MAX(2*phi_n,phi_n+25))+(phi_n/2)*-1.000000,NA())</f>
        <v/>
      </c>
      <c r="ES11">
        <f>IF(AND(inputs_ok,8&lt;n_a),(-150)+(phi_n/2)*0.000000,NA())</f>
        <v/>
      </c>
      <c r="EU11">
        <f>IF(AND(inputs_ok,9&lt;n_a),((1000-(n_a-1)*MAX(2*phi_n,phi_n+25))/2+9*MAX(2*phi_n,phi_n+25))+(phi_n/2)*-1.000000,NA())</f>
        <v/>
      </c>
      <c r="EV11">
        <f>IF(AND(inputs_ok,9&lt;n_a),(-150)+(phi_n/2)*0.000000,NA())</f>
        <v/>
      </c>
      <c r="EX11">
        <f>IF(AND(inputs_ok,10&lt;n_a),((1000-(n_a-1)*MAX(2*phi_n,phi_n+25))/2+10*MAX(2*phi_n,phi_n+25))+(phi_n/2)*-1.000000,NA())</f>
        <v/>
      </c>
      <c r="EY11">
        <f>IF(AND(inputs_ok,10&lt;n_a),(-150)+(phi_n/2)*0.000000,NA())</f>
        <v/>
      </c>
      <c r="FA11">
        <f>IF(AND(inputs_ok,11&lt;n_a),((1000-(n_a-1)*MAX(2*phi_n,phi_n+25))/2+11*MAX(2*phi_n,phi_n+25))+(phi_n/2)*-1.000000,NA())</f>
        <v/>
      </c>
      <c r="FB11">
        <f>IF(AND(inputs_ok,11&lt;n_a),(-150)+(phi_n/2)*0.000000,NA())</f>
        <v/>
      </c>
      <c r="FD11">
        <f>IF(AND(inputs_ok,12&lt;n_a),((1000-(n_a-1)*MAX(2*phi_n,phi_n+25))/2+12*MAX(2*phi_n,phi_n+25))+(phi_n/2)*-1.000000,NA())</f>
        <v/>
      </c>
      <c r="FE11">
        <f>IF(AND(inputs_ok,12&lt;n_a),(-150)+(phi_n/2)*0.000000,NA())</f>
        <v/>
      </c>
      <c r="FG11">
        <f>IF(AND(inputs_ok,13&lt;n_a),((1000-(n_a-1)*MAX(2*phi_n,phi_n+25))/2+13*MAX(2*phi_n,phi_n+25))+(phi_n/2)*-1.000000,NA())</f>
        <v/>
      </c>
      <c r="FH11">
        <f>IF(AND(inputs_ok,13&lt;n_a),(-150)+(phi_n/2)*0.000000,NA())</f>
        <v/>
      </c>
      <c r="FJ11">
        <f>IF(AND(inputs_ok,14&lt;n_a),((1000-(n_a-1)*MAX(2*phi_n,phi_n+25))/2+14*MAX(2*phi_n,phi_n+25))+(phi_n/2)*-1.000000,NA())</f>
        <v/>
      </c>
      <c r="FK11">
        <f>IF(AND(inputs_ok,14&lt;n_a),(-150)+(phi_n/2)*0.000000,NA())</f>
        <v/>
      </c>
      <c r="FM11">
        <f>IF(AND(inputs_ok,15&lt;n_a),((1000-(n_a-1)*MAX(2*phi_n,phi_n+25))/2+15*MAX(2*phi_n,phi_n+25))+(phi_n/2)*-1.000000,NA())</f>
        <v/>
      </c>
      <c r="FN11">
        <f>IF(AND(inputs_ok,15&lt;n_a),(-150)+(phi_n/2)*0.000000,NA())</f>
        <v/>
      </c>
      <c r="FP11">
        <f>IF(AND(inputs_ok,16&lt;n_a),((1000-(n_a-1)*MAX(2*phi_n,phi_n+25))/2+16*MAX(2*phi_n,phi_n+25))+(phi_n/2)*-1.000000,NA())</f>
        <v/>
      </c>
      <c r="FQ11">
        <f>IF(AND(inputs_ok,16&lt;n_a),(-150)+(phi_n/2)*0.000000,NA())</f>
        <v/>
      </c>
      <c r="FS11">
        <f>IF(AND(inputs_ok,17&lt;n_a),((1000-(n_a-1)*MAX(2*phi_n,phi_n+25))/2+17*MAX(2*phi_n,phi_n+25))+(phi_n/2)*-1.000000,NA())</f>
        <v/>
      </c>
      <c r="FT11">
        <f>IF(AND(inputs_ok,17&lt;n_a),(-150)+(phi_n/2)*0.000000,NA())</f>
        <v/>
      </c>
      <c r="FV11">
        <f>IF(AND(inputs_ok,18&lt;n_a),((1000-(n_a-1)*MAX(2*phi_n,phi_n+25))/2+18*MAX(2*phi_n,phi_n+25))+(phi_n/2)*-1.000000,NA())</f>
        <v/>
      </c>
      <c r="FW11">
        <f>IF(AND(inputs_ok,18&lt;n_a),(-150)+(phi_n/2)*0.000000,NA())</f>
        <v/>
      </c>
      <c r="FY11">
        <f>IF(AND(inputs_ok,19&lt;n_a),((1000-(n_a-1)*MAX(2*phi_n,phi_n+25))/2+19*MAX(2*phi_n,phi_n+25))+(phi_n/2)*-1.000000,NA())</f>
        <v/>
      </c>
      <c r="FZ11">
        <f>IF(AND(inputs_ok,19&lt;n_a),(-150)+(phi_n/2)*0.000000,NA())</f>
        <v/>
      </c>
    </row>
    <row r="12">
      <c r="D12">
        <f>IF(AND(inputs_ok,s_a/2+0*s_a&lt;1000),(s_a/2+0*s_a)+(phi_a/2)*-0.923880,NA())</f>
        <v/>
      </c>
      <c r="E12">
        <f>IF(AND(inputs_ok,s_a/2+0*s_a&lt;1000),(60)+(phi_a/2)*-0.382683,NA())</f>
        <v/>
      </c>
      <c r="G12">
        <f>IF(AND(inputs_ok,s_a/2+1*s_a&lt;1000),(s_a/2+1*s_a)+(phi_a/2)*-0.923880,NA())</f>
        <v/>
      </c>
      <c r="H12">
        <f>IF(AND(inputs_ok,s_a/2+1*s_a&lt;1000),(60)+(phi_a/2)*-0.382683,NA())</f>
        <v/>
      </c>
      <c r="J12">
        <f>IF(AND(inputs_ok,s_a/2+2*s_a&lt;1000),(s_a/2+2*s_a)+(phi_a/2)*-0.923880,NA())</f>
        <v/>
      </c>
      <c r="K12">
        <f>IF(AND(inputs_ok,s_a/2+2*s_a&lt;1000),(60)+(phi_a/2)*-0.382683,NA())</f>
        <v/>
      </c>
      <c r="M12">
        <f>IF(AND(inputs_ok,s_a/2+3*s_a&lt;1000),(s_a/2+3*s_a)+(phi_a/2)*-0.923880,NA())</f>
        <v/>
      </c>
      <c r="N12">
        <f>IF(AND(inputs_ok,s_a/2+3*s_a&lt;1000),(60)+(phi_a/2)*-0.382683,NA())</f>
        <v/>
      </c>
      <c r="P12">
        <f>IF(AND(inputs_ok,s_a/2+4*s_a&lt;1000),(s_a/2+4*s_a)+(phi_a/2)*-0.923880,NA())</f>
        <v/>
      </c>
      <c r="Q12">
        <f>IF(AND(inputs_ok,s_a/2+4*s_a&lt;1000),(60)+(phi_a/2)*-0.382683,NA())</f>
        <v/>
      </c>
      <c r="S12">
        <f>IF(AND(inputs_ok,s_a/2+5*s_a&lt;1000),(s_a/2+5*s_a)+(phi_a/2)*-0.923880,NA())</f>
        <v/>
      </c>
      <c r="T12">
        <f>IF(AND(inputs_ok,s_a/2+5*s_a&lt;1000),(60)+(phi_a/2)*-0.382683,NA())</f>
        <v/>
      </c>
      <c r="V12">
        <f>IF(AND(inputs_ok,s_a/2+6*s_a&lt;1000),(s_a/2+6*s_a)+(phi_a/2)*-0.923880,NA())</f>
        <v/>
      </c>
      <c r="W12">
        <f>IF(AND(inputs_ok,s_a/2+6*s_a&lt;1000),(60)+(phi_a/2)*-0.382683,NA())</f>
        <v/>
      </c>
      <c r="Y12">
        <f>IF(AND(inputs_ok,s_a/2+7*s_a&lt;1000),(s_a/2+7*s_a)+(phi_a/2)*-0.923880,NA())</f>
        <v/>
      </c>
      <c r="Z12">
        <f>IF(AND(inputs_ok,s_a/2+7*s_a&lt;1000),(60)+(phi_a/2)*-0.382683,NA())</f>
        <v/>
      </c>
      <c r="AB12">
        <f>IF(AND(inputs_ok,s_a/2+8*s_a&lt;1000),(s_a/2+8*s_a)+(phi_a/2)*-0.923880,NA())</f>
        <v/>
      </c>
      <c r="AC12">
        <f>IF(AND(inputs_ok,s_a/2+8*s_a&lt;1000),(60)+(phi_a/2)*-0.382683,NA())</f>
        <v/>
      </c>
      <c r="AE12">
        <f>IF(AND(inputs_ok,s_a/2+9*s_a&lt;1000),(s_a/2+9*s_a)+(phi_a/2)*-0.923880,NA())</f>
        <v/>
      </c>
      <c r="AF12">
        <f>IF(AND(inputs_ok,s_a/2+9*s_a&lt;1000),(60)+(phi_a/2)*-0.382683,NA())</f>
        <v/>
      </c>
      <c r="AH12">
        <f>IF(AND(inputs_ok,s_a/2+10*s_a&lt;1000),(s_a/2+10*s_a)+(phi_a/2)*-0.923880,NA())</f>
        <v/>
      </c>
      <c r="AI12">
        <f>IF(AND(inputs_ok,s_a/2+10*s_a&lt;1000),(60)+(phi_a/2)*-0.382683,NA())</f>
        <v/>
      </c>
      <c r="AK12">
        <f>IF(AND(inputs_ok,s_a/2+11*s_a&lt;1000),(s_a/2+11*s_a)+(phi_a/2)*-0.923880,NA())</f>
        <v/>
      </c>
      <c r="AL12">
        <f>IF(AND(inputs_ok,s_a/2+11*s_a&lt;1000),(60)+(phi_a/2)*-0.382683,NA())</f>
        <v/>
      </c>
      <c r="AN12">
        <f>IF(AND(inputs_ok,s_a/2+12*s_a&lt;1000),(s_a/2+12*s_a)+(phi_a/2)*-0.923880,NA())</f>
        <v/>
      </c>
      <c r="AO12">
        <f>IF(AND(inputs_ok,s_a/2+12*s_a&lt;1000),(60)+(phi_a/2)*-0.382683,NA())</f>
        <v/>
      </c>
      <c r="AQ12">
        <f>IF(AND(inputs_ok,s_a/2+13*s_a&lt;1000),(s_a/2+13*s_a)+(phi_a/2)*-0.923880,NA())</f>
        <v/>
      </c>
      <c r="AR12">
        <f>IF(AND(inputs_ok,s_a/2+13*s_a&lt;1000),(60)+(phi_a/2)*-0.382683,NA())</f>
        <v/>
      </c>
      <c r="AT12">
        <f>IF(AND(inputs_ok,s_a/2+14*s_a&lt;1000),(s_a/2+14*s_a)+(phi_a/2)*-0.923880,NA())</f>
        <v/>
      </c>
      <c r="AU12">
        <f>IF(AND(inputs_ok,s_a/2+14*s_a&lt;1000),(60)+(phi_a/2)*-0.382683,NA())</f>
        <v/>
      </c>
      <c r="AW12">
        <f>IF(AND(inputs_ok,s_a/2+15*s_a&lt;1000),(s_a/2+15*s_a)+(phi_a/2)*-0.923880,NA())</f>
        <v/>
      </c>
      <c r="AX12">
        <f>IF(AND(inputs_ok,s_a/2+15*s_a&lt;1000),(60)+(phi_a/2)*-0.382683,NA())</f>
        <v/>
      </c>
      <c r="AZ12">
        <f>IF(AND(inputs_ok,s_a/2+16*s_a&lt;1000),(s_a/2+16*s_a)+(phi_a/2)*-0.923880,NA())</f>
        <v/>
      </c>
      <c r="BA12">
        <f>IF(AND(inputs_ok,s_a/2+16*s_a&lt;1000),(60)+(phi_a/2)*-0.382683,NA())</f>
        <v/>
      </c>
      <c r="BC12">
        <f>IF(AND(inputs_ok,s_a/2+17*s_a&lt;1000),(s_a/2+17*s_a)+(phi_a/2)*-0.923880,NA())</f>
        <v/>
      </c>
      <c r="BD12">
        <f>IF(AND(inputs_ok,s_a/2+17*s_a&lt;1000),(60)+(phi_a/2)*-0.382683,NA())</f>
        <v/>
      </c>
      <c r="BF12">
        <f>IF(AND(inputs_ok,s_a/2+18*s_a&lt;1000),(s_a/2+18*s_a)+(phi_a/2)*-0.923880,NA())</f>
        <v/>
      </c>
      <c r="BG12">
        <f>IF(AND(inputs_ok,s_a/2+18*s_a&lt;1000),(60)+(phi_a/2)*-0.382683,NA())</f>
        <v/>
      </c>
      <c r="BI12">
        <f>IF(AND(inputs_ok,s_a/2+19*s_a&lt;1000),(s_a/2+19*s_a)+(phi_a/2)*-0.923880,NA())</f>
        <v/>
      </c>
      <c r="BJ12">
        <f>IF(AND(inputs_ok,s_a/2+19*s_a&lt;1000),(60)+(phi_a/2)*-0.382683,NA())</f>
        <v/>
      </c>
      <c r="BL12">
        <f>IF(AND(inputs_ok,s_a/2+20*s_a&lt;1000),(s_a/2+20*s_a)+(phi_a/2)*-0.923880,NA())</f>
        <v/>
      </c>
      <c r="BM12">
        <f>IF(AND(inputs_ok,s_a/2+20*s_a&lt;1000),(60)+(phi_a/2)*-0.382683,NA())</f>
        <v/>
      </c>
      <c r="BO12">
        <f>IF(AND(inputs_ok,s_a/2+21*s_a&lt;1000),(s_a/2+21*s_a)+(phi_a/2)*-0.923880,NA())</f>
        <v/>
      </c>
      <c r="BP12">
        <f>IF(AND(inputs_ok,s_a/2+21*s_a&lt;1000),(60)+(phi_a/2)*-0.382683,NA())</f>
        <v/>
      </c>
      <c r="BR12">
        <f>IF(AND(inputs_ok,s_a/2+22*s_a&lt;1000),(s_a/2+22*s_a)+(phi_a/2)*-0.923880,NA())</f>
        <v/>
      </c>
      <c r="BS12">
        <f>IF(AND(inputs_ok,s_a/2+22*s_a&lt;1000),(60)+(phi_a/2)*-0.382683,NA())</f>
        <v/>
      </c>
      <c r="BU12">
        <f>IF(AND(inputs_ok,s_a/2+23*s_a&lt;1000),(s_a/2+23*s_a)+(phi_a/2)*-0.923880,NA())</f>
        <v/>
      </c>
      <c r="BV12">
        <f>IF(AND(inputs_ok,s_a/2+23*s_a&lt;1000),(60)+(phi_a/2)*-0.382683,NA())</f>
        <v/>
      </c>
      <c r="BX12">
        <f>IF(AND(inputs_ok,s_a/2+24*s_a&lt;1000),(s_a/2+24*s_a)+(phi_a/2)*-0.923880,NA())</f>
        <v/>
      </c>
      <c r="BY12">
        <f>IF(AND(inputs_ok,s_a/2+24*s_a&lt;1000),(60)+(phi_a/2)*-0.382683,NA())</f>
        <v/>
      </c>
      <c r="CA12">
        <f>IF(AND(inputs_ok,s_a/2+25*s_a&lt;1000),(s_a/2+25*s_a)+(phi_a/2)*-0.923880,NA())</f>
        <v/>
      </c>
      <c r="CB12">
        <f>IF(AND(inputs_ok,s_a/2+25*s_a&lt;1000),(60)+(phi_a/2)*-0.382683,NA())</f>
        <v/>
      </c>
      <c r="CD12">
        <f>IF(AND(inputs_ok,s_a/2+26*s_a&lt;1000),(s_a/2+26*s_a)+(phi_a/2)*-0.923880,NA())</f>
        <v/>
      </c>
      <c r="CE12">
        <f>IF(AND(inputs_ok,s_a/2+26*s_a&lt;1000),(60)+(phi_a/2)*-0.382683,NA())</f>
        <v/>
      </c>
      <c r="CG12">
        <f>IF(AND(inputs_ok,s_a/2+27*s_a&lt;1000),(s_a/2+27*s_a)+(phi_a/2)*-0.923880,NA())</f>
        <v/>
      </c>
      <c r="CH12">
        <f>IF(AND(inputs_ok,s_a/2+27*s_a&lt;1000),(60)+(phi_a/2)*-0.382683,NA())</f>
        <v/>
      </c>
      <c r="CJ12">
        <f>IF(AND(inputs_ok,s_a/2+28*s_a&lt;1000),(s_a/2+28*s_a)+(phi_a/2)*-0.923880,NA())</f>
        <v/>
      </c>
      <c r="CK12">
        <f>IF(AND(inputs_ok,s_a/2+28*s_a&lt;1000),(60)+(phi_a/2)*-0.382683,NA())</f>
        <v/>
      </c>
      <c r="CM12">
        <f>IF(AND(inputs_ok,s_a/2+29*s_a&lt;1000),(s_a/2+29*s_a)+(phi_a/2)*-0.923880,NA())</f>
        <v/>
      </c>
      <c r="CN12">
        <f>IF(AND(inputs_ok,s_a/2+29*s_a&lt;1000),(60)+(phi_a/2)*-0.382683,NA())</f>
        <v/>
      </c>
      <c r="CP12">
        <f>IF(AND(inputs_ok,s_a/2+30*s_a&lt;1000),(s_a/2+30*s_a)+(phi_a/2)*-0.923880,NA())</f>
        <v/>
      </c>
      <c r="CQ12">
        <f>IF(AND(inputs_ok,s_a/2+30*s_a&lt;1000),(60)+(phi_a/2)*-0.382683,NA())</f>
        <v/>
      </c>
      <c r="CS12">
        <f>IF(AND(inputs_ok,s_a/2+31*s_a&lt;1000),(s_a/2+31*s_a)+(phi_a/2)*-0.923880,NA())</f>
        <v/>
      </c>
      <c r="CT12">
        <f>IF(AND(inputs_ok,s_a/2+31*s_a&lt;1000),(60)+(phi_a/2)*-0.382683,NA())</f>
        <v/>
      </c>
      <c r="CV12">
        <f>IF(AND(inputs_ok,s_a/2+32*s_a&lt;1000),(s_a/2+32*s_a)+(phi_a/2)*-0.923880,NA())</f>
        <v/>
      </c>
      <c r="CW12">
        <f>IF(AND(inputs_ok,s_a/2+32*s_a&lt;1000),(60)+(phi_a/2)*-0.382683,NA())</f>
        <v/>
      </c>
      <c r="CY12">
        <f>IF(AND(inputs_ok,s_a/2+33*s_a&lt;1000),(s_a/2+33*s_a)+(phi_a/2)*-0.923880,NA())</f>
        <v/>
      </c>
      <c r="CZ12">
        <f>IF(AND(inputs_ok,s_a/2+33*s_a&lt;1000),(60)+(phi_a/2)*-0.382683,NA())</f>
        <v/>
      </c>
      <c r="DB12">
        <f>IF(AND(inputs_ok,s_a/2+34*s_a&lt;1000),(s_a/2+34*s_a)+(phi_a/2)*-0.923880,NA())</f>
        <v/>
      </c>
      <c r="DC12">
        <f>IF(AND(inputs_ok,s_a/2+34*s_a&lt;1000),(60)+(phi_a/2)*-0.382683,NA())</f>
        <v/>
      </c>
      <c r="DE12">
        <f>IF(AND(inputs_ok,s_a/2+35*s_a&lt;1000),(s_a/2+35*s_a)+(phi_a/2)*-0.923880,NA())</f>
        <v/>
      </c>
      <c r="DF12">
        <f>IF(AND(inputs_ok,s_a/2+35*s_a&lt;1000),(60)+(phi_a/2)*-0.382683,NA())</f>
        <v/>
      </c>
      <c r="DH12">
        <f>IF(AND(inputs_ok,s_a/2+36*s_a&lt;1000),(s_a/2+36*s_a)+(phi_a/2)*-0.923880,NA())</f>
        <v/>
      </c>
      <c r="DI12">
        <f>IF(AND(inputs_ok,s_a/2+36*s_a&lt;1000),(60)+(phi_a/2)*-0.382683,NA())</f>
        <v/>
      </c>
      <c r="DK12">
        <f>IF(AND(inputs_ok,s_a/2+37*s_a&lt;1000),(s_a/2+37*s_a)+(phi_a/2)*-0.923880,NA())</f>
        <v/>
      </c>
      <c r="DL12">
        <f>IF(AND(inputs_ok,s_a/2+37*s_a&lt;1000),(60)+(phi_a/2)*-0.382683,NA())</f>
        <v/>
      </c>
      <c r="DN12">
        <f>IF(AND(inputs_ok,s_a/2+38*s_a&lt;1000),(s_a/2+38*s_a)+(phi_a/2)*-0.923880,NA())</f>
        <v/>
      </c>
      <c r="DO12">
        <f>IF(AND(inputs_ok,s_a/2+38*s_a&lt;1000),(60)+(phi_a/2)*-0.382683,NA())</f>
        <v/>
      </c>
      <c r="DQ12">
        <f>IF(AND(inputs_ok,s_a/2+39*s_a&lt;1000),(s_a/2+39*s_a)+(phi_a/2)*-0.923880,NA())</f>
        <v/>
      </c>
      <c r="DR12">
        <f>IF(AND(inputs_ok,s_a/2+39*s_a&lt;1000),(60)+(phi_a/2)*-0.382683,NA())</f>
        <v/>
      </c>
      <c r="DT12">
        <f>IF(AND(inputs_ok,0&lt;n_a),((1000-(n_a-1)*MAX(2*phi_n,phi_n+25))/2+0*MAX(2*phi_n,phi_n+25))+(phi_n/2)*-0.923880,NA())</f>
        <v/>
      </c>
      <c r="DU12">
        <f>IF(AND(inputs_ok,0&lt;n_a),(-150)+(phi_n/2)*-0.382683,NA())</f>
        <v/>
      </c>
      <c r="DW12">
        <f>IF(AND(inputs_ok,1&lt;n_a),((1000-(n_a-1)*MAX(2*phi_n,phi_n+25))/2+1*MAX(2*phi_n,phi_n+25))+(phi_n/2)*-0.923880,NA())</f>
        <v/>
      </c>
      <c r="DX12">
        <f>IF(AND(inputs_ok,1&lt;n_a),(-150)+(phi_n/2)*-0.382683,NA())</f>
        <v/>
      </c>
      <c r="DZ12">
        <f>IF(AND(inputs_ok,2&lt;n_a),((1000-(n_a-1)*MAX(2*phi_n,phi_n+25))/2+2*MAX(2*phi_n,phi_n+25))+(phi_n/2)*-0.923880,NA())</f>
        <v/>
      </c>
      <c r="EA12">
        <f>IF(AND(inputs_ok,2&lt;n_a),(-150)+(phi_n/2)*-0.382683,NA())</f>
        <v/>
      </c>
      <c r="EC12">
        <f>IF(AND(inputs_ok,3&lt;n_a),((1000-(n_a-1)*MAX(2*phi_n,phi_n+25))/2+3*MAX(2*phi_n,phi_n+25))+(phi_n/2)*-0.923880,NA())</f>
        <v/>
      </c>
      <c r="ED12">
        <f>IF(AND(inputs_ok,3&lt;n_a),(-150)+(phi_n/2)*-0.382683,NA())</f>
        <v/>
      </c>
      <c r="EF12">
        <f>IF(AND(inputs_ok,4&lt;n_a),((1000-(n_a-1)*MAX(2*phi_n,phi_n+25))/2+4*MAX(2*phi_n,phi_n+25))+(phi_n/2)*-0.923880,NA())</f>
        <v/>
      </c>
      <c r="EG12">
        <f>IF(AND(inputs_ok,4&lt;n_a),(-150)+(phi_n/2)*-0.382683,NA())</f>
        <v/>
      </c>
      <c r="EI12">
        <f>IF(AND(inputs_ok,5&lt;n_a),((1000-(n_a-1)*MAX(2*phi_n,phi_n+25))/2+5*MAX(2*phi_n,phi_n+25))+(phi_n/2)*-0.923880,NA())</f>
        <v/>
      </c>
      <c r="EJ12">
        <f>IF(AND(inputs_ok,5&lt;n_a),(-150)+(phi_n/2)*-0.382683,NA())</f>
        <v/>
      </c>
      <c r="EL12">
        <f>IF(AND(inputs_ok,6&lt;n_a),((1000-(n_a-1)*MAX(2*phi_n,phi_n+25))/2+6*MAX(2*phi_n,phi_n+25))+(phi_n/2)*-0.923880,NA())</f>
        <v/>
      </c>
      <c r="EM12">
        <f>IF(AND(inputs_ok,6&lt;n_a),(-150)+(phi_n/2)*-0.382683,NA())</f>
        <v/>
      </c>
      <c r="EO12">
        <f>IF(AND(inputs_ok,7&lt;n_a),((1000-(n_a-1)*MAX(2*phi_n,phi_n+25))/2+7*MAX(2*phi_n,phi_n+25))+(phi_n/2)*-0.923880,NA())</f>
        <v/>
      </c>
      <c r="EP12">
        <f>IF(AND(inputs_ok,7&lt;n_a),(-150)+(phi_n/2)*-0.382683,NA())</f>
        <v/>
      </c>
      <c r="ER12">
        <f>IF(AND(inputs_ok,8&lt;n_a),((1000-(n_a-1)*MAX(2*phi_n,phi_n+25))/2+8*MAX(2*phi_n,phi_n+25))+(phi_n/2)*-0.923880,NA())</f>
        <v/>
      </c>
      <c r="ES12">
        <f>IF(AND(inputs_ok,8&lt;n_a),(-150)+(phi_n/2)*-0.382683,NA())</f>
        <v/>
      </c>
      <c r="EU12">
        <f>IF(AND(inputs_ok,9&lt;n_a),((1000-(n_a-1)*MAX(2*phi_n,phi_n+25))/2+9*MAX(2*phi_n,phi_n+25))+(phi_n/2)*-0.923880,NA())</f>
        <v/>
      </c>
      <c r="EV12">
        <f>IF(AND(inputs_ok,9&lt;n_a),(-150)+(phi_n/2)*-0.382683,NA())</f>
        <v/>
      </c>
      <c r="EX12">
        <f>IF(AND(inputs_ok,10&lt;n_a),((1000-(n_a-1)*MAX(2*phi_n,phi_n+25))/2+10*MAX(2*phi_n,phi_n+25))+(phi_n/2)*-0.923880,NA())</f>
        <v/>
      </c>
      <c r="EY12">
        <f>IF(AND(inputs_ok,10&lt;n_a),(-150)+(phi_n/2)*-0.382683,NA())</f>
        <v/>
      </c>
      <c r="FA12">
        <f>IF(AND(inputs_ok,11&lt;n_a),((1000-(n_a-1)*MAX(2*phi_n,phi_n+25))/2+11*MAX(2*phi_n,phi_n+25))+(phi_n/2)*-0.923880,NA())</f>
        <v/>
      </c>
      <c r="FB12">
        <f>IF(AND(inputs_ok,11&lt;n_a),(-150)+(phi_n/2)*-0.382683,NA())</f>
        <v/>
      </c>
      <c r="FD12">
        <f>IF(AND(inputs_ok,12&lt;n_a),((1000-(n_a-1)*MAX(2*phi_n,phi_n+25))/2+12*MAX(2*phi_n,phi_n+25))+(phi_n/2)*-0.923880,NA())</f>
        <v/>
      </c>
      <c r="FE12">
        <f>IF(AND(inputs_ok,12&lt;n_a),(-150)+(phi_n/2)*-0.382683,NA())</f>
        <v/>
      </c>
      <c r="FG12">
        <f>IF(AND(inputs_ok,13&lt;n_a),((1000-(n_a-1)*MAX(2*phi_n,phi_n+25))/2+13*MAX(2*phi_n,phi_n+25))+(phi_n/2)*-0.923880,NA())</f>
        <v/>
      </c>
      <c r="FH12">
        <f>IF(AND(inputs_ok,13&lt;n_a),(-150)+(phi_n/2)*-0.382683,NA())</f>
        <v/>
      </c>
      <c r="FJ12">
        <f>IF(AND(inputs_ok,14&lt;n_a),((1000-(n_a-1)*MAX(2*phi_n,phi_n+25))/2+14*MAX(2*phi_n,phi_n+25))+(phi_n/2)*-0.923880,NA())</f>
        <v/>
      </c>
      <c r="FK12">
        <f>IF(AND(inputs_ok,14&lt;n_a),(-150)+(phi_n/2)*-0.382683,NA())</f>
        <v/>
      </c>
      <c r="FM12">
        <f>IF(AND(inputs_ok,15&lt;n_a),((1000-(n_a-1)*MAX(2*phi_n,phi_n+25))/2+15*MAX(2*phi_n,phi_n+25))+(phi_n/2)*-0.923880,NA())</f>
        <v/>
      </c>
      <c r="FN12">
        <f>IF(AND(inputs_ok,15&lt;n_a),(-150)+(phi_n/2)*-0.382683,NA())</f>
        <v/>
      </c>
      <c r="FP12">
        <f>IF(AND(inputs_ok,16&lt;n_a),((1000-(n_a-1)*MAX(2*phi_n,phi_n+25))/2+16*MAX(2*phi_n,phi_n+25))+(phi_n/2)*-0.923880,NA())</f>
        <v/>
      </c>
      <c r="FQ12">
        <f>IF(AND(inputs_ok,16&lt;n_a),(-150)+(phi_n/2)*-0.382683,NA())</f>
        <v/>
      </c>
      <c r="FS12">
        <f>IF(AND(inputs_ok,17&lt;n_a),((1000-(n_a-1)*MAX(2*phi_n,phi_n+25))/2+17*MAX(2*phi_n,phi_n+25))+(phi_n/2)*-0.923880,NA())</f>
        <v/>
      </c>
      <c r="FT12">
        <f>IF(AND(inputs_ok,17&lt;n_a),(-150)+(phi_n/2)*-0.382683,NA())</f>
        <v/>
      </c>
      <c r="FV12">
        <f>IF(AND(inputs_ok,18&lt;n_a),((1000-(n_a-1)*MAX(2*phi_n,phi_n+25))/2+18*MAX(2*phi_n,phi_n+25))+(phi_n/2)*-0.923880,NA())</f>
        <v/>
      </c>
      <c r="FW12">
        <f>IF(AND(inputs_ok,18&lt;n_a),(-150)+(phi_n/2)*-0.382683,NA())</f>
        <v/>
      </c>
      <c r="FY12">
        <f>IF(AND(inputs_ok,19&lt;n_a),((1000-(n_a-1)*MAX(2*phi_n,phi_n+25))/2+19*MAX(2*phi_n,phi_n+25))+(phi_n/2)*-0.923880,NA())</f>
        <v/>
      </c>
      <c r="FZ12">
        <f>IF(AND(inputs_ok,19&lt;n_a),(-150)+(phi_n/2)*-0.382683,NA())</f>
        <v/>
      </c>
    </row>
    <row r="13">
      <c r="D13">
        <f>IF(AND(inputs_ok,s_a/2+0*s_a&lt;1000),(s_a/2+0*s_a)+(phi_a/2)*-0.707107,NA())</f>
        <v/>
      </c>
      <c r="E13">
        <f>IF(AND(inputs_ok,s_a/2+0*s_a&lt;1000),(60)+(phi_a/2)*-0.707107,NA())</f>
        <v/>
      </c>
      <c r="G13">
        <f>IF(AND(inputs_ok,s_a/2+1*s_a&lt;1000),(s_a/2+1*s_a)+(phi_a/2)*-0.707107,NA())</f>
        <v/>
      </c>
      <c r="H13">
        <f>IF(AND(inputs_ok,s_a/2+1*s_a&lt;1000),(60)+(phi_a/2)*-0.707107,NA())</f>
        <v/>
      </c>
      <c r="J13">
        <f>IF(AND(inputs_ok,s_a/2+2*s_a&lt;1000),(s_a/2+2*s_a)+(phi_a/2)*-0.707107,NA())</f>
        <v/>
      </c>
      <c r="K13">
        <f>IF(AND(inputs_ok,s_a/2+2*s_a&lt;1000),(60)+(phi_a/2)*-0.707107,NA())</f>
        <v/>
      </c>
      <c r="M13">
        <f>IF(AND(inputs_ok,s_a/2+3*s_a&lt;1000),(s_a/2+3*s_a)+(phi_a/2)*-0.707107,NA())</f>
        <v/>
      </c>
      <c r="N13">
        <f>IF(AND(inputs_ok,s_a/2+3*s_a&lt;1000),(60)+(phi_a/2)*-0.707107,NA())</f>
        <v/>
      </c>
      <c r="P13">
        <f>IF(AND(inputs_ok,s_a/2+4*s_a&lt;1000),(s_a/2+4*s_a)+(phi_a/2)*-0.707107,NA())</f>
        <v/>
      </c>
      <c r="Q13">
        <f>IF(AND(inputs_ok,s_a/2+4*s_a&lt;1000),(60)+(phi_a/2)*-0.707107,NA())</f>
        <v/>
      </c>
      <c r="S13">
        <f>IF(AND(inputs_ok,s_a/2+5*s_a&lt;1000),(s_a/2+5*s_a)+(phi_a/2)*-0.707107,NA())</f>
        <v/>
      </c>
      <c r="T13">
        <f>IF(AND(inputs_ok,s_a/2+5*s_a&lt;1000),(60)+(phi_a/2)*-0.707107,NA())</f>
        <v/>
      </c>
      <c r="V13">
        <f>IF(AND(inputs_ok,s_a/2+6*s_a&lt;1000),(s_a/2+6*s_a)+(phi_a/2)*-0.707107,NA())</f>
        <v/>
      </c>
      <c r="W13">
        <f>IF(AND(inputs_ok,s_a/2+6*s_a&lt;1000),(60)+(phi_a/2)*-0.707107,NA())</f>
        <v/>
      </c>
      <c r="Y13">
        <f>IF(AND(inputs_ok,s_a/2+7*s_a&lt;1000),(s_a/2+7*s_a)+(phi_a/2)*-0.707107,NA())</f>
        <v/>
      </c>
      <c r="Z13">
        <f>IF(AND(inputs_ok,s_a/2+7*s_a&lt;1000),(60)+(phi_a/2)*-0.707107,NA())</f>
        <v/>
      </c>
      <c r="AB13">
        <f>IF(AND(inputs_ok,s_a/2+8*s_a&lt;1000),(s_a/2+8*s_a)+(phi_a/2)*-0.707107,NA())</f>
        <v/>
      </c>
      <c r="AC13">
        <f>IF(AND(inputs_ok,s_a/2+8*s_a&lt;1000),(60)+(phi_a/2)*-0.707107,NA())</f>
        <v/>
      </c>
      <c r="AE13">
        <f>IF(AND(inputs_ok,s_a/2+9*s_a&lt;1000),(s_a/2+9*s_a)+(phi_a/2)*-0.707107,NA())</f>
        <v/>
      </c>
      <c r="AF13">
        <f>IF(AND(inputs_ok,s_a/2+9*s_a&lt;1000),(60)+(phi_a/2)*-0.707107,NA())</f>
        <v/>
      </c>
      <c r="AH13">
        <f>IF(AND(inputs_ok,s_a/2+10*s_a&lt;1000),(s_a/2+10*s_a)+(phi_a/2)*-0.707107,NA())</f>
        <v/>
      </c>
      <c r="AI13">
        <f>IF(AND(inputs_ok,s_a/2+10*s_a&lt;1000),(60)+(phi_a/2)*-0.707107,NA())</f>
        <v/>
      </c>
      <c r="AK13">
        <f>IF(AND(inputs_ok,s_a/2+11*s_a&lt;1000),(s_a/2+11*s_a)+(phi_a/2)*-0.707107,NA())</f>
        <v/>
      </c>
      <c r="AL13">
        <f>IF(AND(inputs_ok,s_a/2+11*s_a&lt;1000),(60)+(phi_a/2)*-0.707107,NA())</f>
        <v/>
      </c>
      <c r="AN13">
        <f>IF(AND(inputs_ok,s_a/2+12*s_a&lt;1000),(s_a/2+12*s_a)+(phi_a/2)*-0.707107,NA())</f>
        <v/>
      </c>
      <c r="AO13">
        <f>IF(AND(inputs_ok,s_a/2+12*s_a&lt;1000),(60)+(phi_a/2)*-0.707107,NA())</f>
        <v/>
      </c>
      <c r="AQ13">
        <f>IF(AND(inputs_ok,s_a/2+13*s_a&lt;1000),(s_a/2+13*s_a)+(phi_a/2)*-0.707107,NA())</f>
        <v/>
      </c>
      <c r="AR13">
        <f>IF(AND(inputs_ok,s_a/2+13*s_a&lt;1000),(60)+(phi_a/2)*-0.707107,NA())</f>
        <v/>
      </c>
      <c r="AT13">
        <f>IF(AND(inputs_ok,s_a/2+14*s_a&lt;1000),(s_a/2+14*s_a)+(phi_a/2)*-0.707107,NA())</f>
        <v/>
      </c>
      <c r="AU13">
        <f>IF(AND(inputs_ok,s_a/2+14*s_a&lt;1000),(60)+(phi_a/2)*-0.707107,NA())</f>
        <v/>
      </c>
      <c r="AW13">
        <f>IF(AND(inputs_ok,s_a/2+15*s_a&lt;1000),(s_a/2+15*s_a)+(phi_a/2)*-0.707107,NA())</f>
        <v/>
      </c>
      <c r="AX13">
        <f>IF(AND(inputs_ok,s_a/2+15*s_a&lt;1000),(60)+(phi_a/2)*-0.707107,NA())</f>
        <v/>
      </c>
      <c r="AZ13">
        <f>IF(AND(inputs_ok,s_a/2+16*s_a&lt;1000),(s_a/2+16*s_a)+(phi_a/2)*-0.707107,NA())</f>
        <v/>
      </c>
      <c r="BA13">
        <f>IF(AND(inputs_ok,s_a/2+16*s_a&lt;1000),(60)+(phi_a/2)*-0.707107,NA())</f>
        <v/>
      </c>
      <c r="BC13">
        <f>IF(AND(inputs_ok,s_a/2+17*s_a&lt;1000),(s_a/2+17*s_a)+(phi_a/2)*-0.707107,NA())</f>
        <v/>
      </c>
      <c r="BD13">
        <f>IF(AND(inputs_ok,s_a/2+17*s_a&lt;1000),(60)+(phi_a/2)*-0.707107,NA())</f>
        <v/>
      </c>
      <c r="BF13">
        <f>IF(AND(inputs_ok,s_a/2+18*s_a&lt;1000),(s_a/2+18*s_a)+(phi_a/2)*-0.707107,NA())</f>
        <v/>
      </c>
      <c r="BG13">
        <f>IF(AND(inputs_ok,s_a/2+18*s_a&lt;1000),(60)+(phi_a/2)*-0.707107,NA())</f>
        <v/>
      </c>
      <c r="BI13">
        <f>IF(AND(inputs_ok,s_a/2+19*s_a&lt;1000),(s_a/2+19*s_a)+(phi_a/2)*-0.707107,NA())</f>
        <v/>
      </c>
      <c r="BJ13">
        <f>IF(AND(inputs_ok,s_a/2+19*s_a&lt;1000),(60)+(phi_a/2)*-0.707107,NA())</f>
        <v/>
      </c>
      <c r="BL13">
        <f>IF(AND(inputs_ok,s_a/2+20*s_a&lt;1000),(s_a/2+20*s_a)+(phi_a/2)*-0.707107,NA())</f>
        <v/>
      </c>
      <c r="BM13">
        <f>IF(AND(inputs_ok,s_a/2+20*s_a&lt;1000),(60)+(phi_a/2)*-0.707107,NA())</f>
        <v/>
      </c>
      <c r="BO13">
        <f>IF(AND(inputs_ok,s_a/2+21*s_a&lt;1000),(s_a/2+21*s_a)+(phi_a/2)*-0.707107,NA())</f>
        <v/>
      </c>
      <c r="BP13">
        <f>IF(AND(inputs_ok,s_a/2+21*s_a&lt;1000),(60)+(phi_a/2)*-0.707107,NA())</f>
        <v/>
      </c>
      <c r="BR13">
        <f>IF(AND(inputs_ok,s_a/2+22*s_a&lt;1000),(s_a/2+22*s_a)+(phi_a/2)*-0.707107,NA())</f>
        <v/>
      </c>
      <c r="BS13">
        <f>IF(AND(inputs_ok,s_a/2+22*s_a&lt;1000),(60)+(phi_a/2)*-0.707107,NA())</f>
        <v/>
      </c>
      <c r="BU13">
        <f>IF(AND(inputs_ok,s_a/2+23*s_a&lt;1000),(s_a/2+23*s_a)+(phi_a/2)*-0.707107,NA())</f>
        <v/>
      </c>
      <c r="BV13">
        <f>IF(AND(inputs_ok,s_a/2+23*s_a&lt;1000),(60)+(phi_a/2)*-0.707107,NA())</f>
        <v/>
      </c>
      <c r="BX13">
        <f>IF(AND(inputs_ok,s_a/2+24*s_a&lt;1000),(s_a/2+24*s_a)+(phi_a/2)*-0.707107,NA())</f>
        <v/>
      </c>
      <c r="BY13">
        <f>IF(AND(inputs_ok,s_a/2+24*s_a&lt;1000),(60)+(phi_a/2)*-0.707107,NA())</f>
        <v/>
      </c>
      <c r="CA13">
        <f>IF(AND(inputs_ok,s_a/2+25*s_a&lt;1000),(s_a/2+25*s_a)+(phi_a/2)*-0.707107,NA())</f>
        <v/>
      </c>
      <c r="CB13">
        <f>IF(AND(inputs_ok,s_a/2+25*s_a&lt;1000),(60)+(phi_a/2)*-0.707107,NA())</f>
        <v/>
      </c>
      <c r="CD13">
        <f>IF(AND(inputs_ok,s_a/2+26*s_a&lt;1000),(s_a/2+26*s_a)+(phi_a/2)*-0.707107,NA())</f>
        <v/>
      </c>
      <c r="CE13">
        <f>IF(AND(inputs_ok,s_a/2+26*s_a&lt;1000),(60)+(phi_a/2)*-0.707107,NA())</f>
        <v/>
      </c>
      <c r="CG13">
        <f>IF(AND(inputs_ok,s_a/2+27*s_a&lt;1000),(s_a/2+27*s_a)+(phi_a/2)*-0.707107,NA())</f>
        <v/>
      </c>
      <c r="CH13">
        <f>IF(AND(inputs_ok,s_a/2+27*s_a&lt;1000),(60)+(phi_a/2)*-0.707107,NA())</f>
        <v/>
      </c>
      <c r="CJ13">
        <f>IF(AND(inputs_ok,s_a/2+28*s_a&lt;1000),(s_a/2+28*s_a)+(phi_a/2)*-0.707107,NA())</f>
        <v/>
      </c>
      <c r="CK13">
        <f>IF(AND(inputs_ok,s_a/2+28*s_a&lt;1000),(60)+(phi_a/2)*-0.707107,NA())</f>
        <v/>
      </c>
      <c r="CM13">
        <f>IF(AND(inputs_ok,s_a/2+29*s_a&lt;1000),(s_a/2+29*s_a)+(phi_a/2)*-0.707107,NA())</f>
        <v/>
      </c>
      <c r="CN13">
        <f>IF(AND(inputs_ok,s_a/2+29*s_a&lt;1000),(60)+(phi_a/2)*-0.707107,NA())</f>
        <v/>
      </c>
      <c r="CP13">
        <f>IF(AND(inputs_ok,s_a/2+30*s_a&lt;1000),(s_a/2+30*s_a)+(phi_a/2)*-0.707107,NA())</f>
        <v/>
      </c>
      <c r="CQ13">
        <f>IF(AND(inputs_ok,s_a/2+30*s_a&lt;1000),(60)+(phi_a/2)*-0.707107,NA())</f>
        <v/>
      </c>
      <c r="CS13">
        <f>IF(AND(inputs_ok,s_a/2+31*s_a&lt;1000),(s_a/2+31*s_a)+(phi_a/2)*-0.707107,NA())</f>
        <v/>
      </c>
      <c r="CT13">
        <f>IF(AND(inputs_ok,s_a/2+31*s_a&lt;1000),(60)+(phi_a/2)*-0.707107,NA())</f>
        <v/>
      </c>
      <c r="CV13">
        <f>IF(AND(inputs_ok,s_a/2+32*s_a&lt;1000),(s_a/2+32*s_a)+(phi_a/2)*-0.707107,NA())</f>
        <v/>
      </c>
      <c r="CW13">
        <f>IF(AND(inputs_ok,s_a/2+32*s_a&lt;1000),(60)+(phi_a/2)*-0.707107,NA())</f>
        <v/>
      </c>
      <c r="CY13">
        <f>IF(AND(inputs_ok,s_a/2+33*s_a&lt;1000),(s_a/2+33*s_a)+(phi_a/2)*-0.707107,NA())</f>
        <v/>
      </c>
      <c r="CZ13">
        <f>IF(AND(inputs_ok,s_a/2+33*s_a&lt;1000),(60)+(phi_a/2)*-0.707107,NA())</f>
        <v/>
      </c>
      <c r="DB13">
        <f>IF(AND(inputs_ok,s_a/2+34*s_a&lt;1000),(s_a/2+34*s_a)+(phi_a/2)*-0.707107,NA())</f>
        <v/>
      </c>
      <c r="DC13">
        <f>IF(AND(inputs_ok,s_a/2+34*s_a&lt;1000),(60)+(phi_a/2)*-0.707107,NA())</f>
        <v/>
      </c>
      <c r="DE13">
        <f>IF(AND(inputs_ok,s_a/2+35*s_a&lt;1000),(s_a/2+35*s_a)+(phi_a/2)*-0.707107,NA())</f>
        <v/>
      </c>
      <c r="DF13">
        <f>IF(AND(inputs_ok,s_a/2+35*s_a&lt;1000),(60)+(phi_a/2)*-0.707107,NA())</f>
        <v/>
      </c>
      <c r="DH13">
        <f>IF(AND(inputs_ok,s_a/2+36*s_a&lt;1000),(s_a/2+36*s_a)+(phi_a/2)*-0.707107,NA())</f>
        <v/>
      </c>
      <c r="DI13">
        <f>IF(AND(inputs_ok,s_a/2+36*s_a&lt;1000),(60)+(phi_a/2)*-0.707107,NA())</f>
        <v/>
      </c>
      <c r="DK13">
        <f>IF(AND(inputs_ok,s_a/2+37*s_a&lt;1000),(s_a/2+37*s_a)+(phi_a/2)*-0.707107,NA())</f>
        <v/>
      </c>
      <c r="DL13">
        <f>IF(AND(inputs_ok,s_a/2+37*s_a&lt;1000),(60)+(phi_a/2)*-0.707107,NA())</f>
        <v/>
      </c>
      <c r="DN13">
        <f>IF(AND(inputs_ok,s_a/2+38*s_a&lt;1000),(s_a/2+38*s_a)+(phi_a/2)*-0.707107,NA())</f>
        <v/>
      </c>
      <c r="DO13">
        <f>IF(AND(inputs_ok,s_a/2+38*s_a&lt;1000),(60)+(phi_a/2)*-0.707107,NA())</f>
        <v/>
      </c>
      <c r="DQ13">
        <f>IF(AND(inputs_ok,s_a/2+39*s_a&lt;1000),(s_a/2+39*s_a)+(phi_a/2)*-0.707107,NA())</f>
        <v/>
      </c>
      <c r="DR13">
        <f>IF(AND(inputs_ok,s_a/2+39*s_a&lt;1000),(60)+(phi_a/2)*-0.707107,NA())</f>
        <v/>
      </c>
      <c r="DT13">
        <f>IF(AND(inputs_ok,0&lt;n_a),((1000-(n_a-1)*MAX(2*phi_n,phi_n+25))/2+0*MAX(2*phi_n,phi_n+25))+(phi_n/2)*-0.707107,NA())</f>
        <v/>
      </c>
      <c r="DU13">
        <f>IF(AND(inputs_ok,0&lt;n_a),(-150)+(phi_n/2)*-0.707107,NA())</f>
        <v/>
      </c>
      <c r="DW13">
        <f>IF(AND(inputs_ok,1&lt;n_a),((1000-(n_a-1)*MAX(2*phi_n,phi_n+25))/2+1*MAX(2*phi_n,phi_n+25))+(phi_n/2)*-0.707107,NA())</f>
        <v/>
      </c>
      <c r="DX13">
        <f>IF(AND(inputs_ok,1&lt;n_a),(-150)+(phi_n/2)*-0.707107,NA())</f>
        <v/>
      </c>
      <c r="DZ13">
        <f>IF(AND(inputs_ok,2&lt;n_a),((1000-(n_a-1)*MAX(2*phi_n,phi_n+25))/2+2*MAX(2*phi_n,phi_n+25))+(phi_n/2)*-0.707107,NA())</f>
        <v/>
      </c>
      <c r="EA13">
        <f>IF(AND(inputs_ok,2&lt;n_a),(-150)+(phi_n/2)*-0.707107,NA())</f>
        <v/>
      </c>
      <c r="EC13">
        <f>IF(AND(inputs_ok,3&lt;n_a),((1000-(n_a-1)*MAX(2*phi_n,phi_n+25))/2+3*MAX(2*phi_n,phi_n+25))+(phi_n/2)*-0.707107,NA())</f>
        <v/>
      </c>
      <c r="ED13">
        <f>IF(AND(inputs_ok,3&lt;n_a),(-150)+(phi_n/2)*-0.707107,NA())</f>
        <v/>
      </c>
      <c r="EF13">
        <f>IF(AND(inputs_ok,4&lt;n_a),((1000-(n_a-1)*MAX(2*phi_n,phi_n+25))/2+4*MAX(2*phi_n,phi_n+25))+(phi_n/2)*-0.707107,NA())</f>
        <v/>
      </c>
      <c r="EG13">
        <f>IF(AND(inputs_ok,4&lt;n_a),(-150)+(phi_n/2)*-0.707107,NA())</f>
        <v/>
      </c>
      <c r="EI13">
        <f>IF(AND(inputs_ok,5&lt;n_a),((1000-(n_a-1)*MAX(2*phi_n,phi_n+25))/2+5*MAX(2*phi_n,phi_n+25))+(phi_n/2)*-0.707107,NA())</f>
        <v/>
      </c>
      <c r="EJ13">
        <f>IF(AND(inputs_ok,5&lt;n_a),(-150)+(phi_n/2)*-0.707107,NA())</f>
        <v/>
      </c>
      <c r="EL13">
        <f>IF(AND(inputs_ok,6&lt;n_a),((1000-(n_a-1)*MAX(2*phi_n,phi_n+25))/2+6*MAX(2*phi_n,phi_n+25))+(phi_n/2)*-0.707107,NA())</f>
        <v/>
      </c>
      <c r="EM13">
        <f>IF(AND(inputs_ok,6&lt;n_a),(-150)+(phi_n/2)*-0.707107,NA())</f>
        <v/>
      </c>
      <c r="EO13">
        <f>IF(AND(inputs_ok,7&lt;n_a),((1000-(n_a-1)*MAX(2*phi_n,phi_n+25))/2+7*MAX(2*phi_n,phi_n+25))+(phi_n/2)*-0.707107,NA())</f>
        <v/>
      </c>
      <c r="EP13">
        <f>IF(AND(inputs_ok,7&lt;n_a),(-150)+(phi_n/2)*-0.707107,NA())</f>
        <v/>
      </c>
      <c r="ER13">
        <f>IF(AND(inputs_ok,8&lt;n_a),((1000-(n_a-1)*MAX(2*phi_n,phi_n+25))/2+8*MAX(2*phi_n,phi_n+25))+(phi_n/2)*-0.707107,NA())</f>
        <v/>
      </c>
      <c r="ES13">
        <f>IF(AND(inputs_ok,8&lt;n_a),(-150)+(phi_n/2)*-0.707107,NA())</f>
        <v/>
      </c>
      <c r="EU13">
        <f>IF(AND(inputs_ok,9&lt;n_a),((1000-(n_a-1)*MAX(2*phi_n,phi_n+25))/2+9*MAX(2*phi_n,phi_n+25))+(phi_n/2)*-0.707107,NA())</f>
        <v/>
      </c>
      <c r="EV13">
        <f>IF(AND(inputs_ok,9&lt;n_a),(-150)+(phi_n/2)*-0.707107,NA())</f>
        <v/>
      </c>
      <c r="EX13">
        <f>IF(AND(inputs_ok,10&lt;n_a),((1000-(n_a-1)*MAX(2*phi_n,phi_n+25))/2+10*MAX(2*phi_n,phi_n+25))+(phi_n/2)*-0.707107,NA())</f>
        <v/>
      </c>
      <c r="EY13">
        <f>IF(AND(inputs_ok,10&lt;n_a),(-150)+(phi_n/2)*-0.707107,NA())</f>
        <v/>
      </c>
      <c r="FA13">
        <f>IF(AND(inputs_ok,11&lt;n_a),((1000-(n_a-1)*MAX(2*phi_n,phi_n+25))/2+11*MAX(2*phi_n,phi_n+25))+(phi_n/2)*-0.707107,NA())</f>
        <v/>
      </c>
      <c r="FB13">
        <f>IF(AND(inputs_ok,11&lt;n_a),(-150)+(phi_n/2)*-0.707107,NA())</f>
        <v/>
      </c>
      <c r="FD13">
        <f>IF(AND(inputs_ok,12&lt;n_a),((1000-(n_a-1)*MAX(2*phi_n,phi_n+25))/2+12*MAX(2*phi_n,phi_n+25))+(phi_n/2)*-0.707107,NA())</f>
        <v/>
      </c>
      <c r="FE13">
        <f>IF(AND(inputs_ok,12&lt;n_a),(-150)+(phi_n/2)*-0.707107,NA())</f>
        <v/>
      </c>
      <c r="FG13">
        <f>IF(AND(inputs_ok,13&lt;n_a),((1000-(n_a-1)*MAX(2*phi_n,phi_n+25))/2+13*MAX(2*phi_n,phi_n+25))+(phi_n/2)*-0.707107,NA())</f>
        <v/>
      </c>
      <c r="FH13">
        <f>IF(AND(inputs_ok,13&lt;n_a),(-150)+(phi_n/2)*-0.707107,NA())</f>
        <v/>
      </c>
      <c r="FJ13">
        <f>IF(AND(inputs_ok,14&lt;n_a),((1000-(n_a-1)*MAX(2*phi_n,phi_n+25))/2+14*MAX(2*phi_n,phi_n+25))+(phi_n/2)*-0.707107,NA())</f>
        <v/>
      </c>
      <c r="FK13">
        <f>IF(AND(inputs_ok,14&lt;n_a),(-150)+(phi_n/2)*-0.707107,NA())</f>
        <v/>
      </c>
      <c r="FM13">
        <f>IF(AND(inputs_ok,15&lt;n_a),((1000-(n_a-1)*MAX(2*phi_n,phi_n+25))/2+15*MAX(2*phi_n,phi_n+25))+(phi_n/2)*-0.707107,NA())</f>
        <v/>
      </c>
      <c r="FN13">
        <f>IF(AND(inputs_ok,15&lt;n_a),(-150)+(phi_n/2)*-0.707107,NA())</f>
        <v/>
      </c>
      <c r="FP13">
        <f>IF(AND(inputs_ok,16&lt;n_a),((1000-(n_a-1)*MAX(2*phi_n,phi_n+25))/2+16*MAX(2*phi_n,phi_n+25))+(phi_n/2)*-0.707107,NA())</f>
        <v/>
      </c>
      <c r="FQ13">
        <f>IF(AND(inputs_ok,16&lt;n_a),(-150)+(phi_n/2)*-0.707107,NA())</f>
        <v/>
      </c>
      <c r="FS13">
        <f>IF(AND(inputs_ok,17&lt;n_a),((1000-(n_a-1)*MAX(2*phi_n,phi_n+25))/2+17*MAX(2*phi_n,phi_n+25))+(phi_n/2)*-0.707107,NA())</f>
        <v/>
      </c>
      <c r="FT13">
        <f>IF(AND(inputs_ok,17&lt;n_a),(-150)+(phi_n/2)*-0.707107,NA())</f>
        <v/>
      </c>
      <c r="FV13">
        <f>IF(AND(inputs_ok,18&lt;n_a),((1000-(n_a-1)*MAX(2*phi_n,phi_n+25))/2+18*MAX(2*phi_n,phi_n+25))+(phi_n/2)*-0.707107,NA())</f>
        <v/>
      </c>
      <c r="FW13">
        <f>IF(AND(inputs_ok,18&lt;n_a),(-150)+(phi_n/2)*-0.707107,NA())</f>
        <v/>
      </c>
      <c r="FY13">
        <f>IF(AND(inputs_ok,19&lt;n_a),((1000-(n_a-1)*MAX(2*phi_n,phi_n+25))/2+19*MAX(2*phi_n,phi_n+25))+(phi_n/2)*-0.707107,NA())</f>
        <v/>
      </c>
      <c r="FZ13">
        <f>IF(AND(inputs_ok,19&lt;n_a),(-150)+(phi_n/2)*-0.707107,NA())</f>
        <v/>
      </c>
    </row>
    <row r="14">
      <c r="D14">
        <f>IF(AND(inputs_ok,s_a/2+0*s_a&lt;1000),(s_a/2+0*s_a)+(phi_a/2)*-0.382683,NA())</f>
        <v/>
      </c>
      <c r="E14">
        <f>IF(AND(inputs_ok,s_a/2+0*s_a&lt;1000),(60)+(phi_a/2)*-0.923880,NA())</f>
        <v/>
      </c>
      <c r="G14">
        <f>IF(AND(inputs_ok,s_a/2+1*s_a&lt;1000),(s_a/2+1*s_a)+(phi_a/2)*-0.382683,NA())</f>
        <v/>
      </c>
      <c r="H14">
        <f>IF(AND(inputs_ok,s_a/2+1*s_a&lt;1000),(60)+(phi_a/2)*-0.923880,NA())</f>
        <v/>
      </c>
      <c r="J14">
        <f>IF(AND(inputs_ok,s_a/2+2*s_a&lt;1000),(s_a/2+2*s_a)+(phi_a/2)*-0.382683,NA())</f>
        <v/>
      </c>
      <c r="K14">
        <f>IF(AND(inputs_ok,s_a/2+2*s_a&lt;1000),(60)+(phi_a/2)*-0.923880,NA())</f>
        <v/>
      </c>
      <c r="M14">
        <f>IF(AND(inputs_ok,s_a/2+3*s_a&lt;1000),(s_a/2+3*s_a)+(phi_a/2)*-0.382683,NA())</f>
        <v/>
      </c>
      <c r="N14">
        <f>IF(AND(inputs_ok,s_a/2+3*s_a&lt;1000),(60)+(phi_a/2)*-0.923880,NA())</f>
        <v/>
      </c>
      <c r="P14">
        <f>IF(AND(inputs_ok,s_a/2+4*s_a&lt;1000),(s_a/2+4*s_a)+(phi_a/2)*-0.382683,NA())</f>
        <v/>
      </c>
      <c r="Q14">
        <f>IF(AND(inputs_ok,s_a/2+4*s_a&lt;1000),(60)+(phi_a/2)*-0.923880,NA())</f>
        <v/>
      </c>
      <c r="S14">
        <f>IF(AND(inputs_ok,s_a/2+5*s_a&lt;1000),(s_a/2+5*s_a)+(phi_a/2)*-0.382683,NA())</f>
        <v/>
      </c>
      <c r="T14">
        <f>IF(AND(inputs_ok,s_a/2+5*s_a&lt;1000),(60)+(phi_a/2)*-0.923880,NA())</f>
        <v/>
      </c>
      <c r="V14">
        <f>IF(AND(inputs_ok,s_a/2+6*s_a&lt;1000),(s_a/2+6*s_a)+(phi_a/2)*-0.382683,NA())</f>
        <v/>
      </c>
      <c r="W14">
        <f>IF(AND(inputs_ok,s_a/2+6*s_a&lt;1000),(60)+(phi_a/2)*-0.923880,NA())</f>
        <v/>
      </c>
      <c r="Y14">
        <f>IF(AND(inputs_ok,s_a/2+7*s_a&lt;1000),(s_a/2+7*s_a)+(phi_a/2)*-0.382683,NA())</f>
        <v/>
      </c>
      <c r="Z14">
        <f>IF(AND(inputs_ok,s_a/2+7*s_a&lt;1000),(60)+(phi_a/2)*-0.923880,NA())</f>
        <v/>
      </c>
      <c r="AB14">
        <f>IF(AND(inputs_ok,s_a/2+8*s_a&lt;1000),(s_a/2+8*s_a)+(phi_a/2)*-0.382683,NA())</f>
        <v/>
      </c>
      <c r="AC14">
        <f>IF(AND(inputs_ok,s_a/2+8*s_a&lt;1000),(60)+(phi_a/2)*-0.923880,NA())</f>
        <v/>
      </c>
      <c r="AE14">
        <f>IF(AND(inputs_ok,s_a/2+9*s_a&lt;1000),(s_a/2+9*s_a)+(phi_a/2)*-0.382683,NA())</f>
        <v/>
      </c>
      <c r="AF14">
        <f>IF(AND(inputs_ok,s_a/2+9*s_a&lt;1000),(60)+(phi_a/2)*-0.923880,NA())</f>
        <v/>
      </c>
      <c r="AH14">
        <f>IF(AND(inputs_ok,s_a/2+10*s_a&lt;1000),(s_a/2+10*s_a)+(phi_a/2)*-0.382683,NA())</f>
        <v/>
      </c>
      <c r="AI14">
        <f>IF(AND(inputs_ok,s_a/2+10*s_a&lt;1000),(60)+(phi_a/2)*-0.923880,NA())</f>
        <v/>
      </c>
      <c r="AK14">
        <f>IF(AND(inputs_ok,s_a/2+11*s_a&lt;1000),(s_a/2+11*s_a)+(phi_a/2)*-0.382683,NA())</f>
        <v/>
      </c>
      <c r="AL14">
        <f>IF(AND(inputs_ok,s_a/2+11*s_a&lt;1000),(60)+(phi_a/2)*-0.923880,NA())</f>
        <v/>
      </c>
      <c r="AN14">
        <f>IF(AND(inputs_ok,s_a/2+12*s_a&lt;1000),(s_a/2+12*s_a)+(phi_a/2)*-0.382683,NA())</f>
        <v/>
      </c>
      <c r="AO14">
        <f>IF(AND(inputs_ok,s_a/2+12*s_a&lt;1000),(60)+(phi_a/2)*-0.923880,NA())</f>
        <v/>
      </c>
      <c r="AQ14">
        <f>IF(AND(inputs_ok,s_a/2+13*s_a&lt;1000),(s_a/2+13*s_a)+(phi_a/2)*-0.382683,NA())</f>
        <v/>
      </c>
      <c r="AR14">
        <f>IF(AND(inputs_ok,s_a/2+13*s_a&lt;1000),(60)+(phi_a/2)*-0.923880,NA())</f>
        <v/>
      </c>
      <c r="AT14">
        <f>IF(AND(inputs_ok,s_a/2+14*s_a&lt;1000),(s_a/2+14*s_a)+(phi_a/2)*-0.382683,NA())</f>
        <v/>
      </c>
      <c r="AU14">
        <f>IF(AND(inputs_ok,s_a/2+14*s_a&lt;1000),(60)+(phi_a/2)*-0.923880,NA())</f>
        <v/>
      </c>
      <c r="AW14">
        <f>IF(AND(inputs_ok,s_a/2+15*s_a&lt;1000),(s_a/2+15*s_a)+(phi_a/2)*-0.382683,NA())</f>
        <v/>
      </c>
      <c r="AX14">
        <f>IF(AND(inputs_ok,s_a/2+15*s_a&lt;1000),(60)+(phi_a/2)*-0.923880,NA())</f>
        <v/>
      </c>
      <c r="AZ14">
        <f>IF(AND(inputs_ok,s_a/2+16*s_a&lt;1000),(s_a/2+16*s_a)+(phi_a/2)*-0.382683,NA())</f>
        <v/>
      </c>
      <c r="BA14">
        <f>IF(AND(inputs_ok,s_a/2+16*s_a&lt;1000),(60)+(phi_a/2)*-0.923880,NA())</f>
        <v/>
      </c>
      <c r="BC14">
        <f>IF(AND(inputs_ok,s_a/2+17*s_a&lt;1000),(s_a/2+17*s_a)+(phi_a/2)*-0.382683,NA())</f>
        <v/>
      </c>
      <c r="BD14">
        <f>IF(AND(inputs_ok,s_a/2+17*s_a&lt;1000),(60)+(phi_a/2)*-0.923880,NA())</f>
        <v/>
      </c>
      <c r="BF14">
        <f>IF(AND(inputs_ok,s_a/2+18*s_a&lt;1000),(s_a/2+18*s_a)+(phi_a/2)*-0.382683,NA())</f>
        <v/>
      </c>
      <c r="BG14">
        <f>IF(AND(inputs_ok,s_a/2+18*s_a&lt;1000),(60)+(phi_a/2)*-0.923880,NA())</f>
        <v/>
      </c>
      <c r="BI14">
        <f>IF(AND(inputs_ok,s_a/2+19*s_a&lt;1000),(s_a/2+19*s_a)+(phi_a/2)*-0.382683,NA())</f>
        <v/>
      </c>
      <c r="BJ14">
        <f>IF(AND(inputs_ok,s_a/2+19*s_a&lt;1000),(60)+(phi_a/2)*-0.923880,NA())</f>
        <v/>
      </c>
      <c r="BL14">
        <f>IF(AND(inputs_ok,s_a/2+20*s_a&lt;1000),(s_a/2+20*s_a)+(phi_a/2)*-0.382683,NA())</f>
        <v/>
      </c>
      <c r="BM14">
        <f>IF(AND(inputs_ok,s_a/2+20*s_a&lt;1000),(60)+(phi_a/2)*-0.923880,NA())</f>
        <v/>
      </c>
      <c r="BO14">
        <f>IF(AND(inputs_ok,s_a/2+21*s_a&lt;1000),(s_a/2+21*s_a)+(phi_a/2)*-0.382683,NA())</f>
        <v/>
      </c>
      <c r="BP14">
        <f>IF(AND(inputs_ok,s_a/2+21*s_a&lt;1000),(60)+(phi_a/2)*-0.923880,NA())</f>
        <v/>
      </c>
      <c r="BR14">
        <f>IF(AND(inputs_ok,s_a/2+22*s_a&lt;1000),(s_a/2+22*s_a)+(phi_a/2)*-0.382683,NA())</f>
        <v/>
      </c>
      <c r="BS14">
        <f>IF(AND(inputs_ok,s_a/2+22*s_a&lt;1000),(60)+(phi_a/2)*-0.923880,NA())</f>
        <v/>
      </c>
      <c r="BU14">
        <f>IF(AND(inputs_ok,s_a/2+23*s_a&lt;1000),(s_a/2+23*s_a)+(phi_a/2)*-0.382683,NA())</f>
        <v/>
      </c>
      <c r="BV14">
        <f>IF(AND(inputs_ok,s_a/2+23*s_a&lt;1000),(60)+(phi_a/2)*-0.923880,NA())</f>
        <v/>
      </c>
      <c r="BX14">
        <f>IF(AND(inputs_ok,s_a/2+24*s_a&lt;1000),(s_a/2+24*s_a)+(phi_a/2)*-0.382683,NA())</f>
        <v/>
      </c>
      <c r="BY14">
        <f>IF(AND(inputs_ok,s_a/2+24*s_a&lt;1000),(60)+(phi_a/2)*-0.923880,NA())</f>
        <v/>
      </c>
      <c r="CA14">
        <f>IF(AND(inputs_ok,s_a/2+25*s_a&lt;1000),(s_a/2+25*s_a)+(phi_a/2)*-0.382683,NA())</f>
        <v/>
      </c>
      <c r="CB14">
        <f>IF(AND(inputs_ok,s_a/2+25*s_a&lt;1000),(60)+(phi_a/2)*-0.923880,NA())</f>
        <v/>
      </c>
      <c r="CD14">
        <f>IF(AND(inputs_ok,s_a/2+26*s_a&lt;1000),(s_a/2+26*s_a)+(phi_a/2)*-0.382683,NA())</f>
        <v/>
      </c>
      <c r="CE14">
        <f>IF(AND(inputs_ok,s_a/2+26*s_a&lt;1000),(60)+(phi_a/2)*-0.923880,NA())</f>
        <v/>
      </c>
      <c r="CG14">
        <f>IF(AND(inputs_ok,s_a/2+27*s_a&lt;1000),(s_a/2+27*s_a)+(phi_a/2)*-0.382683,NA())</f>
        <v/>
      </c>
      <c r="CH14">
        <f>IF(AND(inputs_ok,s_a/2+27*s_a&lt;1000),(60)+(phi_a/2)*-0.923880,NA())</f>
        <v/>
      </c>
      <c r="CJ14">
        <f>IF(AND(inputs_ok,s_a/2+28*s_a&lt;1000),(s_a/2+28*s_a)+(phi_a/2)*-0.382683,NA())</f>
        <v/>
      </c>
      <c r="CK14">
        <f>IF(AND(inputs_ok,s_a/2+28*s_a&lt;1000),(60)+(phi_a/2)*-0.923880,NA())</f>
        <v/>
      </c>
      <c r="CM14">
        <f>IF(AND(inputs_ok,s_a/2+29*s_a&lt;1000),(s_a/2+29*s_a)+(phi_a/2)*-0.382683,NA())</f>
        <v/>
      </c>
      <c r="CN14">
        <f>IF(AND(inputs_ok,s_a/2+29*s_a&lt;1000),(60)+(phi_a/2)*-0.923880,NA())</f>
        <v/>
      </c>
      <c r="CP14">
        <f>IF(AND(inputs_ok,s_a/2+30*s_a&lt;1000),(s_a/2+30*s_a)+(phi_a/2)*-0.382683,NA())</f>
        <v/>
      </c>
      <c r="CQ14">
        <f>IF(AND(inputs_ok,s_a/2+30*s_a&lt;1000),(60)+(phi_a/2)*-0.923880,NA())</f>
        <v/>
      </c>
      <c r="CS14">
        <f>IF(AND(inputs_ok,s_a/2+31*s_a&lt;1000),(s_a/2+31*s_a)+(phi_a/2)*-0.382683,NA())</f>
        <v/>
      </c>
      <c r="CT14">
        <f>IF(AND(inputs_ok,s_a/2+31*s_a&lt;1000),(60)+(phi_a/2)*-0.923880,NA())</f>
        <v/>
      </c>
      <c r="CV14">
        <f>IF(AND(inputs_ok,s_a/2+32*s_a&lt;1000),(s_a/2+32*s_a)+(phi_a/2)*-0.382683,NA())</f>
        <v/>
      </c>
      <c r="CW14">
        <f>IF(AND(inputs_ok,s_a/2+32*s_a&lt;1000),(60)+(phi_a/2)*-0.923880,NA())</f>
        <v/>
      </c>
      <c r="CY14">
        <f>IF(AND(inputs_ok,s_a/2+33*s_a&lt;1000),(s_a/2+33*s_a)+(phi_a/2)*-0.382683,NA())</f>
        <v/>
      </c>
      <c r="CZ14">
        <f>IF(AND(inputs_ok,s_a/2+33*s_a&lt;1000),(60)+(phi_a/2)*-0.923880,NA())</f>
        <v/>
      </c>
      <c r="DB14">
        <f>IF(AND(inputs_ok,s_a/2+34*s_a&lt;1000),(s_a/2+34*s_a)+(phi_a/2)*-0.382683,NA())</f>
        <v/>
      </c>
      <c r="DC14">
        <f>IF(AND(inputs_ok,s_a/2+34*s_a&lt;1000),(60)+(phi_a/2)*-0.923880,NA())</f>
        <v/>
      </c>
      <c r="DE14">
        <f>IF(AND(inputs_ok,s_a/2+35*s_a&lt;1000),(s_a/2+35*s_a)+(phi_a/2)*-0.382683,NA())</f>
        <v/>
      </c>
      <c r="DF14">
        <f>IF(AND(inputs_ok,s_a/2+35*s_a&lt;1000),(60)+(phi_a/2)*-0.923880,NA())</f>
        <v/>
      </c>
      <c r="DH14">
        <f>IF(AND(inputs_ok,s_a/2+36*s_a&lt;1000),(s_a/2+36*s_a)+(phi_a/2)*-0.382683,NA())</f>
        <v/>
      </c>
      <c r="DI14">
        <f>IF(AND(inputs_ok,s_a/2+36*s_a&lt;1000),(60)+(phi_a/2)*-0.923880,NA())</f>
        <v/>
      </c>
      <c r="DK14">
        <f>IF(AND(inputs_ok,s_a/2+37*s_a&lt;1000),(s_a/2+37*s_a)+(phi_a/2)*-0.382683,NA())</f>
        <v/>
      </c>
      <c r="DL14">
        <f>IF(AND(inputs_ok,s_a/2+37*s_a&lt;1000),(60)+(phi_a/2)*-0.923880,NA())</f>
        <v/>
      </c>
      <c r="DN14">
        <f>IF(AND(inputs_ok,s_a/2+38*s_a&lt;1000),(s_a/2+38*s_a)+(phi_a/2)*-0.382683,NA())</f>
        <v/>
      </c>
      <c r="DO14">
        <f>IF(AND(inputs_ok,s_a/2+38*s_a&lt;1000),(60)+(phi_a/2)*-0.923880,NA())</f>
        <v/>
      </c>
      <c r="DQ14">
        <f>IF(AND(inputs_ok,s_a/2+39*s_a&lt;1000),(s_a/2+39*s_a)+(phi_a/2)*-0.382683,NA())</f>
        <v/>
      </c>
      <c r="DR14">
        <f>IF(AND(inputs_ok,s_a/2+39*s_a&lt;1000),(60)+(phi_a/2)*-0.923880,NA())</f>
        <v/>
      </c>
      <c r="DT14">
        <f>IF(AND(inputs_ok,0&lt;n_a),((1000-(n_a-1)*MAX(2*phi_n,phi_n+25))/2+0*MAX(2*phi_n,phi_n+25))+(phi_n/2)*-0.382683,NA())</f>
        <v/>
      </c>
      <c r="DU14">
        <f>IF(AND(inputs_ok,0&lt;n_a),(-150)+(phi_n/2)*-0.923880,NA())</f>
        <v/>
      </c>
      <c r="DW14">
        <f>IF(AND(inputs_ok,1&lt;n_a),((1000-(n_a-1)*MAX(2*phi_n,phi_n+25))/2+1*MAX(2*phi_n,phi_n+25))+(phi_n/2)*-0.382683,NA())</f>
        <v/>
      </c>
      <c r="DX14">
        <f>IF(AND(inputs_ok,1&lt;n_a),(-150)+(phi_n/2)*-0.923880,NA())</f>
        <v/>
      </c>
      <c r="DZ14">
        <f>IF(AND(inputs_ok,2&lt;n_a),((1000-(n_a-1)*MAX(2*phi_n,phi_n+25))/2+2*MAX(2*phi_n,phi_n+25))+(phi_n/2)*-0.382683,NA())</f>
        <v/>
      </c>
      <c r="EA14">
        <f>IF(AND(inputs_ok,2&lt;n_a),(-150)+(phi_n/2)*-0.923880,NA())</f>
        <v/>
      </c>
      <c r="EC14">
        <f>IF(AND(inputs_ok,3&lt;n_a),((1000-(n_a-1)*MAX(2*phi_n,phi_n+25))/2+3*MAX(2*phi_n,phi_n+25))+(phi_n/2)*-0.382683,NA())</f>
        <v/>
      </c>
      <c r="ED14">
        <f>IF(AND(inputs_ok,3&lt;n_a),(-150)+(phi_n/2)*-0.923880,NA())</f>
        <v/>
      </c>
      <c r="EF14">
        <f>IF(AND(inputs_ok,4&lt;n_a),((1000-(n_a-1)*MAX(2*phi_n,phi_n+25))/2+4*MAX(2*phi_n,phi_n+25))+(phi_n/2)*-0.382683,NA())</f>
        <v/>
      </c>
      <c r="EG14">
        <f>IF(AND(inputs_ok,4&lt;n_a),(-150)+(phi_n/2)*-0.923880,NA())</f>
        <v/>
      </c>
      <c r="EI14">
        <f>IF(AND(inputs_ok,5&lt;n_a),((1000-(n_a-1)*MAX(2*phi_n,phi_n+25))/2+5*MAX(2*phi_n,phi_n+25))+(phi_n/2)*-0.382683,NA())</f>
        <v/>
      </c>
      <c r="EJ14">
        <f>IF(AND(inputs_ok,5&lt;n_a),(-150)+(phi_n/2)*-0.923880,NA())</f>
        <v/>
      </c>
      <c r="EL14">
        <f>IF(AND(inputs_ok,6&lt;n_a),((1000-(n_a-1)*MAX(2*phi_n,phi_n+25))/2+6*MAX(2*phi_n,phi_n+25))+(phi_n/2)*-0.382683,NA())</f>
        <v/>
      </c>
      <c r="EM14">
        <f>IF(AND(inputs_ok,6&lt;n_a),(-150)+(phi_n/2)*-0.923880,NA())</f>
        <v/>
      </c>
      <c r="EO14">
        <f>IF(AND(inputs_ok,7&lt;n_a),((1000-(n_a-1)*MAX(2*phi_n,phi_n+25))/2+7*MAX(2*phi_n,phi_n+25))+(phi_n/2)*-0.382683,NA())</f>
        <v/>
      </c>
      <c r="EP14">
        <f>IF(AND(inputs_ok,7&lt;n_a),(-150)+(phi_n/2)*-0.923880,NA())</f>
        <v/>
      </c>
      <c r="ER14">
        <f>IF(AND(inputs_ok,8&lt;n_a),((1000-(n_a-1)*MAX(2*phi_n,phi_n+25))/2+8*MAX(2*phi_n,phi_n+25))+(phi_n/2)*-0.382683,NA())</f>
        <v/>
      </c>
      <c r="ES14">
        <f>IF(AND(inputs_ok,8&lt;n_a),(-150)+(phi_n/2)*-0.923880,NA())</f>
        <v/>
      </c>
      <c r="EU14">
        <f>IF(AND(inputs_ok,9&lt;n_a),((1000-(n_a-1)*MAX(2*phi_n,phi_n+25))/2+9*MAX(2*phi_n,phi_n+25))+(phi_n/2)*-0.382683,NA())</f>
        <v/>
      </c>
      <c r="EV14">
        <f>IF(AND(inputs_ok,9&lt;n_a),(-150)+(phi_n/2)*-0.923880,NA())</f>
        <v/>
      </c>
      <c r="EX14">
        <f>IF(AND(inputs_ok,10&lt;n_a),((1000-(n_a-1)*MAX(2*phi_n,phi_n+25))/2+10*MAX(2*phi_n,phi_n+25))+(phi_n/2)*-0.382683,NA())</f>
        <v/>
      </c>
      <c r="EY14">
        <f>IF(AND(inputs_ok,10&lt;n_a),(-150)+(phi_n/2)*-0.923880,NA())</f>
        <v/>
      </c>
      <c r="FA14">
        <f>IF(AND(inputs_ok,11&lt;n_a),((1000-(n_a-1)*MAX(2*phi_n,phi_n+25))/2+11*MAX(2*phi_n,phi_n+25))+(phi_n/2)*-0.382683,NA())</f>
        <v/>
      </c>
      <c r="FB14">
        <f>IF(AND(inputs_ok,11&lt;n_a),(-150)+(phi_n/2)*-0.923880,NA())</f>
        <v/>
      </c>
      <c r="FD14">
        <f>IF(AND(inputs_ok,12&lt;n_a),((1000-(n_a-1)*MAX(2*phi_n,phi_n+25))/2+12*MAX(2*phi_n,phi_n+25))+(phi_n/2)*-0.382683,NA())</f>
        <v/>
      </c>
      <c r="FE14">
        <f>IF(AND(inputs_ok,12&lt;n_a),(-150)+(phi_n/2)*-0.923880,NA())</f>
        <v/>
      </c>
      <c r="FG14">
        <f>IF(AND(inputs_ok,13&lt;n_a),((1000-(n_a-1)*MAX(2*phi_n,phi_n+25))/2+13*MAX(2*phi_n,phi_n+25))+(phi_n/2)*-0.382683,NA())</f>
        <v/>
      </c>
      <c r="FH14">
        <f>IF(AND(inputs_ok,13&lt;n_a),(-150)+(phi_n/2)*-0.923880,NA())</f>
        <v/>
      </c>
      <c r="FJ14">
        <f>IF(AND(inputs_ok,14&lt;n_a),((1000-(n_a-1)*MAX(2*phi_n,phi_n+25))/2+14*MAX(2*phi_n,phi_n+25))+(phi_n/2)*-0.382683,NA())</f>
        <v/>
      </c>
      <c r="FK14">
        <f>IF(AND(inputs_ok,14&lt;n_a),(-150)+(phi_n/2)*-0.923880,NA())</f>
        <v/>
      </c>
      <c r="FM14">
        <f>IF(AND(inputs_ok,15&lt;n_a),((1000-(n_a-1)*MAX(2*phi_n,phi_n+25))/2+15*MAX(2*phi_n,phi_n+25))+(phi_n/2)*-0.382683,NA())</f>
        <v/>
      </c>
      <c r="FN14">
        <f>IF(AND(inputs_ok,15&lt;n_a),(-150)+(phi_n/2)*-0.923880,NA())</f>
        <v/>
      </c>
      <c r="FP14">
        <f>IF(AND(inputs_ok,16&lt;n_a),((1000-(n_a-1)*MAX(2*phi_n,phi_n+25))/2+16*MAX(2*phi_n,phi_n+25))+(phi_n/2)*-0.382683,NA())</f>
        <v/>
      </c>
      <c r="FQ14">
        <f>IF(AND(inputs_ok,16&lt;n_a),(-150)+(phi_n/2)*-0.923880,NA())</f>
        <v/>
      </c>
      <c r="FS14">
        <f>IF(AND(inputs_ok,17&lt;n_a),((1000-(n_a-1)*MAX(2*phi_n,phi_n+25))/2+17*MAX(2*phi_n,phi_n+25))+(phi_n/2)*-0.382683,NA())</f>
        <v/>
      </c>
      <c r="FT14">
        <f>IF(AND(inputs_ok,17&lt;n_a),(-150)+(phi_n/2)*-0.923880,NA())</f>
        <v/>
      </c>
      <c r="FV14">
        <f>IF(AND(inputs_ok,18&lt;n_a),((1000-(n_a-1)*MAX(2*phi_n,phi_n+25))/2+18*MAX(2*phi_n,phi_n+25))+(phi_n/2)*-0.382683,NA())</f>
        <v/>
      </c>
      <c r="FW14">
        <f>IF(AND(inputs_ok,18&lt;n_a),(-150)+(phi_n/2)*-0.923880,NA())</f>
        <v/>
      </c>
      <c r="FY14">
        <f>IF(AND(inputs_ok,19&lt;n_a),((1000-(n_a-1)*MAX(2*phi_n,phi_n+25))/2+19*MAX(2*phi_n,phi_n+25))+(phi_n/2)*-0.382683,NA())</f>
        <v/>
      </c>
      <c r="FZ14">
        <f>IF(AND(inputs_ok,19&lt;n_a),(-150)+(phi_n/2)*-0.923880,NA())</f>
        <v/>
      </c>
    </row>
    <row r="15">
      <c r="D15">
        <f>IF(AND(inputs_ok,s_a/2+0*s_a&lt;1000),(s_a/2+0*s_a)+(phi_a/2)*-0.000000,NA())</f>
        <v/>
      </c>
      <c r="E15">
        <f>IF(AND(inputs_ok,s_a/2+0*s_a&lt;1000),(60)+(phi_a/2)*-1.000000,NA())</f>
        <v/>
      </c>
      <c r="G15">
        <f>IF(AND(inputs_ok,s_a/2+1*s_a&lt;1000),(s_a/2+1*s_a)+(phi_a/2)*-0.000000,NA())</f>
        <v/>
      </c>
      <c r="H15">
        <f>IF(AND(inputs_ok,s_a/2+1*s_a&lt;1000),(60)+(phi_a/2)*-1.000000,NA())</f>
        <v/>
      </c>
      <c r="J15">
        <f>IF(AND(inputs_ok,s_a/2+2*s_a&lt;1000),(s_a/2+2*s_a)+(phi_a/2)*-0.000000,NA())</f>
        <v/>
      </c>
      <c r="K15">
        <f>IF(AND(inputs_ok,s_a/2+2*s_a&lt;1000),(60)+(phi_a/2)*-1.000000,NA())</f>
        <v/>
      </c>
      <c r="M15">
        <f>IF(AND(inputs_ok,s_a/2+3*s_a&lt;1000),(s_a/2+3*s_a)+(phi_a/2)*-0.000000,NA())</f>
        <v/>
      </c>
      <c r="N15">
        <f>IF(AND(inputs_ok,s_a/2+3*s_a&lt;1000),(60)+(phi_a/2)*-1.000000,NA())</f>
        <v/>
      </c>
      <c r="P15">
        <f>IF(AND(inputs_ok,s_a/2+4*s_a&lt;1000),(s_a/2+4*s_a)+(phi_a/2)*-0.000000,NA())</f>
        <v/>
      </c>
      <c r="Q15">
        <f>IF(AND(inputs_ok,s_a/2+4*s_a&lt;1000),(60)+(phi_a/2)*-1.000000,NA())</f>
        <v/>
      </c>
      <c r="S15">
        <f>IF(AND(inputs_ok,s_a/2+5*s_a&lt;1000),(s_a/2+5*s_a)+(phi_a/2)*-0.000000,NA())</f>
        <v/>
      </c>
      <c r="T15">
        <f>IF(AND(inputs_ok,s_a/2+5*s_a&lt;1000),(60)+(phi_a/2)*-1.000000,NA())</f>
        <v/>
      </c>
      <c r="V15">
        <f>IF(AND(inputs_ok,s_a/2+6*s_a&lt;1000),(s_a/2+6*s_a)+(phi_a/2)*-0.000000,NA())</f>
        <v/>
      </c>
      <c r="W15">
        <f>IF(AND(inputs_ok,s_a/2+6*s_a&lt;1000),(60)+(phi_a/2)*-1.000000,NA())</f>
        <v/>
      </c>
      <c r="Y15">
        <f>IF(AND(inputs_ok,s_a/2+7*s_a&lt;1000),(s_a/2+7*s_a)+(phi_a/2)*-0.000000,NA())</f>
        <v/>
      </c>
      <c r="Z15">
        <f>IF(AND(inputs_ok,s_a/2+7*s_a&lt;1000),(60)+(phi_a/2)*-1.000000,NA())</f>
        <v/>
      </c>
      <c r="AB15">
        <f>IF(AND(inputs_ok,s_a/2+8*s_a&lt;1000),(s_a/2+8*s_a)+(phi_a/2)*-0.000000,NA())</f>
        <v/>
      </c>
      <c r="AC15">
        <f>IF(AND(inputs_ok,s_a/2+8*s_a&lt;1000),(60)+(phi_a/2)*-1.000000,NA())</f>
        <v/>
      </c>
      <c r="AE15">
        <f>IF(AND(inputs_ok,s_a/2+9*s_a&lt;1000),(s_a/2+9*s_a)+(phi_a/2)*-0.000000,NA())</f>
        <v/>
      </c>
      <c r="AF15">
        <f>IF(AND(inputs_ok,s_a/2+9*s_a&lt;1000),(60)+(phi_a/2)*-1.000000,NA())</f>
        <v/>
      </c>
      <c r="AH15">
        <f>IF(AND(inputs_ok,s_a/2+10*s_a&lt;1000),(s_a/2+10*s_a)+(phi_a/2)*-0.000000,NA())</f>
        <v/>
      </c>
      <c r="AI15">
        <f>IF(AND(inputs_ok,s_a/2+10*s_a&lt;1000),(60)+(phi_a/2)*-1.000000,NA())</f>
        <v/>
      </c>
      <c r="AK15">
        <f>IF(AND(inputs_ok,s_a/2+11*s_a&lt;1000),(s_a/2+11*s_a)+(phi_a/2)*-0.000000,NA())</f>
        <v/>
      </c>
      <c r="AL15">
        <f>IF(AND(inputs_ok,s_a/2+11*s_a&lt;1000),(60)+(phi_a/2)*-1.000000,NA())</f>
        <v/>
      </c>
      <c r="AN15">
        <f>IF(AND(inputs_ok,s_a/2+12*s_a&lt;1000),(s_a/2+12*s_a)+(phi_a/2)*-0.000000,NA())</f>
        <v/>
      </c>
      <c r="AO15">
        <f>IF(AND(inputs_ok,s_a/2+12*s_a&lt;1000),(60)+(phi_a/2)*-1.000000,NA())</f>
        <v/>
      </c>
      <c r="AQ15">
        <f>IF(AND(inputs_ok,s_a/2+13*s_a&lt;1000),(s_a/2+13*s_a)+(phi_a/2)*-0.000000,NA())</f>
        <v/>
      </c>
      <c r="AR15">
        <f>IF(AND(inputs_ok,s_a/2+13*s_a&lt;1000),(60)+(phi_a/2)*-1.000000,NA())</f>
        <v/>
      </c>
      <c r="AT15">
        <f>IF(AND(inputs_ok,s_a/2+14*s_a&lt;1000),(s_a/2+14*s_a)+(phi_a/2)*-0.000000,NA())</f>
        <v/>
      </c>
      <c r="AU15">
        <f>IF(AND(inputs_ok,s_a/2+14*s_a&lt;1000),(60)+(phi_a/2)*-1.000000,NA())</f>
        <v/>
      </c>
      <c r="AW15">
        <f>IF(AND(inputs_ok,s_a/2+15*s_a&lt;1000),(s_a/2+15*s_a)+(phi_a/2)*-0.000000,NA())</f>
        <v/>
      </c>
      <c r="AX15">
        <f>IF(AND(inputs_ok,s_a/2+15*s_a&lt;1000),(60)+(phi_a/2)*-1.000000,NA())</f>
        <v/>
      </c>
      <c r="AZ15">
        <f>IF(AND(inputs_ok,s_a/2+16*s_a&lt;1000),(s_a/2+16*s_a)+(phi_a/2)*-0.000000,NA())</f>
        <v/>
      </c>
      <c r="BA15">
        <f>IF(AND(inputs_ok,s_a/2+16*s_a&lt;1000),(60)+(phi_a/2)*-1.000000,NA())</f>
        <v/>
      </c>
      <c r="BC15">
        <f>IF(AND(inputs_ok,s_a/2+17*s_a&lt;1000),(s_a/2+17*s_a)+(phi_a/2)*-0.000000,NA())</f>
        <v/>
      </c>
      <c r="BD15">
        <f>IF(AND(inputs_ok,s_a/2+17*s_a&lt;1000),(60)+(phi_a/2)*-1.000000,NA())</f>
        <v/>
      </c>
      <c r="BF15">
        <f>IF(AND(inputs_ok,s_a/2+18*s_a&lt;1000),(s_a/2+18*s_a)+(phi_a/2)*-0.000000,NA())</f>
        <v/>
      </c>
      <c r="BG15">
        <f>IF(AND(inputs_ok,s_a/2+18*s_a&lt;1000),(60)+(phi_a/2)*-1.000000,NA())</f>
        <v/>
      </c>
      <c r="BI15">
        <f>IF(AND(inputs_ok,s_a/2+19*s_a&lt;1000),(s_a/2+19*s_a)+(phi_a/2)*-0.000000,NA())</f>
        <v/>
      </c>
      <c r="BJ15">
        <f>IF(AND(inputs_ok,s_a/2+19*s_a&lt;1000),(60)+(phi_a/2)*-1.000000,NA())</f>
        <v/>
      </c>
      <c r="BL15">
        <f>IF(AND(inputs_ok,s_a/2+20*s_a&lt;1000),(s_a/2+20*s_a)+(phi_a/2)*-0.000000,NA())</f>
        <v/>
      </c>
      <c r="BM15">
        <f>IF(AND(inputs_ok,s_a/2+20*s_a&lt;1000),(60)+(phi_a/2)*-1.000000,NA())</f>
        <v/>
      </c>
      <c r="BO15">
        <f>IF(AND(inputs_ok,s_a/2+21*s_a&lt;1000),(s_a/2+21*s_a)+(phi_a/2)*-0.000000,NA())</f>
        <v/>
      </c>
      <c r="BP15">
        <f>IF(AND(inputs_ok,s_a/2+21*s_a&lt;1000),(60)+(phi_a/2)*-1.000000,NA())</f>
        <v/>
      </c>
      <c r="BR15">
        <f>IF(AND(inputs_ok,s_a/2+22*s_a&lt;1000),(s_a/2+22*s_a)+(phi_a/2)*-0.000000,NA())</f>
        <v/>
      </c>
      <c r="BS15">
        <f>IF(AND(inputs_ok,s_a/2+22*s_a&lt;1000),(60)+(phi_a/2)*-1.000000,NA())</f>
        <v/>
      </c>
      <c r="BU15">
        <f>IF(AND(inputs_ok,s_a/2+23*s_a&lt;1000),(s_a/2+23*s_a)+(phi_a/2)*-0.000000,NA())</f>
        <v/>
      </c>
      <c r="BV15">
        <f>IF(AND(inputs_ok,s_a/2+23*s_a&lt;1000),(60)+(phi_a/2)*-1.000000,NA())</f>
        <v/>
      </c>
      <c r="BX15">
        <f>IF(AND(inputs_ok,s_a/2+24*s_a&lt;1000),(s_a/2+24*s_a)+(phi_a/2)*-0.000000,NA())</f>
        <v/>
      </c>
      <c r="BY15">
        <f>IF(AND(inputs_ok,s_a/2+24*s_a&lt;1000),(60)+(phi_a/2)*-1.000000,NA())</f>
        <v/>
      </c>
      <c r="CA15">
        <f>IF(AND(inputs_ok,s_a/2+25*s_a&lt;1000),(s_a/2+25*s_a)+(phi_a/2)*-0.000000,NA())</f>
        <v/>
      </c>
      <c r="CB15">
        <f>IF(AND(inputs_ok,s_a/2+25*s_a&lt;1000),(60)+(phi_a/2)*-1.000000,NA())</f>
        <v/>
      </c>
      <c r="CD15">
        <f>IF(AND(inputs_ok,s_a/2+26*s_a&lt;1000),(s_a/2+26*s_a)+(phi_a/2)*-0.000000,NA())</f>
        <v/>
      </c>
      <c r="CE15">
        <f>IF(AND(inputs_ok,s_a/2+26*s_a&lt;1000),(60)+(phi_a/2)*-1.000000,NA())</f>
        <v/>
      </c>
      <c r="CG15">
        <f>IF(AND(inputs_ok,s_a/2+27*s_a&lt;1000),(s_a/2+27*s_a)+(phi_a/2)*-0.000000,NA())</f>
        <v/>
      </c>
      <c r="CH15">
        <f>IF(AND(inputs_ok,s_a/2+27*s_a&lt;1000),(60)+(phi_a/2)*-1.000000,NA())</f>
        <v/>
      </c>
      <c r="CJ15">
        <f>IF(AND(inputs_ok,s_a/2+28*s_a&lt;1000),(s_a/2+28*s_a)+(phi_a/2)*-0.000000,NA())</f>
        <v/>
      </c>
      <c r="CK15">
        <f>IF(AND(inputs_ok,s_a/2+28*s_a&lt;1000),(60)+(phi_a/2)*-1.000000,NA())</f>
        <v/>
      </c>
      <c r="CM15">
        <f>IF(AND(inputs_ok,s_a/2+29*s_a&lt;1000),(s_a/2+29*s_a)+(phi_a/2)*-0.000000,NA())</f>
        <v/>
      </c>
      <c r="CN15">
        <f>IF(AND(inputs_ok,s_a/2+29*s_a&lt;1000),(60)+(phi_a/2)*-1.000000,NA())</f>
        <v/>
      </c>
      <c r="CP15">
        <f>IF(AND(inputs_ok,s_a/2+30*s_a&lt;1000),(s_a/2+30*s_a)+(phi_a/2)*-0.000000,NA())</f>
        <v/>
      </c>
      <c r="CQ15">
        <f>IF(AND(inputs_ok,s_a/2+30*s_a&lt;1000),(60)+(phi_a/2)*-1.000000,NA())</f>
        <v/>
      </c>
      <c r="CS15">
        <f>IF(AND(inputs_ok,s_a/2+31*s_a&lt;1000),(s_a/2+31*s_a)+(phi_a/2)*-0.000000,NA())</f>
        <v/>
      </c>
      <c r="CT15">
        <f>IF(AND(inputs_ok,s_a/2+31*s_a&lt;1000),(60)+(phi_a/2)*-1.000000,NA())</f>
        <v/>
      </c>
      <c r="CV15">
        <f>IF(AND(inputs_ok,s_a/2+32*s_a&lt;1000),(s_a/2+32*s_a)+(phi_a/2)*-0.000000,NA())</f>
        <v/>
      </c>
      <c r="CW15">
        <f>IF(AND(inputs_ok,s_a/2+32*s_a&lt;1000),(60)+(phi_a/2)*-1.000000,NA())</f>
        <v/>
      </c>
      <c r="CY15">
        <f>IF(AND(inputs_ok,s_a/2+33*s_a&lt;1000),(s_a/2+33*s_a)+(phi_a/2)*-0.000000,NA())</f>
        <v/>
      </c>
      <c r="CZ15">
        <f>IF(AND(inputs_ok,s_a/2+33*s_a&lt;1000),(60)+(phi_a/2)*-1.000000,NA())</f>
        <v/>
      </c>
      <c r="DB15">
        <f>IF(AND(inputs_ok,s_a/2+34*s_a&lt;1000),(s_a/2+34*s_a)+(phi_a/2)*-0.000000,NA())</f>
        <v/>
      </c>
      <c r="DC15">
        <f>IF(AND(inputs_ok,s_a/2+34*s_a&lt;1000),(60)+(phi_a/2)*-1.000000,NA())</f>
        <v/>
      </c>
      <c r="DE15">
        <f>IF(AND(inputs_ok,s_a/2+35*s_a&lt;1000),(s_a/2+35*s_a)+(phi_a/2)*-0.000000,NA())</f>
        <v/>
      </c>
      <c r="DF15">
        <f>IF(AND(inputs_ok,s_a/2+35*s_a&lt;1000),(60)+(phi_a/2)*-1.000000,NA())</f>
        <v/>
      </c>
      <c r="DH15">
        <f>IF(AND(inputs_ok,s_a/2+36*s_a&lt;1000),(s_a/2+36*s_a)+(phi_a/2)*-0.000000,NA())</f>
        <v/>
      </c>
      <c r="DI15">
        <f>IF(AND(inputs_ok,s_a/2+36*s_a&lt;1000),(60)+(phi_a/2)*-1.000000,NA())</f>
        <v/>
      </c>
      <c r="DK15">
        <f>IF(AND(inputs_ok,s_a/2+37*s_a&lt;1000),(s_a/2+37*s_a)+(phi_a/2)*-0.000000,NA())</f>
        <v/>
      </c>
      <c r="DL15">
        <f>IF(AND(inputs_ok,s_a/2+37*s_a&lt;1000),(60)+(phi_a/2)*-1.000000,NA())</f>
        <v/>
      </c>
      <c r="DN15">
        <f>IF(AND(inputs_ok,s_a/2+38*s_a&lt;1000),(s_a/2+38*s_a)+(phi_a/2)*-0.000000,NA())</f>
        <v/>
      </c>
      <c r="DO15">
        <f>IF(AND(inputs_ok,s_a/2+38*s_a&lt;1000),(60)+(phi_a/2)*-1.000000,NA())</f>
        <v/>
      </c>
      <c r="DQ15">
        <f>IF(AND(inputs_ok,s_a/2+39*s_a&lt;1000),(s_a/2+39*s_a)+(phi_a/2)*-0.000000,NA())</f>
        <v/>
      </c>
      <c r="DR15">
        <f>IF(AND(inputs_ok,s_a/2+39*s_a&lt;1000),(60)+(phi_a/2)*-1.000000,NA())</f>
        <v/>
      </c>
      <c r="DT15">
        <f>IF(AND(inputs_ok,0&lt;n_a),((1000-(n_a-1)*MAX(2*phi_n,phi_n+25))/2+0*MAX(2*phi_n,phi_n+25))+(phi_n/2)*-0.000000,NA())</f>
        <v/>
      </c>
      <c r="DU15">
        <f>IF(AND(inputs_ok,0&lt;n_a),(-150)+(phi_n/2)*-1.000000,NA())</f>
        <v/>
      </c>
      <c r="DW15">
        <f>IF(AND(inputs_ok,1&lt;n_a),((1000-(n_a-1)*MAX(2*phi_n,phi_n+25))/2+1*MAX(2*phi_n,phi_n+25))+(phi_n/2)*-0.000000,NA())</f>
        <v/>
      </c>
      <c r="DX15">
        <f>IF(AND(inputs_ok,1&lt;n_a),(-150)+(phi_n/2)*-1.000000,NA())</f>
        <v/>
      </c>
      <c r="DZ15">
        <f>IF(AND(inputs_ok,2&lt;n_a),((1000-(n_a-1)*MAX(2*phi_n,phi_n+25))/2+2*MAX(2*phi_n,phi_n+25))+(phi_n/2)*-0.000000,NA())</f>
        <v/>
      </c>
      <c r="EA15">
        <f>IF(AND(inputs_ok,2&lt;n_a),(-150)+(phi_n/2)*-1.000000,NA())</f>
        <v/>
      </c>
      <c r="EC15">
        <f>IF(AND(inputs_ok,3&lt;n_a),((1000-(n_a-1)*MAX(2*phi_n,phi_n+25))/2+3*MAX(2*phi_n,phi_n+25))+(phi_n/2)*-0.000000,NA())</f>
        <v/>
      </c>
      <c r="ED15">
        <f>IF(AND(inputs_ok,3&lt;n_a),(-150)+(phi_n/2)*-1.000000,NA())</f>
        <v/>
      </c>
      <c r="EF15">
        <f>IF(AND(inputs_ok,4&lt;n_a),((1000-(n_a-1)*MAX(2*phi_n,phi_n+25))/2+4*MAX(2*phi_n,phi_n+25))+(phi_n/2)*-0.000000,NA())</f>
        <v/>
      </c>
      <c r="EG15">
        <f>IF(AND(inputs_ok,4&lt;n_a),(-150)+(phi_n/2)*-1.000000,NA())</f>
        <v/>
      </c>
      <c r="EI15">
        <f>IF(AND(inputs_ok,5&lt;n_a),((1000-(n_a-1)*MAX(2*phi_n,phi_n+25))/2+5*MAX(2*phi_n,phi_n+25))+(phi_n/2)*-0.000000,NA())</f>
        <v/>
      </c>
      <c r="EJ15">
        <f>IF(AND(inputs_ok,5&lt;n_a),(-150)+(phi_n/2)*-1.000000,NA())</f>
        <v/>
      </c>
      <c r="EL15">
        <f>IF(AND(inputs_ok,6&lt;n_a),((1000-(n_a-1)*MAX(2*phi_n,phi_n+25))/2+6*MAX(2*phi_n,phi_n+25))+(phi_n/2)*-0.000000,NA())</f>
        <v/>
      </c>
      <c r="EM15">
        <f>IF(AND(inputs_ok,6&lt;n_a),(-150)+(phi_n/2)*-1.000000,NA())</f>
        <v/>
      </c>
      <c r="EO15">
        <f>IF(AND(inputs_ok,7&lt;n_a),((1000-(n_a-1)*MAX(2*phi_n,phi_n+25))/2+7*MAX(2*phi_n,phi_n+25))+(phi_n/2)*-0.000000,NA())</f>
        <v/>
      </c>
      <c r="EP15">
        <f>IF(AND(inputs_ok,7&lt;n_a),(-150)+(phi_n/2)*-1.000000,NA())</f>
        <v/>
      </c>
      <c r="ER15">
        <f>IF(AND(inputs_ok,8&lt;n_a),((1000-(n_a-1)*MAX(2*phi_n,phi_n+25))/2+8*MAX(2*phi_n,phi_n+25))+(phi_n/2)*-0.000000,NA())</f>
        <v/>
      </c>
      <c r="ES15">
        <f>IF(AND(inputs_ok,8&lt;n_a),(-150)+(phi_n/2)*-1.000000,NA())</f>
        <v/>
      </c>
      <c r="EU15">
        <f>IF(AND(inputs_ok,9&lt;n_a),((1000-(n_a-1)*MAX(2*phi_n,phi_n+25))/2+9*MAX(2*phi_n,phi_n+25))+(phi_n/2)*-0.000000,NA())</f>
        <v/>
      </c>
      <c r="EV15">
        <f>IF(AND(inputs_ok,9&lt;n_a),(-150)+(phi_n/2)*-1.000000,NA())</f>
        <v/>
      </c>
      <c r="EX15">
        <f>IF(AND(inputs_ok,10&lt;n_a),((1000-(n_a-1)*MAX(2*phi_n,phi_n+25))/2+10*MAX(2*phi_n,phi_n+25))+(phi_n/2)*-0.000000,NA())</f>
        <v/>
      </c>
      <c r="EY15">
        <f>IF(AND(inputs_ok,10&lt;n_a),(-150)+(phi_n/2)*-1.000000,NA())</f>
        <v/>
      </c>
      <c r="FA15">
        <f>IF(AND(inputs_ok,11&lt;n_a),((1000-(n_a-1)*MAX(2*phi_n,phi_n+25))/2+11*MAX(2*phi_n,phi_n+25))+(phi_n/2)*-0.000000,NA())</f>
        <v/>
      </c>
      <c r="FB15">
        <f>IF(AND(inputs_ok,11&lt;n_a),(-150)+(phi_n/2)*-1.000000,NA())</f>
        <v/>
      </c>
      <c r="FD15">
        <f>IF(AND(inputs_ok,12&lt;n_a),((1000-(n_a-1)*MAX(2*phi_n,phi_n+25))/2+12*MAX(2*phi_n,phi_n+25))+(phi_n/2)*-0.000000,NA())</f>
        <v/>
      </c>
      <c r="FE15">
        <f>IF(AND(inputs_ok,12&lt;n_a),(-150)+(phi_n/2)*-1.000000,NA())</f>
        <v/>
      </c>
      <c r="FG15">
        <f>IF(AND(inputs_ok,13&lt;n_a),((1000-(n_a-1)*MAX(2*phi_n,phi_n+25))/2+13*MAX(2*phi_n,phi_n+25))+(phi_n/2)*-0.000000,NA())</f>
        <v/>
      </c>
      <c r="FH15">
        <f>IF(AND(inputs_ok,13&lt;n_a),(-150)+(phi_n/2)*-1.000000,NA())</f>
        <v/>
      </c>
      <c r="FJ15">
        <f>IF(AND(inputs_ok,14&lt;n_a),((1000-(n_a-1)*MAX(2*phi_n,phi_n+25))/2+14*MAX(2*phi_n,phi_n+25))+(phi_n/2)*-0.000000,NA())</f>
        <v/>
      </c>
      <c r="FK15">
        <f>IF(AND(inputs_ok,14&lt;n_a),(-150)+(phi_n/2)*-1.000000,NA())</f>
        <v/>
      </c>
      <c r="FM15">
        <f>IF(AND(inputs_ok,15&lt;n_a),((1000-(n_a-1)*MAX(2*phi_n,phi_n+25))/2+15*MAX(2*phi_n,phi_n+25))+(phi_n/2)*-0.000000,NA())</f>
        <v/>
      </c>
      <c r="FN15">
        <f>IF(AND(inputs_ok,15&lt;n_a),(-150)+(phi_n/2)*-1.000000,NA())</f>
        <v/>
      </c>
      <c r="FP15">
        <f>IF(AND(inputs_ok,16&lt;n_a),((1000-(n_a-1)*MAX(2*phi_n,phi_n+25))/2+16*MAX(2*phi_n,phi_n+25))+(phi_n/2)*-0.000000,NA())</f>
        <v/>
      </c>
      <c r="FQ15">
        <f>IF(AND(inputs_ok,16&lt;n_a),(-150)+(phi_n/2)*-1.000000,NA())</f>
        <v/>
      </c>
      <c r="FS15">
        <f>IF(AND(inputs_ok,17&lt;n_a),((1000-(n_a-1)*MAX(2*phi_n,phi_n+25))/2+17*MAX(2*phi_n,phi_n+25))+(phi_n/2)*-0.000000,NA())</f>
        <v/>
      </c>
      <c r="FT15">
        <f>IF(AND(inputs_ok,17&lt;n_a),(-150)+(phi_n/2)*-1.000000,NA())</f>
        <v/>
      </c>
      <c r="FV15">
        <f>IF(AND(inputs_ok,18&lt;n_a),((1000-(n_a-1)*MAX(2*phi_n,phi_n+25))/2+18*MAX(2*phi_n,phi_n+25))+(phi_n/2)*-0.000000,NA())</f>
        <v/>
      </c>
      <c r="FW15">
        <f>IF(AND(inputs_ok,18&lt;n_a),(-150)+(phi_n/2)*-1.000000,NA())</f>
        <v/>
      </c>
      <c r="FY15">
        <f>IF(AND(inputs_ok,19&lt;n_a),((1000-(n_a-1)*MAX(2*phi_n,phi_n+25))/2+19*MAX(2*phi_n,phi_n+25))+(phi_n/2)*-0.000000,NA())</f>
        <v/>
      </c>
      <c r="FZ15">
        <f>IF(AND(inputs_ok,19&lt;n_a),(-150)+(phi_n/2)*-1.000000,NA())</f>
        <v/>
      </c>
    </row>
    <row r="16">
      <c r="D16">
        <f>IF(AND(inputs_ok,s_a/2+0*s_a&lt;1000),(s_a/2+0*s_a)+(phi_a/2)*0.382683,NA())</f>
        <v/>
      </c>
      <c r="E16">
        <f>IF(AND(inputs_ok,s_a/2+0*s_a&lt;1000),(60)+(phi_a/2)*-0.923880,NA())</f>
        <v/>
      </c>
      <c r="G16">
        <f>IF(AND(inputs_ok,s_a/2+1*s_a&lt;1000),(s_a/2+1*s_a)+(phi_a/2)*0.382683,NA())</f>
        <v/>
      </c>
      <c r="H16">
        <f>IF(AND(inputs_ok,s_a/2+1*s_a&lt;1000),(60)+(phi_a/2)*-0.923880,NA())</f>
        <v/>
      </c>
      <c r="J16">
        <f>IF(AND(inputs_ok,s_a/2+2*s_a&lt;1000),(s_a/2+2*s_a)+(phi_a/2)*0.382683,NA())</f>
        <v/>
      </c>
      <c r="K16">
        <f>IF(AND(inputs_ok,s_a/2+2*s_a&lt;1000),(60)+(phi_a/2)*-0.923880,NA())</f>
        <v/>
      </c>
      <c r="M16">
        <f>IF(AND(inputs_ok,s_a/2+3*s_a&lt;1000),(s_a/2+3*s_a)+(phi_a/2)*0.382683,NA())</f>
        <v/>
      </c>
      <c r="N16">
        <f>IF(AND(inputs_ok,s_a/2+3*s_a&lt;1000),(60)+(phi_a/2)*-0.923880,NA())</f>
        <v/>
      </c>
      <c r="P16">
        <f>IF(AND(inputs_ok,s_a/2+4*s_a&lt;1000),(s_a/2+4*s_a)+(phi_a/2)*0.382683,NA())</f>
        <v/>
      </c>
      <c r="Q16">
        <f>IF(AND(inputs_ok,s_a/2+4*s_a&lt;1000),(60)+(phi_a/2)*-0.923880,NA())</f>
        <v/>
      </c>
      <c r="S16">
        <f>IF(AND(inputs_ok,s_a/2+5*s_a&lt;1000),(s_a/2+5*s_a)+(phi_a/2)*0.382683,NA())</f>
        <v/>
      </c>
      <c r="T16">
        <f>IF(AND(inputs_ok,s_a/2+5*s_a&lt;1000),(60)+(phi_a/2)*-0.923880,NA())</f>
        <v/>
      </c>
      <c r="V16">
        <f>IF(AND(inputs_ok,s_a/2+6*s_a&lt;1000),(s_a/2+6*s_a)+(phi_a/2)*0.382683,NA())</f>
        <v/>
      </c>
      <c r="W16">
        <f>IF(AND(inputs_ok,s_a/2+6*s_a&lt;1000),(60)+(phi_a/2)*-0.923880,NA())</f>
        <v/>
      </c>
      <c r="Y16">
        <f>IF(AND(inputs_ok,s_a/2+7*s_a&lt;1000),(s_a/2+7*s_a)+(phi_a/2)*0.382683,NA())</f>
        <v/>
      </c>
      <c r="Z16">
        <f>IF(AND(inputs_ok,s_a/2+7*s_a&lt;1000),(60)+(phi_a/2)*-0.923880,NA())</f>
        <v/>
      </c>
      <c r="AB16">
        <f>IF(AND(inputs_ok,s_a/2+8*s_a&lt;1000),(s_a/2+8*s_a)+(phi_a/2)*0.382683,NA())</f>
        <v/>
      </c>
      <c r="AC16">
        <f>IF(AND(inputs_ok,s_a/2+8*s_a&lt;1000),(60)+(phi_a/2)*-0.923880,NA())</f>
        <v/>
      </c>
      <c r="AE16">
        <f>IF(AND(inputs_ok,s_a/2+9*s_a&lt;1000),(s_a/2+9*s_a)+(phi_a/2)*0.382683,NA())</f>
        <v/>
      </c>
      <c r="AF16">
        <f>IF(AND(inputs_ok,s_a/2+9*s_a&lt;1000),(60)+(phi_a/2)*-0.923880,NA())</f>
        <v/>
      </c>
      <c r="AH16">
        <f>IF(AND(inputs_ok,s_a/2+10*s_a&lt;1000),(s_a/2+10*s_a)+(phi_a/2)*0.382683,NA())</f>
        <v/>
      </c>
      <c r="AI16">
        <f>IF(AND(inputs_ok,s_a/2+10*s_a&lt;1000),(60)+(phi_a/2)*-0.923880,NA())</f>
        <v/>
      </c>
      <c r="AK16">
        <f>IF(AND(inputs_ok,s_a/2+11*s_a&lt;1000),(s_a/2+11*s_a)+(phi_a/2)*0.382683,NA())</f>
        <v/>
      </c>
      <c r="AL16">
        <f>IF(AND(inputs_ok,s_a/2+11*s_a&lt;1000),(60)+(phi_a/2)*-0.923880,NA())</f>
        <v/>
      </c>
      <c r="AN16">
        <f>IF(AND(inputs_ok,s_a/2+12*s_a&lt;1000),(s_a/2+12*s_a)+(phi_a/2)*0.382683,NA())</f>
        <v/>
      </c>
      <c r="AO16">
        <f>IF(AND(inputs_ok,s_a/2+12*s_a&lt;1000),(60)+(phi_a/2)*-0.923880,NA())</f>
        <v/>
      </c>
      <c r="AQ16">
        <f>IF(AND(inputs_ok,s_a/2+13*s_a&lt;1000),(s_a/2+13*s_a)+(phi_a/2)*0.382683,NA())</f>
        <v/>
      </c>
      <c r="AR16">
        <f>IF(AND(inputs_ok,s_a/2+13*s_a&lt;1000),(60)+(phi_a/2)*-0.923880,NA())</f>
        <v/>
      </c>
      <c r="AT16">
        <f>IF(AND(inputs_ok,s_a/2+14*s_a&lt;1000),(s_a/2+14*s_a)+(phi_a/2)*0.382683,NA())</f>
        <v/>
      </c>
      <c r="AU16">
        <f>IF(AND(inputs_ok,s_a/2+14*s_a&lt;1000),(60)+(phi_a/2)*-0.923880,NA())</f>
        <v/>
      </c>
      <c r="AW16">
        <f>IF(AND(inputs_ok,s_a/2+15*s_a&lt;1000),(s_a/2+15*s_a)+(phi_a/2)*0.382683,NA())</f>
        <v/>
      </c>
      <c r="AX16">
        <f>IF(AND(inputs_ok,s_a/2+15*s_a&lt;1000),(60)+(phi_a/2)*-0.923880,NA())</f>
        <v/>
      </c>
      <c r="AZ16">
        <f>IF(AND(inputs_ok,s_a/2+16*s_a&lt;1000),(s_a/2+16*s_a)+(phi_a/2)*0.382683,NA())</f>
        <v/>
      </c>
      <c r="BA16">
        <f>IF(AND(inputs_ok,s_a/2+16*s_a&lt;1000),(60)+(phi_a/2)*-0.923880,NA())</f>
        <v/>
      </c>
      <c r="BC16">
        <f>IF(AND(inputs_ok,s_a/2+17*s_a&lt;1000),(s_a/2+17*s_a)+(phi_a/2)*0.382683,NA())</f>
        <v/>
      </c>
      <c r="BD16">
        <f>IF(AND(inputs_ok,s_a/2+17*s_a&lt;1000),(60)+(phi_a/2)*-0.923880,NA())</f>
        <v/>
      </c>
      <c r="BF16">
        <f>IF(AND(inputs_ok,s_a/2+18*s_a&lt;1000),(s_a/2+18*s_a)+(phi_a/2)*0.382683,NA())</f>
        <v/>
      </c>
      <c r="BG16">
        <f>IF(AND(inputs_ok,s_a/2+18*s_a&lt;1000),(60)+(phi_a/2)*-0.923880,NA())</f>
        <v/>
      </c>
      <c r="BI16">
        <f>IF(AND(inputs_ok,s_a/2+19*s_a&lt;1000),(s_a/2+19*s_a)+(phi_a/2)*0.382683,NA())</f>
        <v/>
      </c>
      <c r="BJ16">
        <f>IF(AND(inputs_ok,s_a/2+19*s_a&lt;1000),(60)+(phi_a/2)*-0.923880,NA())</f>
        <v/>
      </c>
      <c r="BL16">
        <f>IF(AND(inputs_ok,s_a/2+20*s_a&lt;1000),(s_a/2+20*s_a)+(phi_a/2)*0.382683,NA())</f>
        <v/>
      </c>
      <c r="BM16">
        <f>IF(AND(inputs_ok,s_a/2+20*s_a&lt;1000),(60)+(phi_a/2)*-0.923880,NA())</f>
        <v/>
      </c>
      <c r="BO16">
        <f>IF(AND(inputs_ok,s_a/2+21*s_a&lt;1000),(s_a/2+21*s_a)+(phi_a/2)*0.382683,NA())</f>
        <v/>
      </c>
      <c r="BP16">
        <f>IF(AND(inputs_ok,s_a/2+21*s_a&lt;1000),(60)+(phi_a/2)*-0.923880,NA())</f>
        <v/>
      </c>
      <c r="BR16">
        <f>IF(AND(inputs_ok,s_a/2+22*s_a&lt;1000),(s_a/2+22*s_a)+(phi_a/2)*0.382683,NA())</f>
        <v/>
      </c>
      <c r="BS16">
        <f>IF(AND(inputs_ok,s_a/2+22*s_a&lt;1000),(60)+(phi_a/2)*-0.923880,NA())</f>
        <v/>
      </c>
      <c r="BU16">
        <f>IF(AND(inputs_ok,s_a/2+23*s_a&lt;1000),(s_a/2+23*s_a)+(phi_a/2)*0.382683,NA())</f>
        <v/>
      </c>
      <c r="BV16">
        <f>IF(AND(inputs_ok,s_a/2+23*s_a&lt;1000),(60)+(phi_a/2)*-0.923880,NA())</f>
        <v/>
      </c>
      <c r="BX16">
        <f>IF(AND(inputs_ok,s_a/2+24*s_a&lt;1000),(s_a/2+24*s_a)+(phi_a/2)*0.382683,NA())</f>
        <v/>
      </c>
      <c r="BY16">
        <f>IF(AND(inputs_ok,s_a/2+24*s_a&lt;1000),(60)+(phi_a/2)*-0.923880,NA())</f>
        <v/>
      </c>
      <c r="CA16">
        <f>IF(AND(inputs_ok,s_a/2+25*s_a&lt;1000),(s_a/2+25*s_a)+(phi_a/2)*0.382683,NA())</f>
        <v/>
      </c>
      <c r="CB16">
        <f>IF(AND(inputs_ok,s_a/2+25*s_a&lt;1000),(60)+(phi_a/2)*-0.923880,NA())</f>
        <v/>
      </c>
      <c r="CD16">
        <f>IF(AND(inputs_ok,s_a/2+26*s_a&lt;1000),(s_a/2+26*s_a)+(phi_a/2)*0.382683,NA())</f>
        <v/>
      </c>
      <c r="CE16">
        <f>IF(AND(inputs_ok,s_a/2+26*s_a&lt;1000),(60)+(phi_a/2)*-0.923880,NA())</f>
        <v/>
      </c>
      <c r="CG16">
        <f>IF(AND(inputs_ok,s_a/2+27*s_a&lt;1000),(s_a/2+27*s_a)+(phi_a/2)*0.382683,NA())</f>
        <v/>
      </c>
      <c r="CH16">
        <f>IF(AND(inputs_ok,s_a/2+27*s_a&lt;1000),(60)+(phi_a/2)*-0.923880,NA())</f>
        <v/>
      </c>
      <c r="CJ16">
        <f>IF(AND(inputs_ok,s_a/2+28*s_a&lt;1000),(s_a/2+28*s_a)+(phi_a/2)*0.382683,NA())</f>
        <v/>
      </c>
      <c r="CK16">
        <f>IF(AND(inputs_ok,s_a/2+28*s_a&lt;1000),(60)+(phi_a/2)*-0.923880,NA())</f>
        <v/>
      </c>
      <c r="CM16">
        <f>IF(AND(inputs_ok,s_a/2+29*s_a&lt;1000),(s_a/2+29*s_a)+(phi_a/2)*0.382683,NA())</f>
        <v/>
      </c>
      <c r="CN16">
        <f>IF(AND(inputs_ok,s_a/2+29*s_a&lt;1000),(60)+(phi_a/2)*-0.923880,NA())</f>
        <v/>
      </c>
      <c r="CP16">
        <f>IF(AND(inputs_ok,s_a/2+30*s_a&lt;1000),(s_a/2+30*s_a)+(phi_a/2)*0.382683,NA())</f>
        <v/>
      </c>
      <c r="CQ16">
        <f>IF(AND(inputs_ok,s_a/2+30*s_a&lt;1000),(60)+(phi_a/2)*-0.923880,NA())</f>
        <v/>
      </c>
      <c r="CS16">
        <f>IF(AND(inputs_ok,s_a/2+31*s_a&lt;1000),(s_a/2+31*s_a)+(phi_a/2)*0.382683,NA())</f>
        <v/>
      </c>
      <c r="CT16">
        <f>IF(AND(inputs_ok,s_a/2+31*s_a&lt;1000),(60)+(phi_a/2)*-0.923880,NA())</f>
        <v/>
      </c>
      <c r="CV16">
        <f>IF(AND(inputs_ok,s_a/2+32*s_a&lt;1000),(s_a/2+32*s_a)+(phi_a/2)*0.382683,NA())</f>
        <v/>
      </c>
      <c r="CW16">
        <f>IF(AND(inputs_ok,s_a/2+32*s_a&lt;1000),(60)+(phi_a/2)*-0.923880,NA())</f>
        <v/>
      </c>
      <c r="CY16">
        <f>IF(AND(inputs_ok,s_a/2+33*s_a&lt;1000),(s_a/2+33*s_a)+(phi_a/2)*0.382683,NA())</f>
        <v/>
      </c>
      <c r="CZ16">
        <f>IF(AND(inputs_ok,s_a/2+33*s_a&lt;1000),(60)+(phi_a/2)*-0.923880,NA())</f>
        <v/>
      </c>
      <c r="DB16">
        <f>IF(AND(inputs_ok,s_a/2+34*s_a&lt;1000),(s_a/2+34*s_a)+(phi_a/2)*0.382683,NA())</f>
        <v/>
      </c>
      <c r="DC16">
        <f>IF(AND(inputs_ok,s_a/2+34*s_a&lt;1000),(60)+(phi_a/2)*-0.923880,NA())</f>
        <v/>
      </c>
      <c r="DE16">
        <f>IF(AND(inputs_ok,s_a/2+35*s_a&lt;1000),(s_a/2+35*s_a)+(phi_a/2)*0.382683,NA())</f>
        <v/>
      </c>
      <c r="DF16">
        <f>IF(AND(inputs_ok,s_a/2+35*s_a&lt;1000),(60)+(phi_a/2)*-0.923880,NA())</f>
        <v/>
      </c>
      <c r="DH16">
        <f>IF(AND(inputs_ok,s_a/2+36*s_a&lt;1000),(s_a/2+36*s_a)+(phi_a/2)*0.382683,NA())</f>
        <v/>
      </c>
      <c r="DI16">
        <f>IF(AND(inputs_ok,s_a/2+36*s_a&lt;1000),(60)+(phi_a/2)*-0.923880,NA())</f>
        <v/>
      </c>
      <c r="DK16">
        <f>IF(AND(inputs_ok,s_a/2+37*s_a&lt;1000),(s_a/2+37*s_a)+(phi_a/2)*0.382683,NA())</f>
        <v/>
      </c>
      <c r="DL16">
        <f>IF(AND(inputs_ok,s_a/2+37*s_a&lt;1000),(60)+(phi_a/2)*-0.923880,NA())</f>
        <v/>
      </c>
      <c r="DN16">
        <f>IF(AND(inputs_ok,s_a/2+38*s_a&lt;1000),(s_a/2+38*s_a)+(phi_a/2)*0.382683,NA())</f>
        <v/>
      </c>
      <c r="DO16">
        <f>IF(AND(inputs_ok,s_a/2+38*s_a&lt;1000),(60)+(phi_a/2)*-0.923880,NA())</f>
        <v/>
      </c>
      <c r="DQ16">
        <f>IF(AND(inputs_ok,s_a/2+39*s_a&lt;1000),(s_a/2+39*s_a)+(phi_a/2)*0.382683,NA())</f>
        <v/>
      </c>
      <c r="DR16">
        <f>IF(AND(inputs_ok,s_a/2+39*s_a&lt;1000),(60)+(phi_a/2)*-0.923880,NA())</f>
        <v/>
      </c>
      <c r="DT16">
        <f>IF(AND(inputs_ok,0&lt;n_a),((1000-(n_a-1)*MAX(2*phi_n,phi_n+25))/2+0*MAX(2*phi_n,phi_n+25))+(phi_n/2)*0.382683,NA())</f>
        <v/>
      </c>
      <c r="DU16">
        <f>IF(AND(inputs_ok,0&lt;n_a),(-150)+(phi_n/2)*-0.923880,NA())</f>
        <v/>
      </c>
      <c r="DW16">
        <f>IF(AND(inputs_ok,1&lt;n_a),((1000-(n_a-1)*MAX(2*phi_n,phi_n+25))/2+1*MAX(2*phi_n,phi_n+25))+(phi_n/2)*0.382683,NA())</f>
        <v/>
      </c>
      <c r="DX16">
        <f>IF(AND(inputs_ok,1&lt;n_a),(-150)+(phi_n/2)*-0.923880,NA())</f>
        <v/>
      </c>
      <c r="DZ16">
        <f>IF(AND(inputs_ok,2&lt;n_a),((1000-(n_a-1)*MAX(2*phi_n,phi_n+25))/2+2*MAX(2*phi_n,phi_n+25))+(phi_n/2)*0.382683,NA())</f>
        <v/>
      </c>
      <c r="EA16">
        <f>IF(AND(inputs_ok,2&lt;n_a),(-150)+(phi_n/2)*-0.923880,NA())</f>
        <v/>
      </c>
      <c r="EC16">
        <f>IF(AND(inputs_ok,3&lt;n_a),((1000-(n_a-1)*MAX(2*phi_n,phi_n+25))/2+3*MAX(2*phi_n,phi_n+25))+(phi_n/2)*0.382683,NA())</f>
        <v/>
      </c>
      <c r="ED16">
        <f>IF(AND(inputs_ok,3&lt;n_a),(-150)+(phi_n/2)*-0.923880,NA())</f>
        <v/>
      </c>
      <c r="EF16">
        <f>IF(AND(inputs_ok,4&lt;n_a),((1000-(n_a-1)*MAX(2*phi_n,phi_n+25))/2+4*MAX(2*phi_n,phi_n+25))+(phi_n/2)*0.382683,NA())</f>
        <v/>
      </c>
      <c r="EG16">
        <f>IF(AND(inputs_ok,4&lt;n_a),(-150)+(phi_n/2)*-0.923880,NA())</f>
        <v/>
      </c>
      <c r="EI16">
        <f>IF(AND(inputs_ok,5&lt;n_a),((1000-(n_a-1)*MAX(2*phi_n,phi_n+25))/2+5*MAX(2*phi_n,phi_n+25))+(phi_n/2)*0.382683,NA())</f>
        <v/>
      </c>
      <c r="EJ16">
        <f>IF(AND(inputs_ok,5&lt;n_a),(-150)+(phi_n/2)*-0.923880,NA())</f>
        <v/>
      </c>
      <c r="EL16">
        <f>IF(AND(inputs_ok,6&lt;n_a),((1000-(n_a-1)*MAX(2*phi_n,phi_n+25))/2+6*MAX(2*phi_n,phi_n+25))+(phi_n/2)*0.382683,NA())</f>
        <v/>
      </c>
      <c r="EM16">
        <f>IF(AND(inputs_ok,6&lt;n_a),(-150)+(phi_n/2)*-0.923880,NA())</f>
        <v/>
      </c>
      <c r="EO16">
        <f>IF(AND(inputs_ok,7&lt;n_a),((1000-(n_a-1)*MAX(2*phi_n,phi_n+25))/2+7*MAX(2*phi_n,phi_n+25))+(phi_n/2)*0.382683,NA())</f>
        <v/>
      </c>
      <c r="EP16">
        <f>IF(AND(inputs_ok,7&lt;n_a),(-150)+(phi_n/2)*-0.923880,NA())</f>
        <v/>
      </c>
      <c r="ER16">
        <f>IF(AND(inputs_ok,8&lt;n_a),((1000-(n_a-1)*MAX(2*phi_n,phi_n+25))/2+8*MAX(2*phi_n,phi_n+25))+(phi_n/2)*0.382683,NA())</f>
        <v/>
      </c>
      <c r="ES16">
        <f>IF(AND(inputs_ok,8&lt;n_a),(-150)+(phi_n/2)*-0.923880,NA())</f>
        <v/>
      </c>
      <c r="EU16">
        <f>IF(AND(inputs_ok,9&lt;n_a),((1000-(n_a-1)*MAX(2*phi_n,phi_n+25))/2+9*MAX(2*phi_n,phi_n+25))+(phi_n/2)*0.382683,NA())</f>
        <v/>
      </c>
      <c r="EV16">
        <f>IF(AND(inputs_ok,9&lt;n_a),(-150)+(phi_n/2)*-0.923880,NA())</f>
        <v/>
      </c>
      <c r="EX16">
        <f>IF(AND(inputs_ok,10&lt;n_a),((1000-(n_a-1)*MAX(2*phi_n,phi_n+25))/2+10*MAX(2*phi_n,phi_n+25))+(phi_n/2)*0.382683,NA())</f>
        <v/>
      </c>
      <c r="EY16">
        <f>IF(AND(inputs_ok,10&lt;n_a),(-150)+(phi_n/2)*-0.923880,NA())</f>
        <v/>
      </c>
      <c r="FA16">
        <f>IF(AND(inputs_ok,11&lt;n_a),((1000-(n_a-1)*MAX(2*phi_n,phi_n+25))/2+11*MAX(2*phi_n,phi_n+25))+(phi_n/2)*0.382683,NA())</f>
        <v/>
      </c>
      <c r="FB16">
        <f>IF(AND(inputs_ok,11&lt;n_a),(-150)+(phi_n/2)*-0.923880,NA())</f>
        <v/>
      </c>
      <c r="FD16">
        <f>IF(AND(inputs_ok,12&lt;n_a),((1000-(n_a-1)*MAX(2*phi_n,phi_n+25))/2+12*MAX(2*phi_n,phi_n+25))+(phi_n/2)*0.382683,NA())</f>
        <v/>
      </c>
      <c r="FE16">
        <f>IF(AND(inputs_ok,12&lt;n_a),(-150)+(phi_n/2)*-0.923880,NA())</f>
        <v/>
      </c>
      <c r="FG16">
        <f>IF(AND(inputs_ok,13&lt;n_a),((1000-(n_a-1)*MAX(2*phi_n,phi_n+25))/2+13*MAX(2*phi_n,phi_n+25))+(phi_n/2)*0.382683,NA())</f>
        <v/>
      </c>
      <c r="FH16">
        <f>IF(AND(inputs_ok,13&lt;n_a),(-150)+(phi_n/2)*-0.923880,NA())</f>
        <v/>
      </c>
      <c r="FJ16">
        <f>IF(AND(inputs_ok,14&lt;n_a),((1000-(n_a-1)*MAX(2*phi_n,phi_n+25))/2+14*MAX(2*phi_n,phi_n+25))+(phi_n/2)*0.382683,NA())</f>
        <v/>
      </c>
      <c r="FK16">
        <f>IF(AND(inputs_ok,14&lt;n_a),(-150)+(phi_n/2)*-0.923880,NA())</f>
        <v/>
      </c>
      <c r="FM16">
        <f>IF(AND(inputs_ok,15&lt;n_a),((1000-(n_a-1)*MAX(2*phi_n,phi_n+25))/2+15*MAX(2*phi_n,phi_n+25))+(phi_n/2)*0.382683,NA())</f>
        <v/>
      </c>
      <c r="FN16">
        <f>IF(AND(inputs_ok,15&lt;n_a),(-150)+(phi_n/2)*-0.923880,NA())</f>
        <v/>
      </c>
      <c r="FP16">
        <f>IF(AND(inputs_ok,16&lt;n_a),((1000-(n_a-1)*MAX(2*phi_n,phi_n+25))/2+16*MAX(2*phi_n,phi_n+25))+(phi_n/2)*0.382683,NA())</f>
        <v/>
      </c>
      <c r="FQ16">
        <f>IF(AND(inputs_ok,16&lt;n_a),(-150)+(phi_n/2)*-0.923880,NA())</f>
        <v/>
      </c>
      <c r="FS16">
        <f>IF(AND(inputs_ok,17&lt;n_a),((1000-(n_a-1)*MAX(2*phi_n,phi_n+25))/2+17*MAX(2*phi_n,phi_n+25))+(phi_n/2)*0.382683,NA())</f>
        <v/>
      </c>
      <c r="FT16">
        <f>IF(AND(inputs_ok,17&lt;n_a),(-150)+(phi_n/2)*-0.923880,NA())</f>
        <v/>
      </c>
      <c r="FV16">
        <f>IF(AND(inputs_ok,18&lt;n_a),((1000-(n_a-1)*MAX(2*phi_n,phi_n+25))/2+18*MAX(2*phi_n,phi_n+25))+(phi_n/2)*0.382683,NA())</f>
        <v/>
      </c>
      <c r="FW16">
        <f>IF(AND(inputs_ok,18&lt;n_a),(-150)+(phi_n/2)*-0.923880,NA())</f>
        <v/>
      </c>
      <c r="FY16">
        <f>IF(AND(inputs_ok,19&lt;n_a),((1000-(n_a-1)*MAX(2*phi_n,phi_n+25))/2+19*MAX(2*phi_n,phi_n+25))+(phi_n/2)*0.382683,NA())</f>
        <v/>
      </c>
      <c r="FZ16">
        <f>IF(AND(inputs_ok,19&lt;n_a),(-150)+(phi_n/2)*-0.923880,NA())</f>
        <v/>
      </c>
    </row>
    <row r="17">
      <c r="D17">
        <f>IF(AND(inputs_ok,s_a/2+0*s_a&lt;1000),(s_a/2+0*s_a)+(phi_a/2)*0.707107,NA())</f>
        <v/>
      </c>
      <c r="E17">
        <f>IF(AND(inputs_ok,s_a/2+0*s_a&lt;1000),(60)+(phi_a/2)*-0.707107,NA())</f>
        <v/>
      </c>
      <c r="G17">
        <f>IF(AND(inputs_ok,s_a/2+1*s_a&lt;1000),(s_a/2+1*s_a)+(phi_a/2)*0.707107,NA())</f>
        <v/>
      </c>
      <c r="H17">
        <f>IF(AND(inputs_ok,s_a/2+1*s_a&lt;1000),(60)+(phi_a/2)*-0.707107,NA())</f>
        <v/>
      </c>
      <c r="J17">
        <f>IF(AND(inputs_ok,s_a/2+2*s_a&lt;1000),(s_a/2+2*s_a)+(phi_a/2)*0.707107,NA())</f>
        <v/>
      </c>
      <c r="K17">
        <f>IF(AND(inputs_ok,s_a/2+2*s_a&lt;1000),(60)+(phi_a/2)*-0.707107,NA())</f>
        <v/>
      </c>
      <c r="M17">
        <f>IF(AND(inputs_ok,s_a/2+3*s_a&lt;1000),(s_a/2+3*s_a)+(phi_a/2)*0.707107,NA())</f>
        <v/>
      </c>
      <c r="N17">
        <f>IF(AND(inputs_ok,s_a/2+3*s_a&lt;1000),(60)+(phi_a/2)*-0.707107,NA())</f>
        <v/>
      </c>
      <c r="P17">
        <f>IF(AND(inputs_ok,s_a/2+4*s_a&lt;1000),(s_a/2+4*s_a)+(phi_a/2)*0.707107,NA())</f>
        <v/>
      </c>
      <c r="Q17">
        <f>IF(AND(inputs_ok,s_a/2+4*s_a&lt;1000),(60)+(phi_a/2)*-0.707107,NA())</f>
        <v/>
      </c>
      <c r="S17">
        <f>IF(AND(inputs_ok,s_a/2+5*s_a&lt;1000),(s_a/2+5*s_a)+(phi_a/2)*0.707107,NA())</f>
        <v/>
      </c>
      <c r="T17">
        <f>IF(AND(inputs_ok,s_a/2+5*s_a&lt;1000),(60)+(phi_a/2)*-0.707107,NA())</f>
        <v/>
      </c>
      <c r="V17">
        <f>IF(AND(inputs_ok,s_a/2+6*s_a&lt;1000),(s_a/2+6*s_a)+(phi_a/2)*0.707107,NA())</f>
        <v/>
      </c>
      <c r="W17">
        <f>IF(AND(inputs_ok,s_a/2+6*s_a&lt;1000),(60)+(phi_a/2)*-0.707107,NA())</f>
        <v/>
      </c>
      <c r="Y17">
        <f>IF(AND(inputs_ok,s_a/2+7*s_a&lt;1000),(s_a/2+7*s_a)+(phi_a/2)*0.707107,NA())</f>
        <v/>
      </c>
      <c r="Z17">
        <f>IF(AND(inputs_ok,s_a/2+7*s_a&lt;1000),(60)+(phi_a/2)*-0.707107,NA())</f>
        <v/>
      </c>
      <c r="AB17">
        <f>IF(AND(inputs_ok,s_a/2+8*s_a&lt;1000),(s_a/2+8*s_a)+(phi_a/2)*0.707107,NA())</f>
        <v/>
      </c>
      <c r="AC17">
        <f>IF(AND(inputs_ok,s_a/2+8*s_a&lt;1000),(60)+(phi_a/2)*-0.707107,NA())</f>
        <v/>
      </c>
      <c r="AE17">
        <f>IF(AND(inputs_ok,s_a/2+9*s_a&lt;1000),(s_a/2+9*s_a)+(phi_a/2)*0.707107,NA())</f>
        <v/>
      </c>
      <c r="AF17">
        <f>IF(AND(inputs_ok,s_a/2+9*s_a&lt;1000),(60)+(phi_a/2)*-0.707107,NA())</f>
        <v/>
      </c>
      <c r="AH17">
        <f>IF(AND(inputs_ok,s_a/2+10*s_a&lt;1000),(s_a/2+10*s_a)+(phi_a/2)*0.707107,NA())</f>
        <v/>
      </c>
      <c r="AI17">
        <f>IF(AND(inputs_ok,s_a/2+10*s_a&lt;1000),(60)+(phi_a/2)*-0.707107,NA())</f>
        <v/>
      </c>
      <c r="AK17">
        <f>IF(AND(inputs_ok,s_a/2+11*s_a&lt;1000),(s_a/2+11*s_a)+(phi_a/2)*0.707107,NA())</f>
        <v/>
      </c>
      <c r="AL17">
        <f>IF(AND(inputs_ok,s_a/2+11*s_a&lt;1000),(60)+(phi_a/2)*-0.707107,NA())</f>
        <v/>
      </c>
      <c r="AN17">
        <f>IF(AND(inputs_ok,s_a/2+12*s_a&lt;1000),(s_a/2+12*s_a)+(phi_a/2)*0.707107,NA())</f>
        <v/>
      </c>
      <c r="AO17">
        <f>IF(AND(inputs_ok,s_a/2+12*s_a&lt;1000),(60)+(phi_a/2)*-0.707107,NA())</f>
        <v/>
      </c>
      <c r="AQ17">
        <f>IF(AND(inputs_ok,s_a/2+13*s_a&lt;1000),(s_a/2+13*s_a)+(phi_a/2)*0.707107,NA())</f>
        <v/>
      </c>
      <c r="AR17">
        <f>IF(AND(inputs_ok,s_a/2+13*s_a&lt;1000),(60)+(phi_a/2)*-0.707107,NA())</f>
        <v/>
      </c>
      <c r="AT17">
        <f>IF(AND(inputs_ok,s_a/2+14*s_a&lt;1000),(s_a/2+14*s_a)+(phi_a/2)*0.707107,NA())</f>
        <v/>
      </c>
      <c r="AU17">
        <f>IF(AND(inputs_ok,s_a/2+14*s_a&lt;1000),(60)+(phi_a/2)*-0.707107,NA())</f>
        <v/>
      </c>
      <c r="AW17">
        <f>IF(AND(inputs_ok,s_a/2+15*s_a&lt;1000),(s_a/2+15*s_a)+(phi_a/2)*0.707107,NA())</f>
        <v/>
      </c>
      <c r="AX17">
        <f>IF(AND(inputs_ok,s_a/2+15*s_a&lt;1000),(60)+(phi_a/2)*-0.707107,NA())</f>
        <v/>
      </c>
      <c r="AZ17">
        <f>IF(AND(inputs_ok,s_a/2+16*s_a&lt;1000),(s_a/2+16*s_a)+(phi_a/2)*0.707107,NA())</f>
        <v/>
      </c>
      <c r="BA17">
        <f>IF(AND(inputs_ok,s_a/2+16*s_a&lt;1000),(60)+(phi_a/2)*-0.707107,NA())</f>
        <v/>
      </c>
      <c r="BC17">
        <f>IF(AND(inputs_ok,s_a/2+17*s_a&lt;1000),(s_a/2+17*s_a)+(phi_a/2)*0.707107,NA())</f>
        <v/>
      </c>
      <c r="BD17">
        <f>IF(AND(inputs_ok,s_a/2+17*s_a&lt;1000),(60)+(phi_a/2)*-0.707107,NA())</f>
        <v/>
      </c>
      <c r="BF17">
        <f>IF(AND(inputs_ok,s_a/2+18*s_a&lt;1000),(s_a/2+18*s_a)+(phi_a/2)*0.707107,NA())</f>
        <v/>
      </c>
      <c r="BG17">
        <f>IF(AND(inputs_ok,s_a/2+18*s_a&lt;1000),(60)+(phi_a/2)*-0.707107,NA())</f>
        <v/>
      </c>
      <c r="BI17">
        <f>IF(AND(inputs_ok,s_a/2+19*s_a&lt;1000),(s_a/2+19*s_a)+(phi_a/2)*0.707107,NA())</f>
        <v/>
      </c>
      <c r="BJ17">
        <f>IF(AND(inputs_ok,s_a/2+19*s_a&lt;1000),(60)+(phi_a/2)*-0.707107,NA())</f>
        <v/>
      </c>
      <c r="BL17">
        <f>IF(AND(inputs_ok,s_a/2+20*s_a&lt;1000),(s_a/2+20*s_a)+(phi_a/2)*0.707107,NA())</f>
        <v/>
      </c>
      <c r="BM17">
        <f>IF(AND(inputs_ok,s_a/2+20*s_a&lt;1000),(60)+(phi_a/2)*-0.707107,NA())</f>
        <v/>
      </c>
      <c r="BO17">
        <f>IF(AND(inputs_ok,s_a/2+21*s_a&lt;1000),(s_a/2+21*s_a)+(phi_a/2)*0.707107,NA())</f>
        <v/>
      </c>
      <c r="BP17">
        <f>IF(AND(inputs_ok,s_a/2+21*s_a&lt;1000),(60)+(phi_a/2)*-0.707107,NA())</f>
        <v/>
      </c>
      <c r="BR17">
        <f>IF(AND(inputs_ok,s_a/2+22*s_a&lt;1000),(s_a/2+22*s_a)+(phi_a/2)*0.707107,NA())</f>
        <v/>
      </c>
      <c r="BS17">
        <f>IF(AND(inputs_ok,s_a/2+22*s_a&lt;1000),(60)+(phi_a/2)*-0.707107,NA())</f>
        <v/>
      </c>
      <c r="BU17">
        <f>IF(AND(inputs_ok,s_a/2+23*s_a&lt;1000),(s_a/2+23*s_a)+(phi_a/2)*0.707107,NA())</f>
        <v/>
      </c>
      <c r="BV17">
        <f>IF(AND(inputs_ok,s_a/2+23*s_a&lt;1000),(60)+(phi_a/2)*-0.707107,NA())</f>
        <v/>
      </c>
      <c r="BX17">
        <f>IF(AND(inputs_ok,s_a/2+24*s_a&lt;1000),(s_a/2+24*s_a)+(phi_a/2)*0.707107,NA())</f>
        <v/>
      </c>
      <c r="BY17">
        <f>IF(AND(inputs_ok,s_a/2+24*s_a&lt;1000),(60)+(phi_a/2)*-0.707107,NA())</f>
        <v/>
      </c>
      <c r="CA17">
        <f>IF(AND(inputs_ok,s_a/2+25*s_a&lt;1000),(s_a/2+25*s_a)+(phi_a/2)*0.707107,NA())</f>
        <v/>
      </c>
      <c r="CB17">
        <f>IF(AND(inputs_ok,s_a/2+25*s_a&lt;1000),(60)+(phi_a/2)*-0.707107,NA())</f>
        <v/>
      </c>
      <c r="CD17">
        <f>IF(AND(inputs_ok,s_a/2+26*s_a&lt;1000),(s_a/2+26*s_a)+(phi_a/2)*0.707107,NA())</f>
        <v/>
      </c>
      <c r="CE17">
        <f>IF(AND(inputs_ok,s_a/2+26*s_a&lt;1000),(60)+(phi_a/2)*-0.707107,NA())</f>
        <v/>
      </c>
      <c r="CG17">
        <f>IF(AND(inputs_ok,s_a/2+27*s_a&lt;1000),(s_a/2+27*s_a)+(phi_a/2)*0.707107,NA())</f>
        <v/>
      </c>
      <c r="CH17">
        <f>IF(AND(inputs_ok,s_a/2+27*s_a&lt;1000),(60)+(phi_a/2)*-0.707107,NA())</f>
        <v/>
      </c>
      <c r="CJ17">
        <f>IF(AND(inputs_ok,s_a/2+28*s_a&lt;1000),(s_a/2+28*s_a)+(phi_a/2)*0.707107,NA())</f>
        <v/>
      </c>
      <c r="CK17">
        <f>IF(AND(inputs_ok,s_a/2+28*s_a&lt;1000),(60)+(phi_a/2)*-0.707107,NA())</f>
        <v/>
      </c>
      <c r="CM17">
        <f>IF(AND(inputs_ok,s_a/2+29*s_a&lt;1000),(s_a/2+29*s_a)+(phi_a/2)*0.707107,NA())</f>
        <v/>
      </c>
      <c r="CN17">
        <f>IF(AND(inputs_ok,s_a/2+29*s_a&lt;1000),(60)+(phi_a/2)*-0.707107,NA())</f>
        <v/>
      </c>
      <c r="CP17">
        <f>IF(AND(inputs_ok,s_a/2+30*s_a&lt;1000),(s_a/2+30*s_a)+(phi_a/2)*0.707107,NA())</f>
        <v/>
      </c>
      <c r="CQ17">
        <f>IF(AND(inputs_ok,s_a/2+30*s_a&lt;1000),(60)+(phi_a/2)*-0.707107,NA())</f>
        <v/>
      </c>
      <c r="CS17">
        <f>IF(AND(inputs_ok,s_a/2+31*s_a&lt;1000),(s_a/2+31*s_a)+(phi_a/2)*0.707107,NA())</f>
        <v/>
      </c>
      <c r="CT17">
        <f>IF(AND(inputs_ok,s_a/2+31*s_a&lt;1000),(60)+(phi_a/2)*-0.707107,NA())</f>
        <v/>
      </c>
      <c r="CV17">
        <f>IF(AND(inputs_ok,s_a/2+32*s_a&lt;1000),(s_a/2+32*s_a)+(phi_a/2)*0.707107,NA())</f>
        <v/>
      </c>
      <c r="CW17">
        <f>IF(AND(inputs_ok,s_a/2+32*s_a&lt;1000),(60)+(phi_a/2)*-0.707107,NA())</f>
        <v/>
      </c>
      <c r="CY17">
        <f>IF(AND(inputs_ok,s_a/2+33*s_a&lt;1000),(s_a/2+33*s_a)+(phi_a/2)*0.707107,NA())</f>
        <v/>
      </c>
      <c r="CZ17">
        <f>IF(AND(inputs_ok,s_a/2+33*s_a&lt;1000),(60)+(phi_a/2)*-0.707107,NA())</f>
        <v/>
      </c>
      <c r="DB17">
        <f>IF(AND(inputs_ok,s_a/2+34*s_a&lt;1000),(s_a/2+34*s_a)+(phi_a/2)*0.707107,NA())</f>
        <v/>
      </c>
      <c r="DC17">
        <f>IF(AND(inputs_ok,s_a/2+34*s_a&lt;1000),(60)+(phi_a/2)*-0.707107,NA())</f>
        <v/>
      </c>
      <c r="DE17">
        <f>IF(AND(inputs_ok,s_a/2+35*s_a&lt;1000),(s_a/2+35*s_a)+(phi_a/2)*0.707107,NA())</f>
        <v/>
      </c>
      <c r="DF17">
        <f>IF(AND(inputs_ok,s_a/2+35*s_a&lt;1000),(60)+(phi_a/2)*-0.707107,NA())</f>
        <v/>
      </c>
      <c r="DH17">
        <f>IF(AND(inputs_ok,s_a/2+36*s_a&lt;1000),(s_a/2+36*s_a)+(phi_a/2)*0.707107,NA())</f>
        <v/>
      </c>
      <c r="DI17">
        <f>IF(AND(inputs_ok,s_a/2+36*s_a&lt;1000),(60)+(phi_a/2)*-0.707107,NA())</f>
        <v/>
      </c>
      <c r="DK17">
        <f>IF(AND(inputs_ok,s_a/2+37*s_a&lt;1000),(s_a/2+37*s_a)+(phi_a/2)*0.707107,NA())</f>
        <v/>
      </c>
      <c r="DL17">
        <f>IF(AND(inputs_ok,s_a/2+37*s_a&lt;1000),(60)+(phi_a/2)*-0.707107,NA())</f>
        <v/>
      </c>
      <c r="DN17">
        <f>IF(AND(inputs_ok,s_a/2+38*s_a&lt;1000),(s_a/2+38*s_a)+(phi_a/2)*0.707107,NA())</f>
        <v/>
      </c>
      <c r="DO17">
        <f>IF(AND(inputs_ok,s_a/2+38*s_a&lt;1000),(60)+(phi_a/2)*-0.707107,NA())</f>
        <v/>
      </c>
      <c r="DQ17">
        <f>IF(AND(inputs_ok,s_a/2+39*s_a&lt;1000),(s_a/2+39*s_a)+(phi_a/2)*0.707107,NA())</f>
        <v/>
      </c>
      <c r="DR17">
        <f>IF(AND(inputs_ok,s_a/2+39*s_a&lt;1000),(60)+(phi_a/2)*-0.707107,NA())</f>
        <v/>
      </c>
      <c r="DT17">
        <f>IF(AND(inputs_ok,0&lt;n_a),((1000-(n_a-1)*MAX(2*phi_n,phi_n+25))/2+0*MAX(2*phi_n,phi_n+25))+(phi_n/2)*0.707107,NA())</f>
        <v/>
      </c>
      <c r="DU17">
        <f>IF(AND(inputs_ok,0&lt;n_a),(-150)+(phi_n/2)*-0.707107,NA())</f>
        <v/>
      </c>
      <c r="DW17">
        <f>IF(AND(inputs_ok,1&lt;n_a),((1000-(n_a-1)*MAX(2*phi_n,phi_n+25))/2+1*MAX(2*phi_n,phi_n+25))+(phi_n/2)*0.707107,NA())</f>
        <v/>
      </c>
      <c r="DX17">
        <f>IF(AND(inputs_ok,1&lt;n_a),(-150)+(phi_n/2)*-0.707107,NA())</f>
        <v/>
      </c>
      <c r="DZ17">
        <f>IF(AND(inputs_ok,2&lt;n_a),((1000-(n_a-1)*MAX(2*phi_n,phi_n+25))/2+2*MAX(2*phi_n,phi_n+25))+(phi_n/2)*0.707107,NA())</f>
        <v/>
      </c>
      <c r="EA17">
        <f>IF(AND(inputs_ok,2&lt;n_a),(-150)+(phi_n/2)*-0.707107,NA())</f>
        <v/>
      </c>
      <c r="EC17">
        <f>IF(AND(inputs_ok,3&lt;n_a),((1000-(n_a-1)*MAX(2*phi_n,phi_n+25))/2+3*MAX(2*phi_n,phi_n+25))+(phi_n/2)*0.707107,NA())</f>
        <v/>
      </c>
      <c r="ED17">
        <f>IF(AND(inputs_ok,3&lt;n_a),(-150)+(phi_n/2)*-0.707107,NA())</f>
        <v/>
      </c>
      <c r="EF17">
        <f>IF(AND(inputs_ok,4&lt;n_a),((1000-(n_a-1)*MAX(2*phi_n,phi_n+25))/2+4*MAX(2*phi_n,phi_n+25))+(phi_n/2)*0.707107,NA())</f>
        <v/>
      </c>
      <c r="EG17">
        <f>IF(AND(inputs_ok,4&lt;n_a),(-150)+(phi_n/2)*-0.707107,NA())</f>
        <v/>
      </c>
      <c r="EI17">
        <f>IF(AND(inputs_ok,5&lt;n_a),((1000-(n_a-1)*MAX(2*phi_n,phi_n+25))/2+5*MAX(2*phi_n,phi_n+25))+(phi_n/2)*0.707107,NA())</f>
        <v/>
      </c>
      <c r="EJ17">
        <f>IF(AND(inputs_ok,5&lt;n_a),(-150)+(phi_n/2)*-0.707107,NA())</f>
        <v/>
      </c>
      <c r="EL17">
        <f>IF(AND(inputs_ok,6&lt;n_a),((1000-(n_a-1)*MAX(2*phi_n,phi_n+25))/2+6*MAX(2*phi_n,phi_n+25))+(phi_n/2)*0.707107,NA())</f>
        <v/>
      </c>
      <c r="EM17">
        <f>IF(AND(inputs_ok,6&lt;n_a),(-150)+(phi_n/2)*-0.707107,NA())</f>
        <v/>
      </c>
      <c r="EO17">
        <f>IF(AND(inputs_ok,7&lt;n_a),((1000-(n_a-1)*MAX(2*phi_n,phi_n+25))/2+7*MAX(2*phi_n,phi_n+25))+(phi_n/2)*0.707107,NA())</f>
        <v/>
      </c>
      <c r="EP17">
        <f>IF(AND(inputs_ok,7&lt;n_a),(-150)+(phi_n/2)*-0.707107,NA())</f>
        <v/>
      </c>
      <c r="ER17">
        <f>IF(AND(inputs_ok,8&lt;n_a),((1000-(n_a-1)*MAX(2*phi_n,phi_n+25))/2+8*MAX(2*phi_n,phi_n+25))+(phi_n/2)*0.707107,NA())</f>
        <v/>
      </c>
      <c r="ES17">
        <f>IF(AND(inputs_ok,8&lt;n_a),(-150)+(phi_n/2)*-0.707107,NA())</f>
        <v/>
      </c>
      <c r="EU17">
        <f>IF(AND(inputs_ok,9&lt;n_a),((1000-(n_a-1)*MAX(2*phi_n,phi_n+25))/2+9*MAX(2*phi_n,phi_n+25))+(phi_n/2)*0.707107,NA())</f>
        <v/>
      </c>
      <c r="EV17">
        <f>IF(AND(inputs_ok,9&lt;n_a),(-150)+(phi_n/2)*-0.707107,NA())</f>
        <v/>
      </c>
      <c r="EX17">
        <f>IF(AND(inputs_ok,10&lt;n_a),((1000-(n_a-1)*MAX(2*phi_n,phi_n+25))/2+10*MAX(2*phi_n,phi_n+25))+(phi_n/2)*0.707107,NA())</f>
        <v/>
      </c>
      <c r="EY17">
        <f>IF(AND(inputs_ok,10&lt;n_a),(-150)+(phi_n/2)*-0.707107,NA())</f>
        <v/>
      </c>
      <c r="FA17">
        <f>IF(AND(inputs_ok,11&lt;n_a),((1000-(n_a-1)*MAX(2*phi_n,phi_n+25))/2+11*MAX(2*phi_n,phi_n+25))+(phi_n/2)*0.707107,NA())</f>
        <v/>
      </c>
      <c r="FB17">
        <f>IF(AND(inputs_ok,11&lt;n_a),(-150)+(phi_n/2)*-0.707107,NA())</f>
        <v/>
      </c>
      <c r="FD17">
        <f>IF(AND(inputs_ok,12&lt;n_a),((1000-(n_a-1)*MAX(2*phi_n,phi_n+25))/2+12*MAX(2*phi_n,phi_n+25))+(phi_n/2)*0.707107,NA())</f>
        <v/>
      </c>
      <c r="FE17">
        <f>IF(AND(inputs_ok,12&lt;n_a),(-150)+(phi_n/2)*-0.707107,NA())</f>
        <v/>
      </c>
      <c r="FG17">
        <f>IF(AND(inputs_ok,13&lt;n_a),((1000-(n_a-1)*MAX(2*phi_n,phi_n+25))/2+13*MAX(2*phi_n,phi_n+25))+(phi_n/2)*0.707107,NA())</f>
        <v/>
      </c>
      <c r="FH17">
        <f>IF(AND(inputs_ok,13&lt;n_a),(-150)+(phi_n/2)*-0.707107,NA())</f>
        <v/>
      </c>
      <c r="FJ17">
        <f>IF(AND(inputs_ok,14&lt;n_a),((1000-(n_a-1)*MAX(2*phi_n,phi_n+25))/2+14*MAX(2*phi_n,phi_n+25))+(phi_n/2)*0.707107,NA())</f>
        <v/>
      </c>
      <c r="FK17">
        <f>IF(AND(inputs_ok,14&lt;n_a),(-150)+(phi_n/2)*-0.707107,NA())</f>
        <v/>
      </c>
      <c r="FM17">
        <f>IF(AND(inputs_ok,15&lt;n_a),((1000-(n_a-1)*MAX(2*phi_n,phi_n+25))/2+15*MAX(2*phi_n,phi_n+25))+(phi_n/2)*0.707107,NA())</f>
        <v/>
      </c>
      <c r="FN17">
        <f>IF(AND(inputs_ok,15&lt;n_a),(-150)+(phi_n/2)*-0.707107,NA())</f>
        <v/>
      </c>
      <c r="FP17">
        <f>IF(AND(inputs_ok,16&lt;n_a),((1000-(n_a-1)*MAX(2*phi_n,phi_n+25))/2+16*MAX(2*phi_n,phi_n+25))+(phi_n/2)*0.707107,NA())</f>
        <v/>
      </c>
      <c r="FQ17">
        <f>IF(AND(inputs_ok,16&lt;n_a),(-150)+(phi_n/2)*-0.707107,NA())</f>
        <v/>
      </c>
      <c r="FS17">
        <f>IF(AND(inputs_ok,17&lt;n_a),((1000-(n_a-1)*MAX(2*phi_n,phi_n+25))/2+17*MAX(2*phi_n,phi_n+25))+(phi_n/2)*0.707107,NA())</f>
        <v/>
      </c>
      <c r="FT17">
        <f>IF(AND(inputs_ok,17&lt;n_a),(-150)+(phi_n/2)*-0.707107,NA())</f>
        <v/>
      </c>
      <c r="FV17">
        <f>IF(AND(inputs_ok,18&lt;n_a),((1000-(n_a-1)*MAX(2*phi_n,phi_n+25))/2+18*MAX(2*phi_n,phi_n+25))+(phi_n/2)*0.707107,NA())</f>
        <v/>
      </c>
      <c r="FW17">
        <f>IF(AND(inputs_ok,18&lt;n_a),(-150)+(phi_n/2)*-0.707107,NA())</f>
        <v/>
      </c>
      <c r="FY17">
        <f>IF(AND(inputs_ok,19&lt;n_a),((1000-(n_a-1)*MAX(2*phi_n,phi_n+25))/2+19*MAX(2*phi_n,phi_n+25))+(phi_n/2)*0.707107,NA())</f>
        <v/>
      </c>
      <c r="FZ17">
        <f>IF(AND(inputs_ok,19&lt;n_a),(-150)+(phi_n/2)*-0.707107,NA())</f>
        <v/>
      </c>
    </row>
    <row r="18">
      <c r="D18">
        <f>IF(AND(inputs_ok,s_a/2+0*s_a&lt;1000),(s_a/2+0*s_a)+(phi_a/2)*0.923880,NA())</f>
        <v/>
      </c>
      <c r="E18">
        <f>IF(AND(inputs_ok,s_a/2+0*s_a&lt;1000),(60)+(phi_a/2)*-0.382683,NA())</f>
        <v/>
      </c>
      <c r="G18">
        <f>IF(AND(inputs_ok,s_a/2+1*s_a&lt;1000),(s_a/2+1*s_a)+(phi_a/2)*0.923880,NA())</f>
        <v/>
      </c>
      <c r="H18">
        <f>IF(AND(inputs_ok,s_a/2+1*s_a&lt;1000),(60)+(phi_a/2)*-0.382683,NA())</f>
        <v/>
      </c>
      <c r="J18">
        <f>IF(AND(inputs_ok,s_a/2+2*s_a&lt;1000),(s_a/2+2*s_a)+(phi_a/2)*0.923880,NA())</f>
        <v/>
      </c>
      <c r="K18">
        <f>IF(AND(inputs_ok,s_a/2+2*s_a&lt;1000),(60)+(phi_a/2)*-0.382683,NA())</f>
        <v/>
      </c>
      <c r="M18">
        <f>IF(AND(inputs_ok,s_a/2+3*s_a&lt;1000),(s_a/2+3*s_a)+(phi_a/2)*0.923880,NA())</f>
        <v/>
      </c>
      <c r="N18">
        <f>IF(AND(inputs_ok,s_a/2+3*s_a&lt;1000),(60)+(phi_a/2)*-0.382683,NA())</f>
        <v/>
      </c>
      <c r="P18">
        <f>IF(AND(inputs_ok,s_a/2+4*s_a&lt;1000),(s_a/2+4*s_a)+(phi_a/2)*0.923880,NA())</f>
        <v/>
      </c>
      <c r="Q18">
        <f>IF(AND(inputs_ok,s_a/2+4*s_a&lt;1000),(60)+(phi_a/2)*-0.382683,NA())</f>
        <v/>
      </c>
      <c r="S18">
        <f>IF(AND(inputs_ok,s_a/2+5*s_a&lt;1000),(s_a/2+5*s_a)+(phi_a/2)*0.923880,NA())</f>
        <v/>
      </c>
      <c r="T18">
        <f>IF(AND(inputs_ok,s_a/2+5*s_a&lt;1000),(60)+(phi_a/2)*-0.382683,NA())</f>
        <v/>
      </c>
      <c r="V18">
        <f>IF(AND(inputs_ok,s_a/2+6*s_a&lt;1000),(s_a/2+6*s_a)+(phi_a/2)*0.923880,NA())</f>
        <v/>
      </c>
      <c r="W18">
        <f>IF(AND(inputs_ok,s_a/2+6*s_a&lt;1000),(60)+(phi_a/2)*-0.382683,NA())</f>
        <v/>
      </c>
      <c r="Y18">
        <f>IF(AND(inputs_ok,s_a/2+7*s_a&lt;1000),(s_a/2+7*s_a)+(phi_a/2)*0.923880,NA())</f>
        <v/>
      </c>
      <c r="Z18">
        <f>IF(AND(inputs_ok,s_a/2+7*s_a&lt;1000),(60)+(phi_a/2)*-0.382683,NA())</f>
        <v/>
      </c>
      <c r="AB18">
        <f>IF(AND(inputs_ok,s_a/2+8*s_a&lt;1000),(s_a/2+8*s_a)+(phi_a/2)*0.923880,NA())</f>
        <v/>
      </c>
      <c r="AC18">
        <f>IF(AND(inputs_ok,s_a/2+8*s_a&lt;1000),(60)+(phi_a/2)*-0.382683,NA())</f>
        <v/>
      </c>
      <c r="AE18">
        <f>IF(AND(inputs_ok,s_a/2+9*s_a&lt;1000),(s_a/2+9*s_a)+(phi_a/2)*0.923880,NA())</f>
        <v/>
      </c>
      <c r="AF18">
        <f>IF(AND(inputs_ok,s_a/2+9*s_a&lt;1000),(60)+(phi_a/2)*-0.382683,NA())</f>
        <v/>
      </c>
      <c r="AH18">
        <f>IF(AND(inputs_ok,s_a/2+10*s_a&lt;1000),(s_a/2+10*s_a)+(phi_a/2)*0.923880,NA())</f>
        <v/>
      </c>
      <c r="AI18">
        <f>IF(AND(inputs_ok,s_a/2+10*s_a&lt;1000),(60)+(phi_a/2)*-0.382683,NA())</f>
        <v/>
      </c>
      <c r="AK18">
        <f>IF(AND(inputs_ok,s_a/2+11*s_a&lt;1000),(s_a/2+11*s_a)+(phi_a/2)*0.923880,NA())</f>
        <v/>
      </c>
      <c r="AL18">
        <f>IF(AND(inputs_ok,s_a/2+11*s_a&lt;1000),(60)+(phi_a/2)*-0.382683,NA())</f>
        <v/>
      </c>
      <c r="AN18">
        <f>IF(AND(inputs_ok,s_a/2+12*s_a&lt;1000),(s_a/2+12*s_a)+(phi_a/2)*0.923880,NA())</f>
        <v/>
      </c>
      <c r="AO18">
        <f>IF(AND(inputs_ok,s_a/2+12*s_a&lt;1000),(60)+(phi_a/2)*-0.382683,NA())</f>
        <v/>
      </c>
      <c r="AQ18">
        <f>IF(AND(inputs_ok,s_a/2+13*s_a&lt;1000),(s_a/2+13*s_a)+(phi_a/2)*0.923880,NA())</f>
        <v/>
      </c>
      <c r="AR18">
        <f>IF(AND(inputs_ok,s_a/2+13*s_a&lt;1000),(60)+(phi_a/2)*-0.382683,NA())</f>
        <v/>
      </c>
      <c r="AT18">
        <f>IF(AND(inputs_ok,s_a/2+14*s_a&lt;1000),(s_a/2+14*s_a)+(phi_a/2)*0.923880,NA())</f>
        <v/>
      </c>
      <c r="AU18">
        <f>IF(AND(inputs_ok,s_a/2+14*s_a&lt;1000),(60)+(phi_a/2)*-0.382683,NA())</f>
        <v/>
      </c>
      <c r="AW18">
        <f>IF(AND(inputs_ok,s_a/2+15*s_a&lt;1000),(s_a/2+15*s_a)+(phi_a/2)*0.923880,NA())</f>
        <v/>
      </c>
      <c r="AX18">
        <f>IF(AND(inputs_ok,s_a/2+15*s_a&lt;1000),(60)+(phi_a/2)*-0.382683,NA())</f>
        <v/>
      </c>
      <c r="AZ18">
        <f>IF(AND(inputs_ok,s_a/2+16*s_a&lt;1000),(s_a/2+16*s_a)+(phi_a/2)*0.923880,NA())</f>
        <v/>
      </c>
      <c r="BA18">
        <f>IF(AND(inputs_ok,s_a/2+16*s_a&lt;1000),(60)+(phi_a/2)*-0.382683,NA())</f>
        <v/>
      </c>
      <c r="BC18">
        <f>IF(AND(inputs_ok,s_a/2+17*s_a&lt;1000),(s_a/2+17*s_a)+(phi_a/2)*0.923880,NA())</f>
        <v/>
      </c>
      <c r="BD18">
        <f>IF(AND(inputs_ok,s_a/2+17*s_a&lt;1000),(60)+(phi_a/2)*-0.382683,NA())</f>
        <v/>
      </c>
      <c r="BF18">
        <f>IF(AND(inputs_ok,s_a/2+18*s_a&lt;1000),(s_a/2+18*s_a)+(phi_a/2)*0.923880,NA())</f>
        <v/>
      </c>
      <c r="BG18">
        <f>IF(AND(inputs_ok,s_a/2+18*s_a&lt;1000),(60)+(phi_a/2)*-0.382683,NA())</f>
        <v/>
      </c>
      <c r="BI18">
        <f>IF(AND(inputs_ok,s_a/2+19*s_a&lt;1000),(s_a/2+19*s_a)+(phi_a/2)*0.923880,NA())</f>
        <v/>
      </c>
      <c r="BJ18">
        <f>IF(AND(inputs_ok,s_a/2+19*s_a&lt;1000),(60)+(phi_a/2)*-0.382683,NA())</f>
        <v/>
      </c>
      <c r="BL18">
        <f>IF(AND(inputs_ok,s_a/2+20*s_a&lt;1000),(s_a/2+20*s_a)+(phi_a/2)*0.923880,NA())</f>
        <v/>
      </c>
      <c r="BM18">
        <f>IF(AND(inputs_ok,s_a/2+20*s_a&lt;1000),(60)+(phi_a/2)*-0.382683,NA())</f>
        <v/>
      </c>
      <c r="BO18">
        <f>IF(AND(inputs_ok,s_a/2+21*s_a&lt;1000),(s_a/2+21*s_a)+(phi_a/2)*0.923880,NA())</f>
        <v/>
      </c>
      <c r="BP18">
        <f>IF(AND(inputs_ok,s_a/2+21*s_a&lt;1000),(60)+(phi_a/2)*-0.382683,NA())</f>
        <v/>
      </c>
      <c r="BR18">
        <f>IF(AND(inputs_ok,s_a/2+22*s_a&lt;1000),(s_a/2+22*s_a)+(phi_a/2)*0.923880,NA())</f>
        <v/>
      </c>
      <c r="BS18">
        <f>IF(AND(inputs_ok,s_a/2+22*s_a&lt;1000),(60)+(phi_a/2)*-0.382683,NA())</f>
        <v/>
      </c>
      <c r="BU18">
        <f>IF(AND(inputs_ok,s_a/2+23*s_a&lt;1000),(s_a/2+23*s_a)+(phi_a/2)*0.923880,NA())</f>
        <v/>
      </c>
      <c r="BV18">
        <f>IF(AND(inputs_ok,s_a/2+23*s_a&lt;1000),(60)+(phi_a/2)*-0.382683,NA())</f>
        <v/>
      </c>
      <c r="BX18">
        <f>IF(AND(inputs_ok,s_a/2+24*s_a&lt;1000),(s_a/2+24*s_a)+(phi_a/2)*0.923880,NA())</f>
        <v/>
      </c>
      <c r="BY18">
        <f>IF(AND(inputs_ok,s_a/2+24*s_a&lt;1000),(60)+(phi_a/2)*-0.382683,NA())</f>
        <v/>
      </c>
      <c r="CA18">
        <f>IF(AND(inputs_ok,s_a/2+25*s_a&lt;1000),(s_a/2+25*s_a)+(phi_a/2)*0.923880,NA())</f>
        <v/>
      </c>
      <c r="CB18">
        <f>IF(AND(inputs_ok,s_a/2+25*s_a&lt;1000),(60)+(phi_a/2)*-0.382683,NA())</f>
        <v/>
      </c>
      <c r="CD18">
        <f>IF(AND(inputs_ok,s_a/2+26*s_a&lt;1000),(s_a/2+26*s_a)+(phi_a/2)*0.923880,NA())</f>
        <v/>
      </c>
      <c r="CE18">
        <f>IF(AND(inputs_ok,s_a/2+26*s_a&lt;1000),(60)+(phi_a/2)*-0.382683,NA())</f>
        <v/>
      </c>
      <c r="CG18">
        <f>IF(AND(inputs_ok,s_a/2+27*s_a&lt;1000),(s_a/2+27*s_a)+(phi_a/2)*0.923880,NA())</f>
        <v/>
      </c>
      <c r="CH18">
        <f>IF(AND(inputs_ok,s_a/2+27*s_a&lt;1000),(60)+(phi_a/2)*-0.382683,NA())</f>
        <v/>
      </c>
      <c r="CJ18">
        <f>IF(AND(inputs_ok,s_a/2+28*s_a&lt;1000),(s_a/2+28*s_a)+(phi_a/2)*0.923880,NA())</f>
        <v/>
      </c>
      <c r="CK18">
        <f>IF(AND(inputs_ok,s_a/2+28*s_a&lt;1000),(60)+(phi_a/2)*-0.382683,NA())</f>
        <v/>
      </c>
      <c r="CM18">
        <f>IF(AND(inputs_ok,s_a/2+29*s_a&lt;1000),(s_a/2+29*s_a)+(phi_a/2)*0.923880,NA())</f>
        <v/>
      </c>
      <c r="CN18">
        <f>IF(AND(inputs_ok,s_a/2+29*s_a&lt;1000),(60)+(phi_a/2)*-0.382683,NA())</f>
        <v/>
      </c>
      <c r="CP18">
        <f>IF(AND(inputs_ok,s_a/2+30*s_a&lt;1000),(s_a/2+30*s_a)+(phi_a/2)*0.923880,NA())</f>
        <v/>
      </c>
      <c r="CQ18">
        <f>IF(AND(inputs_ok,s_a/2+30*s_a&lt;1000),(60)+(phi_a/2)*-0.382683,NA())</f>
        <v/>
      </c>
      <c r="CS18">
        <f>IF(AND(inputs_ok,s_a/2+31*s_a&lt;1000),(s_a/2+31*s_a)+(phi_a/2)*0.923880,NA())</f>
        <v/>
      </c>
      <c r="CT18">
        <f>IF(AND(inputs_ok,s_a/2+31*s_a&lt;1000),(60)+(phi_a/2)*-0.382683,NA())</f>
        <v/>
      </c>
      <c r="CV18">
        <f>IF(AND(inputs_ok,s_a/2+32*s_a&lt;1000),(s_a/2+32*s_a)+(phi_a/2)*0.923880,NA())</f>
        <v/>
      </c>
      <c r="CW18">
        <f>IF(AND(inputs_ok,s_a/2+32*s_a&lt;1000),(60)+(phi_a/2)*-0.382683,NA())</f>
        <v/>
      </c>
      <c r="CY18">
        <f>IF(AND(inputs_ok,s_a/2+33*s_a&lt;1000),(s_a/2+33*s_a)+(phi_a/2)*0.923880,NA())</f>
        <v/>
      </c>
      <c r="CZ18">
        <f>IF(AND(inputs_ok,s_a/2+33*s_a&lt;1000),(60)+(phi_a/2)*-0.382683,NA())</f>
        <v/>
      </c>
      <c r="DB18">
        <f>IF(AND(inputs_ok,s_a/2+34*s_a&lt;1000),(s_a/2+34*s_a)+(phi_a/2)*0.923880,NA())</f>
        <v/>
      </c>
      <c r="DC18">
        <f>IF(AND(inputs_ok,s_a/2+34*s_a&lt;1000),(60)+(phi_a/2)*-0.382683,NA())</f>
        <v/>
      </c>
      <c r="DE18">
        <f>IF(AND(inputs_ok,s_a/2+35*s_a&lt;1000),(s_a/2+35*s_a)+(phi_a/2)*0.923880,NA())</f>
        <v/>
      </c>
      <c r="DF18">
        <f>IF(AND(inputs_ok,s_a/2+35*s_a&lt;1000),(60)+(phi_a/2)*-0.382683,NA())</f>
        <v/>
      </c>
      <c r="DH18">
        <f>IF(AND(inputs_ok,s_a/2+36*s_a&lt;1000),(s_a/2+36*s_a)+(phi_a/2)*0.923880,NA())</f>
        <v/>
      </c>
      <c r="DI18">
        <f>IF(AND(inputs_ok,s_a/2+36*s_a&lt;1000),(60)+(phi_a/2)*-0.382683,NA())</f>
        <v/>
      </c>
      <c r="DK18">
        <f>IF(AND(inputs_ok,s_a/2+37*s_a&lt;1000),(s_a/2+37*s_a)+(phi_a/2)*0.923880,NA())</f>
        <v/>
      </c>
      <c r="DL18">
        <f>IF(AND(inputs_ok,s_a/2+37*s_a&lt;1000),(60)+(phi_a/2)*-0.382683,NA())</f>
        <v/>
      </c>
      <c r="DN18">
        <f>IF(AND(inputs_ok,s_a/2+38*s_a&lt;1000),(s_a/2+38*s_a)+(phi_a/2)*0.923880,NA())</f>
        <v/>
      </c>
      <c r="DO18">
        <f>IF(AND(inputs_ok,s_a/2+38*s_a&lt;1000),(60)+(phi_a/2)*-0.382683,NA())</f>
        <v/>
      </c>
      <c r="DQ18">
        <f>IF(AND(inputs_ok,s_a/2+39*s_a&lt;1000),(s_a/2+39*s_a)+(phi_a/2)*0.923880,NA())</f>
        <v/>
      </c>
      <c r="DR18">
        <f>IF(AND(inputs_ok,s_a/2+39*s_a&lt;1000),(60)+(phi_a/2)*-0.382683,NA())</f>
        <v/>
      </c>
      <c r="DT18">
        <f>IF(AND(inputs_ok,0&lt;n_a),((1000-(n_a-1)*MAX(2*phi_n,phi_n+25))/2+0*MAX(2*phi_n,phi_n+25))+(phi_n/2)*0.923880,NA())</f>
        <v/>
      </c>
      <c r="DU18">
        <f>IF(AND(inputs_ok,0&lt;n_a),(-150)+(phi_n/2)*-0.382683,NA())</f>
        <v/>
      </c>
      <c r="DW18">
        <f>IF(AND(inputs_ok,1&lt;n_a),((1000-(n_a-1)*MAX(2*phi_n,phi_n+25))/2+1*MAX(2*phi_n,phi_n+25))+(phi_n/2)*0.923880,NA())</f>
        <v/>
      </c>
      <c r="DX18">
        <f>IF(AND(inputs_ok,1&lt;n_a),(-150)+(phi_n/2)*-0.382683,NA())</f>
        <v/>
      </c>
      <c r="DZ18">
        <f>IF(AND(inputs_ok,2&lt;n_a),((1000-(n_a-1)*MAX(2*phi_n,phi_n+25))/2+2*MAX(2*phi_n,phi_n+25))+(phi_n/2)*0.923880,NA())</f>
        <v/>
      </c>
      <c r="EA18">
        <f>IF(AND(inputs_ok,2&lt;n_a),(-150)+(phi_n/2)*-0.382683,NA())</f>
        <v/>
      </c>
      <c r="EC18">
        <f>IF(AND(inputs_ok,3&lt;n_a),((1000-(n_a-1)*MAX(2*phi_n,phi_n+25))/2+3*MAX(2*phi_n,phi_n+25))+(phi_n/2)*0.923880,NA())</f>
        <v/>
      </c>
      <c r="ED18">
        <f>IF(AND(inputs_ok,3&lt;n_a),(-150)+(phi_n/2)*-0.382683,NA())</f>
        <v/>
      </c>
      <c r="EF18">
        <f>IF(AND(inputs_ok,4&lt;n_a),((1000-(n_a-1)*MAX(2*phi_n,phi_n+25))/2+4*MAX(2*phi_n,phi_n+25))+(phi_n/2)*0.923880,NA())</f>
        <v/>
      </c>
      <c r="EG18">
        <f>IF(AND(inputs_ok,4&lt;n_a),(-150)+(phi_n/2)*-0.382683,NA())</f>
        <v/>
      </c>
      <c r="EI18">
        <f>IF(AND(inputs_ok,5&lt;n_a),((1000-(n_a-1)*MAX(2*phi_n,phi_n+25))/2+5*MAX(2*phi_n,phi_n+25))+(phi_n/2)*0.923880,NA())</f>
        <v/>
      </c>
      <c r="EJ18">
        <f>IF(AND(inputs_ok,5&lt;n_a),(-150)+(phi_n/2)*-0.382683,NA())</f>
        <v/>
      </c>
      <c r="EL18">
        <f>IF(AND(inputs_ok,6&lt;n_a),((1000-(n_a-1)*MAX(2*phi_n,phi_n+25))/2+6*MAX(2*phi_n,phi_n+25))+(phi_n/2)*0.923880,NA())</f>
        <v/>
      </c>
      <c r="EM18">
        <f>IF(AND(inputs_ok,6&lt;n_a),(-150)+(phi_n/2)*-0.382683,NA())</f>
        <v/>
      </c>
      <c r="EO18">
        <f>IF(AND(inputs_ok,7&lt;n_a),((1000-(n_a-1)*MAX(2*phi_n,phi_n+25))/2+7*MAX(2*phi_n,phi_n+25))+(phi_n/2)*0.923880,NA())</f>
        <v/>
      </c>
      <c r="EP18">
        <f>IF(AND(inputs_ok,7&lt;n_a),(-150)+(phi_n/2)*-0.382683,NA())</f>
        <v/>
      </c>
      <c r="ER18">
        <f>IF(AND(inputs_ok,8&lt;n_a),((1000-(n_a-1)*MAX(2*phi_n,phi_n+25))/2+8*MAX(2*phi_n,phi_n+25))+(phi_n/2)*0.923880,NA())</f>
        <v/>
      </c>
      <c r="ES18">
        <f>IF(AND(inputs_ok,8&lt;n_a),(-150)+(phi_n/2)*-0.382683,NA())</f>
        <v/>
      </c>
      <c r="EU18">
        <f>IF(AND(inputs_ok,9&lt;n_a),((1000-(n_a-1)*MAX(2*phi_n,phi_n+25))/2+9*MAX(2*phi_n,phi_n+25))+(phi_n/2)*0.923880,NA())</f>
        <v/>
      </c>
      <c r="EV18">
        <f>IF(AND(inputs_ok,9&lt;n_a),(-150)+(phi_n/2)*-0.382683,NA())</f>
        <v/>
      </c>
      <c r="EX18">
        <f>IF(AND(inputs_ok,10&lt;n_a),((1000-(n_a-1)*MAX(2*phi_n,phi_n+25))/2+10*MAX(2*phi_n,phi_n+25))+(phi_n/2)*0.923880,NA())</f>
        <v/>
      </c>
      <c r="EY18">
        <f>IF(AND(inputs_ok,10&lt;n_a),(-150)+(phi_n/2)*-0.382683,NA())</f>
        <v/>
      </c>
      <c r="FA18">
        <f>IF(AND(inputs_ok,11&lt;n_a),((1000-(n_a-1)*MAX(2*phi_n,phi_n+25))/2+11*MAX(2*phi_n,phi_n+25))+(phi_n/2)*0.923880,NA())</f>
        <v/>
      </c>
      <c r="FB18">
        <f>IF(AND(inputs_ok,11&lt;n_a),(-150)+(phi_n/2)*-0.382683,NA())</f>
        <v/>
      </c>
      <c r="FD18">
        <f>IF(AND(inputs_ok,12&lt;n_a),((1000-(n_a-1)*MAX(2*phi_n,phi_n+25))/2+12*MAX(2*phi_n,phi_n+25))+(phi_n/2)*0.923880,NA())</f>
        <v/>
      </c>
      <c r="FE18">
        <f>IF(AND(inputs_ok,12&lt;n_a),(-150)+(phi_n/2)*-0.382683,NA())</f>
        <v/>
      </c>
      <c r="FG18">
        <f>IF(AND(inputs_ok,13&lt;n_a),((1000-(n_a-1)*MAX(2*phi_n,phi_n+25))/2+13*MAX(2*phi_n,phi_n+25))+(phi_n/2)*0.923880,NA())</f>
        <v/>
      </c>
      <c r="FH18">
        <f>IF(AND(inputs_ok,13&lt;n_a),(-150)+(phi_n/2)*-0.382683,NA())</f>
        <v/>
      </c>
      <c r="FJ18">
        <f>IF(AND(inputs_ok,14&lt;n_a),((1000-(n_a-1)*MAX(2*phi_n,phi_n+25))/2+14*MAX(2*phi_n,phi_n+25))+(phi_n/2)*0.923880,NA())</f>
        <v/>
      </c>
      <c r="FK18">
        <f>IF(AND(inputs_ok,14&lt;n_a),(-150)+(phi_n/2)*-0.382683,NA())</f>
        <v/>
      </c>
      <c r="FM18">
        <f>IF(AND(inputs_ok,15&lt;n_a),((1000-(n_a-1)*MAX(2*phi_n,phi_n+25))/2+15*MAX(2*phi_n,phi_n+25))+(phi_n/2)*0.923880,NA())</f>
        <v/>
      </c>
      <c r="FN18">
        <f>IF(AND(inputs_ok,15&lt;n_a),(-150)+(phi_n/2)*-0.382683,NA())</f>
        <v/>
      </c>
      <c r="FP18">
        <f>IF(AND(inputs_ok,16&lt;n_a),((1000-(n_a-1)*MAX(2*phi_n,phi_n+25))/2+16*MAX(2*phi_n,phi_n+25))+(phi_n/2)*0.923880,NA())</f>
        <v/>
      </c>
      <c r="FQ18">
        <f>IF(AND(inputs_ok,16&lt;n_a),(-150)+(phi_n/2)*-0.382683,NA())</f>
        <v/>
      </c>
      <c r="FS18">
        <f>IF(AND(inputs_ok,17&lt;n_a),((1000-(n_a-1)*MAX(2*phi_n,phi_n+25))/2+17*MAX(2*phi_n,phi_n+25))+(phi_n/2)*0.923880,NA())</f>
        <v/>
      </c>
      <c r="FT18">
        <f>IF(AND(inputs_ok,17&lt;n_a),(-150)+(phi_n/2)*-0.382683,NA())</f>
        <v/>
      </c>
      <c r="FV18">
        <f>IF(AND(inputs_ok,18&lt;n_a),((1000-(n_a-1)*MAX(2*phi_n,phi_n+25))/2+18*MAX(2*phi_n,phi_n+25))+(phi_n/2)*0.923880,NA())</f>
        <v/>
      </c>
      <c r="FW18">
        <f>IF(AND(inputs_ok,18&lt;n_a),(-150)+(phi_n/2)*-0.382683,NA())</f>
        <v/>
      </c>
      <c r="FY18">
        <f>IF(AND(inputs_ok,19&lt;n_a),((1000-(n_a-1)*MAX(2*phi_n,phi_n+25))/2+19*MAX(2*phi_n,phi_n+25))+(phi_n/2)*0.923880,NA())</f>
        <v/>
      </c>
      <c r="FZ18">
        <f>IF(AND(inputs_ok,19&lt;n_a),(-150)+(phi_n/2)*-0.382683,NA())</f>
        <v/>
      </c>
    </row>
    <row r="19">
      <c r="D19">
        <f>IF(AND(inputs_ok,s_a/2+0*s_a&lt;1000),(s_a/2+0*s_a)+(phi_a/2)*1.000000,NA())</f>
        <v/>
      </c>
      <c r="E19">
        <f>IF(AND(inputs_ok,s_a/2+0*s_a&lt;1000),(60)+(phi_a/2)*-0.000000,NA())</f>
        <v/>
      </c>
      <c r="G19">
        <f>IF(AND(inputs_ok,s_a/2+1*s_a&lt;1000),(s_a/2+1*s_a)+(phi_a/2)*1.000000,NA())</f>
        <v/>
      </c>
      <c r="H19">
        <f>IF(AND(inputs_ok,s_a/2+1*s_a&lt;1000),(60)+(phi_a/2)*-0.000000,NA())</f>
        <v/>
      </c>
      <c r="J19">
        <f>IF(AND(inputs_ok,s_a/2+2*s_a&lt;1000),(s_a/2+2*s_a)+(phi_a/2)*1.000000,NA())</f>
        <v/>
      </c>
      <c r="K19">
        <f>IF(AND(inputs_ok,s_a/2+2*s_a&lt;1000),(60)+(phi_a/2)*-0.000000,NA())</f>
        <v/>
      </c>
      <c r="M19">
        <f>IF(AND(inputs_ok,s_a/2+3*s_a&lt;1000),(s_a/2+3*s_a)+(phi_a/2)*1.000000,NA())</f>
        <v/>
      </c>
      <c r="N19">
        <f>IF(AND(inputs_ok,s_a/2+3*s_a&lt;1000),(60)+(phi_a/2)*-0.000000,NA())</f>
        <v/>
      </c>
      <c r="P19">
        <f>IF(AND(inputs_ok,s_a/2+4*s_a&lt;1000),(s_a/2+4*s_a)+(phi_a/2)*1.000000,NA())</f>
        <v/>
      </c>
      <c r="Q19">
        <f>IF(AND(inputs_ok,s_a/2+4*s_a&lt;1000),(60)+(phi_a/2)*-0.000000,NA())</f>
        <v/>
      </c>
      <c r="S19">
        <f>IF(AND(inputs_ok,s_a/2+5*s_a&lt;1000),(s_a/2+5*s_a)+(phi_a/2)*1.000000,NA())</f>
        <v/>
      </c>
      <c r="T19">
        <f>IF(AND(inputs_ok,s_a/2+5*s_a&lt;1000),(60)+(phi_a/2)*-0.000000,NA())</f>
        <v/>
      </c>
      <c r="V19">
        <f>IF(AND(inputs_ok,s_a/2+6*s_a&lt;1000),(s_a/2+6*s_a)+(phi_a/2)*1.000000,NA())</f>
        <v/>
      </c>
      <c r="W19">
        <f>IF(AND(inputs_ok,s_a/2+6*s_a&lt;1000),(60)+(phi_a/2)*-0.000000,NA())</f>
        <v/>
      </c>
      <c r="Y19">
        <f>IF(AND(inputs_ok,s_a/2+7*s_a&lt;1000),(s_a/2+7*s_a)+(phi_a/2)*1.000000,NA())</f>
        <v/>
      </c>
      <c r="Z19">
        <f>IF(AND(inputs_ok,s_a/2+7*s_a&lt;1000),(60)+(phi_a/2)*-0.000000,NA())</f>
        <v/>
      </c>
      <c r="AB19">
        <f>IF(AND(inputs_ok,s_a/2+8*s_a&lt;1000),(s_a/2+8*s_a)+(phi_a/2)*1.000000,NA())</f>
        <v/>
      </c>
      <c r="AC19">
        <f>IF(AND(inputs_ok,s_a/2+8*s_a&lt;1000),(60)+(phi_a/2)*-0.000000,NA())</f>
        <v/>
      </c>
      <c r="AE19">
        <f>IF(AND(inputs_ok,s_a/2+9*s_a&lt;1000),(s_a/2+9*s_a)+(phi_a/2)*1.000000,NA())</f>
        <v/>
      </c>
      <c r="AF19">
        <f>IF(AND(inputs_ok,s_a/2+9*s_a&lt;1000),(60)+(phi_a/2)*-0.000000,NA())</f>
        <v/>
      </c>
      <c r="AH19">
        <f>IF(AND(inputs_ok,s_a/2+10*s_a&lt;1000),(s_a/2+10*s_a)+(phi_a/2)*1.000000,NA())</f>
        <v/>
      </c>
      <c r="AI19">
        <f>IF(AND(inputs_ok,s_a/2+10*s_a&lt;1000),(60)+(phi_a/2)*-0.000000,NA())</f>
        <v/>
      </c>
      <c r="AK19">
        <f>IF(AND(inputs_ok,s_a/2+11*s_a&lt;1000),(s_a/2+11*s_a)+(phi_a/2)*1.000000,NA())</f>
        <v/>
      </c>
      <c r="AL19">
        <f>IF(AND(inputs_ok,s_a/2+11*s_a&lt;1000),(60)+(phi_a/2)*-0.000000,NA())</f>
        <v/>
      </c>
      <c r="AN19">
        <f>IF(AND(inputs_ok,s_a/2+12*s_a&lt;1000),(s_a/2+12*s_a)+(phi_a/2)*1.000000,NA())</f>
        <v/>
      </c>
      <c r="AO19">
        <f>IF(AND(inputs_ok,s_a/2+12*s_a&lt;1000),(60)+(phi_a/2)*-0.000000,NA())</f>
        <v/>
      </c>
      <c r="AQ19">
        <f>IF(AND(inputs_ok,s_a/2+13*s_a&lt;1000),(s_a/2+13*s_a)+(phi_a/2)*1.000000,NA())</f>
        <v/>
      </c>
      <c r="AR19">
        <f>IF(AND(inputs_ok,s_a/2+13*s_a&lt;1000),(60)+(phi_a/2)*-0.000000,NA())</f>
        <v/>
      </c>
      <c r="AT19">
        <f>IF(AND(inputs_ok,s_a/2+14*s_a&lt;1000),(s_a/2+14*s_a)+(phi_a/2)*1.000000,NA())</f>
        <v/>
      </c>
      <c r="AU19">
        <f>IF(AND(inputs_ok,s_a/2+14*s_a&lt;1000),(60)+(phi_a/2)*-0.000000,NA())</f>
        <v/>
      </c>
      <c r="AW19">
        <f>IF(AND(inputs_ok,s_a/2+15*s_a&lt;1000),(s_a/2+15*s_a)+(phi_a/2)*1.000000,NA())</f>
        <v/>
      </c>
      <c r="AX19">
        <f>IF(AND(inputs_ok,s_a/2+15*s_a&lt;1000),(60)+(phi_a/2)*-0.000000,NA())</f>
        <v/>
      </c>
      <c r="AZ19">
        <f>IF(AND(inputs_ok,s_a/2+16*s_a&lt;1000),(s_a/2+16*s_a)+(phi_a/2)*1.000000,NA())</f>
        <v/>
      </c>
      <c r="BA19">
        <f>IF(AND(inputs_ok,s_a/2+16*s_a&lt;1000),(60)+(phi_a/2)*-0.000000,NA())</f>
        <v/>
      </c>
      <c r="BC19">
        <f>IF(AND(inputs_ok,s_a/2+17*s_a&lt;1000),(s_a/2+17*s_a)+(phi_a/2)*1.000000,NA())</f>
        <v/>
      </c>
      <c r="BD19">
        <f>IF(AND(inputs_ok,s_a/2+17*s_a&lt;1000),(60)+(phi_a/2)*-0.000000,NA())</f>
        <v/>
      </c>
      <c r="BF19">
        <f>IF(AND(inputs_ok,s_a/2+18*s_a&lt;1000),(s_a/2+18*s_a)+(phi_a/2)*1.000000,NA())</f>
        <v/>
      </c>
      <c r="BG19">
        <f>IF(AND(inputs_ok,s_a/2+18*s_a&lt;1000),(60)+(phi_a/2)*-0.000000,NA())</f>
        <v/>
      </c>
      <c r="BI19">
        <f>IF(AND(inputs_ok,s_a/2+19*s_a&lt;1000),(s_a/2+19*s_a)+(phi_a/2)*1.000000,NA())</f>
        <v/>
      </c>
      <c r="BJ19">
        <f>IF(AND(inputs_ok,s_a/2+19*s_a&lt;1000),(60)+(phi_a/2)*-0.000000,NA())</f>
        <v/>
      </c>
      <c r="BL19">
        <f>IF(AND(inputs_ok,s_a/2+20*s_a&lt;1000),(s_a/2+20*s_a)+(phi_a/2)*1.000000,NA())</f>
        <v/>
      </c>
      <c r="BM19">
        <f>IF(AND(inputs_ok,s_a/2+20*s_a&lt;1000),(60)+(phi_a/2)*-0.000000,NA())</f>
        <v/>
      </c>
      <c r="BO19">
        <f>IF(AND(inputs_ok,s_a/2+21*s_a&lt;1000),(s_a/2+21*s_a)+(phi_a/2)*1.000000,NA())</f>
        <v/>
      </c>
      <c r="BP19">
        <f>IF(AND(inputs_ok,s_a/2+21*s_a&lt;1000),(60)+(phi_a/2)*-0.000000,NA())</f>
        <v/>
      </c>
      <c r="BR19">
        <f>IF(AND(inputs_ok,s_a/2+22*s_a&lt;1000),(s_a/2+22*s_a)+(phi_a/2)*1.000000,NA())</f>
        <v/>
      </c>
      <c r="BS19">
        <f>IF(AND(inputs_ok,s_a/2+22*s_a&lt;1000),(60)+(phi_a/2)*-0.000000,NA())</f>
        <v/>
      </c>
      <c r="BU19">
        <f>IF(AND(inputs_ok,s_a/2+23*s_a&lt;1000),(s_a/2+23*s_a)+(phi_a/2)*1.000000,NA())</f>
        <v/>
      </c>
      <c r="BV19">
        <f>IF(AND(inputs_ok,s_a/2+23*s_a&lt;1000),(60)+(phi_a/2)*-0.000000,NA())</f>
        <v/>
      </c>
      <c r="BX19">
        <f>IF(AND(inputs_ok,s_a/2+24*s_a&lt;1000),(s_a/2+24*s_a)+(phi_a/2)*1.000000,NA())</f>
        <v/>
      </c>
      <c r="BY19">
        <f>IF(AND(inputs_ok,s_a/2+24*s_a&lt;1000),(60)+(phi_a/2)*-0.000000,NA())</f>
        <v/>
      </c>
      <c r="CA19">
        <f>IF(AND(inputs_ok,s_a/2+25*s_a&lt;1000),(s_a/2+25*s_a)+(phi_a/2)*1.000000,NA())</f>
        <v/>
      </c>
      <c r="CB19">
        <f>IF(AND(inputs_ok,s_a/2+25*s_a&lt;1000),(60)+(phi_a/2)*-0.000000,NA())</f>
        <v/>
      </c>
      <c r="CD19">
        <f>IF(AND(inputs_ok,s_a/2+26*s_a&lt;1000),(s_a/2+26*s_a)+(phi_a/2)*1.000000,NA())</f>
        <v/>
      </c>
      <c r="CE19">
        <f>IF(AND(inputs_ok,s_a/2+26*s_a&lt;1000),(60)+(phi_a/2)*-0.000000,NA())</f>
        <v/>
      </c>
      <c r="CG19">
        <f>IF(AND(inputs_ok,s_a/2+27*s_a&lt;1000),(s_a/2+27*s_a)+(phi_a/2)*1.000000,NA())</f>
        <v/>
      </c>
      <c r="CH19">
        <f>IF(AND(inputs_ok,s_a/2+27*s_a&lt;1000),(60)+(phi_a/2)*-0.000000,NA())</f>
        <v/>
      </c>
      <c r="CJ19">
        <f>IF(AND(inputs_ok,s_a/2+28*s_a&lt;1000),(s_a/2+28*s_a)+(phi_a/2)*1.000000,NA())</f>
        <v/>
      </c>
      <c r="CK19">
        <f>IF(AND(inputs_ok,s_a/2+28*s_a&lt;1000),(60)+(phi_a/2)*-0.000000,NA())</f>
        <v/>
      </c>
      <c r="CM19">
        <f>IF(AND(inputs_ok,s_a/2+29*s_a&lt;1000),(s_a/2+29*s_a)+(phi_a/2)*1.000000,NA())</f>
        <v/>
      </c>
      <c r="CN19">
        <f>IF(AND(inputs_ok,s_a/2+29*s_a&lt;1000),(60)+(phi_a/2)*-0.000000,NA())</f>
        <v/>
      </c>
      <c r="CP19">
        <f>IF(AND(inputs_ok,s_a/2+30*s_a&lt;1000),(s_a/2+30*s_a)+(phi_a/2)*1.000000,NA())</f>
        <v/>
      </c>
      <c r="CQ19">
        <f>IF(AND(inputs_ok,s_a/2+30*s_a&lt;1000),(60)+(phi_a/2)*-0.000000,NA())</f>
        <v/>
      </c>
      <c r="CS19">
        <f>IF(AND(inputs_ok,s_a/2+31*s_a&lt;1000),(s_a/2+31*s_a)+(phi_a/2)*1.000000,NA())</f>
        <v/>
      </c>
      <c r="CT19">
        <f>IF(AND(inputs_ok,s_a/2+31*s_a&lt;1000),(60)+(phi_a/2)*-0.000000,NA())</f>
        <v/>
      </c>
      <c r="CV19">
        <f>IF(AND(inputs_ok,s_a/2+32*s_a&lt;1000),(s_a/2+32*s_a)+(phi_a/2)*1.000000,NA())</f>
        <v/>
      </c>
      <c r="CW19">
        <f>IF(AND(inputs_ok,s_a/2+32*s_a&lt;1000),(60)+(phi_a/2)*-0.000000,NA())</f>
        <v/>
      </c>
      <c r="CY19">
        <f>IF(AND(inputs_ok,s_a/2+33*s_a&lt;1000),(s_a/2+33*s_a)+(phi_a/2)*1.000000,NA())</f>
        <v/>
      </c>
      <c r="CZ19">
        <f>IF(AND(inputs_ok,s_a/2+33*s_a&lt;1000),(60)+(phi_a/2)*-0.000000,NA())</f>
        <v/>
      </c>
      <c r="DB19">
        <f>IF(AND(inputs_ok,s_a/2+34*s_a&lt;1000),(s_a/2+34*s_a)+(phi_a/2)*1.000000,NA())</f>
        <v/>
      </c>
      <c r="DC19">
        <f>IF(AND(inputs_ok,s_a/2+34*s_a&lt;1000),(60)+(phi_a/2)*-0.000000,NA())</f>
        <v/>
      </c>
      <c r="DE19">
        <f>IF(AND(inputs_ok,s_a/2+35*s_a&lt;1000),(s_a/2+35*s_a)+(phi_a/2)*1.000000,NA())</f>
        <v/>
      </c>
      <c r="DF19">
        <f>IF(AND(inputs_ok,s_a/2+35*s_a&lt;1000),(60)+(phi_a/2)*-0.000000,NA())</f>
        <v/>
      </c>
      <c r="DH19">
        <f>IF(AND(inputs_ok,s_a/2+36*s_a&lt;1000),(s_a/2+36*s_a)+(phi_a/2)*1.000000,NA())</f>
        <v/>
      </c>
      <c r="DI19">
        <f>IF(AND(inputs_ok,s_a/2+36*s_a&lt;1000),(60)+(phi_a/2)*-0.000000,NA())</f>
        <v/>
      </c>
      <c r="DK19">
        <f>IF(AND(inputs_ok,s_a/2+37*s_a&lt;1000),(s_a/2+37*s_a)+(phi_a/2)*1.000000,NA())</f>
        <v/>
      </c>
      <c r="DL19">
        <f>IF(AND(inputs_ok,s_a/2+37*s_a&lt;1000),(60)+(phi_a/2)*-0.000000,NA())</f>
        <v/>
      </c>
      <c r="DN19">
        <f>IF(AND(inputs_ok,s_a/2+38*s_a&lt;1000),(s_a/2+38*s_a)+(phi_a/2)*1.000000,NA())</f>
        <v/>
      </c>
      <c r="DO19">
        <f>IF(AND(inputs_ok,s_a/2+38*s_a&lt;1000),(60)+(phi_a/2)*-0.000000,NA())</f>
        <v/>
      </c>
      <c r="DQ19">
        <f>IF(AND(inputs_ok,s_a/2+39*s_a&lt;1000),(s_a/2+39*s_a)+(phi_a/2)*1.000000,NA())</f>
        <v/>
      </c>
      <c r="DR19">
        <f>IF(AND(inputs_ok,s_a/2+39*s_a&lt;1000),(60)+(phi_a/2)*-0.000000,NA())</f>
        <v/>
      </c>
      <c r="DT19">
        <f>IF(AND(inputs_ok,0&lt;n_a),((1000-(n_a-1)*MAX(2*phi_n,phi_n+25))/2+0*MAX(2*phi_n,phi_n+25))+(phi_n/2)*1.000000,NA())</f>
        <v/>
      </c>
      <c r="DU19">
        <f>IF(AND(inputs_ok,0&lt;n_a),(-150)+(phi_n/2)*-0.000000,NA())</f>
        <v/>
      </c>
      <c r="DW19">
        <f>IF(AND(inputs_ok,1&lt;n_a),((1000-(n_a-1)*MAX(2*phi_n,phi_n+25))/2+1*MAX(2*phi_n,phi_n+25))+(phi_n/2)*1.000000,NA())</f>
        <v/>
      </c>
      <c r="DX19">
        <f>IF(AND(inputs_ok,1&lt;n_a),(-150)+(phi_n/2)*-0.000000,NA())</f>
        <v/>
      </c>
      <c r="DZ19">
        <f>IF(AND(inputs_ok,2&lt;n_a),((1000-(n_a-1)*MAX(2*phi_n,phi_n+25))/2+2*MAX(2*phi_n,phi_n+25))+(phi_n/2)*1.000000,NA())</f>
        <v/>
      </c>
      <c r="EA19">
        <f>IF(AND(inputs_ok,2&lt;n_a),(-150)+(phi_n/2)*-0.000000,NA())</f>
        <v/>
      </c>
      <c r="EC19">
        <f>IF(AND(inputs_ok,3&lt;n_a),((1000-(n_a-1)*MAX(2*phi_n,phi_n+25))/2+3*MAX(2*phi_n,phi_n+25))+(phi_n/2)*1.000000,NA())</f>
        <v/>
      </c>
      <c r="ED19">
        <f>IF(AND(inputs_ok,3&lt;n_a),(-150)+(phi_n/2)*-0.000000,NA())</f>
        <v/>
      </c>
      <c r="EF19">
        <f>IF(AND(inputs_ok,4&lt;n_a),((1000-(n_a-1)*MAX(2*phi_n,phi_n+25))/2+4*MAX(2*phi_n,phi_n+25))+(phi_n/2)*1.000000,NA())</f>
        <v/>
      </c>
      <c r="EG19">
        <f>IF(AND(inputs_ok,4&lt;n_a),(-150)+(phi_n/2)*-0.000000,NA())</f>
        <v/>
      </c>
      <c r="EI19">
        <f>IF(AND(inputs_ok,5&lt;n_a),((1000-(n_a-1)*MAX(2*phi_n,phi_n+25))/2+5*MAX(2*phi_n,phi_n+25))+(phi_n/2)*1.000000,NA())</f>
        <v/>
      </c>
      <c r="EJ19">
        <f>IF(AND(inputs_ok,5&lt;n_a),(-150)+(phi_n/2)*-0.000000,NA())</f>
        <v/>
      </c>
      <c r="EL19">
        <f>IF(AND(inputs_ok,6&lt;n_a),((1000-(n_a-1)*MAX(2*phi_n,phi_n+25))/2+6*MAX(2*phi_n,phi_n+25))+(phi_n/2)*1.000000,NA())</f>
        <v/>
      </c>
      <c r="EM19">
        <f>IF(AND(inputs_ok,6&lt;n_a),(-150)+(phi_n/2)*-0.000000,NA())</f>
        <v/>
      </c>
      <c r="EO19">
        <f>IF(AND(inputs_ok,7&lt;n_a),((1000-(n_a-1)*MAX(2*phi_n,phi_n+25))/2+7*MAX(2*phi_n,phi_n+25))+(phi_n/2)*1.000000,NA())</f>
        <v/>
      </c>
      <c r="EP19">
        <f>IF(AND(inputs_ok,7&lt;n_a),(-150)+(phi_n/2)*-0.000000,NA())</f>
        <v/>
      </c>
      <c r="ER19">
        <f>IF(AND(inputs_ok,8&lt;n_a),((1000-(n_a-1)*MAX(2*phi_n,phi_n+25))/2+8*MAX(2*phi_n,phi_n+25))+(phi_n/2)*1.000000,NA())</f>
        <v/>
      </c>
      <c r="ES19">
        <f>IF(AND(inputs_ok,8&lt;n_a),(-150)+(phi_n/2)*-0.000000,NA())</f>
        <v/>
      </c>
      <c r="EU19">
        <f>IF(AND(inputs_ok,9&lt;n_a),((1000-(n_a-1)*MAX(2*phi_n,phi_n+25))/2+9*MAX(2*phi_n,phi_n+25))+(phi_n/2)*1.000000,NA())</f>
        <v/>
      </c>
      <c r="EV19">
        <f>IF(AND(inputs_ok,9&lt;n_a),(-150)+(phi_n/2)*-0.000000,NA())</f>
        <v/>
      </c>
      <c r="EX19">
        <f>IF(AND(inputs_ok,10&lt;n_a),((1000-(n_a-1)*MAX(2*phi_n,phi_n+25))/2+10*MAX(2*phi_n,phi_n+25))+(phi_n/2)*1.000000,NA())</f>
        <v/>
      </c>
      <c r="EY19">
        <f>IF(AND(inputs_ok,10&lt;n_a),(-150)+(phi_n/2)*-0.000000,NA())</f>
        <v/>
      </c>
      <c r="FA19">
        <f>IF(AND(inputs_ok,11&lt;n_a),((1000-(n_a-1)*MAX(2*phi_n,phi_n+25))/2+11*MAX(2*phi_n,phi_n+25))+(phi_n/2)*1.000000,NA())</f>
        <v/>
      </c>
      <c r="FB19">
        <f>IF(AND(inputs_ok,11&lt;n_a),(-150)+(phi_n/2)*-0.000000,NA())</f>
        <v/>
      </c>
      <c r="FD19">
        <f>IF(AND(inputs_ok,12&lt;n_a),((1000-(n_a-1)*MAX(2*phi_n,phi_n+25))/2+12*MAX(2*phi_n,phi_n+25))+(phi_n/2)*1.000000,NA())</f>
        <v/>
      </c>
      <c r="FE19">
        <f>IF(AND(inputs_ok,12&lt;n_a),(-150)+(phi_n/2)*-0.000000,NA())</f>
        <v/>
      </c>
      <c r="FG19">
        <f>IF(AND(inputs_ok,13&lt;n_a),((1000-(n_a-1)*MAX(2*phi_n,phi_n+25))/2+13*MAX(2*phi_n,phi_n+25))+(phi_n/2)*1.000000,NA())</f>
        <v/>
      </c>
      <c r="FH19">
        <f>IF(AND(inputs_ok,13&lt;n_a),(-150)+(phi_n/2)*-0.000000,NA())</f>
        <v/>
      </c>
      <c r="FJ19">
        <f>IF(AND(inputs_ok,14&lt;n_a),((1000-(n_a-1)*MAX(2*phi_n,phi_n+25))/2+14*MAX(2*phi_n,phi_n+25))+(phi_n/2)*1.000000,NA())</f>
        <v/>
      </c>
      <c r="FK19">
        <f>IF(AND(inputs_ok,14&lt;n_a),(-150)+(phi_n/2)*-0.000000,NA())</f>
        <v/>
      </c>
      <c r="FM19">
        <f>IF(AND(inputs_ok,15&lt;n_a),((1000-(n_a-1)*MAX(2*phi_n,phi_n+25))/2+15*MAX(2*phi_n,phi_n+25))+(phi_n/2)*1.000000,NA())</f>
        <v/>
      </c>
      <c r="FN19">
        <f>IF(AND(inputs_ok,15&lt;n_a),(-150)+(phi_n/2)*-0.000000,NA())</f>
        <v/>
      </c>
      <c r="FP19">
        <f>IF(AND(inputs_ok,16&lt;n_a),((1000-(n_a-1)*MAX(2*phi_n,phi_n+25))/2+16*MAX(2*phi_n,phi_n+25))+(phi_n/2)*1.000000,NA())</f>
        <v/>
      </c>
      <c r="FQ19">
        <f>IF(AND(inputs_ok,16&lt;n_a),(-150)+(phi_n/2)*-0.000000,NA())</f>
        <v/>
      </c>
      <c r="FS19">
        <f>IF(AND(inputs_ok,17&lt;n_a),((1000-(n_a-1)*MAX(2*phi_n,phi_n+25))/2+17*MAX(2*phi_n,phi_n+25))+(phi_n/2)*1.000000,NA())</f>
        <v/>
      </c>
      <c r="FT19">
        <f>IF(AND(inputs_ok,17&lt;n_a),(-150)+(phi_n/2)*-0.000000,NA())</f>
        <v/>
      </c>
      <c r="FV19">
        <f>IF(AND(inputs_ok,18&lt;n_a),((1000-(n_a-1)*MAX(2*phi_n,phi_n+25))/2+18*MAX(2*phi_n,phi_n+25))+(phi_n/2)*1.000000,NA())</f>
        <v/>
      </c>
      <c r="FW19">
        <f>IF(AND(inputs_ok,18&lt;n_a),(-150)+(phi_n/2)*-0.000000,NA())</f>
        <v/>
      </c>
      <c r="FY19">
        <f>IF(AND(inputs_ok,19&lt;n_a),((1000-(n_a-1)*MAX(2*phi_n,phi_n+25))/2+19*MAX(2*phi_n,phi_n+25))+(phi_n/2)*1.000000,NA())</f>
        <v/>
      </c>
      <c r="FZ19">
        <f>IF(AND(inputs_ok,19&lt;n_a),(-150)+(phi_n/2)*-0.000000,NA())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K42"/>
  <sheetViews>
    <sheetView showGridLines="0" tabSelected="0" workbookViewId="0">
      <selection activeCell="A1" sqref="A1"/>
    </sheetView>
  </sheetViews>
  <sheetFormatPr baseColWidth="8" defaultRowHeight="15"/>
  <cols>
    <col width="2" customWidth="1" min="1" max="1"/>
    <col width="16"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s>
  <sheetData>
    <row r="2">
      <c r="B2" s="43" t="inlineStr">
        <is>
          <t>Area per metre width  (mm²/m)</t>
        </is>
      </c>
    </row>
    <row r="3">
      <c r="B3" s="44" t="inlineStr">
        <is>
          <t>Bars at spacing s: As = 1000 π φ² / (4 s). Divide by 100 for cm²/m. Your bar and spacing are shaded.</t>
        </is>
      </c>
    </row>
    <row r="5">
      <c r="B5" s="45" t="inlineStr">
        <is>
          <t>spacing (mm)</t>
        </is>
      </c>
      <c r="C5" s="46" t="inlineStr">
        <is>
          <t>φ6</t>
        </is>
      </c>
      <c r="D5" s="46" t="inlineStr">
        <is>
          <t>φ8</t>
        </is>
      </c>
      <c r="E5" s="46" t="inlineStr">
        <is>
          <t>φ10</t>
        </is>
      </c>
      <c r="F5" s="46" t="inlineStr">
        <is>
          <t>φ12</t>
        </is>
      </c>
      <c r="G5" s="46" t="inlineStr">
        <is>
          <t>φ16</t>
        </is>
      </c>
      <c r="H5" s="46" t="inlineStr">
        <is>
          <t>φ20</t>
        </is>
      </c>
      <c r="I5" s="46" t="inlineStr">
        <is>
          <t>φ25</t>
        </is>
      </c>
      <c r="J5" s="46" t="inlineStr">
        <is>
          <t>φ32</t>
        </is>
      </c>
      <c r="K5" s="46" t="inlineStr">
        <is>
          <t>φ40</t>
        </is>
      </c>
    </row>
    <row r="6">
      <c r="B6" s="47" t="n">
        <v>75</v>
      </c>
      <c r="C6" s="48">
        <f>1000*PI()*6^2/4/75</f>
        <v/>
      </c>
      <c r="D6" s="48">
        <f>1000*PI()*8^2/4/75</f>
        <v/>
      </c>
      <c r="E6" s="48">
        <f>1000*PI()*10^2/4/75</f>
        <v/>
      </c>
      <c r="F6" s="48">
        <f>1000*PI()*12^2/4/75</f>
        <v/>
      </c>
      <c r="G6" s="48">
        <f>1000*PI()*16^2/4/75</f>
        <v/>
      </c>
      <c r="H6" s="48">
        <f>1000*PI()*20^2/4/75</f>
        <v/>
      </c>
      <c r="I6" s="48">
        <f>1000*PI()*25^2/4/75</f>
        <v/>
      </c>
      <c r="J6" s="48">
        <f>1000*PI()*32^2/4/75</f>
        <v/>
      </c>
      <c r="K6" s="48">
        <f>1000*PI()*40^2/4/75</f>
        <v/>
      </c>
    </row>
    <row r="7">
      <c r="B7" s="47" t="n">
        <v>100</v>
      </c>
      <c r="C7" s="48">
        <f>1000*PI()*6^2/4/100</f>
        <v/>
      </c>
      <c r="D7" s="48">
        <f>1000*PI()*8^2/4/100</f>
        <v/>
      </c>
      <c r="E7" s="48">
        <f>1000*PI()*10^2/4/100</f>
        <v/>
      </c>
      <c r="F7" s="48">
        <f>1000*PI()*12^2/4/100</f>
        <v/>
      </c>
      <c r="G7" s="48">
        <f>1000*PI()*16^2/4/100</f>
        <v/>
      </c>
      <c r="H7" s="48">
        <f>1000*PI()*20^2/4/100</f>
        <v/>
      </c>
      <c r="I7" s="48">
        <f>1000*PI()*25^2/4/100</f>
        <v/>
      </c>
      <c r="J7" s="48">
        <f>1000*PI()*32^2/4/100</f>
        <v/>
      </c>
      <c r="K7" s="48">
        <f>1000*PI()*40^2/4/100</f>
        <v/>
      </c>
    </row>
    <row r="8">
      <c r="B8" s="47" t="n">
        <v>125</v>
      </c>
      <c r="C8" s="48">
        <f>1000*PI()*6^2/4/125</f>
        <v/>
      </c>
      <c r="D8" s="48">
        <f>1000*PI()*8^2/4/125</f>
        <v/>
      </c>
      <c r="E8" s="48">
        <f>1000*PI()*10^2/4/125</f>
        <v/>
      </c>
      <c r="F8" s="48">
        <f>1000*PI()*12^2/4/125</f>
        <v/>
      </c>
      <c r="G8" s="48">
        <f>1000*PI()*16^2/4/125</f>
        <v/>
      </c>
      <c r="H8" s="48">
        <f>1000*PI()*20^2/4/125</f>
        <v/>
      </c>
      <c r="I8" s="48">
        <f>1000*PI()*25^2/4/125</f>
        <v/>
      </c>
      <c r="J8" s="48">
        <f>1000*PI()*32^2/4/125</f>
        <v/>
      </c>
      <c r="K8" s="48">
        <f>1000*PI()*40^2/4/125</f>
        <v/>
      </c>
    </row>
    <row r="9">
      <c r="B9" s="47" t="n">
        <v>150</v>
      </c>
      <c r="C9" s="48">
        <f>1000*PI()*6^2/4/150</f>
        <v/>
      </c>
      <c r="D9" s="48">
        <f>1000*PI()*8^2/4/150</f>
        <v/>
      </c>
      <c r="E9" s="48">
        <f>1000*PI()*10^2/4/150</f>
        <v/>
      </c>
      <c r="F9" s="48">
        <f>1000*PI()*12^2/4/150</f>
        <v/>
      </c>
      <c r="G9" s="48">
        <f>1000*PI()*16^2/4/150</f>
        <v/>
      </c>
      <c r="H9" s="48">
        <f>1000*PI()*20^2/4/150</f>
        <v/>
      </c>
      <c r="I9" s="48">
        <f>1000*PI()*25^2/4/150</f>
        <v/>
      </c>
      <c r="J9" s="48">
        <f>1000*PI()*32^2/4/150</f>
        <v/>
      </c>
      <c r="K9" s="48">
        <f>1000*PI()*40^2/4/150</f>
        <v/>
      </c>
    </row>
    <row r="10">
      <c r="B10" s="47" t="n">
        <v>175</v>
      </c>
      <c r="C10" s="48">
        <f>1000*PI()*6^2/4/175</f>
        <v/>
      </c>
      <c r="D10" s="48">
        <f>1000*PI()*8^2/4/175</f>
        <v/>
      </c>
      <c r="E10" s="48">
        <f>1000*PI()*10^2/4/175</f>
        <v/>
      </c>
      <c r="F10" s="48">
        <f>1000*PI()*12^2/4/175</f>
        <v/>
      </c>
      <c r="G10" s="48">
        <f>1000*PI()*16^2/4/175</f>
        <v/>
      </c>
      <c r="H10" s="48">
        <f>1000*PI()*20^2/4/175</f>
        <v/>
      </c>
      <c r="I10" s="48">
        <f>1000*PI()*25^2/4/175</f>
        <v/>
      </c>
      <c r="J10" s="48">
        <f>1000*PI()*32^2/4/175</f>
        <v/>
      </c>
      <c r="K10" s="48">
        <f>1000*PI()*40^2/4/175</f>
        <v/>
      </c>
    </row>
    <row r="11">
      <c r="B11" s="47" t="n">
        <v>200</v>
      </c>
      <c r="C11" s="48">
        <f>1000*PI()*6^2/4/200</f>
        <v/>
      </c>
      <c r="D11" s="48">
        <f>1000*PI()*8^2/4/200</f>
        <v/>
      </c>
      <c r="E11" s="48">
        <f>1000*PI()*10^2/4/200</f>
        <v/>
      </c>
      <c r="F11" s="48">
        <f>1000*PI()*12^2/4/200</f>
        <v/>
      </c>
      <c r="G11" s="48">
        <f>1000*PI()*16^2/4/200</f>
        <v/>
      </c>
      <c r="H11" s="48">
        <f>1000*PI()*20^2/4/200</f>
        <v/>
      </c>
      <c r="I11" s="48">
        <f>1000*PI()*25^2/4/200</f>
        <v/>
      </c>
      <c r="J11" s="48">
        <f>1000*PI()*32^2/4/200</f>
        <v/>
      </c>
      <c r="K11" s="48">
        <f>1000*PI()*40^2/4/200</f>
        <v/>
      </c>
    </row>
    <row r="12">
      <c r="B12" s="47" t="n">
        <v>225</v>
      </c>
      <c r="C12" s="48">
        <f>1000*PI()*6^2/4/225</f>
        <v/>
      </c>
      <c r="D12" s="48">
        <f>1000*PI()*8^2/4/225</f>
        <v/>
      </c>
      <c r="E12" s="48">
        <f>1000*PI()*10^2/4/225</f>
        <v/>
      </c>
      <c r="F12" s="48">
        <f>1000*PI()*12^2/4/225</f>
        <v/>
      </c>
      <c r="G12" s="48">
        <f>1000*PI()*16^2/4/225</f>
        <v/>
      </c>
      <c r="H12" s="48">
        <f>1000*PI()*20^2/4/225</f>
        <v/>
      </c>
      <c r="I12" s="48">
        <f>1000*PI()*25^2/4/225</f>
        <v/>
      </c>
      <c r="J12" s="48">
        <f>1000*PI()*32^2/4/225</f>
        <v/>
      </c>
      <c r="K12" s="48">
        <f>1000*PI()*40^2/4/225</f>
        <v/>
      </c>
    </row>
    <row r="13">
      <c r="B13" s="47" t="n">
        <v>250</v>
      </c>
      <c r="C13" s="48">
        <f>1000*PI()*6^2/4/250</f>
        <v/>
      </c>
      <c r="D13" s="48">
        <f>1000*PI()*8^2/4/250</f>
        <v/>
      </c>
      <c r="E13" s="48">
        <f>1000*PI()*10^2/4/250</f>
        <v/>
      </c>
      <c r="F13" s="48">
        <f>1000*PI()*12^2/4/250</f>
        <v/>
      </c>
      <c r="G13" s="48">
        <f>1000*PI()*16^2/4/250</f>
        <v/>
      </c>
      <c r="H13" s="48">
        <f>1000*PI()*20^2/4/250</f>
        <v/>
      </c>
      <c r="I13" s="48">
        <f>1000*PI()*25^2/4/250</f>
        <v/>
      </c>
      <c r="J13" s="48">
        <f>1000*PI()*32^2/4/250</f>
        <v/>
      </c>
      <c r="K13" s="48">
        <f>1000*PI()*40^2/4/250</f>
        <v/>
      </c>
    </row>
    <row r="14">
      <c r="B14" s="47" t="n">
        <v>300</v>
      </c>
      <c r="C14" s="48">
        <f>1000*PI()*6^2/4/300</f>
        <v/>
      </c>
      <c r="D14" s="48">
        <f>1000*PI()*8^2/4/300</f>
        <v/>
      </c>
      <c r="E14" s="48">
        <f>1000*PI()*10^2/4/300</f>
        <v/>
      </c>
      <c r="F14" s="48">
        <f>1000*PI()*12^2/4/300</f>
        <v/>
      </c>
      <c r="G14" s="48">
        <f>1000*PI()*16^2/4/300</f>
        <v/>
      </c>
      <c r="H14" s="48">
        <f>1000*PI()*20^2/4/300</f>
        <v/>
      </c>
      <c r="I14" s="48">
        <f>1000*PI()*25^2/4/300</f>
        <v/>
      </c>
      <c r="J14" s="48">
        <f>1000*PI()*32^2/4/300</f>
        <v/>
      </c>
      <c r="K14" s="48">
        <f>1000*PI()*40^2/4/300</f>
        <v/>
      </c>
    </row>
    <row r="17">
      <c r="B17" s="43" t="inlineStr">
        <is>
          <t>Area of a group of bars  (mm²)</t>
        </is>
      </c>
    </row>
    <row r="18">
      <c r="B18" s="44" t="inlineStr">
        <is>
          <t>n bars: As = n π φ² / 4. Divide by 100 for cm². Your bar and number are shaded.</t>
        </is>
      </c>
    </row>
    <row r="20">
      <c r="B20" s="45" t="inlineStr">
        <is>
          <t>number</t>
        </is>
      </c>
      <c r="C20" s="46" t="inlineStr">
        <is>
          <t>φ6</t>
        </is>
      </c>
      <c r="D20" s="46" t="inlineStr">
        <is>
          <t>φ8</t>
        </is>
      </c>
      <c r="E20" s="46" t="inlineStr">
        <is>
          <t>φ10</t>
        </is>
      </c>
      <c r="F20" s="46" t="inlineStr">
        <is>
          <t>φ12</t>
        </is>
      </c>
      <c r="G20" s="46" t="inlineStr">
        <is>
          <t>φ16</t>
        </is>
      </c>
      <c r="H20" s="46" t="inlineStr">
        <is>
          <t>φ20</t>
        </is>
      </c>
      <c r="I20" s="46" t="inlineStr">
        <is>
          <t>φ25</t>
        </is>
      </c>
      <c r="J20" s="46" t="inlineStr">
        <is>
          <t>φ32</t>
        </is>
      </c>
      <c r="K20" s="46" t="inlineStr">
        <is>
          <t>φ40</t>
        </is>
      </c>
    </row>
    <row r="21">
      <c r="B21" s="47" t="n">
        <v>1</v>
      </c>
      <c r="C21" s="48">
        <f>1*PI()*6^2/4</f>
        <v/>
      </c>
      <c r="D21" s="48">
        <f>1*PI()*8^2/4</f>
        <v/>
      </c>
      <c r="E21" s="48">
        <f>1*PI()*10^2/4</f>
        <v/>
      </c>
      <c r="F21" s="48">
        <f>1*PI()*12^2/4</f>
        <v/>
      </c>
      <c r="G21" s="48">
        <f>1*PI()*16^2/4</f>
        <v/>
      </c>
      <c r="H21" s="48">
        <f>1*PI()*20^2/4</f>
        <v/>
      </c>
      <c r="I21" s="48">
        <f>1*PI()*25^2/4</f>
        <v/>
      </c>
      <c r="J21" s="48">
        <f>1*PI()*32^2/4</f>
        <v/>
      </c>
      <c r="K21" s="48">
        <f>1*PI()*40^2/4</f>
        <v/>
      </c>
    </row>
    <row r="22">
      <c r="B22" s="47" t="n">
        <v>2</v>
      </c>
      <c r="C22" s="48">
        <f>2*PI()*6^2/4</f>
        <v/>
      </c>
      <c r="D22" s="48">
        <f>2*PI()*8^2/4</f>
        <v/>
      </c>
      <c r="E22" s="48">
        <f>2*PI()*10^2/4</f>
        <v/>
      </c>
      <c r="F22" s="48">
        <f>2*PI()*12^2/4</f>
        <v/>
      </c>
      <c r="G22" s="48">
        <f>2*PI()*16^2/4</f>
        <v/>
      </c>
      <c r="H22" s="48">
        <f>2*PI()*20^2/4</f>
        <v/>
      </c>
      <c r="I22" s="48">
        <f>2*PI()*25^2/4</f>
        <v/>
      </c>
      <c r="J22" s="48">
        <f>2*PI()*32^2/4</f>
        <v/>
      </c>
      <c r="K22" s="48">
        <f>2*PI()*40^2/4</f>
        <v/>
      </c>
    </row>
    <row r="23">
      <c r="B23" s="47" t="n">
        <v>3</v>
      </c>
      <c r="C23" s="48">
        <f>3*PI()*6^2/4</f>
        <v/>
      </c>
      <c r="D23" s="48">
        <f>3*PI()*8^2/4</f>
        <v/>
      </c>
      <c r="E23" s="48">
        <f>3*PI()*10^2/4</f>
        <v/>
      </c>
      <c r="F23" s="48">
        <f>3*PI()*12^2/4</f>
        <v/>
      </c>
      <c r="G23" s="48">
        <f>3*PI()*16^2/4</f>
        <v/>
      </c>
      <c r="H23" s="48">
        <f>3*PI()*20^2/4</f>
        <v/>
      </c>
      <c r="I23" s="48">
        <f>3*PI()*25^2/4</f>
        <v/>
      </c>
      <c r="J23" s="48">
        <f>3*PI()*32^2/4</f>
        <v/>
      </c>
      <c r="K23" s="48">
        <f>3*PI()*40^2/4</f>
        <v/>
      </c>
    </row>
    <row r="24">
      <c r="B24" s="47" t="n">
        <v>4</v>
      </c>
      <c r="C24" s="48">
        <f>4*PI()*6^2/4</f>
        <v/>
      </c>
      <c r="D24" s="48">
        <f>4*PI()*8^2/4</f>
        <v/>
      </c>
      <c r="E24" s="48">
        <f>4*PI()*10^2/4</f>
        <v/>
      </c>
      <c r="F24" s="48">
        <f>4*PI()*12^2/4</f>
        <v/>
      </c>
      <c r="G24" s="48">
        <f>4*PI()*16^2/4</f>
        <v/>
      </c>
      <c r="H24" s="48">
        <f>4*PI()*20^2/4</f>
        <v/>
      </c>
      <c r="I24" s="48">
        <f>4*PI()*25^2/4</f>
        <v/>
      </c>
      <c r="J24" s="48">
        <f>4*PI()*32^2/4</f>
        <v/>
      </c>
      <c r="K24" s="48">
        <f>4*PI()*40^2/4</f>
        <v/>
      </c>
    </row>
    <row r="25">
      <c r="B25" s="47" t="n">
        <v>5</v>
      </c>
      <c r="C25" s="48">
        <f>5*PI()*6^2/4</f>
        <v/>
      </c>
      <c r="D25" s="48">
        <f>5*PI()*8^2/4</f>
        <v/>
      </c>
      <c r="E25" s="48">
        <f>5*PI()*10^2/4</f>
        <v/>
      </c>
      <c r="F25" s="48">
        <f>5*PI()*12^2/4</f>
        <v/>
      </c>
      <c r="G25" s="48">
        <f>5*PI()*16^2/4</f>
        <v/>
      </c>
      <c r="H25" s="48">
        <f>5*PI()*20^2/4</f>
        <v/>
      </c>
      <c r="I25" s="48">
        <f>5*PI()*25^2/4</f>
        <v/>
      </c>
      <c r="J25" s="48">
        <f>5*PI()*32^2/4</f>
        <v/>
      </c>
      <c r="K25" s="48">
        <f>5*PI()*40^2/4</f>
        <v/>
      </c>
    </row>
    <row r="26">
      <c r="B26" s="47" t="n">
        <v>6</v>
      </c>
      <c r="C26" s="48">
        <f>6*PI()*6^2/4</f>
        <v/>
      </c>
      <c r="D26" s="48">
        <f>6*PI()*8^2/4</f>
        <v/>
      </c>
      <c r="E26" s="48">
        <f>6*PI()*10^2/4</f>
        <v/>
      </c>
      <c r="F26" s="48">
        <f>6*PI()*12^2/4</f>
        <v/>
      </c>
      <c r="G26" s="48">
        <f>6*PI()*16^2/4</f>
        <v/>
      </c>
      <c r="H26" s="48">
        <f>6*PI()*20^2/4</f>
        <v/>
      </c>
      <c r="I26" s="48">
        <f>6*PI()*25^2/4</f>
        <v/>
      </c>
      <c r="J26" s="48">
        <f>6*PI()*32^2/4</f>
        <v/>
      </c>
      <c r="K26" s="48">
        <f>6*PI()*40^2/4</f>
        <v/>
      </c>
    </row>
    <row r="27">
      <c r="B27" s="47" t="n">
        <v>7</v>
      </c>
      <c r="C27" s="48">
        <f>7*PI()*6^2/4</f>
        <v/>
      </c>
      <c r="D27" s="48">
        <f>7*PI()*8^2/4</f>
        <v/>
      </c>
      <c r="E27" s="48">
        <f>7*PI()*10^2/4</f>
        <v/>
      </c>
      <c r="F27" s="48">
        <f>7*PI()*12^2/4</f>
        <v/>
      </c>
      <c r="G27" s="48">
        <f>7*PI()*16^2/4</f>
        <v/>
      </c>
      <c r="H27" s="48">
        <f>7*PI()*20^2/4</f>
        <v/>
      </c>
      <c r="I27" s="48">
        <f>7*PI()*25^2/4</f>
        <v/>
      </c>
      <c r="J27" s="48">
        <f>7*PI()*32^2/4</f>
        <v/>
      </c>
      <c r="K27" s="48">
        <f>7*PI()*40^2/4</f>
        <v/>
      </c>
    </row>
    <row r="28">
      <c r="B28" s="47" t="n">
        <v>8</v>
      </c>
      <c r="C28" s="48">
        <f>8*PI()*6^2/4</f>
        <v/>
      </c>
      <c r="D28" s="48">
        <f>8*PI()*8^2/4</f>
        <v/>
      </c>
      <c r="E28" s="48">
        <f>8*PI()*10^2/4</f>
        <v/>
      </c>
      <c r="F28" s="48">
        <f>8*PI()*12^2/4</f>
        <v/>
      </c>
      <c r="G28" s="48">
        <f>8*PI()*16^2/4</f>
        <v/>
      </c>
      <c r="H28" s="48">
        <f>8*PI()*20^2/4</f>
        <v/>
      </c>
      <c r="I28" s="48">
        <f>8*PI()*25^2/4</f>
        <v/>
      </c>
      <c r="J28" s="48">
        <f>8*PI()*32^2/4</f>
        <v/>
      </c>
      <c r="K28" s="48">
        <f>8*PI()*40^2/4</f>
        <v/>
      </c>
    </row>
    <row r="29">
      <c r="B29" s="47" t="n">
        <v>9</v>
      </c>
      <c r="C29" s="48">
        <f>9*PI()*6^2/4</f>
        <v/>
      </c>
      <c r="D29" s="48">
        <f>9*PI()*8^2/4</f>
        <v/>
      </c>
      <c r="E29" s="48">
        <f>9*PI()*10^2/4</f>
        <v/>
      </c>
      <c r="F29" s="48">
        <f>9*PI()*12^2/4</f>
        <v/>
      </c>
      <c r="G29" s="48">
        <f>9*PI()*16^2/4</f>
        <v/>
      </c>
      <c r="H29" s="48">
        <f>9*PI()*20^2/4</f>
        <v/>
      </c>
      <c r="I29" s="48">
        <f>9*PI()*25^2/4</f>
        <v/>
      </c>
      <c r="J29" s="48">
        <f>9*PI()*32^2/4</f>
        <v/>
      </c>
      <c r="K29" s="48">
        <f>9*PI()*40^2/4</f>
        <v/>
      </c>
    </row>
    <row r="30">
      <c r="B30" s="47" t="n">
        <v>10</v>
      </c>
      <c r="C30" s="48">
        <f>10*PI()*6^2/4</f>
        <v/>
      </c>
      <c r="D30" s="48">
        <f>10*PI()*8^2/4</f>
        <v/>
      </c>
      <c r="E30" s="48">
        <f>10*PI()*10^2/4</f>
        <v/>
      </c>
      <c r="F30" s="48">
        <f>10*PI()*12^2/4</f>
        <v/>
      </c>
      <c r="G30" s="48">
        <f>10*PI()*16^2/4</f>
        <v/>
      </c>
      <c r="H30" s="48">
        <f>10*PI()*20^2/4</f>
        <v/>
      </c>
      <c r="I30" s="48">
        <f>10*PI()*25^2/4</f>
        <v/>
      </c>
      <c r="J30" s="48">
        <f>10*PI()*32^2/4</f>
        <v/>
      </c>
      <c r="K30" s="48">
        <f>10*PI()*40^2/4</f>
        <v/>
      </c>
    </row>
    <row r="31">
      <c r="B31" s="47" t="n">
        <v>11</v>
      </c>
      <c r="C31" s="48">
        <f>11*PI()*6^2/4</f>
        <v/>
      </c>
      <c r="D31" s="48">
        <f>11*PI()*8^2/4</f>
        <v/>
      </c>
      <c r="E31" s="48">
        <f>11*PI()*10^2/4</f>
        <v/>
      </c>
      <c r="F31" s="48">
        <f>11*PI()*12^2/4</f>
        <v/>
      </c>
      <c r="G31" s="48">
        <f>11*PI()*16^2/4</f>
        <v/>
      </c>
      <c r="H31" s="48">
        <f>11*PI()*20^2/4</f>
        <v/>
      </c>
      <c r="I31" s="48">
        <f>11*PI()*25^2/4</f>
        <v/>
      </c>
      <c r="J31" s="48">
        <f>11*PI()*32^2/4</f>
        <v/>
      </c>
      <c r="K31" s="48">
        <f>11*PI()*40^2/4</f>
        <v/>
      </c>
    </row>
    <row r="32">
      <c r="B32" s="47" t="n">
        <v>12</v>
      </c>
      <c r="C32" s="48">
        <f>12*PI()*6^2/4</f>
        <v/>
      </c>
      <c r="D32" s="48">
        <f>12*PI()*8^2/4</f>
        <v/>
      </c>
      <c r="E32" s="48">
        <f>12*PI()*10^2/4</f>
        <v/>
      </c>
      <c r="F32" s="48">
        <f>12*PI()*12^2/4</f>
        <v/>
      </c>
      <c r="G32" s="48">
        <f>12*PI()*16^2/4</f>
        <v/>
      </c>
      <c r="H32" s="48">
        <f>12*PI()*20^2/4</f>
        <v/>
      </c>
      <c r="I32" s="48">
        <f>12*PI()*25^2/4</f>
        <v/>
      </c>
      <c r="J32" s="48">
        <f>12*PI()*32^2/4</f>
        <v/>
      </c>
      <c r="K32" s="48">
        <f>12*PI()*40^2/4</f>
        <v/>
      </c>
    </row>
    <row r="33">
      <c r="B33" s="47" t="n">
        <v>13</v>
      </c>
      <c r="C33" s="48">
        <f>13*PI()*6^2/4</f>
        <v/>
      </c>
      <c r="D33" s="48">
        <f>13*PI()*8^2/4</f>
        <v/>
      </c>
      <c r="E33" s="48">
        <f>13*PI()*10^2/4</f>
        <v/>
      </c>
      <c r="F33" s="48">
        <f>13*PI()*12^2/4</f>
        <v/>
      </c>
      <c r="G33" s="48">
        <f>13*PI()*16^2/4</f>
        <v/>
      </c>
      <c r="H33" s="48">
        <f>13*PI()*20^2/4</f>
        <v/>
      </c>
      <c r="I33" s="48">
        <f>13*PI()*25^2/4</f>
        <v/>
      </c>
      <c r="J33" s="48">
        <f>13*PI()*32^2/4</f>
        <v/>
      </c>
      <c r="K33" s="48">
        <f>13*PI()*40^2/4</f>
        <v/>
      </c>
    </row>
    <row r="34">
      <c r="B34" s="47" t="n">
        <v>14</v>
      </c>
      <c r="C34" s="48">
        <f>14*PI()*6^2/4</f>
        <v/>
      </c>
      <c r="D34" s="48">
        <f>14*PI()*8^2/4</f>
        <v/>
      </c>
      <c r="E34" s="48">
        <f>14*PI()*10^2/4</f>
        <v/>
      </c>
      <c r="F34" s="48">
        <f>14*PI()*12^2/4</f>
        <v/>
      </c>
      <c r="G34" s="48">
        <f>14*PI()*16^2/4</f>
        <v/>
      </c>
      <c r="H34" s="48">
        <f>14*PI()*20^2/4</f>
        <v/>
      </c>
      <c r="I34" s="48">
        <f>14*PI()*25^2/4</f>
        <v/>
      </c>
      <c r="J34" s="48">
        <f>14*PI()*32^2/4</f>
        <v/>
      </c>
      <c r="K34" s="48">
        <f>14*PI()*40^2/4</f>
        <v/>
      </c>
    </row>
    <row r="35">
      <c r="B35" s="47" t="n">
        <v>15</v>
      </c>
      <c r="C35" s="48">
        <f>15*PI()*6^2/4</f>
        <v/>
      </c>
      <c r="D35" s="48">
        <f>15*PI()*8^2/4</f>
        <v/>
      </c>
      <c r="E35" s="48">
        <f>15*PI()*10^2/4</f>
        <v/>
      </c>
      <c r="F35" s="48">
        <f>15*PI()*12^2/4</f>
        <v/>
      </c>
      <c r="G35" s="48">
        <f>15*PI()*16^2/4</f>
        <v/>
      </c>
      <c r="H35" s="48">
        <f>15*PI()*20^2/4</f>
        <v/>
      </c>
      <c r="I35" s="48">
        <f>15*PI()*25^2/4</f>
        <v/>
      </c>
      <c r="J35" s="48">
        <f>15*PI()*32^2/4</f>
        <v/>
      </c>
      <c r="K35" s="48">
        <f>15*PI()*40^2/4</f>
        <v/>
      </c>
    </row>
    <row r="36">
      <c r="B36" s="47" t="n">
        <v>16</v>
      </c>
      <c r="C36" s="48">
        <f>16*PI()*6^2/4</f>
        <v/>
      </c>
      <c r="D36" s="48">
        <f>16*PI()*8^2/4</f>
        <v/>
      </c>
      <c r="E36" s="48">
        <f>16*PI()*10^2/4</f>
        <v/>
      </c>
      <c r="F36" s="48">
        <f>16*PI()*12^2/4</f>
        <v/>
      </c>
      <c r="G36" s="48">
        <f>16*PI()*16^2/4</f>
        <v/>
      </c>
      <c r="H36" s="48">
        <f>16*PI()*20^2/4</f>
        <v/>
      </c>
      <c r="I36" s="48">
        <f>16*PI()*25^2/4</f>
        <v/>
      </c>
      <c r="J36" s="48">
        <f>16*PI()*32^2/4</f>
        <v/>
      </c>
      <c r="K36" s="48">
        <f>16*PI()*40^2/4</f>
        <v/>
      </c>
    </row>
    <row r="37">
      <c r="B37" s="47" t="n">
        <v>17</v>
      </c>
      <c r="C37" s="48">
        <f>17*PI()*6^2/4</f>
        <v/>
      </c>
      <c r="D37" s="48">
        <f>17*PI()*8^2/4</f>
        <v/>
      </c>
      <c r="E37" s="48">
        <f>17*PI()*10^2/4</f>
        <v/>
      </c>
      <c r="F37" s="48">
        <f>17*PI()*12^2/4</f>
        <v/>
      </c>
      <c r="G37" s="48">
        <f>17*PI()*16^2/4</f>
        <v/>
      </c>
      <c r="H37" s="48">
        <f>17*PI()*20^2/4</f>
        <v/>
      </c>
      <c r="I37" s="48">
        <f>17*PI()*25^2/4</f>
        <v/>
      </c>
      <c r="J37" s="48">
        <f>17*PI()*32^2/4</f>
        <v/>
      </c>
      <c r="K37" s="48">
        <f>17*PI()*40^2/4</f>
        <v/>
      </c>
    </row>
    <row r="38">
      <c r="B38" s="47" t="n">
        <v>18</v>
      </c>
      <c r="C38" s="48">
        <f>18*PI()*6^2/4</f>
        <v/>
      </c>
      <c r="D38" s="48">
        <f>18*PI()*8^2/4</f>
        <v/>
      </c>
      <c r="E38" s="48">
        <f>18*PI()*10^2/4</f>
        <v/>
      </c>
      <c r="F38" s="48">
        <f>18*PI()*12^2/4</f>
        <v/>
      </c>
      <c r="G38" s="48">
        <f>18*PI()*16^2/4</f>
        <v/>
      </c>
      <c r="H38" s="48">
        <f>18*PI()*20^2/4</f>
        <v/>
      </c>
      <c r="I38" s="48">
        <f>18*PI()*25^2/4</f>
        <v/>
      </c>
      <c r="J38" s="48">
        <f>18*PI()*32^2/4</f>
        <v/>
      </c>
      <c r="K38" s="48">
        <f>18*PI()*40^2/4</f>
        <v/>
      </c>
    </row>
    <row r="39">
      <c r="B39" s="47" t="n">
        <v>19</v>
      </c>
      <c r="C39" s="48">
        <f>19*PI()*6^2/4</f>
        <v/>
      </c>
      <c r="D39" s="48">
        <f>19*PI()*8^2/4</f>
        <v/>
      </c>
      <c r="E39" s="48">
        <f>19*PI()*10^2/4</f>
        <v/>
      </c>
      <c r="F39" s="48">
        <f>19*PI()*12^2/4</f>
        <v/>
      </c>
      <c r="G39" s="48">
        <f>19*PI()*16^2/4</f>
        <v/>
      </c>
      <c r="H39" s="48">
        <f>19*PI()*20^2/4</f>
        <v/>
      </c>
      <c r="I39" s="48">
        <f>19*PI()*25^2/4</f>
        <v/>
      </c>
      <c r="J39" s="48">
        <f>19*PI()*32^2/4</f>
        <v/>
      </c>
      <c r="K39" s="48">
        <f>19*PI()*40^2/4</f>
        <v/>
      </c>
    </row>
    <row r="40">
      <c r="B40" s="47" t="n">
        <v>20</v>
      </c>
      <c r="C40" s="48">
        <f>20*PI()*6^2/4</f>
        <v/>
      </c>
      <c r="D40" s="48">
        <f>20*PI()*8^2/4</f>
        <v/>
      </c>
      <c r="E40" s="48">
        <f>20*PI()*10^2/4</f>
        <v/>
      </c>
      <c r="F40" s="48">
        <f>20*PI()*12^2/4</f>
        <v/>
      </c>
      <c r="G40" s="48">
        <f>20*PI()*16^2/4</f>
        <v/>
      </c>
      <c r="H40" s="48">
        <f>20*PI()*20^2/4</f>
        <v/>
      </c>
      <c r="I40" s="48">
        <f>20*PI()*25^2/4</f>
        <v/>
      </c>
      <c r="J40" s="48">
        <f>20*PI()*32^2/4</f>
        <v/>
      </c>
      <c r="K40" s="48">
        <f>20*PI()*40^2/4</f>
        <v/>
      </c>
    </row>
    <row r="42">
      <c r="B42" s="44" t="inlineStr">
        <is>
          <t>Prepared with NA Engineering tools  ·  naengineering.uk. Nominal bar areas; masses per metre to BS 4449 / PN-EN 10080 are on the Calculation sheet.</t>
        </is>
      </c>
    </row>
  </sheetData>
  <sheetProtection selectLockedCells="0" selectUnlockedCells="0" sheet="1" objects="1" insertRows="1" insertHyperlinks="1" autoFilter="1" scenarios="0" formatColumns="1" deleteColumns="1" insertColumns="1" pivotTables="1" deleteRows="1" formatCells="1" formatRows="1" sort="1" password="AA0A"/>
  <conditionalFormatting sqref="C6:K14">
    <cfRule type="expression" priority="1" dxfId="3">
      <formula>AND(inputs_ok,$B6=s_a,C$5="φ"&amp;phi_a)</formula>
    </cfRule>
  </conditionalFormatting>
  <conditionalFormatting sqref="C21:K40">
    <cfRule type="expression" priority="2" dxfId="3">
      <formula>AND(inputs_ok,$B21=n_a,C$20="φ"&amp;phi_n)</formula>
    </cfRule>
  </conditionalFormatting>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&amp;K8A8A8ANAE-RC-010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NAE-RC-010 Bar areas</dc:title>
  <dc:subject xmlns:dc="http://purl.org/dc/elements/1.1/">Reinforcement areas  ·  bars at a spacing or in a group  ·  mm² and cm²</dc:subject>
  <dcterms:created xmlns:dcterms="http://purl.org/dc/terms/" xmlns:xsi="http://www.w3.org/2001/XMLSchema-instance" xsi:type="dcterms:W3CDTF">2026-10-30T10:58:36Z</dcterms:created>
  <dcterms:modified xmlns:dcterms="http://purl.org/dc/terms/" xmlns:xsi="http://www.w3.org/2001/XMLSchema-instance" xsi:type="dcterms:W3CDTF">2026-10-30T10:58:36Z</dcterms:modified>
  <cp:lastModifiedBy>NA Engineering sp. z o.o.</cp:lastModifiedBy>
  <cp:keywords>NA Engineering; Eurocode 2; EN 1992-1-1</cp:keywords>
</cp:coreProperties>
</file>