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_g">'Calculation'!$E$14</definedName>
    <definedName name="w_col">'Calculation'!$E$15</definedName>
    <definedName name="b_cb">'Calculation'!$E$16</definedName>
    <definedName name="h_cb">'Calculation'!$E$17</definedName>
    <definedName name="h_e">'Calculation'!$E$18</definedName>
    <definedName name="l_cb">'Calculation'!$E$19</definedName>
    <definedName name="a_c">'Calculation'!$E$20</definedName>
    <definedName name="l_p">'Calculation'!$E$21</definedName>
    <definedName name="b_p">'Calculation'!$E$22</definedName>
    <definedName name="c_nom">'Calculation'!$E$23</definedName>
    <definedName name="phi_m">'Calculation'!$E$24</definedName>
    <definedName name="n_m">'Calculation'!$E$25</definedName>
    <definedName name="phi_l">'Calculation'!$E$26</definedName>
    <definedName name="n_lh">'Calculation'!$E$27</definedName>
    <definedName name="n_lv">'Calculation'!$E$28</definedName>
    <definedName name="F_Ed">'Calculation'!$E$31</definedName>
    <definedName name="H_Ed">'Calculation'!$E$32</definedName>
    <definedName name="inputs_ok">IFERROR(AND(OR(NA_sel="UK NA (BS EN)",NA_sel="PL NA (PN-EN)"),OR(conc_class="C20/25",conc_class="C25/30",conc_class="C28/35",conc_class="C30/37",conc_class="C32/40",conc_class="C35/45",conc_class="C40/50",conc_class="C45/55",conc_class="C50/60"),ISNUMBER(f_yk),f_yk&gt;0,ISNUMBER(d_g),d_g&gt;0,ISNUMBER(w_col),w_col&gt;0,ISNUMBER(b_cb),b_cb&gt;0,ISNUMBER(h_cb),h_cb&gt;0,ISNUMBER(h_e),h_e&gt;0,ISNUMBER(l_cb),l_cb&gt;0,ISNUMBER(a_c),a_c&gt;0,ISNUMBER(l_p),l_p&gt;0,ISNUMBER(b_p),b_p&gt;0,ISNUMBER(c_nom),c_nom&gt;0,OR(AND(ISNUMBER(phi_m),phi_m=8),AND(ISNUMBER(phi_m),phi_m=10),AND(ISNUMBER(phi_m),phi_m=12),AND(ISNUMBER(phi_m),phi_m=16),AND(ISNUMBER(phi_m),phi_m=20),AND(ISNUMBER(phi_m),phi_m=25),AND(ISNUMBER(phi_m),phi_m=32),AND(ISNUMBER(phi_m),phi_m=40)),OR(AND(ISNUMBER(n_m),n_m=2),AND(ISNUMBER(n_m),n_m=3),AND(ISNUMBER(n_m),n_m=4),AND(ISNUMBER(n_m),n_m=5),AND(ISNUMBER(n_m),n_m=6),AND(ISNUMBER(n_m),n_m=7),AND(ISNUMBER(n_m),n_m=8),AND(ISNUMBER(n_m),n_m=9),AND(ISNUMBER(n_m),n_m=10)),OR(AND(ISNUMBER(phi_l),phi_l=8),AND(ISNUMBER(phi_l),phi_l=10),AND(ISNUMBER(phi_l),phi_l=12),AND(ISNUMBER(phi_l),phi_l=16)),OR(AND(ISNUMBER(n_lh),n_lh=0),AND(ISNUMBER(n_lh),n_lh=1),AND(ISNUMBER(n_lh),n_lh=2),AND(ISNUMBER(n_lh),n_lh=3),AND(ISNUMBER(n_lh),n_lh=4),AND(ISNUMBER(n_lh),n_lh=5),AND(ISNUMBER(n_lh),n_lh=6),AND(ISNUMBER(n_lh),n_lh=7),AND(ISNUMBER(n_lh),n_lh=8)),OR(AND(ISNUMBER(n_lv),n_lv=0),AND(ISNUMBER(n_lv),n_lv=1),AND(ISNUMBER(n_lv),n_lv=2),AND(ISNUMBER(n_lv),n_lv=3),AND(ISNUMBER(n_lv),n_lv=4),AND(ISNUMBER(n_lv),n_lv=5),AND(ISNUMBER(n_lv),n_lv=6),AND(ISNUMBER(n_lv),n_lv=7),AND(ISNUMBER(n_lv),n_lv=8)),ISNUMBER(F_Ed),F_Ed&gt;0,ISNUMBER(H_Ed),H_Ed&gt;=0,AND(F_Ed&gt;0,f_yk&gt;=400,f_yk&lt;=500,h_e&lt;=h_cb,h_e&gt;c_nom+phi_l+phi_m,a_c&lt;l_cb,a_c+l_p/2&lt;=l_cb,a_c-l_p/2&gt;=0,b_p&lt;=b_cb,b_cb&gt;2*(c_nom+phi_l)+n_m*phi_m)),FALSE)</definedName>
    <definedName name="input_status">'Calculation'!$G$33</definedName>
    <definedName name="cb_ok">IF(AND(inputs_ok,ISNUMBER(y_0)),AND(tan_raw&gt;1,tan_t&gt;=1,y_u&lt;=d_cb,a_eq&lt;=x_tie),FALSE)</definedName>
    <definedName name="tie_status">'Calculation'!$G$57</definedName>
    <definedName name="bearing_status">'Calculation'!$G$58</definedName>
    <definedName name="shear_status">'Calculation'!$G$59</definedName>
    <definedName name="link_status">'Calculation'!$G$60</definedName>
    <definedName name="geom_status">'Calculation'!$G$61</definedName>
    <definedName name="gamma_c">'Calculation'!$E$65</definedName>
    <definedName name="gamma_s">'Calculation'!$E$66</definedName>
    <definedName name="alpha_cc">'Calculation'!$E$67</definedName>
    <definedName name="alpha_cc_shear">'Calculation'!$E$68</definedName>
    <definedName name="C_Rdc">'Calculation'!$E$69</definedName>
    <definedName name="f_ck">'Calculation'!$E$70</definedName>
    <definedName name="f_ctm">'Calculation'!$E$71</definedName>
    <definedName name="f_cd">'Calculation'!$E$72</definedName>
    <definedName name="f_yd">'Calculation'!$E$73</definedName>
    <definedName name="nu_p">'Calculation'!$E$74</definedName>
    <definedName name="sig_ccc">'Calculation'!$E$75</definedName>
    <definedName name="sig_cct">'Calculation'!$E$76</definedName>
    <definedName name="sig_str">'Calculation'!$E$77</definedName>
    <definedName name="d_cb">'Calculation'!$E$78</definedName>
    <definedName name="a_H">'Calculation'!$E$79</definedName>
    <definedName name="M_t">'Calculation'!$E$80</definedName>
    <definedName name="y_0">'Calculation'!$E$81</definedName>
    <definedName name="z_0">'Calculation'!$E$82</definedName>
    <definedName name="tan_raw">'Calculation'!$E$83</definedName>
    <definedName name="a_eq">'Calculation'!$E$84</definedName>
    <definedName name="x_tie">'Calculation'!$E$85</definedName>
    <definedName name="z_u">'Calculation'!$E$86</definedName>
    <definedName name="y_u">'Calculation'!$E$87</definedName>
    <definedName name="tan_t">'Calculation'!$E$88</definedName>
    <definedName name="C_cb">'Calculation'!$E$89</definedName>
    <definedName name="sig_cn">'Calculation'!$E$90</definedName>
    <definedName name="F_td">'Calculation'!$E$91</definedName>
    <definedName name="F_c">'Calculation'!$E$92</definedName>
    <definedName name="w_st">'Calculation'!$E$93</definedName>
    <definedName name="sig_st">'Calculation'!$E$94</definedName>
    <definedName name="sig_cn2">'Calculation'!$E$95</definedName>
    <definedName name="As_req">'Calculation'!$E$96</definedName>
    <definedName name="As_prov">'Calculation'!$E$97</definedName>
    <definedName name="As_min">'Calculation'!$E$98</definedName>
    <definedName name="As_max">'Calculation'!$E$99</definedName>
    <definedName name="sig_b">'Calculation'!$E$100</definedName>
    <definedName name="gap_min">'Calculation'!$E$104</definedName>
    <definedName name="gap_m">'Calculation'!$E$105</definedName>
    <definedName name="f_cdv">'Calculation'!$E$109</definedName>
    <definedName name="nu_v">'Calculation'!$E$110</definedName>
    <definedName name="V_max">'Calculation'!$E$111</definedName>
    <definedName name="k_cb">'Calculation'!$E$112</definedName>
    <definedName name="rho_cb">'Calculation'!$E$113</definedName>
    <definedName name="V_Rdc">'Calculation'!$E$114</definedName>
    <definedName name="lnk_case">IF(a_c&lt;=0.5*h_cb,1,IF(F_Ed&gt;V_Rdc,2,0))</definedName>
    <definedName name="Alh_req">'Calculation'!$E$116</definedName>
    <definedName name="Alh_prov">'Calculation'!$E$117</definedName>
    <definedName name="Alv_req">'Calculation'!$E$118</definedName>
    <definedName name="Alv_prov">'Calculation'!$E$119</definedName>
    <definedName name="x_lnk">'Calculation'!$E$120</definedName>
    <definedName name="lnk_reach">OR(lnk_case&lt;&gt;1,AND(x_lnk&gt;=a_c-l_p/2,x_lnk&gt;=4*phi_l))</definedName>
    <definedName name="gap_lmin">'Calculation'!$E$121</definedName>
    <definedName name="gap_lh">'Calculation'!$E$122</definedName>
    <definedName name="gap_lv">'Calculation'!$E$123</definedName>
    <definedName name="lnk_fit">AND(IF(n_lh&gt;0,gap_lh&gt;=gap_lmin,TRUE),IF(n_lv&gt;0,gap_lv&gt;=gap_lmin,TRUE))</definedName>
    <definedName name="lnk_ok">AND(Alh_prov&gt;=Alh_req,Alv_prov&gt;=Alv_req,lnk_reach,lnk_fit)</definedName>
    <definedName name="lnk_txt">CHOOSE(lnk_case+1,"none required","horizontal","vertical")</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'Calculation'!$A$1:$H$128</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00"/>
    <numFmt numFmtId="166" formatCode="0.0"/>
    <numFmt numFmtId="167"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1">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7" fillId="4" borderId="0"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167"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outline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'Geometry'!$A$3:$A$10</f>
            </numRef>
          </xVal>
          <yVal>
            <numRef>
              <f>'Geometry'!$B$3:$B$10</f>
            </numRef>
          </yVal>
          <smooth val="0"/>
        </ser>
        <ser>
          <idx val="1"/>
          <order val="1"/>
          <tx>
            <v>plate</v>
          </tx>
          <spPr>
            <a:ln xmlns:a="http://schemas.openxmlformats.org/drawingml/2006/main" w="19050">
              <a:solidFill>
                <a:srgbClr val="9A9A9A"/>
              </a:solidFill>
              <a:prstDash val="solid"/>
            </a:ln>
          </spPr>
          <marker>
            <symbol val="none"/>
            <spPr>
              <a:ln xmlns:a="http://schemas.openxmlformats.org/drawingml/2006/main">
                <a:prstDash val="solid"/>
              </a:ln>
            </spPr>
          </marker>
          <xVal>
            <numRef>
              <f>'Geometry'!$D$3:$D$6</f>
            </numRef>
          </xVal>
          <yVal>
            <numRef>
              <f>'Geometry'!$E$3:$E$6</f>
            </numRef>
          </yVal>
          <smooth val="0"/>
        </ser>
        <ser>
          <idx val="2"/>
          <order val="2"/>
          <tx>
            <v>F</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F head</v>
          </tx>
          <spPr>
            <a:ln xmlns:a="http://schemas.openxmlformats.org/drawingml/2006/main" w="25400">
              <a:solidFill>
                <a:srgbClr val="B3261E"/>
              </a:solidFill>
              <a:prstDash val="solid"/>
            </a:ln>
          </spPr>
          <marker>
            <symbol val="none"/>
            <spPr>
              <a:ln xmlns:a="http://schemas.openxmlformats.org/drawingml/2006/main">
                <a:prstDash val="solid"/>
              </a:ln>
            </spPr>
          </marker>
          <xVal>
            <numRef>
              <f>'Geometry'!$J$3:$J$5</f>
            </numRef>
          </xVal>
          <yVal>
            <numRef>
              <f>'Geometry'!$K$3:$K$5</f>
            </numRef>
          </yVal>
          <smooth val="0"/>
        </ser>
        <ser>
          <idx val="4"/>
          <order val="4"/>
          <tx>
            <v>H</v>
          </tx>
          <spPr>
            <a:ln xmlns:a="http://schemas.openxmlformats.org/drawingml/2006/main" w="19050">
              <a:solidFill>
                <a:srgbClr val="B3261E"/>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H head</v>
          </tx>
          <spPr>
            <a:ln xmlns:a="http://schemas.openxmlformats.org/drawingml/2006/main" w="19050">
              <a:solidFill>
                <a:srgbClr val="B3261E"/>
              </a:solidFill>
              <a:prstDash val="solid"/>
            </a:ln>
          </spPr>
          <marker>
            <symbol val="none"/>
            <spPr>
              <a:ln xmlns:a="http://schemas.openxmlformats.org/drawingml/2006/main">
                <a:prstDash val="solid"/>
              </a:ln>
            </spPr>
          </marker>
          <xVal>
            <numRef>
              <f>'Geometry'!$P$3:$P$5</f>
            </numRef>
          </xVal>
          <yVal>
            <numRef>
              <f>'Geometry'!$Q$3:$Q$5</f>
            </numRef>
          </yVal>
          <smooth val="0"/>
        </ser>
        <ser>
          <idx val="6"/>
          <order val="6"/>
          <tx>
            <v>main bar</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'Geometry'!$S$3:$S$6</f>
            </numRef>
          </xVal>
          <yVal>
            <numRef>
              <f>'Geometry'!$T$3:$T$6</f>
            </numRef>
          </yVal>
          <smooth val="0"/>
        </ser>
        <ser>
          <idx val="7"/>
          <order val="7"/>
          <tx>
            <v>h link 0</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v link 0</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h link 1</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v>v link 1</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h link 2</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v link 2</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h link 3</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v link 3</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'Geometry'!$AQ$3:$AQ$4</f>
            </numRef>
          </xVal>
          <yVal>
            <numRef>
              <f>'Geometry'!$AR$3:$AR$4</f>
            </numRef>
          </yVal>
          <smooth val="0"/>
        </ser>
        <ser>
          <idx val="15"/>
          <order val="15"/>
          <tx>
            <v>h link 4</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v link 4</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h link 5</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'Geometry'!$AZ$3:$AZ$4</f>
            </numRef>
          </xVal>
          <yVal>
            <numRef>
              <f>'Geometry'!$BA$3:$BA$4</f>
            </numRef>
          </yVal>
          <smooth val="0"/>
        </ser>
        <ser>
          <idx val="18"/>
          <order val="18"/>
          <tx>
            <v>v link 5</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'Geometry'!$BC$3:$BC$4</f>
            </numRef>
          </xVal>
          <yVal>
            <numRef>
              <f>'Geometry'!$BD$3:$BD$4</f>
            </numRef>
          </yVal>
          <smooth val="0"/>
        </ser>
        <ser>
          <idx val="19"/>
          <order val="19"/>
          <tx>
            <v>h link 6</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'Geometry'!$BF$3:$BF$4</f>
            </numRef>
          </xVal>
          <yVal>
            <numRef>
              <f>'Geometry'!$BG$3:$BG$4</f>
            </numRef>
          </yVal>
          <smooth val="0"/>
        </ser>
        <ser>
          <idx val="20"/>
          <order val="20"/>
          <tx>
            <v>v link 6</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'Geometry'!$BI$3:$BI$4</f>
            </numRef>
          </xVal>
          <yVal>
            <numRef>
              <f>'Geometry'!$BJ$3:$BJ$4</f>
            </numRef>
          </yVal>
          <smooth val="0"/>
        </ser>
        <ser>
          <idx val="21"/>
          <order val="21"/>
          <tx>
            <v>h link 7</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'Geometry'!$BL$3:$BL$4</f>
            </numRef>
          </xVal>
          <yVal>
            <numRef>
              <f>'Geometry'!$BM$3:$BM$4</f>
            </numRef>
          </yVal>
          <smooth val="0"/>
        </ser>
        <ser>
          <idx val="22"/>
          <order val="22"/>
          <tx>
            <v>v link 7</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'Geometry'!$BO$3:$BO$4</f>
            </numRef>
          </xVal>
          <yVal>
            <numRef>
              <f>'Geometry'!$BP$3:$BP$4</f>
            </numRef>
          </yVal>
          <smooth val="0"/>
        </ser>
        <ser>
          <idx val="23"/>
          <order val="23"/>
          <tx>
            <v>resultant</v>
          </tx>
          <spPr>
            <a:ln xmlns:a="http://schemas.openxmlformats.org/drawingml/2006/main" w="9525">
              <a:solidFill>
                <a:srgbClr val="B3261E"/>
              </a:solidFill>
              <a:prstDash val="sysDot"/>
            </a:ln>
          </spPr>
          <marker>
            <symbol val="none"/>
            <spPr>
              <a:ln xmlns:a="http://schemas.openxmlformats.org/drawingml/2006/main">
                <a:prstDash val="solid"/>
              </a:ln>
            </spPr>
          </marker>
          <xVal>
            <numRef>
              <f>'Geometry'!$BR$3:$BR$4</f>
            </numRef>
          </xVal>
          <yVal>
            <numRef>
              <f>'Geometry'!$BS$3:$BS$4</f>
            </numRef>
          </yVal>
          <smooth val="0"/>
        </ser>
        <ser>
          <idx val="24"/>
          <order val="24"/>
          <tx>
            <v>strut</v>
          </tx>
          <spPr>
            <a:ln xmlns:a="http://schemas.openxmlformats.org/drawingml/2006/main" w="19050">
              <a:solidFill>
                <a:srgbClr val="5B7F8A"/>
              </a:solidFill>
              <a:prstDash val="dash"/>
            </a:ln>
          </spPr>
          <marker>
            <symbol val="none"/>
            <spPr>
              <a:ln xmlns:a="http://schemas.openxmlformats.org/drawingml/2006/main">
                <a:prstDash val="solid"/>
              </a:ln>
            </spPr>
          </marker>
          <xVal>
            <numRef>
              <f>'Geometry'!$BU$3:$BU$4</f>
            </numRef>
          </xVal>
          <yVal>
            <numRef>
              <f>'Geometry'!$BV$3:$BV$4</f>
            </numRef>
          </yVal>
          <smooth val="0"/>
        </ser>
        <ser>
          <idx val="25"/>
          <order val="25"/>
          <tx>
            <v>node</v>
          </tx>
          <spPr>
            <a:ln xmlns:a="http://schemas.openxmlformats.org/drawingml/2006/main" w="50800">
              <a:solidFill>
                <a:srgbClr val="B3261E"/>
              </a:solidFill>
              <a:prstDash val="solid"/>
            </a:ln>
          </spPr>
          <marker>
            <symbol val="none"/>
            <spPr>
              <a:ln xmlns:a="http://schemas.openxmlformats.org/drawingml/2006/main">
                <a:prstDash val="solid"/>
              </a:ln>
            </spPr>
          </marker>
          <xVal>
            <numRef>
              <f>'Geometry'!$BX$3:$BX$4</f>
            </numRef>
          </xVal>
          <yVal>
            <numRef>
              <f>'Geometry'!$BY$3:$BY$4</f>
            </numRef>
          </yVal>
          <smooth val="0"/>
        </ser>
        <ser>
          <idx val="26"/>
          <order val="2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'Geometry'!$CA$3:$CA$4</f>
            </numRef>
          </xVal>
          <yVal>
            <numRef>
              <f>'Geometry'!$CB$3:$CB$4</f>
            </numRef>
          </yVal>
          <smooth val="0"/>
        </ser>
        <ser>
          <idx val="27"/>
          <order val="27"/>
          <tx>
            <strRef>
              <f>'Geometry'!$CD$2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'Geometry'!$CD$3</f>
            </numRef>
          </xVal>
          <yVal>
            <numRef>
              <f>'Geometry'!$CE$3</f>
            </numRef>
          </yVal>
          <smooth val="0"/>
        </ser>
        <ser>
          <idx val="28"/>
          <order val="2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'Geometry'!$CG$3:$CG$4</f>
            </numRef>
          </xVal>
          <yVal>
            <numRef>
              <f>'Geometry'!$CH$3:$CH$4</f>
            </numRef>
          </yVal>
          <smooth val="0"/>
        </ser>
        <ser>
          <idx val="29"/>
          <order val="29"/>
          <tx>
            <strRef>
              <f>'Geometry'!$CJ$2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'Geometry'!$CJ$3</f>
            </numRef>
          </xVal>
          <yVal>
            <numRef>
              <f>'Geometry'!$CK$3</f>
            </numRef>
          </yVal>
          <smooth val="0"/>
        </ser>
        <ser>
          <idx val="30"/>
          <order val="3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'Geometry'!$CM$3:$CM$4</f>
            </numRef>
          </xVal>
          <yVal>
            <numRef>
              <f>'Geometry'!$CN$3:$CN$4</f>
            </numRef>
          </yVal>
          <smooth val="0"/>
        </ser>
        <ser>
          <idx val="31"/>
          <order val="31"/>
          <tx>
            <strRef>
              <f>'Geometry'!$CP$2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'Geometry'!$CP$3</f>
            </numRef>
          </xVal>
          <yVal>
            <numRef>
              <f>'Geometry'!$CQ$3</f>
            </numRef>
          </yVal>
          <smooth val="0"/>
        </ser>
        <ser>
          <idx val="32"/>
          <order val="3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'Geometry'!$CS$3:$CS$4</f>
            </numRef>
          </xVal>
          <yVal>
            <numRef>
              <f>'Geometry'!$CT$3:$CT$4</f>
            </numRef>
          </yVal>
          <smooth val="0"/>
        </ser>
        <ser>
          <idx val="33"/>
          <order val="33"/>
          <tx>
            <strRef>
              <f>'Geometry'!$CV$2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'Geometry'!$CV$3</f>
            </numRef>
          </xVal>
          <yVal>
            <numRef>
              <f>'Geometry'!$CW$3</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'Geometry'!$CY$3</f>
            </numRef>
          </xVal>
          <yVal>
            <numRef>
              <f>'Geometry'!$CZ$3</f>
            </numRef>
          </yVal>
          <smooth val="0"/>
        </ser>
        <ser>
          <idx val="35"/>
          <order val="35"/>
          <tx>
            <strRef>
              <f>'Geometry'!$DB$2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'Geometry'!$DB$3</f>
            </numRef>
          </xVal>
          <yVal>
            <numRef>
              <f>'Geometry'!$DC$3</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ctr"/>
            <showLegendKey val="0"/>
            <showVal val="0"/>
            <showCatName val="0"/>
            <showSerName val="1"/>
            <showPercent val="0"/>
          </dLbls>
          <xVal>
            <numRef>
              <f>'Geometry'!$DE$3</f>
            </numRef>
          </xVal>
          <yVal>
            <numRef>
              <f>'Geometry'!$DF$3</f>
            </numRef>
          </yVal>
          <smooth val="0"/>
        </ser>
        <ser>
          <idx val="37"/>
          <order val="37"/>
          <tx>
            <strRef>
              <f>'Geometry'!$DH$2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'Geometry'!$DH$3</f>
            </numRef>
          </xVal>
          <yVal>
            <numRef>
              <f>'Geometry'!$DI$3</f>
            </numRef>
          </yVal>
          <smooth val="0"/>
        </ser>
        <ser>
          <idx val="38"/>
          <order val="38"/>
          <tx>
            <v>frame</v>
          </tx>
          <spPr>
            <a:ln xmlns:a="http://schemas.openxmlformats.org/drawingml/2006/main">
              <a:noFill/>
              <a:prstDash val="solid"/>
            </a:ln>
          </spPr>
          <marker>
            <symbol val="none"/>
            <spPr>
              <a:ln xmlns:a="http://schemas.openxmlformats.org/drawingml/2006/main">
                <a:prstDash val="solid"/>
              </a:ln>
            </spPr>
          </marker>
          <xVal>
            <numRef>
              <f>'Geometry'!$DK$3:$DK$4</f>
            </numRef>
          </xVal>
          <yVal>
            <numRef>
              <f>'Geometry'!$DL$3:$DL$4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35</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Corbel</t>
        </is>
      </c>
    </row>
    <row r="8" ht="20" customHeight="1">
      <c r="B8" s="4" t="inlineStr">
        <is>
          <t>Short corbels  ·  strut-and-tie, EN 1992-1-1 §6.5, Annex J.3  ·  UK NA / PN-EN</t>
        </is>
      </c>
    </row>
    <row r="10">
      <c r="B10" s="5" t="inlineStr">
        <is>
          <t>Reference</t>
        </is>
      </c>
      <c r="C10" s="6" t="inlineStr">
        <is>
          <t>NAE-RC-009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Design of a short concrete corbel projecting from a column face under a vertical load and a horizontal force on a bearing: strut-and-tie model, main tie reinforcement, node and bearing stresses, the shear limit and the horizontal or vertical links of Annex J.3.</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07" customHeight="1">
      <c r="B22" s="7" t="inlineStr">
        <is>
          <t>Rectangular corbel of constant width with a straight sloping soffit, one load on one bearing plate, ac &lt; z0 (Annex J.3(1)). Lower node at the column face as a compressed block of depth y0 at k1 ν' fcd (CCC node, 6.5.4(4)a), from moments about the tie: b y0 σ (d − y0/2) = FEd ac + HEd aH, z0 = d − y0/2; bearing and strut checked at the CCT node at k2 ν' fcd (6.5.4(4)b). The horizontal force HEd acts at the top surface, aH = hc − d above the tie; enter at least 0.2 FEd for bearings without a controlled sliding surface (common practice). The resultant of FEd and HEd meets the tie at a_eq = ac + HEd aH / FEd: the strut runs from there, tan θ = z / a_eq within 1 – 2.5, and the tie force is FEd a_eq / z + HEd. The strut is checked at 0.6 ν' fcd (6.5.2(2), cracked zone) on its width at the loaded node; the lower node is taken as hydrostatic. Main tie within As,min and As,max of 9.2.1.1. Shear limit 0.5 b d ν fcd (6.2.2(6)). Horizontal links 0.5 As,main (PL NA.8: k1 = 0.5; UK: PD 6687, which the UK NA refers to for Annex J) and vertical links 0.5 FEd / fyd (J.3(3), k2 = 0.5). Where z0 / ac exceeds 2.5 the strut is kept at tan θ = 2.5: the lever arm becomes 2.5 ac and the lower node deepens accordingly, so the model stays in equilibrium. The anchorage of the main bars at both ends (J.3(4)), the column itself and crack control (J.3(5)) are the user's to check. Concrete classes up to C50/60, fyk ≤ 500 MPa.
The second-generation EN 1992-1-1:2023 is not yet implemented.</t>
        </is>
      </c>
    </row>
    <row r="24" ht="20" customHeight="1">
      <c r="B24" s="8" t="inlineStr">
        <is>
          <t>Further reading and independent cross-check</t>
        </is>
      </c>
      <c r="C24" s="9" t="n"/>
    </row>
    <row r="25" ht="76.5" customHeight="1">
      <c r="B25" s="10" t="inlineStr">
        <is>
          <t>•  EN 1992-1-1, 6.5 and Annex J.3.
•  The Concrete Centre, Worked Examples to Eurocode 2: Volume 1 (corbels).
•  IStructE, Manual for the design of concrete building structures to Eurocode 2.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&amp;K8A8A8ANAE-RC-009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27"/>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Corbel</t>
        </is>
      </c>
      <c r="H2" s="1" t="n"/>
    </row>
    <row r="3" ht="16" customHeight="1">
      <c r="A3" s="1" t="n"/>
      <c r="B3" s="1" t="n"/>
      <c r="C3" s="15" t="inlineStr">
        <is>
          <t>NAE-RC-009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geometry</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Column depth  (in the plane of the corbel)</t>
        </is>
      </c>
      <c r="D15" s="27" t="inlineStr">
        <is>
          <r>
            <rPr>
              <rFont val="Calibri"/>
              <i val="1"/>
              <color rgb="002B2B2B"/>
              <sz val="10"/>
            </rPr>
            <t>w</t>
          </r>
          <r>
            <rPr>
              <rFont val="Calibri"/>
              <i val="1"/>
              <color rgb="002B2B2B"/>
              <sz val="10"/>
              <vertAlign val="subscript"/>
            </rPr>
            <t>c</t>
          </r>
        </is>
      </c>
      <c r="E15" s="25" t="n">
        <v>400</v>
      </c>
      <c r="F15" s="28" t="inlineStr">
        <is>
          <t>mm</t>
        </is>
      </c>
      <c r="G15" s="23" t="n"/>
    </row>
    <row r="16" ht="17" customHeight="1">
      <c r="B16" s="23" t="n"/>
      <c r="C16" s="24" t="inlineStr">
        <is>
          <t>Corbel width</t>
        </is>
      </c>
      <c r="D16" s="27" t="inlineStr">
        <is>
          <r>
            <rPr>
              <rFont val="Calibri"/>
              <i val="1"/>
              <color rgb="002B2B2B"/>
              <sz val="10"/>
            </rPr>
            <t>b</t>
          </r>
        </is>
      </c>
      <c r="E16" s="25" t="n">
        <v>400</v>
      </c>
      <c r="F16" s="28" t="inlineStr">
        <is>
          <t>mm</t>
        </is>
      </c>
      <c r="G16" s="23" t="n"/>
    </row>
    <row r="17" ht="17" customHeight="1">
      <c r="B17" s="23" t="n"/>
      <c r="C17" s="24" t="inlineStr">
        <is>
          <t>Corbel depth at the column face</t>
        </is>
      </c>
      <c r="D17" s="27" t="inlineStr">
        <is>
          <r>
            <rPr>
              <rFont val="Calibri"/>
              <i val="1"/>
              <color rgb="002B2B2B"/>
              <sz val="10"/>
            </rPr>
            <t>h</t>
          </r>
          <r>
            <rPr>
              <rFont val="Calibri"/>
              <i val="1"/>
              <color rgb="002B2B2B"/>
              <sz val="10"/>
              <vertAlign val="subscript"/>
            </rPr>
            <t>c</t>
          </r>
        </is>
      </c>
      <c r="E17" s="25" t="n">
        <v>500</v>
      </c>
      <c r="F17" s="28" t="inlineStr">
        <is>
          <t>mm</t>
        </is>
      </c>
      <c r="G17" s="23" t="n"/>
    </row>
    <row r="18" ht="17" customHeight="1">
      <c r="B18" s="23" t="n"/>
      <c r="C18" s="24" t="inlineStr">
        <is>
          <t>Corbel depth at the outer edge  (≤ hc)</t>
        </is>
      </c>
      <c r="D18" s="27" t="inlineStr">
        <is>
          <r>
            <rPr>
              <rFont val="Calibri"/>
              <i val="1"/>
              <color rgb="002B2B2B"/>
              <sz val="10"/>
            </rPr>
            <t>h</t>
          </r>
          <r>
            <rPr>
              <rFont val="Calibri"/>
              <i val="1"/>
              <color rgb="002B2B2B"/>
              <sz val="10"/>
              <vertAlign val="subscript"/>
            </rPr>
            <t>e</t>
          </r>
        </is>
      </c>
      <c r="E18" s="25" t="n">
        <v>300</v>
      </c>
      <c r="F18" s="28" t="inlineStr">
        <is>
          <t>mm</t>
        </is>
      </c>
      <c r="G18" s="23" t="n"/>
    </row>
    <row r="19" ht="17" customHeight="1">
      <c r="B19" s="23" t="n"/>
      <c r="C19" s="24" t="inlineStr">
        <is>
          <t>Projection from the column face</t>
        </is>
      </c>
      <c r="D19" s="27" t="inlineStr">
        <is>
          <r>
            <rPr>
              <rFont val="Calibri"/>
              <i val="1"/>
              <color rgb="002B2B2B"/>
              <sz val="10"/>
            </rPr>
            <t>l</t>
          </r>
          <r>
            <rPr>
              <rFont val="Calibri"/>
              <i val="1"/>
              <color rgb="002B2B2B"/>
              <sz val="10"/>
              <vertAlign val="subscript"/>
            </rPr>
            <t>c</t>
          </r>
        </is>
      </c>
      <c r="E19" s="25" t="n">
        <v>350</v>
      </c>
      <c r="F19" s="28" t="inlineStr">
        <is>
          <t>mm</t>
        </is>
      </c>
      <c r="G19" s="23" t="n"/>
    </row>
    <row r="20" ht="17" customHeight="1">
      <c r="B20" s="23" t="n"/>
      <c r="C20" s="24" t="inlineStr">
        <is>
          <t>Load position from the column face  (bearing centre)</t>
        </is>
      </c>
      <c r="D20" s="27" t="inlineStr">
        <is>
          <r>
            <rPr>
              <rFont val="Calibri"/>
              <i val="1"/>
              <color rgb="002B2B2B"/>
              <sz val="10"/>
            </rPr>
            <t>a</t>
          </r>
          <r>
            <rPr>
              <rFont val="Calibri"/>
              <i val="1"/>
              <color rgb="002B2B2B"/>
              <sz val="10"/>
              <vertAlign val="subscript"/>
            </rPr>
            <t>c</t>
          </r>
        </is>
      </c>
      <c r="E20" s="25" t="n">
        <v>200</v>
      </c>
      <c r="F20" s="28" t="inlineStr">
        <is>
          <t>mm</t>
        </is>
      </c>
      <c r="G20" s="23" t="n"/>
    </row>
    <row r="21" ht="17" customHeight="1">
      <c r="B21" s="23" t="n"/>
      <c r="C21" s="24" t="inlineStr">
        <is>
          <t>Bearing plate length  (along the projection)</t>
        </is>
      </c>
      <c r="D21" s="27" t="inlineStr">
        <is>
          <r>
            <rPr>
              <rFont val="Calibri"/>
              <i val="1"/>
              <color rgb="002B2B2B"/>
              <sz val="10"/>
            </rPr>
            <t>l</t>
          </r>
          <r>
            <rPr>
              <rFont val="Calibri"/>
              <i val="1"/>
              <color rgb="002B2B2B"/>
              <sz val="10"/>
              <vertAlign val="subscript"/>
            </rPr>
            <t>p</t>
          </r>
        </is>
      </c>
      <c r="E21" s="25" t="n">
        <v>150</v>
      </c>
      <c r="F21" s="28" t="inlineStr">
        <is>
          <t>mm</t>
        </is>
      </c>
      <c r="G21" s="23" t="n"/>
    </row>
    <row r="22" ht="17" customHeight="1">
      <c r="B22" s="23" t="n"/>
      <c r="C22" s="24" t="inlineStr">
        <is>
          <t>Bearing plate width</t>
        </is>
      </c>
      <c r="D22" s="27" t="inlineStr">
        <is>
          <r>
            <rPr>
              <rFont val="Calibri"/>
              <i val="1"/>
              <color rgb="002B2B2B"/>
              <sz val="10"/>
            </rPr>
            <t>b</t>
          </r>
          <r>
            <rPr>
              <rFont val="Calibri"/>
              <i val="1"/>
              <color rgb="002B2B2B"/>
              <sz val="10"/>
              <vertAlign val="subscript"/>
            </rPr>
            <t>p</t>
          </r>
        </is>
      </c>
      <c r="E22" s="25" t="n">
        <v>300</v>
      </c>
      <c r="F22" s="28" t="inlineStr">
        <is>
          <t>mm</t>
        </is>
      </c>
      <c r="G22" s="23" t="n"/>
    </row>
    <row r="23" ht="17" customHeight="1">
      <c r="B23" s="26" t="inlineStr">
        <is>
          <t>4.4.1</t>
        </is>
      </c>
      <c r="C23" s="24" t="inlineStr">
        <is>
          <t>Nominal cover to links</t>
        </is>
      </c>
      <c r="D23" s="27" t="inlineStr">
        <is>
          <r>
            <rPr>
              <rFont val="Calibri"/>
              <i val="1"/>
              <color rgb="002B2B2B"/>
              <sz val="10"/>
            </rPr>
            <t>c</t>
          </r>
          <r>
            <rPr>
              <rFont val="Calibri"/>
              <i val="1"/>
              <color rgb="002B2B2B"/>
              <sz val="10"/>
              <vertAlign val="subscript"/>
            </rPr>
            <t>nom</t>
          </r>
        </is>
      </c>
      <c r="E23" s="25" t="n">
        <v>35</v>
      </c>
      <c r="F23" s="28" t="inlineStr">
        <is>
          <t>mm</t>
        </is>
      </c>
      <c r="G23" s="23" t="n"/>
    </row>
    <row r="24" ht="17" customHeight="1">
      <c r="B24" s="23" t="n"/>
      <c r="C24" s="24" t="inlineStr">
        <is>
          <t>Main tie bars: diameter</t>
        </is>
      </c>
      <c r="D24" s="27" t="inlineStr">
        <is>
          <r>
            <rPr>
              <rFont val="Calibri"/>
              <i val="1"/>
              <color rgb="002B2B2B"/>
              <sz val="10"/>
            </rPr>
            <t>φ</t>
          </r>
          <r>
            <rPr>
              <rFont val="Calibri"/>
              <i val="1"/>
              <color rgb="002B2B2B"/>
              <sz val="10"/>
              <vertAlign val="subscript"/>
            </rPr>
            <t>m</t>
          </r>
        </is>
      </c>
      <c r="E24" s="25" t="n">
        <v>20</v>
      </c>
      <c r="F24" s="28" t="inlineStr">
        <is>
          <t>mm</t>
        </is>
      </c>
      <c r="G24" s="23" t="n"/>
    </row>
    <row r="25" ht="17" customHeight="1">
      <c r="B25" s="23" t="n"/>
      <c r="C25" s="24" t="inlineStr">
        <is>
          <t>Main tie bars: number</t>
        </is>
      </c>
      <c r="D25" s="27" t="inlineStr">
        <is>
          <r>
            <rPr>
              <rFont val="Calibri"/>
              <i val="1"/>
              <color rgb="002B2B2B"/>
              <sz val="10"/>
            </rPr>
            <t>n</t>
          </r>
          <r>
            <rPr>
              <rFont val="Calibri"/>
              <i val="1"/>
              <color rgb="002B2B2B"/>
              <sz val="10"/>
              <vertAlign val="subscript"/>
            </rPr>
            <t>m</t>
          </r>
        </is>
      </c>
      <c r="E25" s="25" t="n">
        <v>4</v>
      </c>
      <c r="F25" s="23" t="n"/>
      <c r="G25" s="23" t="n"/>
    </row>
    <row r="26" ht="17" customHeight="1">
      <c r="B26" s="23" t="n"/>
      <c r="C26" s="24" t="inlineStr">
        <is>
          <t>Links: diameter</t>
        </is>
      </c>
      <c r="D26" s="27" t="inlineStr">
        <is>
          <r>
            <rPr>
              <rFont val="Calibri"/>
              <i val="1"/>
              <color rgb="002B2B2B"/>
              <sz val="10"/>
            </rPr>
            <t>φ</t>
          </r>
          <r>
            <rPr>
              <rFont val="Calibri"/>
              <i val="1"/>
              <color rgb="002B2B2B"/>
              <sz val="10"/>
              <vertAlign val="subscript"/>
            </rPr>
            <t>l</t>
          </r>
        </is>
      </c>
      <c r="E26" s="25" t="n">
        <v>10</v>
      </c>
      <c r="F26" s="28" t="inlineStr">
        <is>
          <t>mm</t>
        </is>
      </c>
      <c r="G26" s="23" t="n"/>
    </row>
    <row r="27" ht="17" customHeight="1">
      <c r="B27" s="26" t="inlineStr">
        <is>
          <t>J.3(2)</t>
        </is>
      </c>
      <c r="C27" s="24" t="inlineStr">
        <is>
          <t>Horizontal link sets  (2 legs each)</t>
        </is>
      </c>
      <c r="D27" s="27" t="inlineStr">
        <is>
          <r>
            <rPr>
              <rFont val="Calibri"/>
              <i val="1"/>
              <color rgb="002B2B2B"/>
              <sz val="10"/>
            </rPr>
            <t>n</t>
          </r>
          <r>
            <rPr>
              <rFont val="Calibri"/>
              <i val="1"/>
              <color rgb="002B2B2B"/>
              <sz val="10"/>
              <vertAlign val="subscript"/>
            </rPr>
            <t>lh</t>
          </r>
        </is>
      </c>
      <c r="E27" s="25" t="n">
        <v>4</v>
      </c>
      <c r="F27" s="23" t="n"/>
      <c r="G27" s="23" t="n"/>
    </row>
    <row r="28" ht="17" customHeight="1">
      <c r="B28" s="26" t="inlineStr">
        <is>
          <t>J.3(3)</t>
        </is>
      </c>
      <c r="C28" s="24" t="inlineStr">
        <is>
          <t>Vertical link sets  (2 legs each)</t>
        </is>
      </c>
      <c r="D28" s="27" t="inlineStr">
        <is>
          <r>
            <rPr>
              <rFont val="Calibri"/>
              <i val="1"/>
              <color rgb="002B2B2B"/>
              <sz val="10"/>
            </rPr>
            <t>n</t>
          </r>
          <r>
            <rPr>
              <rFont val="Calibri"/>
              <i val="1"/>
              <color rgb="002B2B2B"/>
              <sz val="10"/>
              <vertAlign val="subscript"/>
            </rPr>
            <t>lv</t>
          </r>
        </is>
      </c>
      <c r="E28" s="25" t="n">
        <v>0</v>
      </c>
      <c r="F28" s="23" t="n"/>
      <c r="G28" s="23" t="n"/>
    </row>
    <row r="30" ht="22" customHeight="1">
      <c r="B30" s="20" t="inlineStr">
        <is>
          <t>Inputs  ·  actions</t>
        </is>
      </c>
      <c r="C30" s="21" t="n"/>
      <c r="D30" s="21" t="n"/>
      <c r="E30" s="21" t="n"/>
      <c r="F30" s="21" t="n"/>
      <c r="G30" s="22" t="inlineStr">
        <is>
          <t>ULS design values</t>
        </is>
      </c>
    </row>
    <row r="31" ht="17" customHeight="1">
      <c r="B31" s="23" t="n"/>
      <c r="C31" s="24" t="inlineStr">
        <is>
          <t>Vertical load on the bearing</t>
        </is>
      </c>
      <c r="D31" s="27" t="inlineStr">
        <is>
          <r>
            <rPr>
              <rFont val="Calibri"/>
              <i val="1"/>
              <color rgb="002B2B2B"/>
              <sz val="10"/>
            </rPr>
            <t>F</t>
          </r>
          <r>
            <rPr>
              <rFont val="Calibri"/>
              <i val="1"/>
              <color rgb="002B2B2B"/>
              <sz val="10"/>
              <vertAlign val="subscript"/>
            </rPr>
            <t>Ed</t>
          </r>
        </is>
      </c>
      <c r="E31" s="29" t="n">
        <v>450</v>
      </c>
      <c r="F31" s="28" t="inlineStr">
        <is>
          <t>kN</t>
        </is>
      </c>
      <c r="G31" s="23" t="n"/>
    </row>
    <row r="32" ht="17" customHeight="1">
      <c r="B32" s="23" t="n"/>
      <c r="C32" s="24" t="inlineStr">
        <is>
          <t>Horizontal force at the bearing  (≥ 0.2 FEd advised)</t>
        </is>
      </c>
      <c r="D32" s="27" t="inlineStr">
        <is>
          <r>
            <rPr>
              <rFont val="Calibri"/>
              <i val="1"/>
              <color rgb="002B2B2B"/>
              <sz val="10"/>
            </rPr>
            <t>H</t>
          </r>
          <r>
            <rPr>
              <rFont val="Calibri"/>
              <i val="1"/>
              <color rgb="002B2B2B"/>
              <sz val="10"/>
              <vertAlign val="subscript"/>
            </rPr>
            <t>Ed</t>
          </r>
        </is>
      </c>
      <c r="E32" s="29" t="n">
        <v>90</v>
      </c>
      <c r="F32" s="28" t="inlineStr">
        <is>
          <t>kN</t>
        </is>
      </c>
      <c r="G32" s="23" t="n"/>
    </row>
    <row r="33" ht="17" customHeight="1">
      <c r="B33" s="23" t="n"/>
      <c r="C33" s="24" t="inlineStr">
        <is>
          <t>Inputs valid and consistent</t>
        </is>
      </c>
      <c r="D33" s="23" t="n"/>
      <c r="E33" s="9" t="n"/>
      <c r="F33" s="23" t="n"/>
      <c r="G33" s="30">
        <f>IF(inputs_ok,"OK","FAIL")</f>
        <v/>
      </c>
    </row>
    <row r="35">
      <c r="B35" s="31" t="inlineStr">
        <is>
          <t>Your corbel, to scale  ·  elevation  ·  strut (dashed) and tie of the truss model</t>
        </is>
      </c>
    </row>
    <row r="56" ht="22" customHeight="1">
      <c r="B56" s="20" t="inlineStr">
        <is>
          <t>Results</t>
        </is>
      </c>
      <c r="C56" s="21" t="n"/>
      <c r="D56" s="21" t="n"/>
      <c r="E56" s="21" t="n"/>
      <c r="F56" s="21" t="n"/>
      <c r="G56" s="21" t="n"/>
    </row>
    <row r="57" ht="26" customHeight="1">
      <c r="B57" s="32" t="n"/>
      <c r="C57" s="33" t="inlineStr">
        <is>
          <t>Main tie  As,prov / max(As,req; As,min)  (bars in one layer)</t>
        </is>
      </c>
      <c r="D57" s="34" t="inlineStr">
        <is>
          <r>
            <rPr>
              <rFont val="Calibri"/>
              <i val="1"/>
              <color rgb="002B2B2B"/>
              <sz val="11"/>
            </rPr>
            <t>A</t>
          </r>
          <r>
            <rPr>
              <rFont val="Calibri"/>
              <i val="1"/>
              <color rgb="002B2B2B"/>
              <sz val="11"/>
              <vertAlign val="subscript"/>
            </rPr>
            <t>s</t>
          </r>
        </is>
      </c>
      <c r="E57" s="35">
        <f>IF(cb_ok,As_prov/MAX(As_req,As_min),"–")</f>
        <v/>
      </c>
      <c r="F57" s="36" t="inlineStr"/>
      <c r="G57" s="37">
        <f>IF(NOT(inputs_ok),"FAIL",IF(cb_ok,IF(AND(As_prov&gt;=MAX(As_req,As_min),As_prov&lt;=As_max,gap_m&gt;=gap_min),"OK","FAIL"),"FAIL"))</f>
        <v/>
      </c>
    </row>
    <row r="58" ht="26" customHeight="1">
      <c r="B58" s="32" t="n"/>
      <c r="C58" s="33" t="inlineStr">
        <is>
          <t>Bearing (k2 ν' fcd) and strut (0.6 ν' fcd)  largest σ / limit</t>
        </is>
      </c>
      <c r="D58" s="32" t="n"/>
      <c r="E58" s="35">
        <f>IF(cb_ok,MAX(sig_b/sig_cct,sig_st/sig_str),sig_b/sig_cct)</f>
        <v/>
      </c>
      <c r="F58" s="36" t="inlineStr"/>
      <c r="G58" s="37">
        <f>IF(NOT(inputs_ok),"FAIL",IF(cb_ok,IF(AND(sig_b&lt;=sig_cct,sig_st&lt;=sig_str),"OK","FAIL"),"FAIL"))</f>
        <v/>
      </c>
    </row>
    <row r="59" ht="26" customHeight="1">
      <c r="B59" s="32" t="n"/>
      <c r="C59" s="33" t="inlineStr">
        <is>
          <t>Shear limit  FEd / (0.5 b d ν fcd)</t>
        </is>
      </c>
      <c r="D59" s="32" t="n"/>
      <c r="E59" s="35">
        <f>F_Ed/V_max</f>
        <v/>
      </c>
      <c r="F59" s="36" t="inlineStr"/>
      <c r="G59" s="37">
        <f>IF(NOT(inputs_ok),"FAIL",IF(F_Ed&lt;=V_max,"OK","FAIL"))</f>
        <v/>
      </c>
    </row>
    <row r="60" ht="26" customHeight="1">
      <c r="B60" s="32" t="n"/>
      <c r="C60" s="33" t="inlineStr">
        <is>
          <t>Links to Annex J.3</t>
        </is>
      </c>
      <c r="D60" s="32" t="n"/>
      <c r="E60" s="38">
        <f>IF(cb_ok,lnk_txt,"–")</f>
        <v/>
      </c>
      <c r="F60" s="36" t="inlineStr"/>
      <c r="G60" s="37">
        <f>IF(NOT(inputs_ok),"FAIL",IF(cb_ok,IF(lnk_ok,"OK","FAIL"),"FAIL"))</f>
        <v/>
      </c>
    </row>
    <row r="61" ht="26" customHeight="1">
      <c r="B61" s="32" t="n"/>
      <c r="C61" s="33" t="inlineStr">
        <is>
          <t>Model valid  (ac &lt; z0; 1 ≤ tan θ ≤ 2.5; nodes fit)</t>
        </is>
      </c>
      <c r="D61" s="34" t="inlineStr">
        <is>
          <r>
            <rPr>
              <rFont val="Calibri"/>
              <i val="1"/>
              <color rgb="002B2B2B"/>
              <sz val="11"/>
            </rPr>
            <t>z</t>
          </r>
          <r>
            <rPr>
              <rFont val="Calibri"/>
              <i val="1"/>
              <color rgb="002B2B2B"/>
              <sz val="11"/>
              <vertAlign val="subscript"/>
            </rPr>
            <t>0 / a_c</t>
          </r>
        </is>
      </c>
      <c r="E61" s="35">
        <f>IF(ISNUMBER(tan_raw),tan_raw,"–")</f>
        <v/>
      </c>
      <c r="F61" s="36" t="inlineStr"/>
      <c r="G61" s="37">
        <f>IF(NOT(inputs_ok),"FAIL",IF(cb_ok,"OK","FAIL"))</f>
        <v/>
      </c>
    </row>
    <row r="62" ht="29" customHeight="1">
      <c r="B62" s="39" t="inlineStr">
        <is>
          <t>No real y0: the compression at the column face exceeds the node strength — increase b, hc or the concrete class. z0 / ac ≤ 1: the corbel is not short in the sense of J.3(1) — reduce ac or deepen the corbel (a cantilever beam design is outside this sheet).</t>
        </is>
      </c>
    </row>
    <row r="64" ht="22" customHeight="1">
      <c r="B64" s="20" t="inlineStr">
        <is>
          <t>Calculation  ·  materials and truss</t>
        </is>
      </c>
      <c r="C64" s="21" t="n"/>
      <c r="D64" s="21" t="n"/>
      <c r="E64" s="21" t="n"/>
      <c r="F64" s="21" t="n"/>
      <c r="G64" s="21" t="n"/>
    </row>
    <row r="65" ht="17" customHeight="1">
      <c r="B65" s="26" t="inlineStr">
        <is>
          <t>2.4.2.4(1)</t>
        </is>
      </c>
      <c r="C65" s="24" t="inlineStr">
        <is>
          <t>Partial factor, concrete</t>
        </is>
      </c>
      <c r="D65" s="27" t="inlineStr">
        <is>
          <r>
            <rPr>
              <rFont val="Calibri"/>
              <i val="1"/>
              <color rgb="002B2B2B"/>
              <sz val="10"/>
            </rPr>
            <t>γ</t>
          </r>
          <r>
            <rPr>
              <rFont val="Calibri"/>
              <i val="1"/>
              <color rgb="002B2B2B"/>
              <sz val="10"/>
              <vertAlign val="subscript"/>
            </rPr>
            <t>c</t>
          </r>
        </is>
      </c>
      <c r="E65" s="40">
        <f>ndp_gamma_c</f>
        <v/>
      </c>
      <c r="F65" s="23" t="n"/>
      <c r="G65" s="26" t="inlineStr">
        <is>
          <t>NDP sheet</t>
        </is>
      </c>
    </row>
    <row r="66" ht="17" customHeight="1">
      <c r="B66" s="26" t="inlineStr">
        <is>
          <t>2.4.2.4(1)</t>
        </is>
      </c>
      <c r="C66" s="24" t="inlineStr">
        <is>
          <t>Partial factor, reinforcement</t>
        </is>
      </c>
      <c r="D66" s="27" t="inlineStr">
        <is>
          <r>
            <rPr>
              <rFont val="Calibri"/>
              <i val="1"/>
              <color rgb="002B2B2B"/>
              <sz val="10"/>
            </rPr>
            <t>γ</t>
          </r>
          <r>
            <rPr>
              <rFont val="Calibri"/>
              <i val="1"/>
              <color rgb="002B2B2B"/>
              <sz val="10"/>
              <vertAlign val="subscript"/>
            </rPr>
            <t>s</t>
          </r>
        </is>
      </c>
      <c r="E66" s="40">
        <f>ndp_gamma_s</f>
        <v/>
      </c>
      <c r="F66" s="23" t="n"/>
      <c r="G66" s="26" t="inlineStr">
        <is>
          <t>NDP sheet</t>
        </is>
      </c>
    </row>
    <row r="67" ht="17" customHeight="1">
      <c r="B67" s="26" t="inlineStr">
        <is>
          <t>3.1.6(1)</t>
        </is>
      </c>
      <c r="C67" s="24" t="inlineStr">
        <is>
          <t>Coefficient on compressive strength (flexure)</t>
        </is>
      </c>
      <c r="D67" s="27" t="inlineStr">
        <is>
          <r>
            <rPr>
              <rFont val="Calibri"/>
              <i val="1"/>
              <color rgb="002B2B2B"/>
              <sz val="10"/>
            </rPr>
            <t>α</t>
          </r>
          <r>
            <rPr>
              <rFont val="Calibri"/>
              <i val="1"/>
              <color rgb="002B2B2B"/>
              <sz val="10"/>
              <vertAlign val="subscript"/>
            </rPr>
            <t>cc</t>
          </r>
        </is>
      </c>
      <c r="E67" s="40">
        <f>ndp_alpha_cc</f>
        <v/>
      </c>
      <c r="F67" s="23" t="n"/>
      <c r="G67" s="26" t="inlineStr">
        <is>
          <t>NDP sheet</t>
        </is>
      </c>
    </row>
    <row r="68" ht="17" customHeight="1">
      <c r="B68" s="26" t="inlineStr">
        <is>
          <t>3.1.6(1)</t>
        </is>
      </c>
      <c r="C68" s="24" t="inlineStr">
        <is>
          <t>Coefficient on compressive strength (shear)</t>
        </is>
      </c>
      <c r="D68" s="27" t="inlineStr">
        <is>
          <r>
            <rPr>
              <rFont val="Calibri"/>
              <i val="1"/>
              <color rgb="002B2B2B"/>
              <sz val="10"/>
            </rPr>
            <t>α</t>
          </r>
          <r>
            <rPr>
              <rFont val="Calibri"/>
              <i val="1"/>
              <color rgb="002B2B2B"/>
              <sz val="10"/>
              <vertAlign val="subscript"/>
            </rPr>
            <t>cc</t>
          </r>
        </is>
      </c>
      <c r="E68" s="40">
        <f>ndp_alpha_cc_shear</f>
        <v/>
      </c>
      <c r="F68" s="23" t="n"/>
      <c r="G68" s="26" t="inlineStr">
        <is>
          <t>NDP sheet</t>
        </is>
      </c>
    </row>
    <row r="69" ht="17" customHeight="1">
      <c r="B69" s="26" t="inlineStr">
        <is>
          <t>6.2.2(1), 6.4.4(1)</t>
        </is>
      </c>
      <c r="C69" s="24" t="inlineStr">
        <is>
          <t>Coefficient  0.18 / γc</t>
        </is>
      </c>
      <c r="D69" s="27" t="inlineStr">
        <is>
          <r>
            <rPr>
              <rFont val="Calibri"/>
              <i val="1"/>
              <color rgb="002B2B2B"/>
              <sz val="10"/>
            </rPr>
            <t>C</t>
          </r>
          <r>
            <rPr>
              <rFont val="Calibri"/>
              <i val="1"/>
              <color rgb="002B2B2B"/>
              <sz val="10"/>
              <vertAlign val="subscript"/>
            </rPr>
            <t>Rd,c</t>
          </r>
        </is>
      </c>
      <c r="E69" s="41">
        <f>ndp_C_Rdc/ndp_gamma_c</f>
        <v/>
      </c>
      <c r="F69" s="23" t="n"/>
      <c r="G69" s="26" t="inlineStr">
        <is>
          <t>NDP sheet</t>
        </is>
      </c>
    </row>
    <row r="70" ht="17" customHeight="1">
      <c r="B70" s="26" t="inlineStr">
        <is>
          <t>Table 3.1</t>
        </is>
      </c>
      <c r="C70" s="24" t="inlineStr">
        <is>
          <t>Characteristic cylinder strength</t>
        </is>
      </c>
      <c r="D70" s="27" t="inlineStr">
        <is>
          <r>
            <rPr>
              <rFont val="Calibri"/>
              <i val="1"/>
              <color rgb="002B2B2B"/>
              <sz val="10"/>
            </rPr>
            <t>f</t>
          </r>
          <r>
            <rPr>
              <rFont val="Calibri"/>
              <i val="1"/>
              <color rgb="002B2B2B"/>
              <sz val="10"/>
              <vertAlign val="subscript"/>
            </rPr>
            <t>ck</t>
          </r>
        </is>
      </c>
      <c r="E70" s="42">
        <f>VALUE(MID(conc_class,2,FIND("/",conc_class)-2))</f>
        <v/>
      </c>
      <c r="F70" s="28" t="inlineStr">
        <is>
          <t>MPa</t>
        </is>
      </c>
      <c r="G70" s="23" t="n"/>
    </row>
    <row r="71" ht="17" customHeight="1">
      <c r="B71" s="26" t="inlineStr">
        <is>
          <t>Table 3.1</t>
        </is>
      </c>
      <c r="C71" s="24" t="inlineStr">
        <is>
          <t>Mean tensile strength</t>
        </is>
      </c>
      <c r="D71" s="27" t="inlineStr">
        <is>
          <r>
            <rPr>
              <rFont val="Calibri"/>
              <i val="1"/>
              <color rgb="002B2B2B"/>
              <sz val="10"/>
            </rPr>
            <t>f</t>
          </r>
          <r>
            <rPr>
              <rFont val="Calibri"/>
              <i val="1"/>
              <color rgb="002B2B2B"/>
              <sz val="10"/>
              <vertAlign val="subscript"/>
            </rPr>
            <t>ctm</t>
          </r>
        </is>
      </c>
      <c r="E71" s="40">
        <f>IF(f_ck&lt;=50,0.3*f_ck^(2/3),2.12*LN(1+(f_ck+8)/10))</f>
        <v/>
      </c>
      <c r="F71" s="28" t="inlineStr">
        <is>
          <t>MPa</t>
        </is>
      </c>
      <c r="G71" s="23" t="n"/>
    </row>
    <row r="72" ht="17" customHeight="1">
      <c r="B72" s="26" t="inlineStr">
        <is>
          <t>3.1.6(1)</t>
        </is>
      </c>
      <c r="C72" s="24" t="inlineStr">
        <is>
          <t>Design compressive strength  αcc fck / γc</t>
        </is>
      </c>
      <c r="D72" s="27" t="inlineStr">
        <is>
          <r>
            <rPr>
              <rFont val="Calibri"/>
              <i val="1"/>
              <color rgb="002B2B2B"/>
              <sz val="10"/>
            </rPr>
            <t>f</t>
          </r>
          <r>
            <rPr>
              <rFont val="Calibri"/>
              <i val="1"/>
              <color rgb="002B2B2B"/>
              <sz val="10"/>
              <vertAlign val="subscript"/>
            </rPr>
            <t>cd</t>
          </r>
        </is>
      </c>
      <c r="E72" s="40">
        <f>alpha_cc*f_ck/gamma_c</f>
        <v/>
      </c>
      <c r="F72" s="28" t="inlineStr">
        <is>
          <t>MPa</t>
        </is>
      </c>
      <c r="G72" s="23" t="n"/>
    </row>
    <row r="73" ht="17" customHeight="1">
      <c r="B73" s="26" t="inlineStr">
        <is>
          <t>3.2.7</t>
        </is>
      </c>
      <c r="C73" s="24" t="inlineStr">
        <is>
          <t>Design yield strength</t>
        </is>
      </c>
      <c r="D73" s="27" t="inlineStr">
        <is>
          <r>
            <rPr>
              <rFont val="Calibri"/>
              <i val="1"/>
              <color rgb="002B2B2B"/>
              <sz val="10"/>
            </rPr>
            <t>f</t>
          </r>
          <r>
            <rPr>
              <rFont val="Calibri"/>
              <i val="1"/>
              <color rgb="002B2B2B"/>
              <sz val="10"/>
              <vertAlign val="subscript"/>
            </rPr>
            <t>yd</t>
          </r>
        </is>
      </c>
      <c r="E73" s="43">
        <f>f_yk/gamma_s</f>
        <v/>
      </c>
      <c r="F73" s="28" t="inlineStr">
        <is>
          <t>MPa</t>
        </is>
      </c>
      <c r="G73" s="23" t="n"/>
    </row>
    <row r="74" ht="17" customHeight="1">
      <c r="B74" s="26" t="inlineStr">
        <is>
          <t>(6.57N)</t>
        </is>
      </c>
      <c r="C74" s="24" t="inlineStr">
        <is>
          <t>ν' = 1 − fck / 250</t>
        </is>
      </c>
      <c r="D74" s="27" t="inlineStr">
        <is>
          <r>
            <rPr>
              <rFont val="Calibri"/>
              <i val="1"/>
              <color rgb="002B2B2B"/>
              <sz val="10"/>
            </rPr>
            <t>ν'</t>
          </r>
        </is>
      </c>
      <c r="E74" s="41">
        <f>1-f_ck/250</f>
        <v/>
      </c>
      <c r="F74" s="23" t="n"/>
      <c r="G74" s="23" t="n"/>
    </row>
    <row r="75" ht="17" customHeight="1">
      <c r="B75" s="26" t="inlineStr">
        <is>
          <t>6.5.4(4)a</t>
        </is>
      </c>
      <c r="C75" s="24" t="inlineStr">
        <is>
          <t>CCC node limit  k1 ν' fcd,  k1 = 1.0</t>
        </is>
      </c>
      <c r="D75" s="27" t="inlineStr">
        <is>
          <r>
            <rPr>
              <rFont val="Calibri"/>
              <i val="1"/>
              <color rgb="002B2B2B"/>
              <sz val="10"/>
            </rPr>
            <t>σ</t>
          </r>
          <r>
            <rPr>
              <rFont val="Calibri"/>
              <i val="1"/>
              <color rgb="002B2B2B"/>
              <sz val="10"/>
              <vertAlign val="subscript"/>
            </rPr>
            <t>Rd,CCC</t>
          </r>
        </is>
      </c>
      <c r="E75" s="40">
        <f>1*nu_p*f_cd</f>
        <v/>
      </c>
      <c r="F75" s="28" t="inlineStr">
        <is>
          <t>MPa</t>
        </is>
      </c>
      <c r="G75" s="23" t="n"/>
    </row>
    <row r="76" ht="17" customHeight="1">
      <c r="B76" s="26" t="inlineStr">
        <is>
          <t>6.5.4(4)b</t>
        </is>
      </c>
      <c r="C76" s="24" t="inlineStr">
        <is>
          <t>CCT node limit  k2 ν' fcd,  k2 = 0.85</t>
        </is>
      </c>
      <c r="D76" s="27" t="inlineStr">
        <is>
          <r>
            <rPr>
              <rFont val="Calibri"/>
              <i val="1"/>
              <color rgb="002B2B2B"/>
              <sz val="10"/>
            </rPr>
            <t>σ</t>
          </r>
          <r>
            <rPr>
              <rFont val="Calibri"/>
              <i val="1"/>
              <color rgb="002B2B2B"/>
              <sz val="10"/>
              <vertAlign val="subscript"/>
            </rPr>
            <t>Rd,CCT</t>
          </r>
        </is>
      </c>
      <c r="E76" s="40">
        <f>0.85*nu_p*f_cd</f>
        <v/>
      </c>
      <c r="F76" s="28" t="inlineStr">
        <is>
          <t>MPa</t>
        </is>
      </c>
      <c r="G76" s="23" t="n"/>
    </row>
    <row r="77" ht="17" customHeight="1">
      <c r="B77" s="26" t="inlineStr">
        <is>
          <t>6.5.2(2)</t>
        </is>
      </c>
      <c r="C77" s="24" t="inlineStr">
        <is>
          <t>Strut in a cracked zone  0.6 ν' fcd</t>
        </is>
      </c>
      <c r="D77" s="27" t="inlineStr">
        <is>
          <r>
            <rPr>
              <rFont val="Calibri"/>
              <i val="1"/>
              <color rgb="002B2B2B"/>
              <sz val="10"/>
            </rPr>
            <t>σ</t>
          </r>
          <r>
            <rPr>
              <rFont val="Calibri"/>
              <i val="1"/>
              <color rgb="002B2B2B"/>
              <sz val="10"/>
              <vertAlign val="subscript"/>
            </rPr>
            <t>Rd,max</t>
          </r>
        </is>
      </c>
      <c r="E77" s="40">
        <f>0.6*nu_p*f_cd</f>
        <v/>
      </c>
      <c r="F77" s="28" t="inlineStr">
        <is>
          <t>MPa</t>
        </is>
      </c>
      <c r="G77" s="23" t="n"/>
    </row>
    <row r="78" ht="17" customHeight="1">
      <c r="B78" s="23" t="n"/>
      <c r="C78" s="24" t="inlineStr">
        <is>
          <t>Effective depth  hc − c − φl − φm/2</t>
        </is>
      </c>
      <c r="D78" s="27" t="inlineStr">
        <is>
          <r>
            <rPr>
              <rFont val="Calibri"/>
              <i val="1"/>
              <color rgb="002B2B2B"/>
              <sz val="10"/>
            </rPr>
            <t>d</t>
          </r>
        </is>
      </c>
      <c r="E78" s="42">
        <f>h_cb-c_nom-phi_l-phi_m/2</f>
        <v/>
      </c>
      <c r="F78" s="28" t="inlineStr">
        <is>
          <t>mm</t>
        </is>
      </c>
      <c r="G78" s="23" t="n"/>
    </row>
    <row r="79" ht="17" customHeight="1">
      <c r="B79" s="23" t="n"/>
      <c r="C79" s="24" t="inlineStr">
        <is>
          <t>Lever of HEd above the tie  hc − d</t>
        </is>
      </c>
      <c r="D79" s="27" t="inlineStr">
        <is>
          <r>
            <rPr>
              <rFont val="Calibri"/>
              <i val="1"/>
              <color rgb="002B2B2B"/>
              <sz val="10"/>
            </rPr>
            <t>a</t>
          </r>
          <r>
            <rPr>
              <rFont val="Calibri"/>
              <i val="1"/>
              <color rgb="002B2B2B"/>
              <sz val="10"/>
              <vertAlign val="subscript"/>
            </rPr>
            <t>H</t>
          </r>
        </is>
      </c>
      <c r="E79" s="42">
        <f>h_cb-d_cb</f>
        <v/>
      </c>
      <c r="F79" s="28" t="inlineStr">
        <is>
          <t>mm</t>
        </is>
      </c>
      <c r="G79" s="23" t="n"/>
    </row>
    <row r="80" ht="17" customHeight="1">
      <c r="B80" s="26" t="inlineStr">
        <is>
          <t>6.5</t>
        </is>
      </c>
      <c r="C80" s="24" t="inlineStr">
        <is>
          <t>Moment about the tie  FEd ac + HEd aH</t>
        </is>
      </c>
      <c r="D80" s="27" t="inlineStr">
        <is>
          <r>
            <rPr>
              <rFont val="Calibri"/>
              <i val="1"/>
              <color rgb="002B2B2B"/>
              <sz val="10"/>
            </rPr>
            <t>M</t>
          </r>
          <r>
            <rPr>
              <rFont val="Calibri"/>
              <i val="1"/>
              <color rgb="002B2B2B"/>
              <sz val="10"/>
              <vertAlign val="subscript"/>
            </rPr>
            <t>t</t>
          </r>
        </is>
      </c>
      <c r="E80" s="42">
        <f>F_Ed*a_c+H_Ed*a_H</f>
        <v/>
      </c>
      <c r="F80" s="28" t="inlineStr">
        <is>
          <t>kNmm</t>
        </is>
      </c>
      <c r="G80" s="23" t="n"/>
    </row>
    <row r="81" ht="17" customHeight="1">
      <c r="B81" s="26" t="inlineStr">
        <is>
          <t>J.3(1)</t>
        </is>
      </c>
      <c r="C81" s="24" t="inlineStr">
        <is>
          <t>Lower node depth  d − √(d² − 2 Mt / (b σRd,CCC))</t>
        </is>
      </c>
      <c r="D81" s="27" t="inlineStr">
        <is>
          <r>
            <rPr>
              <rFont val="Calibri"/>
              <i val="1"/>
              <color rgb="002B2B2B"/>
              <sz val="10"/>
            </rPr>
            <t>y</t>
          </r>
          <r>
            <rPr>
              <rFont val="Calibri"/>
              <i val="1"/>
              <color rgb="002B2B2B"/>
              <sz val="10"/>
              <vertAlign val="subscript"/>
            </rPr>
            <t>0</t>
          </r>
        </is>
      </c>
      <c r="E81" s="43">
        <f>IF(d_cb^2-2*M_t*1000/(b_cb*sig_ccc)&gt;=0,d_cb-SQRT(d_cb^2-2*M_t*1000/(b_cb*sig_ccc)),NA())</f>
        <v/>
      </c>
      <c r="F81" s="28" t="inlineStr">
        <is>
          <t>mm</t>
        </is>
      </c>
      <c r="G81" s="26" t="inlineStr">
        <is>
          <t>N/A: node crushed</t>
        </is>
      </c>
    </row>
    <row r="82" ht="17" customHeight="1">
      <c r="B82" s="26" t="inlineStr">
        <is>
          <t>J.3(1)</t>
        </is>
      </c>
      <c r="C82" s="24" t="inlineStr">
        <is>
          <t>Lever arm  z0 = d − y0/2</t>
        </is>
      </c>
      <c r="D82" s="27" t="inlineStr">
        <is>
          <r>
            <rPr>
              <rFont val="Calibri"/>
              <i val="1"/>
              <color rgb="002B2B2B"/>
              <sz val="10"/>
            </rPr>
            <t>z</t>
          </r>
          <r>
            <rPr>
              <rFont val="Calibri"/>
              <i val="1"/>
              <color rgb="002B2B2B"/>
              <sz val="10"/>
              <vertAlign val="subscript"/>
            </rPr>
            <t>0</t>
          </r>
        </is>
      </c>
      <c r="E82" s="43">
        <f>d_cb-y_0/2</f>
        <v/>
      </c>
      <c r="F82" s="28" t="inlineStr">
        <is>
          <t>mm</t>
        </is>
      </c>
      <c r="G82" s="23" t="n"/>
    </row>
    <row r="83" ht="17" customHeight="1">
      <c r="B83" s="26" t="inlineStr">
        <is>
          <t>J.3(1)</t>
        </is>
      </c>
      <c r="C83" s="24" t="inlineStr">
        <is>
          <t>z0 / ac  (&gt; 1.0: short corbel)</t>
        </is>
      </c>
      <c r="D83" s="27" t="inlineStr">
        <is>
          <r>
            <rPr>
              <rFont val="Calibri"/>
              <i val="1"/>
              <color rgb="002B2B2B"/>
              <sz val="10"/>
            </rPr>
            <t>z</t>
          </r>
          <r>
            <rPr>
              <rFont val="Calibri"/>
              <i val="1"/>
              <color rgb="002B2B2B"/>
              <sz val="10"/>
              <vertAlign val="subscript"/>
            </rPr>
            <t>0/a_c</t>
          </r>
        </is>
      </c>
      <c r="E83" s="41">
        <f>z_0/a_c</f>
        <v/>
      </c>
      <c r="F83" s="23" t="n"/>
      <c r="G83" s="23" t="n"/>
    </row>
    <row r="84" ht="17" customHeight="1">
      <c r="B84" s="26" t="inlineStr">
        <is>
          <t>6.5</t>
        </is>
      </c>
      <c r="C84" s="24" t="inlineStr">
        <is>
          <t>Where the resultant of FEd and HEd meets the tie  Mt / FEd</t>
        </is>
      </c>
      <c r="D84" s="27" t="inlineStr">
        <is>
          <r>
            <rPr>
              <rFont val="Calibri"/>
              <i val="1"/>
              <color rgb="002B2B2B"/>
              <sz val="10"/>
            </rPr>
            <t>a</t>
          </r>
          <r>
            <rPr>
              <rFont val="Calibri"/>
              <i val="1"/>
              <color rgb="002B2B2B"/>
              <sz val="10"/>
              <vertAlign val="subscript"/>
            </rPr>
            <t>eq</t>
          </r>
        </is>
      </c>
      <c r="E84" s="43">
        <f>M_t/F_Ed</f>
        <v/>
      </c>
      <c r="F84" s="28" t="inlineStr">
        <is>
          <t>mm</t>
        </is>
      </c>
      <c r="G84" s="26" t="inlineStr">
        <is>
          <t>a_eq = ac when HEd = 0</t>
        </is>
      </c>
    </row>
    <row r="85" ht="17" customHeight="1">
      <c r="B85" s="23" t="n"/>
      <c r="C85" s="24" t="inlineStr">
        <is>
          <t>End of the tie  lc − c − φl − φm/2  (≥ a_eq)</t>
        </is>
      </c>
      <c r="D85" s="23" t="n"/>
      <c r="E85" s="42">
        <f>l_cb-c_nom-phi_l-phi_m/2</f>
        <v/>
      </c>
      <c r="F85" s="28" t="inlineStr">
        <is>
          <t>mm</t>
        </is>
      </c>
      <c r="G85" s="23" t="n"/>
    </row>
    <row r="86" ht="17" customHeight="1">
      <c r="B86" s="26" t="inlineStr">
        <is>
          <t>J.3(1)</t>
        </is>
      </c>
      <c r="C86" s="24" t="inlineStr">
        <is>
          <t>Lever arm used  min(z0; 2.5 a_eq)  (tan θ ≤ 2.5)</t>
        </is>
      </c>
      <c r="D86" s="27" t="inlineStr">
        <is>
          <r>
            <rPr>
              <rFont val="Calibri"/>
              <i val="1"/>
              <color rgb="002B2B2B"/>
              <sz val="10"/>
            </rPr>
            <t>z</t>
          </r>
        </is>
      </c>
      <c r="E86" s="43">
        <f>MIN(z_0,2.5*a_eq)</f>
        <v/>
      </c>
      <c r="F86" s="28" t="inlineStr">
        <is>
          <t>mm</t>
        </is>
      </c>
      <c r="G86" s="23" t="n"/>
    </row>
    <row r="87" ht="17" customHeight="1">
      <c r="B87" s="26" t="inlineStr">
        <is>
          <t>J.3(1)</t>
        </is>
      </c>
      <c r="C87" s="24" t="inlineStr">
        <is>
          <t>Lower node depth used  2 (d − z)</t>
        </is>
      </c>
      <c r="D87" s="27" t="inlineStr">
        <is>
          <r>
            <rPr>
              <rFont val="Calibri"/>
              <i val="1"/>
              <color rgb="002B2B2B"/>
              <sz val="10"/>
            </rPr>
            <t>y</t>
          </r>
        </is>
      </c>
      <c r="E87" s="43">
        <f>2*(d_cb-z_u)</f>
        <v/>
      </c>
      <c r="F87" s="28" t="inlineStr">
        <is>
          <t>mm</t>
        </is>
      </c>
      <c r="G87" s="23" t="n"/>
    </row>
    <row r="88" ht="17" customHeight="1">
      <c r="B88" s="26" t="inlineStr">
        <is>
          <t>J.3(1)</t>
        </is>
      </c>
      <c r="C88" s="24" t="inlineStr">
        <is>
          <t>Strut inclination  tan θ = z / a_eq  (1 ≤ tan θ ≤ 2.5)</t>
        </is>
      </c>
      <c r="D88" s="27" t="inlineStr">
        <is>
          <r>
            <rPr>
              <rFont val="Calibri"/>
              <i val="1"/>
              <color rgb="002B2B2B"/>
              <sz val="10"/>
            </rPr>
            <t>tan θ</t>
          </r>
        </is>
      </c>
      <c r="E88" s="41">
        <f>z_u/a_eq</f>
        <v/>
      </c>
      <c r="F88" s="23" t="n"/>
      <c r="G88" s="23" t="n"/>
    </row>
    <row r="89" ht="17" customHeight="1">
      <c r="B89" s="26" t="inlineStr">
        <is>
          <t>6.5</t>
        </is>
      </c>
      <c r="C89" s="24" t="inlineStr">
        <is>
          <t>Compression at the column face  Mt / z  (= FEd / tan θ)</t>
        </is>
      </c>
      <c r="D89" s="27" t="inlineStr">
        <is>
          <r>
            <rPr>
              <rFont val="Calibri"/>
              <i val="1"/>
              <color rgb="002B2B2B"/>
              <sz val="10"/>
            </rPr>
            <t>C</t>
          </r>
        </is>
      </c>
      <c r="E89" s="43">
        <f>M_t/z_u</f>
        <v/>
      </c>
      <c r="F89" s="28" t="inlineStr">
        <is>
          <t>kN</t>
        </is>
      </c>
      <c r="G89" s="23" t="n"/>
    </row>
    <row r="90" ht="17" customHeight="1">
      <c r="B90" s="26" t="inlineStr">
        <is>
          <t>6.5.4(4)a</t>
        </is>
      </c>
      <c r="C90" s="24" t="inlineStr">
        <is>
          <t>Stress on the lower node  C / (b y)  (≤ σRd,CCC)</t>
        </is>
      </c>
      <c r="D90" s="27" t="inlineStr">
        <is>
          <r>
            <rPr>
              <rFont val="Calibri"/>
              <i val="1"/>
              <color rgb="002B2B2B"/>
              <sz val="10"/>
            </rPr>
            <t>σ</t>
          </r>
          <r>
            <rPr>
              <rFont val="Calibri"/>
              <i val="1"/>
              <color rgb="002B2B2B"/>
              <sz val="10"/>
              <vertAlign val="subscript"/>
            </rPr>
            <t>c</t>
          </r>
        </is>
      </c>
      <c r="E90" s="40">
        <f>C_cb*1000/(b_cb*y_u)</f>
        <v/>
      </c>
      <c r="F90" s="28" t="inlineStr">
        <is>
          <t>MPa</t>
        </is>
      </c>
      <c r="G90" s="23" t="n"/>
    </row>
    <row r="91" ht="17" customHeight="1">
      <c r="B91" s="26" t="inlineStr">
        <is>
          <t>6.5</t>
        </is>
      </c>
      <c r="C91" s="24" t="inlineStr">
        <is>
          <t>Tie force  C + HEd</t>
        </is>
      </c>
      <c r="D91" s="27" t="inlineStr">
        <is>
          <r>
            <rPr>
              <rFont val="Calibri"/>
              <i val="1"/>
              <color rgb="002B2B2B"/>
              <sz val="10"/>
            </rPr>
            <t>F</t>
          </r>
          <r>
            <rPr>
              <rFont val="Calibri"/>
              <i val="1"/>
              <color rgb="002B2B2B"/>
              <sz val="10"/>
              <vertAlign val="subscript"/>
            </rPr>
            <t>td</t>
          </r>
        </is>
      </c>
      <c r="E91" s="44">
        <f>C_cb+H_Ed</f>
        <v/>
      </c>
      <c r="F91" s="28" t="inlineStr">
        <is>
          <t>kN</t>
        </is>
      </c>
      <c r="G91" s="23" t="n"/>
    </row>
    <row r="92" ht="17" customHeight="1">
      <c r="B92" s="26" t="inlineStr">
        <is>
          <t>6.5</t>
        </is>
      </c>
      <c r="C92" s="24" t="inlineStr">
        <is>
          <t>Strut force  FEd / sin θ  = √(FEd² + C²)</t>
        </is>
      </c>
      <c r="D92" s="27" t="inlineStr">
        <is>
          <r>
            <rPr>
              <rFont val="Calibri"/>
              <i val="1"/>
              <color rgb="002B2B2B"/>
              <sz val="10"/>
            </rPr>
            <t>F</t>
          </r>
          <r>
            <rPr>
              <rFont val="Calibri"/>
              <i val="1"/>
              <color rgb="002B2B2B"/>
              <sz val="10"/>
              <vertAlign val="subscript"/>
            </rPr>
            <t>c</t>
          </r>
        </is>
      </c>
      <c r="E92" s="43">
        <f>SQRT(F_Ed^2+C_cb^2)</f>
        <v/>
      </c>
      <c r="F92" s="28" t="inlineStr">
        <is>
          <t>kN</t>
        </is>
      </c>
      <c r="G92" s="23" t="n"/>
    </row>
    <row r="93" ht="17" customHeight="1">
      <c r="B93" s="26" t="inlineStr">
        <is>
          <t>6.5.4(4)b</t>
        </is>
      </c>
      <c r="C93" s="24" t="inlineStr">
        <is>
          <t>Strut width at the loaded node  lp sin θ + 2 aH cos θ</t>
        </is>
      </c>
      <c r="D93" s="27" t="inlineStr">
        <is>
          <r>
            <rPr>
              <rFont val="Calibri"/>
              <i val="1"/>
              <color rgb="002B2B2B"/>
              <sz val="10"/>
            </rPr>
            <t>w</t>
          </r>
        </is>
      </c>
      <c r="E93" s="43">
        <f>l_p*SIN(ATAN(tan_t))+2*a_H*COS(ATAN(tan_t))</f>
        <v/>
      </c>
      <c r="F93" s="28" t="inlineStr">
        <is>
          <t>mm</t>
        </is>
      </c>
      <c r="G93" s="23" t="n"/>
    </row>
    <row r="94" ht="17" customHeight="1">
      <c r="B94" s="26" t="inlineStr">
        <is>
          <t>6.5.2(2)</t>
        </is>
      </c>
      <c r="C94" s="24" t="inlineStr">
        <is>
          <t>Strut stress at its narrowest  Fc / (bp w)  (≤ 0.6 ν' fcd)</t>
        </is>
      </c>
      <c r="D94" s="27" t="inlineStr">
        <is>
          <r>
            <rPr>
              <rFont val="Calibri"/>
              <i val="1"/>
              <color rgb="002B2B2B"/>
              <sz val="10"/>
            </rPr>
            <t>σ</t>
          </r>
          <r>
            <rPr>
              <rFont val="Calibri"/>
              <i val="1"/>
              <color rgb="002B2B2B"/>
              <sz val="10"/>
              <vertAlign val="subscript"/>
            </rPr>
            <t>st</t>
          </r>
        </is>
      </c>
      <c r="E94" s="40">
        <f>F_c*1000/(b_p*w_st)</f>
        <v/>
      </c>
      <c r="F94" s="28" t="inlineStr">
        <is>
          <t>MPa</t>
        </is>
      </c>
      <c r="G94" s="23" t="n"/>
    </row>
    <row r="95" ht="17" customHeight="1">
      <c r="B95" s="26" t="inlineStr">
        <is>
          <t>6.5.4(4)a</t>
        </is>
      </c>
      <c r="C95" s="24" t="inlineStr">
        <is>
          <t>Lower node, inclined face  Fc / (b y / cos θ)  (hydrostatic: = σc)</t>
        </is>
      </c>
      <c r="D95" s="27" t="inlineStr">
        <is>
          <r>
            <rPr>
              <rFont val="Calibri"/>
              <i val="1"/>
              <color rgb="002B2B2B"/>
              <sz val="10"/>
            </rPr>
            <t>σ</t>
          </r>
          <r>
            <rPr>
              <rFont val="Calibri"/>
              <i val="1"/>
              <color rgb="002B2B2B"/>
              <sz val="10"/>
              <vertAlign val="subscript"/>
            </rPr>
            <t>c,θ</t>
          </r>
        </is>
      </c>
      <c r="E95" s="40">
        <f>F_c*1000*COS(ATAN(tan_t))/(b_cb*y_u)</f>
        <v/>
      </c>
      <c r="F95" s="28" t="inlineStr">
        <is>
          <t>MPa</t>
        </is>
      </c>
      <c r="G95" s="23" t="n"/>
    </row>
    <row r="96" ht="17" customHeight="1">
      <c r="B96" s="23" t="n"/>
      <c r="C96" s="24" t="inlineStr">
        <is>
          <t>Main reinforcement required  Ftd / fyd</t>
        </is>
      </c>
      <c r="D96" s="27" t="inlineStr">
        <is>
          <r>
            <rPr>
              <rFont val="Calibri"/>
              <i val="1"/>
              <color rgb="002B2B2B"/>
              <sz val="10"/>
            </rPr>
            <t>A</t>
          </r>
          <r>
            <rPr>
              <rFont val="Calibri"/>
              <i val="1"/>
              <color rgb="002B2B2B"/>
              <sz val="10"/>
              <vertAlign val="subscript"/>
            </rPr>
            <t>s,req</t>
          </r>
        </is>
      </c>
      <c r="E96" s="42">
        <f>F_td*1000/f_yd</f>
        <v/>
      </c>
      <c r="F96" s="28" t="inlineStr">
        <is>
          <t>mm²</t>
        </is>
      </c>
      <c r="G96" s="23" t="n"/>
    </row>
    <row r="97" ht="17" customHeight="1">
      <c r="B97" s="23" t="n"/>
      <c r="C97" s="24" t="inlineStr">
        <is>
          <t>Main reinforcement provided  n π φ² / 4</t>
        </is>
      </c>
      <c r="D97" s="27" t="inlineStr">
        <is>
          <r>
            <rPr>
              <rFont val="Calibri"/>
              <i val="1"/>
              <color rgb="002B2B2B"/>
              <sz val="10"/>
            </rPr>
            <t>A</t>
          </r>
          <r>
            <rPr>
              <rFont val="Calibri"/>
              <i val="1"/>
              <color rgb="002B2B2B"/>
              <sz val="10"/>
              <vertAlign val="subscript"/>
            </rPr>
            <t>s,prov</t>
          </r>
        </is>
      </c>
      <c r="E97" s="42">
        <f>n_m*PI()*phi_m^2/4</f>
        <v/>
      </c>
      <c r="F97" s="28" t="inlineStr">
        <is>
          <t>mm²</t>
        </is>
      </c>
      <c r="G97" s="23" t="n"/>
    </row>
    <row r="98" ht="17" customHeight="1">
      <c r="B98" s="26" t="inlineStr">
        <is>
          <t>9.2.1.1(1)</t>
        </is>
      </c>
      <c r="C98" s="24" t="inlineStr">
        <is>
          <t>Minimum  max(0.26 fctm / fyk; 0.0013) b d</t>
        </is>
      </c>
      <c r="D98" s="27" t="inlineStr">
        <is>
          <r>
            <rPr>
              <rFont val="Calibri"/>
              <i val="1"/>
              <color rgb="002B2B2B"/>
              <sz val="10"/>
            </rPr>
            <t>A</t>
          </r>
          <r>
            <rPr>
              <rFont val="Calibri"/>
              <i val="1"/>
              <color rgb="002B2B2B"/>
              <sz val="10"/>
              <vertAlign val="subscript"/>
            </rPr>
            <t>s,min</t>
          </r>
        </is>
      </c>
      <c r="E98" s="42">
        <f>MAX(0.26*f_ctm/f_yk,0.0013)*b_cb*d_cb</f>
        <v/>
      </c>
      <c r="F98" s="28" t="inlineStr">
        <is>
          <t>mm²</t>
        </is>
      </c>
      <c r="G98" s="23" t="n"/>
    </row>
    <row r="99" ht="17" customHeight="1">
      <c r="B99" s="26" t="inlineStr">
        <is>
          <t>9.2.1.1(3)</t>
        </is>
      </c>
      <c r="C99" s="24" t="inlineStr">
        <is>
          <t>Maximum  0.04 b hc</t>
        </is>
      </c>
      <c r="D99" s="27" t="inlineStr">
        <is>
          <r>
            <rPr>
              <rFont val="Calibri"/>
              <i val="1"/>
              <color rgb="002B2B2B"/>
              <sz val="10"/>
            </rPr>
            <t>A</t>
          </r>
          <r>
            <rPr>
              <rFont val="Calibri"/>
              <i val="1"/>
              <color rgb="002B2B2B"/>
              <sz val="10"/>
              <vertAlign val="subscript"/>
            </rPr>
            <t>s,max</t>
          </r>
        </is>
      </c>
      <c r="E99" s="42">
        <f>0.04*b_cb*h_cb</f>
        <v/>
      </c>
      <c r="F99" s="28" t="inlineStr">
        <is>
          <t>mm²</t>
        </is>
      </c>
      <c r="G99" s="23" t="n"/>
    </row>
    <row r="100" ht="17" customHeight="1">
      <c r="B100" s="26" t="inlineStr">
        <is>
          <t>6.5.4(4)b</t>
        </is>
      </c>
      <c r="C100" s="24" t="inlineStr">
        <is>
          <t>Bearing stress  FEd / (lp bp)</t>
        </is>
      </c>
      <c r="D100" s="27" t="inlineStr">
        <is>
          <r>
            <rPr>
              <rFont val="Calibri"/>
              <i val="1"/>
              <color rgb="002B2B2B"/>
              <sz val="10"/>
            </rPr>
            <t>σ</t>
          </r>
          <r>
            <rPr>
              <rFont val="Calibri"/>
              <i val="1"/>
              <color rgb="002B2B2B"/>
              <sz val="10"/>
              <vertAlign val="subscript"/>
            </rPr>
            <t>Ed</t>
          </r>
        </is>
      </c>
      <c r="E100" s="40">
        <f>F_Ed*1000/(l_p*b_p)</f>
        <v/>
      </c>
      <c r="F100" s="28" t="inlineStr">
        <is>
          <t>MPa</t>
        </is>
      </c>
      <c r="G100" s="23" t="n"/>
    </row>
    <row r="101" ht="17" customHeight="1">
      <c r="B101" s="26" t="inlineStr">
        <is>
          <t>9.2.1.1</t>
        </is>
      </c>
      <c r="C101" s="24" t="inlineStr">
        <is>
          <t>Main tie  max(As,req; As,min) ≤ As,prov ≤ As,max</t>
        </is>
      </c>
      <c r="D101" s="27" t="inlineStr">
        <is>
          <r>
            <rPr>
              <rFont val="Calibri"/>
              <i val="1"/>
              <color rgb="002B2B2B"/>
              <sz val="10"/>
            </rPr>
            <t>A</t>
          </r>
          <r>
            <rPr>
              <rFont val="Calibri"/>
              <i val="1"/>
              <color rgb="002B2B2B"/>
              <sz val="10"/>
              <vertAlign val="subscript"/>
            </rPr>
            <t>s</t>
          </r>
        </is>
      </c>
      <c r="E101" s="42">
        <f>As_prov</f>
        <v/>
      </c>
      <c r="F101" s="28" t="inlineStr">
        <is>
          <t>mm²</t>
        </is>
      </c>
      <c r="G101" s="30">
        <f>IF(NOT(inputs_ok),"FAIL",IF(IF(cb_ok,AND(As_prov&gt;=MAX(As_req,As_min),As_prov&lt;=As_max),FALSE),"OK","FAIL"))</f>
        <v/>
      </c>
    </row>
    <row r="102" ht="17" customHeight="1">
      <c r="B102" s="26" t="inlineStr">
        <is>
          <t>6.5.4(4)b</t>
        </is>
      </c>
      <c r="C102" s="24" t="inlineStr">
        <is>
          <t>Bearing node  σEd ≤ σRd,CCT</t>
        </is>
      </c>
      <c r="D102" s="27" t="inlineStr">
        <is>
          <r>
            <rPr>
              <rFont val="Calibri"/>
              <i val="1"/>
              <color rgb="002B2B2B"/>
              <sz val="10"/>
            </rPr>
            <t>σ</t>
          </r>
          <r>
            <rPr>
              <rFont val="Calibri"/>
              <i val="1"/>
              <color rgb="002B2B2B"/>
              <sz val="10"/>
              <vertAlign val="subscript"/>
            </rPr>
            <t>Ed</t>
          </r>
        </is>
      </c>
      <c r="E102" s="40">
        <f>sig_b</f>
        <v/>
      </c>
      <c r="F102" s="28" t="inlineStr">
        <is>
          <t>MPa</t>
        </is>
      </c>
      <c r="G102" s="30">
        <f>IF(NOT(inputs_ok),"FAIL",IF(sig_b&lt;=sig_cct,"OK","FAIL"))</f>
        <v/>
      </c>
    </row>
    <row r="103" ht="17" customHeight="1">
      <c r="B103" s="26" t="inlineStr">
        <is>
          <t>6.5.2(2)</t>
        </is>
      </c>
      <c r="C103" s="24" t="inlineStr">
        <is>
          <t>Strut  σst ≤ 0.6 ν' fcd</t>
        </is>
      </c>
      <c r="D103" s="27" t="inlineStr">
        <is>
          <r>
            <rPr>
              <rFont val="Calibri"/>
              <i val="1"/>
              <color rgb="002B2B2B"/>
              <sz val="10"/>
            </rPr>
            <t>σ</t>
          </r>
          <r>
            <rPr>
              <rFont val="Calibri"/>
              <i val="1"/>
              <color rgb="002B2B2B"/>
              <sz val="10"/>
              <vertAlign val="subscript"/>
            </rPr>
            <t>st</t>
          </r>
        </is>
      </c>
      <c r="E103" s="40">
        <f>sig_st</f>
        <v/>
      </c>
      <c r="F103" s="28" t="inlineStr">
        <is>
          <t>MPa</t>
        </is>
      </c>
      <c r="G103" s="30">
        <f>IF(NOT(inputs_ok),"FAIL",IF(IF(cb_ok,sig_st&lt;=sig_str,FALSE),"OK","FAIL"))</f>
        <v/>
      </c>
    </row>
    <row r="104" ht="17" customHeight="1">
      <c r="B104" s="26" t="inlineStr">
        <is>
          <t>8.2(2)</t>
        </is>
      </c>
      <c r="C104" s="24" t="inlineStr">
        <is>
          <t>Minimum clear gap  max(φ; dg + 5; 20)</t>
        </is>
      </c>
      <c r="D104" s="27" t="inlineStr">
        <is>
          <r>
            <rPr>
              <rFont val="Calibri"/>
              <i val="1"/>
              <color rgb="002B2B2B"/>
              <sz val="10"/>
            </rPr>
            <t>a</t>
          </r>
          <r>
            <rPr>
              <rFont val="Calibri"/>
              <i val="1"/>
              <color rgb="002B2B2B"/>
              <sz val="10"/>
              <vertAlign val="subscript"/>
            </rPr>
            <t>min</t>
          </r>
        </is>
      </c>
      <c r="E104" s="42">
        <f>MAX(phi_m,d_g+5,20)</f>
        <v/>
      </c>
      <c r="F104" s="28" t="inlineStr">
        <is>
          <t>mm</t>
        </is>
      </c>
      <c r="G104" s="23" t="n"/>
    </row>
    <row r="105" ht="17" customHeight="1">
      <c r="B105" s="23" t="n"/>
      <c r="C105" s="24" t="inlineStr">
        <is>
          <t>Clear gap of the main bars  (b − 2(c + φl) − n φ)/(n − 1)</t>
        </is>
      </c>
      <c r="D105" s="27" t="inlineStr">
        <is>
          <r>
            <rPr>
              <rFont val="Calibri"/>
              <i val="1"/>
              <color rgb="002B2B2B"/>
              <sz val="10"/>
            </rPr>
            <t>a</t>
          </r>
        </is>
      </c>
      <c r="E105" s="42">
        <f>(b_cb-2*(c_nom+phi_l)-n_m*phi_m)/(n_m-1)</f>
        <v/>
      </c>
      <c r="F105" s="28" t="inlineStr">
        <is>
          <t>mm</t>
        </is>
      </c>
      <c r="G105" s="23" t="n"/>
    </row>
    <row r="106" ht="17" customHeight="1">
      <c r="B106" s="26" t="inlineStr">
        <is>
          <t>8.2(2)</t>
        </is>
      </c>
      <c r="C106" s="24" t="inlineStr">
        <is>
          <t>Main bars fit in one layer  a ≥ a_min</t>
        </is>
      </c>
      <c r="D106" s="27" t="inlineStr">
        <is>
          <r>
            <rPr>
              <rFont val="Calibri"/>
              <i val="1"/>
              <color rgb="002B2B2B"/>
              <sz val="10"/>
            </rPr>
            <t>a</t>
          </r>
        </is>
      </c>
      <c r="E106" s="42">
        <f>gap_m</f>
        <v/>
      </c>
      <c r="F106" s="28" t="inlineStr">
        <is>
          <t>mm</t>
        </is>
      </c>
      <c r="G106" s="30">
        <f>IF(NOT(inputs_ok),"FAIL",IF(gap_m&gt;=gap_min,"OK","FAIL"))</f>
        <v/>
      </c>
    </row>
    <row r="108" ht="22" customHeight="1">
      <c r="B108" s="20" t="inlineStr">
        <is>
          <t>Calculation  ·  shear and links</t>
        </is>
      </c>
      <c r="C108" s="21" t="n"/>
      <c r="D108" s="21" t="n"/>
      <c r="E108" s="21" t="n"/>
      <c r="F108" s="21" t="n"/>
      <c r="G108" s="21" t="n"/>
    </row>
    <row r="109" ht="17" customHeight="1">
      <c r="B109" s="26" t="inlineStr">
        <is>
          <t>3.1.6(1)</t>
        </is>
      </c>
      <c r="C109" s="24" t="inlineStr">
        <is>
          <t>Design compressive strength for shear</t>
        </is>
      </c>
      <c r="D109" s="27" t="inlineStr">
        <is>
          <r>
            <rPr>
              <rFont val="Calibri"/>
              <i val="1"/>
              <color rgb="002B2B2B"/>
              <sz val="10"/>
            </rPr>
            <t>f</t>
          </r>
          <r>
            <rPr>
              <rFont val="Calibri"/>
              <i val="1"/>
              <color rgb="002B2B2B"/>
              <sz val="10"/>
              <vertAlign val="subscript"/>
            </rPr>
            <t>cd,v</t>
          </r>
        </is>
      </c>
      <c r="E109" s="40">
        <f>alpha_cc_shear*f_ck/gamma_c</f>
        <v/>
      </c>
      <c r="F109" s="28" t="inlineStr">
        <is>
          <t>MPa</t>
        </is>
      </c>
      <c r="G109" s="23" t="n"/>
    </row>
    <row r="110" ht="17" customHeight="1">
      <c r="B110" s="26" t="inlineStr">
        <is>
          <t>(6.6N)</t>
        </is>
      </c>
      <c r="C110" s="24" t="inlineStr">
        <is>
          <t>ν = 0.6 (1 − fck / 250)</t>
        </is>
      </c>
      <c r="D110" s="27" t="inlineStr">
        <is>
          <r>
            <rPr>
              <rFont val="Calibri"/>
              <i val="1"/>
              <color rgb="002B2B2B"/>
              <sz val="10"/>
            </rPr>
            <t>ν</t>
          </r>
        </is>
      </c>
      <c r="E110" s="41">
        <f>0.6*(1-f_ck/250)</f>
        <v/>
      </c>
      <c r="F110" s="23" t="n"/>
      <c r="G110" s="23" t="n"/>
    </row>
    <row r="111" ht="17" customHeight="1">
      <c r="B111" s="26" t="inlineStr">
        <is>
          <t>6.2.2(6)</t>
        </is>
      </c>
      <c r="C111" s="24" t="inlineStr">
        <is>
          <t>Shear limit  0.5 b d ν fcd</t>
        </is>
      </c>
      <c r="D111" s="27" t="inlineStr">
        <is>
          <r>
            <rPr>
              <rFont val="Calibri"/>
              <i val="1"/>
              <color rgb="002B2B2B"/>
              <sz val="10"/>
            </rPr>
            <t>V</t>
          </r>
          <r>
            <rPr>
              <rFont val="Calibri"/>
              <i val="1"/>
              <color rgb="002B2B2B"/>
              <sz val="10"/>
              <vertAlign val="subscript"/>
            </rPr>
            <t>max</t>
          </r>
        </is>
      </c>
      <c r="E111" s="43">
        <f>0.5*b_cb*d_cb*nu_v*f_cdv/1000</f>
        <v/>
      </c>
      <c r="F111" s="28" t="inlineStr">
        <is>
          <t>kN</t>
        </is>
      </c>
      <c r="G111" s="23" t="n"/>
    </row>
    <row r="112" ht="17" customHeight="1">
      <c r="B112" s="26" t="inlineStr">
        <is>
          <t>6.2.2(1)</t>
        </is>
      </c>
      <c r="C112" s="24" t="inlineStr">
        <is>
          <t>Size factor  1 + √(200/d) ≤ 2</t>
        </is>
      </c>
      <c r="D112" s="27" t="inlineStr">
        <is>
          <r>
            <rPr>
              <rFont val="Calibri"/>
              <i val="1"/>
              <color rgb="002B2B2B"/>
              <sz val="10"/>
            </rPr>
            <t>k</t>
          </r>
        </is>
      </c>
      <c r="E112" s="41">
        <f>MIN(2,1+SQRT(200/d_cb))</f>
        <v/>
      </c>
      <c r="F112" s="23" t="n"/>
      <c r="G112" s="23" t="n"/>
    </row>
    <row r="113" ht="17" customHeight="1">
      <c r="B113" s="26" t="inlineStr">
        <is>
          <t>6.2.2(1)</t>
        </is>
      </c>
      <c r="C113" s="24" t="inlineStr">
        <is>
          <t>ρl = As,prov / (b d) ≤ 0.02</t>
        </is>
      </c>
      <c r="D113" s="27" t="inlineStr">
        <is>
          <r>
            <rPr>
              <rFont val="Calibri"/>
              <i val="1"/>
              <color rgb="002B2B2B"/>
              <sz val="10"/>
            </rPr>
            <t>ρ</t>
          </r>
          <r>
            <rPr>
              <rFont val="Calibri"/>
              <i val="1"/>
              <color rgb="002B2B2B"/>
              <sz val="10"/>
              <vertAlign val="subscript"/>
            </rPr>
            <t>l</t>
          </r>
        </is>
      </c>
      <c r="E113" s="45">
        <f>MIN(0.02,As_prov/(b_cb*d_cb))</f>
        <v/>
      </c>
      <c r="F113" s="23" t="n"/>
      <c r="G113" s="23" t="n"/>
    </row>
    <row r="114" ht="17" customHeight="1">
      <c r="B114" s="26" t="inlineStr">
        <is>
          <t>(6.2)</t>
        </is>
      </c>
      <c r="C114" s="24" t="inlineStr">
        <is>
          <t>Shear resistance without links</t>
        </is>
      </c>
      <c r="D114" s="27" t="inlineStr">
        <is>
          <r>
            <rPr>
              <rFont val="Calibri"/>
              <i val="1"/>
              <color rgb="002B2B2B"/>
              <sz val="10"/>
            </rPr>
            <t>V</t>
          </r>
          <r>
            <rPr>
              <rFont val="Calibri"/>
              <i val="1"/>
              <color rgb="002B2B2B"/>
              <sz val="10"/>
              <vertAlign val="subscript"/>
            </rPr>
            <t>Rd,c</t>
          </r>
        </is>
      </c>
      <c r="E114" s="43">
        <f>MAX(C_Rdc*k_cb*(100*rho_cb*f_ck)^(1/3),0.035*k_cb^1.5*SQRT(f_ck))*b_cb*d_cb/1000</f>
        <v/>
      </c>
      <c r="F114" s="28" t="inlineStr">
        <is>
          <t>kN</t>
        </is>
      </c>
      <c r="G114" s="23" t="n"/>
    </row>
    <row r="115" ht="17" customHeight="1">
      <c r="B115" s="26" t="inlineStr">
        <is>
          <t>6.2.2(6)</t>
        </is>
      </c>
      <c r="C115" s="24" t="inlineStr">
        <is>
          <t>Shear  FEd ≤ 0.5 b d ν fcd</t>
        </is>
      </c>
      <c r="D115" s="27" t="inlineStr">
        <is>
          <r>
            <rPr>
              <rFont val="Calibri"/>
              <i val="1"/>
              <color rgb="002B2B2B"/>
              <sz val="10"/>
            </rPr>
            <t>F</t>
          </r>
          <r>
            <rPr>
              <rFont val="Calibri"/>
              <i val="1"/>
              <color rgb="002B2B2B"/>
              <sz val="10"/>
              <vertAlign val="subscript"/>
            </rPr>
            <t>Ed</t>
          </r>
        </is>
      </c>
      <c r="E115" s="42">
        <f>F_Ed</f>
        <v/>
      </c>
      <c r="F115" s="28" t="inlineStr">
        <is>
          <t>kN</t>
        </is>
      </c>
      <c r="G115" s="30">
        <f>IF(NOT(inputs_ok),"FAIL",IF(F_Ed&lt;=V_max,"OK","FAIL"))</f>
        <v/>
      </c>
    </row>
    <row r="116" ht="17" customHeight="1">
      <c r="B116" s="26" t="inlineStr">
        <is>
          <t>J.3(2)</t>
        </is>
      </c>
      <c r="C116" s="24" t="inlineStr">
        <is>
          <t>Horizontal links needed  (ac ≤ 0.5 hc)  0.5 As,main  (PL NA.8; UK PD 6687)</t>
        </is>
      </c>
      <c r="D116" s="27" t="inlineStr">
        <is>
          <r>
            <rPr>
              <rFont val="Calibri"/>
              <i val="1"/>
              <color rgb="002B2B2B"/>
              <sz val="10"/>
            </rPr>
            <t>A</t>
          </r>
          <r>
            <rPr>
              <rFont val="Calibri"/>
              <i val="1"/>
              <color rgb="002B2B2B"/>
              <sz val="10"/>
              <vertAlign val="subscript"/>
            </rPr>
            <t>s,lnk,h</t>
          </r>
        </is>
      </c>
      <c r="E116" s="42">
        <f>IF(lnk_case=1,0.5*As_prov,0)</f>
        <v/>
      </c>
      <c r="F116" s="28" t="inlineStr">
        <is>
          <t>mm²</t>
        </is>
      </c>
      <c r="G116" s="23" t="n"/>
    </row>
    <row r="117" ht="17" customHeight="1">
      <c r="B117" s="23" t="n"/>
      <c r="C117" s="24" t="inlineStr">
        <is>
          <t>Horizontal links provided  nlh · 2 π φl² / 4</t>
        </is>
      </c>
      <c r="D117" s="27" t="inlineStr">
        <is>
          <r>
            <rPr>
              <rFont val="Calibri"/>
              <i val="1"/>
              <color rgb="002B2B2B"/>
              <sz val="10"/>
            </rPr>
            <t>A</t>
          </r>
          <r>
            <rPr>
              <rFont val="Calibri"/>
              <i val="1"/>
              <color rgb="002B2B2B"/>
              <sz val="10"/>
              <vertAlign val="subscript"/>
            </rPr>
            <t>s,lnk,h</t>
          </r>
        </is>
      </c>
      <c r="E117" s="42">
        <f>n_lh*2*PI()*phi_l^2/4</f>
        <v/>
      </c>
      <c r="F117" s="28" t="inlineStr">
        <is>
          <t>mm²</t>
        </is>
      </c>
      <c r="G117" s="23" t="n"/>
    </row>
    <row r="118" ht="17" customHeight="1">
      <c r="B118" s="26" t="inlineStr">
        <is>
          <t>J.3(3)</t>
        </is>
      </c>
      <c r="C118" s="24" t="inlineStr">
        <is>
          <t>Vertical links needed  (ac &gt; 0.5 hc, FEd &gt; VRd,c)  0.5 FEd / fyd</t>
        </is>
      </c>
      <c r="D118" s="27" t="inlineStr">
        <is>
          <r>
            <rPr>
              <rFont val="Calibri"/>
              <i val="1"/>
              <color rgb="002B2B2B"/>
              <sz val="10"/>
            </rPr>
            <t>A</t>
          </r>
          <r>
            <rPr>
              <rFont val="Calibri"/>
              <i val="1"/>
              <color rgb="002B2B2B"/>
              <sz val="10"/>
              <vertAlign val="subscript"/>
            </rPr>
            <t>s,lnk,v</t>
          </r>
        </is>
      </c>
      <c r="E118" s="42">
        <f>IF(lnk_case=2,0.5*F_Ed*1000/f_yd,0)</f>
        <v/>
      </c>
      <c r="F118" s="28" t="inlineStr">
        <is>
          <t>mm²</t>
        </is>
      </c>
      <c r="G118" s="23" t="n"/>
    </row>
    <row r="119" ht="17" customHeight="1">
      <c r="B119" s="23" t="n"/>
      <c r="C119" s="24" t="inlineStr">
        <is>
          <t>Vertical links provided  nlv · 2 π φl² / 4</t>
        </is>
      </c>
      <c r="D119" s="27" t="inlineStr">
        <is>
          <r>
            <rPr>
              <rFont val="Calibri"/>
              <i val="1"/>
              <color rgb="002B2B2B"/>
              <sz val="10"/>
            </rPr>
            <t>A</t>
          </r>
          <r>
            <rPr>
              <rFont val="Calibri"/>
              <i val="1"/>
              <color rgb="002B2B2B"/>
              <sz val="10"/>
              <vertAlign val="subscript"/>
            </rPr>
            <t>s,lnk,v</t>
          </r>
        </is>
      </c>
      <c r="E119" s="42">
        <f>n_lv*2*PI()*phi_l^2/4</f>
        <v/>
      </c>
      <c r="F119" s="28" t="inlineStr">
        <is>
          <t>mm²</t>
        </is>
      </c>
      <c r="G119" s="23" t="n"/>
    </row>
    <row r="120" ht="17" customHeight="1">
      <c r="B120" s="26" t="inlineStr">
        <is>
          <t>J.3(2)</t>
        </is>
      </c>
      <c r="C120" s="24" t="inlineStr">
        <is>
          <t>Lowest horizontal link (d/3): reach along the corbel, cover to the sloping soffit</t>
        </is>
      </c>
      <c r="D120" s="27" t="inlineStr">
        <is>
          <r>
            <rPr>
              <rFont val="Calibri"/>
              <i val="1"/>
              <color rgb="002B2B2B"/>
              <sz val="10"/>
            </rPr>
            <t>x</t>
          </r>
          <r>
            <rPr>
              <rFont val="Calibri"/>
              <i val="1"/>
              <color rgb="002B2B2B"/>
              <sz val="10"/>
              <vertAlign val="subscript"/>
            </rPr>
            <t>link</t>
          </r>
        </is>
      </c>
      <c r="E120" s="42">
        <f>IF(h_cb&gt;h_e,MIN(l_cb-c_nom-phi_l-phi_m/2,MAX(0,d_cb/3-((c_nom+phi_l/2)/COS(ATAN((h_cb-h_e)/l_cb))))*l_cb/(h_cb-h_e)),l_cb-c_nom-phi_l-phi_m/2)</f>
        <v/>
      </c>
      <c r="F120" s="28" t="inlineStr">
        <is>
          <t>mm</t>
        </is>
      </c>
      <c r="G120" s="23" t="n"/>
    </row>
    <row r="121" ht="17" customHeight="1">
      <c r="B121" s="26" t="inlineStr">
        <is>
          <t>8.2(2)</t>
        </is>
      </c>
      <c r="C121" s="24" t="inlineStr">
        <is>
          <t>Clear gap between links  max(φl; dg + 5; 20)</t>
        </is>
      </c>
      <c r="D121" s="27" t="inlineStr">
        <is>
          <r>
            <rPr>
              <rFont val="Calibri"/>
              <i val="1"/>
              <color rgb="002B2B2B"/>
              <sz val="10"/>
            </rPr>
            <t>a</t>
          </r>
          <r>
            <rPr>
              <rFont val="Calibri"/>
              <i val="1"/>
              <color rgb="002B2B2B"/>
              <sz val="10"/>
              <vertAlign val="subscript"/>
            </rPr>
            <t>l,min</t>
          </r>
        </is>
      </c>
      <c r="E121" s="42">
        <f>MAX(phi_l,d_g+5,20)</f>
        <v/>
      </c>
      <c r="F121" s="28" t="inlineStr">
        <is>
          <t>mm</t>
        </is>
      </c>
      <c r="G121" s="23" t="n"/>
    </row>
    <row r="122" ht="17" customHeight="1">
      <c r="B122" s="23" t="n"/>
      <c r="C122" s="24" t="inlineStr">
        <is>
          <t>Clear gap, horizontal links  (2d/3) / nlh − φl</t>
        </is>
      </c>
      <c r="D122" s="27" t="inlineStr">
        <is>
          <r>
            <rPr>
              <rFont val="Calibri"/>
              <i val="1"/>
              <color rgb="002B2B2B"/>
              <sz val="10"/>
            </rPr>
            <t>a</t>
          </r>
          <r>
            <rPr>
              <rFont val="Calibri"/>
              <i val="1"/>
              <color rgb="002B2B2B"/>
              <sz val="10"/>
              <vertAlign val="subscript"/>
            </rPr>
            <t>lh</t>
          </r>
        </is>
      </c>
      <c r="E122" s="42">
        <f>IF(n_lh&gt;0,(2*d_cb/3)/n_lh-phi_l,"–")</f>
        <v/>
      </c>
      <c r="F122" s="28" t="inlineStr">
        <is>
          <t>mm</t>
        </is>
      </c>
      <c r="G122" s="23" t="n"/>
    </row>
    <row r="123" ht="17" customHeight="1">
      <c r="B123" s="23" t="n"/>
      <c r="C123" s="24" t="inlineStr">
        <is>
          <t>Clear gap, vertical links  x_tie / (nlv + 1) − φl</t>
        </is>
      </c>
      <c r="D123" s="27" t="inlineStr">
        <is>
          <r>
            <rPr>
              <rFont val="Calibri"/>
              <i val="1"/>
              <color rgb="002B2B2B"/>
              <sz val="10"/>
            </rPr>
            <t>a</t>
          </r>
          <r>
            <rPr>
              <rFont val="Calibri"/>
              <i val="1"/>
              <color rgb="002B2B2B"/>
              <sz val="10"/>
              <vertAlign val="subscript"/>
            </rPr>
            <t>lv</t>
          </r>
        </is>
      </c>
      <c r="E123" s="42">
        <f>IF(n_lv&gt;0,x_tie/(n_lv+1)-phi_l,"–")</f>
        <v/>
      </c>
      <c r="F123" s="28" t="inlineStr">
        <is>
          <t>mm</t>
        </is>
      </c>
      <c r="G123" s="23" t="n"/>
    </row>
    <row r="124" ht="17" customHeight="1">
      <c r="B124" s="26" t="inlineStr">
        <is>
          <t>J.3(2), (3)</t>
        </is>
      </c>
      <c r="C124" s="24" t="inlineStr">
        <is>
          <t>Links provided ≥ needed</t>
        </is>
      </c>
      <c r="D124" s="23" t="n"/>
      <c r="E124" s="42">
        <f>MAX(Alh_req,Alv_req)</f>
        <v/>
      </c>
      <c r="F124" s="28" t="inlineStr">
        <is>
          <t>mm²</t>
        </is>
      </c>
      <c r="G124" s="30">
        <f>IF(NOT(inputs_ok),"FAIL",IF(lnk_ok,"OK","FAIL"))</f>
        <v/>
      </c>
    </row>
    <row r="125" ht="41.5" customHeight="1">
      <c r="B125" s="39" t="inlineStr">
        <is>
          <t>Anchor the main bars at both ends (J.3(4)): in the column on its far face, with the anchorage length measured from the vertical bars at the near face, and in the corbel from the inner edge of the bearing plate (loops or welded cross bars). The horizontal links are spread over the top 2/3 of d in the drawing; the vertical links over the projection.</t>
        </is>
      </c>
    </row>
    <row r="127" ht="29" customHeight="1">
      <c r="B127" s="39"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125:G125"/>
    <mergeCell ref="E5:G5"/>
    <mergeCell ref="B127:G127"/>
    <mergeCell ref="D2:G2"/>
    <mergeCell ref="B62:G62"/>
    <mergeCell ref="E7:G7"/>
    <mergeCell ref="E6:G6"/>
    <mergeCell ref="C3:G3"/>
  </mergeCells>
  <conditionalFormatting sqref="G9:G128">
    <cfRule type="expression" priority="1" dxfId="0">
      <formula>G9="OK"</formula>
    </cfRule>
    <cfRule type="expression" priority="2" dxfId="1">
      <formula>G9="FAIL"</formula>
    </cfRule>
    <cfRule type="expression" priority="3" dxfId="2">
      <formula>LEFT(G9,1)="!"</formula>
    </cfRule>
  </conditionalFormatting>
  <dataValidations count="1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Pick a value from the list." type="list" errorStyle="stop">
      <formula1>"8,10,12,16,20,25,32,40"</formula1>
    </dataValidation>
    <dataValidation sqref="E25" showDropDown="0" showInputMessage="0" showErrorMessage="1" allowBlank="0" errorTitle="NA Engineering" error="Pick a value from the list." type="list" errorStyle="stop">
      <formula1>"2,3,4,5,6,7,8,9,10"</formula1>
    </dataValidation>
    <dataValidation sqref="E26" showDropDown="0" showInputMessage="0" showErrorMessage="1" allowBlank="0" errorTitle="NA Engineering" error="Pick a value from the list." type="list" errorStyle="stop">
      <formula1>"8,10,12,16"</formula1>
    </dataValidation>
    <dataValidation sqref="E27 E28" showDropDown="0" showInputMessage="0" showErrorMessage="1" allowBlank="0" errorTitle="NA Engineering" error="Pick a value from the list." type="list" errorStyle="stop">
      <formula1>"0,1,2,3,4,5,6,7,8"</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&amp;K8A8A8ANAE-RC-009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L10"/>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outline</t>
        </is>
      </c>
      <c r="D2" t="inlineStr">
        <is>
          <t>plate</t>
        </is>
      </c>
      <c r="G2" t="inlineStr">
        <is>
          <t>F</t>
        </is>
      </c>
      <c r="J2" t="inlineStr">
        <is>
          <t>F head</t>
        </is>
      </c>
      <c r="M2" t="inlineStr">
        <is>
          <t>H</t>
        </is>
      </c>
      <c r="P2" t="inlineStr">
        <is>
          <t>H head</t>
        </is>
      </c>
      <c r="S2" t="inlineStr">
        <is>
          <t>main bar</t>
        </is>
      </c>
      <c r="V2" t="inlineStr">
        <is>
          <t>h link 0</t>
        </is>
      </c>
      <c r="Y2" t="inlineStr">
        <is>
          <t>v link 0</t>
        </is>
      </c>
      <c r="AB2" t="inlineStr">
        <is>
          <t>h link 1</t>
        </is>
      </c>
      <c r="AE2" t="inlineStr">
        <is>
          <t>v link 1</t>
        </is>
      </c>
      <c r="AH2" t="inlineStr">
        <is>
          <t>h link 2</t>
        </is>
      </c>
      <c r="AK2" t="inlineStr">
        <is>
          <t>v link 2</t>
        </is>
      </c>
      <c r="AN2" t="inlineStr">
        <is>
          <t>h link 3</t>
        </is>
      </c>
      <c r="AQ2" t="inlineStr">
        <is>
          <t>v link 3</t>
        </is>
      </c>
      <c r="AT2" t="inlineStr">
        <is>
          <t>h link 4</t>
        </is>
      </c>
      <c r="AW2" t="inlineStr">
        <is>
          <t>v link 4</t>
        </is>
      </c>
      <c r="AZ2" t="inlineStr">
        <is>
          <t>h link 5</t>
        </is>
      </c>
      <c r="BC2" t="inlineStr">
        <is>
          <t>v link 5</t>
        </is>
      </c>
      <c r="BF2" t="inlineStr">
        <is>
          <t>h link 6</t>
        </is>
      </c>
      <c r="BI2" t="inlineStr">
        <is>
          <t>v link 6</t>
        </is>
      </c>
      <c r="BL2" t="inlineStr">
        <is>
          <t>h link 7</t>
        </is>
      </c>
      <c r="BO2" t="inlineStr">
        <is>
          <t>v link 7</t>
        </is>
      </c>
      <c r="BR2" t="inlineStr">
        <is>
          <t>resultant</t>
        </is>
      </c>
      <c r="BU2" t="inlineStr">
        <is>
          <t>strut</t>
        </is>
      </c>
      <c r="BX2" t="inlineStr">
        <is>
          <t>node</t>
        </is>
      </c>
      <c r="CA2" t="inlineStr">
        <is>
          <t>dim</t>
        </is>
      </c>
      <c r="CD2">
        <f>"a_c = "&amp;TEXT(a_c,"0")</f>
        <v/>
      </c>
      <c r="CG2" t="inlineStr">
        <is>
          <t>dim</t>
        </is>
      </c>
      <c r="CJ2">
        <f>"h_c = "&amp;TEXT(h_cb,"0")</f>
        <v/>
      </c>
      <c r="CM2" t="inlineStr">
        <is>
          <t>dim</t>
        </is>
      </c>
      <c r="CP2">
        <f>"h_e = "&amp;TEXT(h_e,"0")</f>
        <v/>
      </c>
      <c r="CS2" t="inlineStr">
        <is>
          <t>dim</t>
        </is>
      </c>
      <c r="CV2">
        <f>"l_c = "&amp;TEXT(l_cb,"0")</f>
        <v/>
      </c>
      <c r="CY2">
        <f>"FEd = "&amp;TEXT(F_Ed,"0")&amp;" kN"</f>
        <v/>
      </c>
      <c r="DB2">
        <f>IF(H_Ed&gt;0,"HEd = "&amp;TEXT(H_Ed,"0"),"")</f>
        <v/>
      </c>
      <c r="DE2">
        <f>IF(cb_ok,"z = "&amp;TEXT(z_u,"0")&amp;"  ·  θ = "&amp;TEXT(DEGREES(ATAN(tan_t)),"0")&amp;"°","")</f>
        <v/>
      </c>
      <c r="DH2">
        <f>n_m&amp;" × φ"&amp;phi_m</f>
        <v/>
      </c>
      <c r="DK2" t="inlineStr">
        <is>
          <t>frame</t>
        </is>
      </c>
    </row>
    <row r="3">
      <c r="A3">
        <f>-w_col</f>
        <v/>
      </c>
      <c r="B3">
        <f>-0.5*h_cb</f>
        <v/>
      </c>
      <c r="D3">
        <f>a_c-l_p/2</f>
        <v/>
      </c>
      <c r="E3">
        <f>h_cb</f>
        <v/>
      </c>
      <c r="G3">
        <f>a_c</f>
        <v/>
      </c>
      <c r="H3">
        <f>h_cb+20+0.7*h_cb</f>
        <v/>
      </c>
      <c r="J3">
        <f>a_c-0.04*h_cb</f>
        <v/>
      </c>
      <c r="K3">
        <f>h_cb+20+0.08*h_cb</f>
        <v/>
      </c>
      <c r="M3">
        <f>IF(H_Ed&gt;0,a_c,NA())</f>
        <v/>
      </c>
      <c r="N3">
        <f>h_cb+20+8</f>
        <v/>
      </c>
      <c r="P3">
        <f>IF(H_Ed&gt;0,a_c+0.37*h_cb,NA())</f>
        <v/>
      </c>
      <c r="Q3">
        <f>h_cb+20+8+0.04*h_cb</f>
        <v/>
      </c>
      <c r="S3">
        <f>-w_col+c_nom+phi_m</f>
        <v/>
      </c>
      <c r="T3">
        <f>d_cb-1.2*h_cb</f>
        <v/>
      </c>
      <c r="V3">
        <f>0</f>
        <v/>
      </c>
      <c r="W3">
        <f>IF(0&lt;n_lh,d_cb-(0+1)*(2*d_cb/3)/n_lh,NA())</f>
        <v/>
      </c>
      <c r="Y3">
        <f>IF(0&lt;n_lv,(0+1)*(l_cb-c_nom-phi_l-phi_m/2)/(n_lv+1),NA())</f>
        <v/>
      </c>
      <c r="Z3">
        <f>IF(0&lt;n_lv,(h_cb-h_e)*(0+1)*(l_cb-c_nom-phi_l-phi_m/2)/(n_lv+1)/l_cb+((c_nom+phi_l/2)*SQRT(1+((h_cb-h_e)/l_cb)^2)),NA())</f>
        <v/>
      </c>
      <c r="AB3">
        <f>0</f>
        <v/>
      </c>
      <c r="AC3">
        <f>IF(1&lt;n_lh,d_cb-(1+1)*(2*d_cb/3)/n_lh,NA())</f>
        <v/>
      </c>
      <c r="AE3">
        <f>IF(1&lt;n_lv,(1+1)*(l_cb-c_nom-phi_l-phi_m/2)/(n_lv+1),NA())</f>
        <v/>
      </c>
      <c r="AF3">
        <f>IF(1&lt;n_lv,(h_cb-h_e)*(1+1)*(l_cb-c_nom-phi_l-phi_m/2)/(n_lv+1)/l_cb+((c_nom+phi_l/2)*SQRT(1+((h_cb-h_e)/l_cb)^2)),NA())</f>
        <v/>
      </c>
      <c r="AH3">
        <f>0</f>
        <v/>
      </c>
      <c r="AI3">
        <f>IF(2&lt;n_lh,d_cb-(2+1)*(2*d_cb/3)/n_lh,NA())</f>
        <v/>
      </c>
      <c r="AK3">
        <f>IF(2&lt;n_lv,(2+1)*(l_cb-c_nom-phi_l-phi_m/2)/(n_lv+1),NA())</f>
        <v/>
      </c>
      <c r="AL3">
        <f>IF(2&lt;n_lv,(h_cb-h_e)*(2+1)*(l_cb-c_nom-phi_l-phi_m/2)/(n_lv+1)/l_cb+((c_nom+phi_l/2)*SQRT(1+((h_cb-h_e)/l_cb)^2)),NA())</f>
        <v/>
      </c>
      <c r="AN3">
        <f>0</f>
        <v/>
      </c>
      <c r="AO3">
        <f>IF(3&lt;n_lh,d_cb-(3+1)*(2*d_cb/3)/n_lh,NA())</f>
        <v/>
      </c>
      <c r="AQ3">
        <f>IF(3&lt;n_lv,(3+1)*(l_cb-c_nom-phi_l-phi_m/2)/(n_lv+1),NA())</f>
        <v/>
      </c>
      <c r="AR3">
        <f>IF(3&lt;n_lv,(h_cb-h_e)*(3+1)*(l_cb-c_nom-phi_l-phi_m/2)/(n_lv+1)/l_cb+((c_nom+phi_l/2)*SQRT(1+((h_cb-h_e)/l_cb)^2)),NA())</f>
        <v/>
      </c>
      <c r="AT3">
        <f>0</f>
        <v/>
      </c>
      <c r="AU3">
        <f>IF(4&lt;n_lh,d_cb-(4+1)*(2*d_cb/3)/n_lh,NA())</f>
        <v/>
      </c>
      <c r="AW3">
        <f>IF(4&lt;n_lv,(4+1)*(l_cb-c_nom-phi_l-phi_m/2)/(n_lv+1),NA())</f>
        <v/>
      </c>
      <c r="AX3">
        <f>IF(4&lt;n_lv,(h_cb-h_e)*(4+1)*(l_cb-c_nom-phi_l-phi_m/2)/(n_lv+1)/l_cb+((c_nom+phi_l/2)*SQRT(1+((h_cb-h_e)/l_cb)^2)),NA())</f>
        <v/>
      </c>
      <c r="AZ3">
        <f>0</f>
        <v/>
      </c>
      <c r="BA3">
        <f>IF(5&lt;n_lh,d_cb-(5+1)*(2*d_cb/3)/n_lh,NA())</f>
        <v/>
      </c>
      <c r="BC3">
        <f>IF(5&lt;n_lv,(5+1)*(l_cb-c_nom-phi_l-phi_m/2)/(n_lv+1),NA())</f>
        <v/>
      </c>
      <c r="BD3">
        <f>IF(5&lt;n_lv,(h_cb-h_e)*(5+1)*(l_cb-c_nom-phi_l-phi_m/2)/(n_lv+1)/l_cb+((c_nom+phi_l/2)*SQRT(1+((h_cb-h_e)/l_cb)^2)),NA())</f>
        <v/>
      </c>
      <c r="BF3">
        <f>0</f>
        <v/>
      </c>
      <c r="BG3">
        <f>IF(6&lt;n_lh,d_cb-(6+1)*(2*d_cb/3)/n_lh,NA())</f>
        <v/>
      </c>
      <c r="BI3">
        <f>IF(6&lt;n_lv,(6+1)*(l_cb-c_nom-phi_l-phi_m/2)/(n_lv+1),NA())</f>
        <v/>
      </c>
      <c r="BJ3">
        <f>IF(6&lt;n_lv,(h_cb-h_e)*(6+1)*(l_cb-c_nom-phi_l-phi_m/2)/(n_lv+1)/l_cb+((c_nom+phi_l/2)*SQRT(1+((h_cb-h_e)/l_cb)^2)),NA())</f>
        <v/>
      </c>
      <c r="BL3">
        <f>0</f>
        <v/>
      </c>
      <c r="BM3">
        <f>IF(7&lt;n_lh,d_cb-(7+1)*(2*d_cb/3)/n_lh,NA())</f>
        <v/>
      </c>
      <c r="BO3">
        <f>IF(7&lt;n_lv,(7+1)*(l_cb-c_nom-phi_l-phi_m/2)/(n_lv+1),NA())</f>
        <v/>
      </c>
      <c r="BP3">
        <f>IF(7&lt;n_lv,(h_cb-h_e)*(7+1)*(l_cb-c_nom-phi_l-phi_m/2)/(n_lv+1)/l_cb+((c_nom+phi_l/2)*SQRT(1+((h_cb-h_e)/l_cb)^2)),NA())</f>
        <v/>
      </c>
      <c r="BR3">
        <f>IF(AND(cb_ok,H_Ed&gt;0),a_c,NA())</f>
        <v/>
      </c>
      <c r="BS3">
        <f>h_cb+20</f>
        <v/>
      </c>
      <c r="BU3">
        <f>IF(cb_ok,a_eq,NA())</f>
        <v/>
      </c>
      <c r="BV3">
        <f>d_cb</f>
        <v/>
      </c>
      <c r="BX3">
        <f>IF(cb_ok,0,NA())</f>
        <v/>
      </c>
      <c r="BY3">
        <f>0</f>
        <v/>
      </c>
      <c r="CA3">
        <f>IF(TRUE,0,NA())</f>
        <v/>
      </c>
      <c r="CB3">
        <f>IF(TRUE,h_cb+20+0.85*h_cb,NA())</f>
        <v/>
      </c>
      <c r="CD3">
        <f>IF(TRUE,((0)+(a_c))/2,NA())</f>
        <v/>
      </c>
      <c r="CE3">
        <f>IF(TRUE,((h_cb+20+0.85*h_cb)+(h_cb+20+0.85*h_cb))/2,NA())</f>
        <v/>
      </c>
      <c r="CG3">
        <f>IF(TRUE,l_cb+0.12*h_cb,NA())</f>
        <v/>
      </c>
      <c r="CH3">
        <f>IF(TRUE,0,NA())</f>
        <v/>
      </c>
      <c r="CJ3">
        <f>IF(TRUE,((l_cb+0.12*h_cb)+(l_cb+0.12*h_cb))/2,NA())</f>
        <v/>
      </c>
      <c r="CK3">
        <f>IF(TRUE,((0)+(h_cb))/2,NA())</f>
        <v/>
      </c>
      <c r="CM3">
        <f>IF(TRUE,l_cb+3*0.12*h_cb,NA())</f>
        <v/>
      </c>
      <c r="CN3">
        <f>IF(TRUE,h_cb-h_e,NA())</f>
        <v/>
      </c>
      <c r="CP3">
        <f>IF(TRUE,((l_cb+3*0.12*h_cb)+(l_cb+3*0.12*h_cb))/2,NA())</f>
        <v/>
      </c>
      <c r="CQ3">
        <f>IF(TRUE,((h_cb-h_e)+(h_cb))/2,NA())</f>
        <v/>
      </c>
      <c r="CS3">
        <f>IF(TRUE,0,NA())</f>
        <v/>
      </c>
      <c r="CT3">
        <f>IF(TRUE,-0.12*h_cb,NA())</f>
        <v/>
      </c>
      <c r="CV3">
        <f>IF(TRUE,((0)+(l_cb))/2,NA())</f>
        <v/>
      </c>
      <c r="CW3">
        <f>IF(TRUE,((-0.12*h_cb)+(-0.12*h_cb))/2,NA())</f>
        <v/>
      </c>
      <c r="CY3">
        <f>a_c</f>
        <v/>
      </c>
      <c r="CZ3">
        <f>h_cb+20+0.7*h_cb</f>
        <v/>
      </c>
      <c r="DB3">
        <f>a_c+0.45*h_cb</f>
        <v/>
      </c>
      <c r="DC3">
        <f>h_cb+20+8</f>
        <v/>
      </c>
      <c r="DE3">
        <f>-0.5*w_col</f>
        <v/>
      </c>
      <c r="DF3">
        <f>0.25*h_cb</f>
        <v/>
      </c>
      <c r="DH3">
        <f>-0.5*w_col</f>
        <v/>
      </c>
      <c r="DI3">
        <f>d_cb</f>
        <v/>
      </c>
      <c r="DK3">
        <f>((-w_col-0.12*h_cb)+(l_cb+6*0.12*h_cb))/2-MAX((1.95*h_cb+20)-(-0.5*h_cb),((l_cb+6*0.12*h_cb)-(-w_col-0.12*h_cb))/1.55)*0.58*1.55</f>
        <v/>
      </c>
      <c r="DL3">
        <f>((-0.5*h_cb)+(1.95*h_cb+20))/2-MAX((1.95*h_cb+20)-(-0.5*h_cb),((l_cb+6*0.12*h_cb)-(-w_col-0.12*h_cb))/1.55)*0.58</f>
        <v/>
      </c>
    </row>
    <row r="4">
      <c r="A4">
        <f>-w_col</f>
        <v/>
      </c>
      <c r="B4">
        <f>1.95*h_cb+20</f>
        <v/>
      </c>
      <c r="D4">
        <f>a_c-l_p/2</f>
        <v/>
      </c>
      <c r="E4">
        <f>h_cb+20</f>
        <v/>
      </c>
      <c r="G4">
        <f>a_c</f>
        <v/>
      </c>
      <c r="H4">
        <f>h_cb+20</f>
        <v/>
      </c>
      <c r="J4">
        <f>a_c</f>
        <v/>
      </c>
      <c r="K4">
        <f>h_cb+20</f>
        <v/>
      </c>
      <c r="M4">
        <f>IF(H_Ed&gt;0,a_c+0.45*h_cb,NA())</f>
        <v/>
      </c>
      <c r="N4">
        <f>h_cb+20+8</f>
        <v/>
      </c>
      <c r="P4">
        <f>IF(H_Ed&gt;0,a_c+0.45*h_cb,NA())</f>
        <v/>
      </c>
      <c r="Q4">
        <f>h_cb+20+8</f>
        <v/>
      </c>
      <c r="S4">
        <f>-w_col+c_nom+phi_m</f>
        <v/>
      </c>
      <c r="T4">
        <f>d_cb</f>
        <v/>
      </c>
      <c r="V4">
        <f>MIN((l_cb-c_nom-phi_l-phi_m/2),IF(h_cb&gt;h_e,MAX(0,d_cb-(0+1)*(2*d_cb/3)/n_lh-((c_nom+phi_l/2)/COS(ATAN((h_cb-h_e)/l_cb))))*l_cb/(h_cb-h_e),(l_cb-c_nom-phi_l-phi_m/2)))</f>
        <v/>
      </c>
      <c r="W4">
        <f>IF(0&lt;n_lh,d_cb-(0+1)*(2*d_cb/3)/n_lh,NA())</f>
        <v/>
      </c>
      <c r="Y4">
        <f>IF(0&lt;n_lv,(0+1)*(l_cb-c_nom-phi_l-phi_m/2)/(n_lv+1),NA())</f>
        <v/>
      </c>
      <c r="Z4">
        <f>d_cb+phi_m/2</f>
        <v/>
      </c>
      <c r="AB4">
        <f>MIN((l_cb-c_nom-phi_l-phi_m/2),IF(h_cb&gt;h_e,MAX(0,d_cb-(1+1)*(2*d_cb/3)/n_lh-((c_nom+phi_l/2)/COS(ATAN((h_cb-h_e)/l_cb))))*l_cb/(h_cb-h_e),(l_cb-c_nom-phi_l-phi_m/2)))</f>
        <v/>
      </c>
      <c r="AC4">
        <f>IF(1&lt;n_lh,d_cb-(1+1)*(2*d_cb/3)/n_lh,NA())</f>
        <v/>
      </c>
      <c r="AE4">
        <f>IF(1&lt;n_lv,(1+1)*(l_cb-c_nom-phi_l-phi_m/2)/(n_lv+1),NA())</f>
        <v/>
      </c>
      <c r="AF4">
        <f>d_cb+phi_m/2</f>
        <v/>
      </c>
      <c r="AH4">
        <f>MIN((l_cb-c_nom-phi_l-phi_m/2),IF(h_cb&gt;h_e,MAX(0,d_cb-(2+1)*(2*d_cb/3)/n_lh-((c_nom+phi_l/2)/COS(ATAN((h_cb-h_e)/l_cb))))*l_cb/(h_cb-h_e),(l_cb-c_nom-phi_l-phi_m/2)))</f>
        <v/>
      </c>
      <c r="AI4">
        <f>IF(2&lt;n_lh,d_cb-(2+1)*(2*d_cb/3)/n_lh,NA())</f>
        <v/>
      </c>
      <c r="AK4">
        <f>IF(2&lt;n_lv,(2+1)*(l_cb-c_nom-phi_l-phi_m/2)/(n_lv+1),NA())</f>
        <v/>
      </c>
      <c r="AL4">
        <f>d_cb+phi_m/2</f>
        <v/>
      </c>
      <c r="AN4">
        <f>MIN((l_cb-c_nom-phi_l-phi_m/2),IF(h_cb&gt;h_e,MAX(0,d_cb-(3+1)*(2*d_cb/3)/n_lh-((c_nom+phi_l/2)/COS(ATAN((h_cb-h_e)/l_cb))))*l_cb/(h_cb-h_e),(l_cb-c_nom-phi_l-phi_m/2)))</f>
        <v/>
      </c>
      <c r="AO4">
        <f>IF(3&lt;n_lh,d_cb-(3+1)*(2*d_cb/3)/n_lh,NA())</f>
        <v/>
      </c>
      <c r="AQ4">
        <f>IF(3&lt;n_lv,(3+1)*(l_cb-c_nom-phi_l-phi_m/2)/(n_lv+1),NA())</f>
        <v/>
      </c>
      <c r="AR4">
        <f>d_cb+phi_m/2</f>
        <v/>
      </c>
      <c r="AT4">
        <f>MIN((l_cb-c_nom-phi_l-phi_m/2),IF(h_cb&gt;h_e,MAX(0,d_cb-(4+1)*(2*d_cb/3)/n_lh-((c_nom+phi_l/2)/COS(ATAN((h_cb-h_e)/l_cb))))*l_cb/(h_cb-h_e),(l_cb-c_nom-phi_l-phi_m/2)))</f>
        <v/>
      </c>
      <c r="AU4">
        <f>IF(4&lt;n_lh,d_cb-(4+1)*(2*d_cb/3)/n_lh,NA())</f>
        <v/>
      </c>
      <c r="AW4">
        <f>IF(4&lt;n_lv,(4+1)*(l_cb-c_nom-phi_l-phi_m/2)/(n_lv+1),NA())</f>
        <v/>
      </c>
      <c r="AX4">
        <f>d_cb+phi_m/2</f>
        <v/>
      </c>
      <c r="AZ4">
        <f>MIN((l_cb-c_nom-phi_l-phi_m/2),IF(h_cb&gt;h_e,MAX(0,d_cb-(5+1)*(2*d_cb/3)/n_lh-((c_nom+phi_l/2)/COS(ATAN((h_cb-h_e)/l_cb))))*l_cb/(h_cb-h_e),(l_cb-c_nom-phi_l-phi_m/2)))</f>
        <v/>
      </c>
      <c r="BA4">
        <f>IF(5&lt;n_lh,d_cb-(5+1)*(2*d_cb/3)/n_lh,NA())</f>
        <v/>
      </c>
      <c r="BC4">
        <f>IF(5&lt;n_lv,(5+1)*(l_cb-c_nom-phi_l-phi_m/2)/(n_lv+1),NA())</f>
        <v/>
      </c>
      <c r="BD4">
        <f>d_cb+phi_m/2</f>
        <v/>
      </c>
      <c r="BF4">
        <f>MIN((l_cb-c_nom-phi_l-phi_m/2),IF(h_cb&gt;h_e,MAX(0,d_cb-(6+1)*(2*d_cb/3)/n_lh-((c_nom+phi_l/2)/COS(ATAN((h_cb-h_e)/l_cb))))*l_cb/(h_cb-h_e),(l_cb-c_nom-phi_l-phi_m/2)))</f>
        <v/>
      </c>
      <c r="BG4">
        <f>IF(6&lt;n_lh,d_cb-(6+1)*(2*d_cb/3)/n_lh,NA())</f>
        <v/>
      </c>
      <c r="BI4">
        <f>IF(6&lt;n_lv,(6+1)*(l_cb-c_nom-phi_l-phi_m/2)/(n_lv+1),NA())</f>
        <v/>
      </c>
      <c r="BJ4">
        <f>d_cb+phi_m/2</f>
        <v/>
      </c>
      <c r="BL4">
        <f>MIN((l_cb-c_nom-phi_l-phi_m/2),IF(h_cb&gt;h_e,MAX(0,d_cb-(7+1)*(2*d_cb/3)/n_lh-((c_nom+phi_l/2)/COS(ATAN((h_cb-h_e)/l_cb))))*l_cb/(h_cb-h_e),(l_cb-c_nom-phi_l-phi_m/2)))</f>
        <v/>
      </c>
      <c r="BM4">
        <f>IF(7&lt;n_lh,d_cb-(7+1)*(2*d_cb/3)/n_lh,NA())</f>
        <v/>
      </c>
      <c r="BO4">
        <f>IF(7&lt;n_lv,(7+1)*(l_cb-c_nom-phi_l-phi_m/2)/(n_lv+1),NA())</f>
        <v/>
      </c>
      <c r="BP4">
        <f>d_cb+phi_m/2</f>
        <v/>
      </c>
      <c r="BR4">
        <f>IF(AND(cb_ok,H_Ed&gt;0),a_eq,NA())</f>
        <v/>
      </c>
      <c r="BS4">
        <f>d_cb</f>
        <v/>
      </c>
      <c r="BU4">
        <f>IF(cb_ok,0,NA())</f>
        <v/>
      </c>
      <c r="BV4">
        <f>y_u/2</f>
        <v/>
      </c>
      <c r="BX4">
        <f>IF(cb_ok,0,NA())</f>
        <v/>
      </c>
      <c r="BY4">
        <f>y_u</f>
        <v/>
      </c>
      <c r="CA4">
        <f>IF(TRUE,a_c,NA())</f>
        <v/>
      </c>
      <c r="CB4">
        <f>IF(TRUE,h_cb+20+0.85*h_cb,NA())</f>
        <v/>
      </c>
      <c r="CG4">
        <f>IF(TRUE,l_cb+0.12*h_cb,NA())</f>
        <v/>
      </c>
      <c r="CH4">
        <f>IF(TRUE,h_cb,NA())</f>
        <v/>
      </c>
      <c r="CM4">
        <f>IF(TRUE,l_cb+3*0.12*h_cb,NA())</f>
        <v/>
      </c>
      <c r="CN4">
        <f>IF(TRUE,h_cb,NA())</f>
        <v/>
      </c>
      <c r="CS4">
        <f>IF(TRUE,l_cb,NA())</f>
        <v/>
      </c>
      <c r="CT4">
        <f>IF(TRUE,-0.12*h_cb,NA())</f>
        <v/>
      </c>
      <c r="DK4">
        <f>((-w_col-0.12*h_cb)+(l_cb+6*0.12*h_cb))/2+MAX((1.95*h_cb+20)-(-0.5*h_cb),((l_cb+6*0.12*h_cb)-(-w_col-0.12*h_cb))/1.55)*0.58*1.55</f>
        <v/>
      </c>
      <c r="DL4">
        <f>((-0.5*h_cb)+(1.95*h_cb+20))/2+MAX((1.95*h_cb+20)-(-0.5*h_cb),((l_cb+6*0.12*h_cb)-(-w_col-0.12*h_cb))/1.55)*0.58</f>
        <v/>
      </c>
    </row>
    <row r="5">
      <c r="A5">
        <f>0</f>
        <v/>
      </c>
      <c r="B5">
        <f>1.95*h_cb+20</f>
        <v/>
      </c>
      <c r="D5">
        <f>a_c+l_p/2</f>
        <v/>
      </c>
      <c r="E5">
        <f>h_cb+20</f>
        <v/>
      </c>
      <c r="J5">
        <f>a_c+0.04*h_cb</f>
        <v/>
      </c>
      <c r="K5">
        <f>h_cb+20+0.08*h_cb</f>
        <v/>
      </c>
      <c r="P5">
        <f>IF(H_Ed&gt;0,a_c+0.37*h_cb,NA())</f>
        <v/>
      </c>
      <c r="Q5">
        <f>h_cb+20+8-0.04*h_cb</f>
        <v/>
      </c>
      <c r="S5">
        <f>(l_cb-c_nom-phi_l-phi_m/2)</f>
        <v/>
      </c>
      <c r="T5">
        <f>d_cb</f>
        <v/>
      </c>
    </row>
    <row r="6">
      <c r="A6">
        <f>0</f>
        <v/>
      </c>
      <c r="B6">
        <f>h_cb</f>
        <v/>
      </c>
      <c r="D6">
        <f>a_c+l_p/2</f>
        <v/>
      </c>
      <c r="E6">
        <f>h_cb</f>
        <v/>
      </c>
      <c r="S6">
        <f>(l_cb-c_nom-phi_l-phi_m/2)</f>
        <v/>
      </c>
      <c r="T6">
        <f>d_cb-MIN(6*phi_m,0.5*h_e)</f>
        <v/>
      </c>
    </row>
    <row r="7">
      <c r="A7">
        <f>l_cb</f>
        <v/>
      </c>
      <c r="B7">
        <f>h_cb</f>
        <v/>
      </c>
    </row>
    <row r="8">
      <c r="A8">
        <f>l_cb</f>
        <v/>
      </c>
      <c r="B8">
        <f>h_cb-h_e</f>
        <v/>
      </c>
    </row>
    <row r="9">
      <c r="A9">
        <f>0</f>
        <v/>
      </c>
      <c r="B9">
        <f>0</f>
        <v/>
      </c>
    </row>
    <row r="10">
      <c r="A10">
        <f>0</f>
        <v/>
      </c>
      <c r="B10">
        <f>-0.5*h_cb</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6"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7" t="inlineStr">
        <is>
          <t>Parameter</t>
        </is>
      </c>
      <c r="C5" s="47" t="inlineStr">
        <is>
          <t>Clause</t>
        </is>
      </c>
      <c r="D5" s="47" t="inlineStr">
        <is>
          <t>UK NA</t>
        </is>
      </c>
      <c r="E5" s="47" t="inlineStr">
        <is>
          <t>PL NA</t>
        </is>
      </c>
      <c r="F5" s="47" t="inlineStr">
        <is>
          <t>Notes</t>
        </is>
      </c>
    </row>
    <row r="6">
      <c r="B6" s="48" t="inlineStr">
        <is>
          <t>Partial factor, concrete  γc</t>
        </is>
      </c>
      <c r="C6" s="49" t="inlineStr">
        <is>
          <t>2.4.2.4(1)</t>
        </is>
      </c>
      <c r="D6" s="50" t="n">
        <v>1.5</v>
      </c>
      <c r="E6" s="50" t="n">
        <v>1.4</v>
      </c>
      <c r="F6" s="49" t="inlineStr">
        <is>
          <t>Persistent &amp; transient. UK NA: recommended; PL: NA.2, Table NA.2</t>
        </is>
      </c>
    </row>
    <row r="7">
      <c r="B7" s="48" t="inlineStr">
        <is>
          <t>Partial factor, reinforcement  γs</t>
        </is>
      </c>
      <c r="C7" s="49" t="inlineStr">
        <is>
          <t>2.4.2.4(1)</t>
        </is>
      </c>
      <c r="D7" s="50" t="n">
        <v>1.15</v>
      </c>
      <c r="E7" s="50" t="n">
        <v>1.15</v>
      </c>
      <c r="F7" s="49" t="inlineStr">
        <is>
          <t>UK NA: recommended; PL: NA.2, Table NA.2</t>
        </is>
      </c>
    </row>
    <row r="8">
      <c r="B8" s="48" t="inlineStr">
        <is>
          <t>αcc  (compression in flexure / axial)</t>
        </is>
      </c>
      <c r="C8" s="49" t="inlineStr">
        <is>
          <t>3.1.6(1)</t>
        </is>
      </c>
      <c r="D8" s="50" t="n">
        <v>0.85</v>
      </c>
      <c r="E8" s="50" t="n">
        <v>1</v>
      </c>
      <c r="F8" s="49" t="inlineStr">
        <is>
          <t>UK NA: 0.85; PL: recommended (NA.9)</t>
        </is>
      </c>
    </row>
    <row r="9">
      <c r="B9" s="48" t="inlineStr">
        <is>
          <t>αcc,pl  (plain concrete, compression)</t>
        </is>
      </c>
      <c r="C9" s="49" t="inlineStr">
        <is>
          <t>12.3.1(1)</t>
        </is>
      </c>
      <c r="D9" s="50" t="n">
        <v>0.6</v>
      </c>
      <c r="E9" s="50" t="n">
        <v>0.8</v>
      </c>
      <c r="F9" s="49" t="inlineStr">
        <is>
          <t>UK NA Table NA.1: 0.6; PL: recommended (NA.9)</t>
        </is>
      </c>
    </row>
    <row r="10">
      <c r="B10" s="48" t="inlineStr">
        <is>
          <t>αcc  (shear and punching)</t>
        </is>
      </c>
      <c r="C10" s="49" t="inlineStr">
        <is>
          <t>3.1.6(1)</t>
        </is>
      </c>
      <c r="D10" s="50" t="n">
        <v>1</v>
      </c>
      <c r="E10" s="50" t="n">
        <v>1</v>
      </c>
      <c r="F10" s="49" t="inlineStr">
        <is>
          <t>UK NA: 1.0 for other phenomena; PL: recommended (NA.9)</t>
        </is>
      </c>
    </row>
    <row r="11">
      <c r="B11" s="48" t="inlineStr">
        <is>
          <t>αct  (design tensile strength)</t>
        </is>
      </c>
      <c r="C11" s="49" t="inlineStr">
        <is>
          <t>3.1.6(2)</t>
        </is>
      </c>
      <c r="D11" s="50" t="n">
        <v>1</v>
      </c>
      <c r="E11" s="50" t="n">
        <v>1</v>
      </c>
      <c r="F11" s="49" t="inlineStr">
        <is>
          <t>Recommended value in both annexes</t>
        </is>
      </c>
    </row>
    <row r="12">
      <c r="B12" s="48" t="inlineStr">
        <is>
          <t>CRd,c numerator  (CRd,c = value / γc)</t>
        </is>
      </c>
      <c r="C12" s="49" t="inlineStr">
        <is>
          <t>6.2.2(1), 6.4.4(1)</t>
        </is>
      </c>
      <c r="D12" s="50" t="n">
        <v>0.18</v>
      </c>
      <c r="E12" s="50" t="n">
        <v>0.18</v>
      </c>
      <c r="F12" s="49" t="inlineStr">
        <is>
          <t>Recommended value in both annexes</t>
        </is>
      </c>
    </row>
    <row r="13">
      <c r="B13" s="48" t="inlineStr">
        <is>
          <t>k1  (axial stress term, punching)</t>
        </is>
      </c>
      <c r="C13" s="49" t="inlineStr">
        <is>
          <t>6.4.4(1)</t>
        </is>
      </c>
      <c r="D13" s="50" t="n">
        <v>0.1</v>
      </c>
      <c r="E13" s="50" t="n">
        <v>0.1</v>
      </c>
      <c r="F13" s="49" t="inlineStr">
        <is>
          <t>Recommended value in both annexes</t>
        </is>
      </c>
    </row>
    <row r="14">
      <c r="B14" s="48" t="inlineStr">
        <is>
          <t>vRd,max factor  (vRd,max = factor · ν · fcd)</t>
        </is>
      </c>
      <c r="C14" s="49" t="inlineStr">
        <is>
          <t>6.4.5(3)</t>
        </is>
      </c>
      <c r="D14" s="50" t="n">
        <v>0.5</v>
      </c>
      <c r="E14" s="50" t="n">
        <v>0.4</v>
      </c>
      <c r="F14" s="49" t="inlineStr">
        <is>
          <t>UK NA: 0.5 ν fcd; PL: recommended value (NA.9), 0.4 ν fcd since EN 1992-1-1 AC:2010 (PN-EN 1992-1-1:2008/AC:2011)</t>
        </is>
      </c>
    </row>
    <row r="15">
      <c r="B15" s="48" t="inlineStr">
        <is>
          <t>kmax  (vEd ≤ kmax · vRd,c at u1)</t>
        </is>
      </c>
      <c r="C15" s="49" t="inlineStr">
        <is>
          <t>6.4.5</t>
        </is>
      </c>
      <c r="D15" s="50" t="n">
        <v>2</v>
      </c>
      <c r="E15" s="50" t="n">
        <v>1.5</v>
      </c>
      <c r="F15" s="49" t="inlineStr">
        <is>
          <t>UK NA 6.4.5(3): 2 vRd,c. PL: no limit in PN-EN 1992-1-1:2008; 1.5 (A1:2014 recommendation) applied conservatively</t>
        </is>
      </c>
    </row>
    <row r="16">
      <c r="B16" s="48" t="inlineStr">
        <is>
          <t>φlarge  (large bar threshold, mm)</t>
        </is>
      </c>
      <c r="C16" s="49" t="inlineStr">
        <is>
          <t>8.8(1)</t>
        </is>
      </c>
      <c r="D16" s="50" t="n">
        <v>40</v>
      </c>
      <c r="E16" s="50" t="n">
        <v>32</v>
      </c>
      <c r="F16" s="49" t="inlineStr">
        <is>
          <t>UK NA: 40 mm; PL: 32 mm recommended (NA.9)</t>
        </is>
      </c>
    </row>
    <row r="17">
      <c r="B17" s="48" t="inlineStr">
        <is>
          <t>cot θ upper limit  (variable strut)</t>
        </is>
      </c>
      <c r="C17" s="49" t="inlineStr">
        <is>
          <t>6.2.3(2)</t>
        </is>
      </c>
      <c r="D17" s="50" t="n">
        <v>2.5</v>
      </c>
      <c r="E17" s="50" t="n">
        <v>2</v>
      </c>
      <c r="F17" s="49" t="inlineStr">
        <is>
          <t>UK NA: 2.5 (1.25 with axial tension); PL: NA.4, 1 ≤ cot θ ≤ 2.0</t>
        </is>
      </c>
    </row>
    <row r="18">
      <c r="B18" s="48" t="inlineStr">
        <is>
          <t>k1  (x/d limit, δ ≥ k1 + k2 xu/d)</t>
        </is>
      </c>
      <c r="C18" s="49" t="inlineStr">
        <is>
          <t>5.5(4)</t>
        </is>
      </c>
      <c r="D18" s="50" t="n">
        <v>0.4</v>
      </c>
      <c r="E18" s="50" t="n">
        <v>0.44</v>
      </c>
      <c r="F18" s="49" t="inlineStr">
        <is>
          <t>UK NA for fyk ≤ 500 MPa; PL: recommended (NA.9)</t>
        </is>
      </c>
    </row>
    <row r="19">
      <c r="B19" s="48" t="inlineStr">
        <is>
          <t>k2  (x/d limit, εcu2 = 0.0035)</t>
        </is>
      </c>
      <c r="C19" s="49" t="inlineStr">
        <is>
          <t>5.5(4)</t>
        </is>
      </c>
      <c r="D19" s="50" t="n">
        <v>1</v>
      </c>
      <c r="E19" s="50" t="n">
        <v>1.25</v>
      </c>
      <c r="F19" s="49" t="inlineStr">
        <is>
          <t>UK NA: 0.6 + 0.0014/εcu2; PL: 1.25(0.6 + 0.0014/εcu2)</t>
        </is>
      </c>
    </row>
    <row r="20">
      <c r="B20" s="48" t="inlineStr">
        <is>
          <t>Upper limit on the (310/σs) factor  (0 = none)</t>
        </is>
      </c>
      <c r="C20" s="49" t="inlineStr">
        <is>
          <t>7.4.2(2)</t>
        </is>
      </c>
      <c r="D20" s="50" t="n">
        <v>1.5</v>
      </c>
      <c r="E20" s="50" t="n">
        <v>0</v>
      </c>
      <c r="F20" s="49" t="inlineStr">
        <is>
          <t>UK NA Table NA.5 Note 5: (310/σs) or (500/fyk)(As,prov/As,req) ≤ 1.5; PL: none</t>
        </is>
      </c>
    </row>
    <row r="21">
      <c r="B21" s="48" t="inlineStr">
        <is>
          <t>L/d not to exceed 40 K  (1 = applies)</t>
        </is>
      </c>
      <c r="C21" s="49" t="inlineStr">
        <is>
          <t>7.4.2(2)</t>
        </is>
      </c>
      <c r="D21" s="50" t="n">
        <v>1</v>
      </c>
      <c r="E21" s="50" t="n">
        <v>0</v>
      </c>
      <c r="F21" s="49" t="inlineStr">
        <is>
          <t>UK NA Table NA.5 Note 6; not in EN text</t>
        </is>
      </c>
    </row>
    <row r="22">
      <c r="B22" s="48" t="inlineStr">
        <is>
          <t>φmin  (longitudinal bars in columns, mm)</t>
        </is>
      </c>
      <c r="C22" s="49" t="inlineStr">
        <is>
          <t>9.5.2(1)</t>
        </is>
      </c>
      <c r="D22" s="50" t="n">
        <v>12</v>
      </c>
      <c r="E22" s="50" t="n">
        <v>6</v>
      </c>
      <c r="F22" s="49" t="inlineStr">
        <is>
          <t>UK NA: 12 mm; PL: NA.6, 6 mm</t>
        </is>
      </c>
    </row>
    <row r="23">
      <c r="B23" s="48" t="inlineStr">
        <is>
          <t>k3  (crack spacing)</t>
        </is>
      </c>
      <c r="C23" s="49" t="inlineStr">
        <is>
          <t>7.3.4(3)</t>
        </is>
      </c>
      <c r="D23" s="50" t="n">
        <v>3.4</v>
      </c>
      <c r="E23" s="50" t="n">
        <v>3.4</v>
      </c>
      <c r="F23" s="49" t="inlineStr">
        <is>
          <t>Recommended value in both annexes</t>
        </is>
      </c>
    </row>
    <row r="24">
      <c r="B24" s="48" t="inlineStr">
        <is>
          <t>k4  (crack spacing)</t>
        </is>
      </c>
      <c r="C24" s="49" t="inlineStr">
        <is>
          <t>7.3.4(3)</t>
        </is>
      </c>
      <c r="D24" s="50" t="n">
        <v>0.425</v>
      </c>
      <c r="E24" s="50" t="n">
        <v>0.425</v>
      </c>
      <c r="F24" s="49" t="inlineStr">
        <is>
          <t>Recommended value in both annexes</t>
        </is>
      </c>
    </row>
    <row r="25">
      <c r="B25" s="48" t="inlineStr">
        <is>
          <t>k1  (concrete stress, characteristic; XD, XF, XS)</t>
        </is>
      </c>
      <c r="C25" s="49" t="inlineStr">
        <is>
          <t>7.2(2)</t>
        </is>
      </c>
      <c r="D25" s="50" t="n">
        <v>0.6</v>
      </c>
      <c r="E25" s="50" t="n">
        <v>1</v>
      </c>
      <c r="F25" s="49" t="inlineStr">
        <is>
          <t>UK NA: recommended; PL: NA.5, k1 = 1.0</t>
        </is>
      </c>
    </row>
    <row r="26">
      <c r="B26" s="48" t="inlineStr">
        <is>
          <t>k2  (concrete stress, quasi-permanent; linear creep)</t>
        </is>
      </c>
      <c r="C26" s="49" t="inlineStr">
        <is>
          <t>7.2(3)</t>
        </is>
      </c>
      <c r="D26" s="50" t="n">
        <v>0.45</v>
      </c>
      <c r="E26" s="50" t="n">
        <v>0.45</v>
      </c>
      <c r="F26" s="49" t="inlineStr">
        <is>
          <t>Recommended value in both annexes (UK NA; PL NA.9)</t>
        </is>
      </c>
    </row>
    <row r="27">
      <c r="B27" s="48" t="inlineStr">
        <is>
          <t>k3  (steel stress, characteristic)</t>
        </is>
      </c>
      <c r="C27" s="49" t="inlineStr">
        <is>
          <t>7.2(5)</t>
        </is>
      </c>
      <c r="D27" s="50" t="n">
        <v>0.8</v>
      </c>
      <c r="E27" s="50" t="n">
        <v>0.8</v>
      </c>
      <c r="F27" s="49" t="inlineStr">
        <is>
          <t>Recommended value in both annexes (UK NA; PL NA.9)</t>
        </is>
      </c>
    </row>
    <row r="28">
      <c r="B28" s="48" t="inlineStr">
        <is>
          <t>k4  (steel stress, imposed deformation)</t>
        </is>
      </c>
      <c r="C28" s="49" t="inlineStr">
        <is>
          <t>7.2(5)</t>
        </is>
      </c>
      <c r="D28" s="50" t="n">
        <v>1</v>
      </c>
      <c r="E28" s="50" t="n">
        <v>1</v>
      </c>
      <c r="F28" s="49"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&amp;K8A8A8ANAE-RC-009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NAE-RC-009 Corbel</dc:title>
  <dc:subject xmlns:dc="http://purl.org/dc/elements/1.1/">Short corbels  ·  strut-and-tie, EN 1992-1-1 §6.5, Annex J.3  ·  UK NA / PN-EN</dc:subject>
  <dcterms:created xmlns:dcterms="http://purl.org/dc/terms/" xmlns:xsi="http://www.w3.org/2001/XMLSchema-instance" xsi:type="dcterms:W3CDTF">2026-10-30T10:58:36Z</dcterms:created>
  <dcterms:modified xmlns:dcterms="http://purl.org/dc/terms/" xmlns:xsi="http://www.w3.org/2001/XMLSchema-instance" xsi:type="dcterms:W3CDTF">2026-10-30T10:58:36Z</dcterms:modified>
  <cp:lastModifiedBy>NA Engineering sp. z o.o.</cp:lastModifiedBy>
  <cp:keywords>NA Engineering; Eurocode 2; EN 1992-1-1</cp:keywords>
</cp:coreProperties>
</file>